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codeName="ThisWorkbook" defaultThemeVersion="124226"/>
  <bookViews>
    <workbookView xWindow="19035" yWindow="-15" windowWidth="19095" windowHeight="11640" tabRatio="915"/>
  </bookViews>
  <sheets>
    <sheet name="ImportantDisclosures" sheetId="79" r:id="rId1"/>
    <sheet name="P&amp;L" sheetId="1" r:id="rId2"/>
    <sheet name="RevBuild" sheetId="4" r:id="rId3"/>
    <sheet name="OrgRev" sheetId="51" r:id="rId4"/>
    <sheet name="Growth_Drivers" sheetId="73" r:id="rId5"/>
    <sheet name="BS" sheetId="2" r:id="rId6"/>
    <sheet name="CFS" sheetId="3" r:id="rId7"/>
    <sheet name="Debt" sheetId="54" r:id="rId8"/>
    <sheet name="DCF" sheetId="52" r:id="rId9"/>
    <sheet name="IndexInformation" sheetId="80" r:id="rId10"/>
    <sheet name="ModPubIndex" sheetId="81" r:id="rId11"/>
    <sheet name="MW-Cache" sheetId="45" state="veryHidden" r:id="rId12"/>
    <sheet name="__FDSCACHE__" sheetId="41" state="very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_FDS_HYPERLINK_TOGGLE_STATE__" hidden="1">"ON"</definedName>
    <definedName name="__FDS_UNIQUE_RANGE_ID_GENERATOR_COUNTER" localSheetId="8">73</definedName>
    <definedName name="__FDS_UNIQUE_RANGE_ID_GENERATOR_COUNTER" hidden="1">1</definedName>
    <definedName name="_1__FDSAUDITLINK__" localSheetId="8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0__123Graph_ALIQUIDS" hidden="1">[1]P!$S$78:$AL$78</definedName>
    <definedName name="_10__FDSAUDITLINK__" localSheetId="8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0__FDSAUDITLINK__" localSheetId="8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1__FDSAUDITLINK__" localSheetId="8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2__FDSAUDITLINK__" localSheetId="8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3__FDSAUDITLINK__" localSheetId="8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4__FDSAUDITLINK__" localSheetId="8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5__FDSAUDITLINK__" localSheetId="8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6__FDSAUDITLINK__" localSheetId="8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7__FDSAUDITLINK__" localSheetId="8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8__FDSAUDITLINK__" localSheetId="8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9__FDSAUDITLINK__" localSheetId="8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1__FDSAUDITLINK__" localSheetId="8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0__FDSAUDITLINK__" localSheetId="8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1__FDSAUDITLINK__" localSheetId="8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2__FDSAUDITLINK__" localSheetId="8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3__FDSAUDITLINK__" localSheetId="8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4__FDSAUDITLINK__" localSheetId="8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5__FDSAUDITLINK__" localSheetId="8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6__FDSAUDITLINK__" localSheetId="8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7__FDSAUDITLINK__" localSheetId="8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8__FDSAUDITLINK__" localSheetId="8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9__FDSAUDITLINK__" localSheetId="8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2__FDSAUDITLINK__" localSheetId="8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0__FDSAUDITLINK__" localSheetId="8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1__FDSAUDITLINK__" localSheetId="8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2__FDSAUDITLINK__" localSheetId="8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3__FDSAUDITLINK__" localSheetId="8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4__FDSAUDITLINK__" localSheetId="8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5__FDSAUDITLINK__" localSheetId="8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6__FDSAUDITLINK__" localSheetId="8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7__FDSAUDITLINK__" localSheetId="8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8__FDSAUDITLINK__" localSheetId="8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9__FDSAUDITLINK__" localSheetId="8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3__123Graph_Aｸﾞﾗﾌ_1" hidden="1">[2]ｾｸﾞﾒﾝﾄ!$E$164:$I$164</definedName>
    <definedName name="_13__FDSAUDITLINK__" localSheetId="8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0__FDSAUDITLINK__" localSheetId="8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1__FDSAUDITLINK__" localSheetId="8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2__FDSAUDITLINK__" localSheetId="8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3__FDSAUDITLINK__" localSheetId="8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4__FDSAUDITLINK__" localSheetId="8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5__FDSAUDITLINK__" localSheetId="8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6__FDSAUDITLINK__" localSheetId="8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7__FDSAUDITLINK__" localSheetId="8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8__FDSAUDITLINK__" localSheetId="8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9__FDSAUDITLINK__" localSheetId="8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4__123Graph_Aｸﾞﾗﾌ_2" hidden="1">[2]単独!$AR$14:$AR$18</definedName>
    <definedName name="_14__FDSAUDITLINK__" localSheetId="8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0__FDSAUDITLINK__" localSheetId="8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1__FDSAUDITLINK__" localSheetId="8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2__FDSAUDITLINK__" localSheetId="8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5__FDSAUDITLINK__" localSheetId="8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6__FDSAUDITLINK__" localSheetId="8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7__123Graph_BCHART_111" hidden="1">[3]Menu!$D$24:$M$24</definedName>
    <definedName name="_17__FDSAUDITLINK__" localSheetId="8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8__123Graph_BCHART_112" hidden="1">[3]Menu!$D$18:$M$18</definedName>
    <definedName name="_18__FDSAUDITLINK__" localSheetId="8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9__123Graph_BCHART_26" hidden="1">[3]Menu!$D$88:$M$88</definedName>
    <definedName name="_19__FDSAUDITLINK__" localSheetId="8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Q_01E">"_01"</definedName>
    <definedName name="_2__FDSAUDITLINK__" localSheetId="8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0__FDSAUDITLINK__" localSheetId="8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1__FDSAUDITLINK__" localSheetId="8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2__FDSAUDITLINK__" localSheetId="8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3__123Graph_Bｸﾞﾗﾌ_1" hidden="1">[2]ｾｸﾞﾒﾝﾄ!$E$165:$I$165</definedName>
    <definedName name="_23__FDSAUDITLINK__" localSheetId="8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4__123Graph_CCHART_111" hidden="1">[3]Menu!$D$25:$M$25</definedName>
    <definedName name="_24__FDSAUDITLINK__" localSheetId="8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5__123Graph_CCHART_112" hidden="1">[3]Menu!$D$19:$M$19</definedName>
    <definedName name="_25__FDSAUDITLINK__" localSheetId="8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6__123Graph_CCHART_26" hidden="1">[3]Menu!$D$92:$M$92</definedName>
    <definedName name="_26__FDSAUDITLINK__" localSheetId="8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7__123Graph_CCHART_30" hidden="1">[3]Menu!$D$12:$M$12</definedName>
    <definedName name="_27__FDSAUDITLINK__" localSheetId="8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8__FDSAUDITLINK__" localSheetId="8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9__FDSAUDITLINK__" localSheetId="8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3__123Graph_ACHART_111" hidden="1">[3]Menu!$D$23:$M$23</definedName>
    <definedName name="_3__FDSAUDITLINK__" localSheetId="8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0__123Graph_DCHART_112" hidden="1">[3]Menu!$D$16:$M$16</definedName>
    <definedName name="_30__FDSAUDITLINK__" localSheetId="8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1__123Graph_Dｸﾞﾗﾌ_1" hidden="1">[2]ｾｸﾞﾒﾝﾄ!$E$167:$I$167</definedName>
    <definedName name="_31__FDSAUDITLINK__" localSheetId="8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2__FDSAUDITLINK__" localSheetId="8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3__FDSAUDITLINK__" localSheetId="8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4__FDSAUDITLINK__" localSheetId="8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5__FDSAUDITLINK__" localSheetId="8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6__FDSAUDITLINK__" localSheetId="8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7__123Graph_XCHART_112" hidden="1">[3]Menu!$AF$15:$AO$15</definedName>
    <definedName name="_37__FDSAUDITLINK__" localSheetId="8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8__123Graph_XCHART_30" hidden="1">[3]Menu!$AF$15:$AO$15</definedName>
    <definedName name="_38__FDSAUDITLINK__" localSheetId="8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9__123Graph_XLIQUIDS" hidden="1">[1]P!$R$29:$AK$29</definedName>
    <definedName name="_39__FDSAUDITLINK__" localSheetId="8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4__123Graph_ACHART_112" hidden="1">[3]Menu!$D$17:$M$17</definedName>
    <definedName name="_4__FDSAUDITLINK__" localSheetId="8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0__123Graph_XR_M_MARG" hidden="1">[1]P!$R$29:$AK$29</definedName>
    <definedName name="_40__FDSAUDITLINK__" localSheetId="8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1__FDSAUDITLINK__" localSheetId="8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2__FDSAUDITLINK__" localSheetId="8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3__FDSAUDITLINK__" localSheetId="8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4__FDSAUDITLINK__" localSheetId="8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5__FDSAUDITLINK__" localSheetId="8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6__FDSAUDITLINK__" localSheetId="8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7__FDSAUDITLINK__" localSheetId="8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8__FDSAUDITLINK__" localSheetId="8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9__FDSAUDITLINK__" localSheetId="8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__123Graph_ACHART_26" hidden="1">[3]Menu!$D$83:$M$83</definedName>
    <definedName name="_5__FDSAUDITLINK__" localSheetId="8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0__FDSAUDITLINK__" localSheetId="8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1__FDSAUDITLINK__" localSheetId="8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2__FDSAUDITLINK__" localSheetId="8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3__FDSAUDITLINK__" localSheetId="8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4__FDSAUDITLINK__" localSheetId="8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5__FDSAUDITLINK__" localSheetId="8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6__FDSAUDITLINK__" localSheetId="8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7__FDSAUDITLINK__" localSheetId="8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8__FDSAUDITLINK__" localSheetId="8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9__FDSAUDITLINK__" localSheetId="8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6__FDSAUDITLINK__" localSheetId="8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0__FDSAUDITLINK__" localSheetId="8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1__FDSAUDITLINK__" localSheetId="8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2__FDSAUDITLINK__" localSheetId="8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3__FDSAUDITLINK__" localSheetId="8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4__FDSAUDITLINK__" localSheetId="8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5__FDSAUDITLINK__" localSheetId="8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6__FDSAUDITLINK__" localSheetId="8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7__FDSAUDITLINK__" localSheetId="8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8__FDSAUDITLINK__" localSheetId="8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9__FDSAUDITLINK__" localSheetId="8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7__FDSAUDITLINK__" localSheetId="8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0__FDSAUDITLINK__" localSheetId="8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1__FDSAUDITLINK__" localSheetId="8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2__FDSAUDITLINK__" localSheetId="8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3__FDSAUDITLINK__" localSheetId="8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4__FDSAUDITLINK__" localSheetId="8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5__FDSAUDITLINK__" localSheetId="8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6__FDSAUDITLINK__" localSheetId="8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7__FDSAUDITLINK__" localSheetId="8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8__FDSAUDITLINK__" localSheetId="8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9__FDSAUDITLINK__" localSheetId="8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8__FDSAUDITLINK__" localSheetId="8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0__FDSAUDITLINK__" localSheetId="8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1__FDSAUDITLINK__" localSheetId="8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2__FDSAUDITLINK__" localSheetId="8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3__FDSAUDITLINK__" localSheetId="8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4__FDSAUDITLINK__" localSheetId="8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5__FDSAUDITLINK__" localSheetId="8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6__FDSAUDITLINK__" localSheetId="8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7__FDSAUDITLINK__" localSheetId="8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8__FDSAUDITLINK__" localSheetId="8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9__FDSAUDITLINK__" localSheetId="8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9__123Graph_ACHART_30" hidden="1">[3]Menu!$D$11:$M$11</definedName>
    <definedName name="_9__FDSAUDITLINK__" localSheetId="8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0__FDSAUDITLINK__" localSheetId="8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1__FDSAUDITLINK__" localSheetId="8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2__FDSAUDITLINK__" localSheetId="8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3__FDSAUDITLINK__" localSheetId="8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4__FDSAUDITLINK__" localSheetId="8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5__FDSAUDITLINK__" localSheetId="8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6__FDSAUDITLINK__" localSheetId="8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7__FDSAUDITLINK__" localSheetId="8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8__FDSAUDITLINK__" localSheetId="8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9__FDSAUDITLINK__" localSheetId="8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a1" hidden="1">{"comp1",#N/A,FALSE,"COMPS";"footnotes",#N/A,FALSE,"COMPS"}</definedName>
    <definedName name="_aa1" hidden="1">{#N/A,#N/A,TRUE,"Pro Forma";#N/A,#N/A,TRUE,"PF_Bal";#N/A,#N/A,TRUE,"PF_INC";#N/A,#N/A,TRUE,"CBE";#N/A,#N/A,TRUE,"SWK"}</definedName>
    <definedName name="_ab1" hidden="1">{"comp1",#N/A,FALSE,"COMPS";"footnotes",#N/A,FALSE,"COMPS"}</definedName>
    <definedName name="_ae1" hidden="1">{#N/A,#N/A,FALSE,"Calc";#N/A,#N/A,FALSE,"Sensitivity";#N/A,#N/A,FALSE,"LT Earn.Dil.";#N/A,#N/A,FALSE,"Dil. AVP"}</definedName>
    <definedName name="_af1" hidden="1">"c1455"</definedName>
    <definedName name="_af10" hidden="1">"c2141"</definedName>
    <definedName name="_af11" hidden="1">"c1382"</definedName>
    <definedName name="_af12" hidden="1">"c1385"</definedName>
    <definedName name="_af13" hidden="1">"c1435"</definedName>
    <definedName name="_af14" hidden="1">"c1436"</definedName>
    <definedName name="_af15" hidden="1">"c1424"</definedName>
    <definedName name="_af16" hidden="1">"c1345"</definedName>
    <definedName name="_af18" hidden="1">"c1438"</definedName>
    <definedName name="_af19">{"Client Name or Project Name"}</definedName>
    <definedName name="_af2" hidden="1">"c1352"</definedName>
    <definedName name="_af20">{"Client Name or Project Name"}</definedName>
    <definedName name="_af21">{"Client Name or Project Name"}</definedName>
    <definedName name="_af22">{"Client Name or Project Name"}</definedName>
    <definedName name="_af23">{126}</definedName>
    <definedName name="_af24">{1}</definedName>
    <definedName name="_af25">{0}</definedName>
    <definedName name="_af26">{126}</definedName>
    <definedName name="_af27">{"Client Name or Project Name"}</definedName>
    <definedName name="_af28">{"Client Name or Project Name"}</definedName>
    <definedName name="_af3" hidden="1">"c1353"</definedName>
    <definedName name="_af30">{"Client Name or Project Name"}</definedName>
    <definedName name="_af31">{"Client Name or Project Name"}</definedName>
    <definedName name="_af32">{"Client Name or Project Name"}</definedName>
    <definedName name="_af33">{"Client Name or Project Name"}</definedName>
    <definedName name="_af34">{"Client Name or Project Name"}</definedName>
    <definedName name="_af35">{"Client Name or Project Name"}</definedName>
    <definedName name="_af36">{"Client Name or Project Name"}</definedName>
    <definedName name="_af37" hidden="1">{"Client is",#N/A,FALSE,"Client"}</definedName>
    <definedName name="_af38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_af39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_af4" hidden="1">"c1354"</definedName>
    <definedName name="_af40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_af5" hidden="1">"c1411"</definedName>
    <definedName name="_af6" hidden="1">"c1431"</definedName>
    <definedName name="_af7" hidden="1">"c1433"</definedName>
    <definedName name="_af8" hidden="1">"c1434"</definedName>
    <definedName name="_af9" hidden="1">"c1432"</definedName>
    <definedName name="_am1" hidden="1">{#N/A,#N/A,TRUE,"Pro Forma";#N/A,#N/A,TRUE,"PF_Bal";#N/A,#N/A,TRUE,"PF_INC";#N/A,#N/A,TRUE,"CBE";#N/A,#N/A,TRUE,"SWK"}</definedName>
    <definedName name="_as1" hidden="1">{"comp1",#N/A,FALSE,"COMPS";"footnotes",#N/A,FALSE,"COMPS"}</definedName>
    <definedName name="_ASM1">{9}</definedName>
    <definedName name="_ASM2">{9}</definedName>
    <definedName name="_bdm.02E29E7B1053433EA3CCCBE4E5141596.edm" hidden="1">[4]Sheet1!$A:$IV</definedName>
    <definedName name="_bdm.08195189C54A4BC883BF6E8CE6400394.edm" localSheetId="6" hidden="1">CFS!$A$7:$BI$56</definedName>
    <definedName name="_bdm.13AFB799CC9849F4A2F81AC92FEB157D.edm" localSheetId="2" hidden="1">RevBuild!$A$4:$BI$77</definedName>
    <definedName name="_bdm.1E9FDF00342E4981B340488FB450FE5C.edm" hidden="1">[5]Guidance!$A:$IV</definedName>
    <definedName name="_bdm.1FD5F9BF1F2C4958A3D2E9AAB1DCBFD4.edm" localSheetId="6" hidden="1">CFS!$A$7:$BO$56</definedName>
    <definedName name="_bdm.3AB5332854CC421BA9917C9896C47E08.edm" localSheetId="1" hidden="1">'P&amp;L'!$A$4:$BI$35</definedName>
    <definedName name="_bdm.3FAB521E0421468DABF47B7B3CBF143F.edm" localSheetId="1" hidden="1">'P&amp;L'!$A$7:$BO$89</definedName>
    <definedName name="_bdm.4B1E75A2099C440D85F6907D3717C0CC.edm" hidden="1">CFS!$1:$1048576</definedName>
    <definedName name="_bdm.4C08A41449CD427FBEF0DBCBCEF41CBA.edm" localSheetId="1" hidden="1">'P&amp;L'!$A$2:$BI$36</definedName>
    <definedName name="_bdm.754A3061674644178F1C7A7474ADE407.edm" localSheetId="5" hidden="1">BS!$A$7:$BO$51</definedName>
    <definedName name="_bdm.772B3BBD8BBF4F6F9911C398200F3FAC.edm" hidden="1">'P&amp;L'!$1:$1048576</definedName>
    <definedName name="_bdm.81727FF6D76744B1BB8AFC3E6B818801.edm" hidden="1">RevBuild!$1:$1048576</definedName>
    <definedName name="_bdm.8916EBAB488242C38FB93D4501602875.edm" hidden="1">BS!$1:$1048576</definedName>
    <definedName name="_bdm.8DB157C02E3F4ACB8CEAAF304DB3CAC0.edm" localSheetId="1" hidden="1">'P&amp;L'!$A$4:$BI$97</definedName>
    <definedName name="_bdm.9FE79645467042EBA987C05309974624.edm" localSheetId="1" hidden="1">'P&amp;L'!$A$4:$BI$96</definedName>
    <definedName name="_bdm.C17420C6FE144474BFED5D6C95DC0E3E.edm" localSheetId="5" hidden="1">BS!$A$7:$BI$51</definedName>
    <definedName name="_bdm.C632537D81834D35881B8358B2B8ACCE.edm" localSheetId="1" hidden="1">'P&amp;L'!$A$5:$BI$89</definedName>
    <definedName name="_bdm.D1D12EAAABAE4A189EC9E7A57579463D.edm" localSheetId="1" hidden="1">'P&amp;L'!$A$7:$BO$96</definedName>
    <definedName name="_bdm.D90085FC662D447987F3D7D1C794BA1D.edm" localSheetId="6" hidden="1">CFS!$A$4:$BI$93</definedName>
    <definedName name="_bdm.E5BA492A32D740CA91DD7DA4AD76FA5E.edm" localSheetId="2" hidden="1">RevBuild!$A$6:$BO$58</definedName>
    <definedName name="_bdm.F2E7AF72D70E4667A314B91F9911AC7D.edm" localSheetId="2" hidden="1">RevBuild!$A$4:$BI$58</definedName>
    <definedName name="_bdm.F7B9585296F64BD596FDD7BDFFF656B9.edm" hidden="1">[5]Changes!$A:$IV</definedName>
    <definedName name="_bdm.FF4C7D53967641E7A617A5DDACB109AA.edm" localSheetId="5" hidden="1">BS!$A$4:$BI$51</definedName>
    <definedName name="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fy2001">'[6]5 yr Sales and Earnings'!$C$1:$C$170</definedName>
    <definedName name="_ik1" hidden="1">{"casespecific",#N/A,FALSE,"Assumptions"}</definedName>
    <definedName name="_Order1" hidden="1">255</definedName>
    <definedName name="_Order2" hidden="1">0</definedName>
    <definedName name="_ppp1">{"Client Name or Project Name"}</definedName>
    <definedName name="_rb10">{"Client Name or Project Name"}</definedName>
    <definedName name="_rb12">{9}</definedName>
    <definedName name="_rb13" hidden="1">{"'Breakup 01 Euro'!$A$3:$I$30"}</definedName>
    <definedName name="_rb15" hidden="1">"c1449"</definedName>
    <definedName name="_rb16" hidden="1">"c1343"</definedName>
    <definedName name="_rb17" hidden="1">"c1341"</definedName>
    <definedName name="_rb18" hidden="1">"c1340"</definedName>
    <definedName name="_rb19" hidden="1">"c1344"</definedName>
    <definedName name="_rb20" hidden="1">"c1342"</definedName>
    <definedName name="_rb21" hidden="1">"c1591"</definedName>
    <definedName name="_rb22" hidden="1">"c1346"</definedName>
    <definedName name="_rb23" hidden="1">"c2133"</definedName>
    <definedName name="_rb24" hidden="1">"c1349"</definedName>
    <definedName name="_rb25" hidden="1">"c1350"</definedName>
    <definedName name="_rb26" hidden="1">"c1458"</definedName>
    <definedName name="_rb27" hidden="1">"c116"</definedName>
    <definedName name="_rb28" hidden="1">"c1351"</definedName>
    <definedName name="_rb29" hidden="1">"c1355"</definedName>
    <definedName name="_rb30" hidden="1">"c1357"</definedName>
    <definedName name="_rb31" hidden="1">"c1358"</definedName>
    <definedName name="_rb32" hidden="1">"c1359"</definedName>
    <definedName name="_rb33" hidden="1">"c1362"</definedName>
    <definedName name="_rb34" hidden="1">"c1363"</definedName>
    <definedName name="_rb35" hidden="1">"c1364"</definedName>
    <definedName name="_rb36" hidden="1">"c1365"</definedName>
    <definedName name="_rb37" hidden="1">"c1447"</definedName>
    <definedName name="_rb38" hidden="1">"c1356"</definedName>
    <definedName name="_rb39" hidden="1">"c1360"</definedName>
    <definedName name="_rb40" hidden="1">"c1361"</definedName>
    <definedName name="_rb41" hidden="1">"c1520"</definedName>
    <definedName name="_rb42" hidden="1">"c1367"</definedName>
    <definedName name="_rb43" hidden="1">"c1366"</definedName>
    <definedName name="_rb44" hidden="1">"c1369"</definedName>
    <definedName name="_rb45" hidden="1">"c1370"</definedName>
    <definedName name="_rb46" hidden="1">"c1371"</definedName>
    <definedName name="_rb47" hidden="1">"c1348"</definedName>
    <definedName name="_rb48" hidden="1">"c1451"</definedName>
    <definedName name="_rb49" hidden="1">"c1390"</definedName>
    <definedName name="_rb5">{9}</definedName>
    <definedName name="_rb50" hidden="1">"c1428"</definedName>
    <definedName name="_rb51" hidden="1">"c1426"</definedName>
    <definedName name="_rb52" hidden="1">"c1427"</definedName>
    <definedName name="_rb53" hidden="1">"c1429"</definedName>
    <definedName name="_rb54" hidden="1">"c1897"</definedName>
    <definedName name="_rb55" hidden="1">"c1459"</definedName>
    <definedName name="_rb56" hidden="1">"c1405"</definedName>
    <definedName name="_rb57" hidden="1">"c1406"</definedName>
    <definedName name="_rb58" hidden="1">"c1376"</definedName>
    <definedName name="_rb59" hidden="1">"c1377"</definedName>
    <definedName name="_rb60" hidden="1">"c1380"</definedName>
    <definedName name="_rb61" hidden="1">"c1446"</definedName>
    <definedName name="_rb62" hidden="1">"c1378"</definedName>
    <definedName name="_rb63" hidden="1">"c1395"</definedName>
    <definedName name="_rb64" hidden="1">"c1396"</definedName>
    <definedName name="_rb65" hidden="1">"c1375"</definedName>
    <definedName name="_rb66" hidden="1">"c1407"</definedName>
    <definedName name="_rb67" hidden="1">"c1383"</definedName>
    <definedName name="_rb68" hidden="1">"c1393"</definedName>
    <definedName name="_rb69" hidden="1">"c1384"</definedName>
    <definedName name="_rb70" hidden="1">"c1391"</definedName>
    <definedName name="_rb71" hidden="1">"c1386"</definedName>
    <definedName name="_rb72" hidden="1">"c1387"</definedName>
    <definedName name="_rb73" hidden="1">"c1388"</definedName>
    <definedName name="_rb74" hidden="1">"c1389"</definedName>
    <definedName name="_rb75" hidden="1">"c1437"</definedName>
    <definedName name="_rb76" hidden="1">"c1394"</definedName>
    <definedName name="_rb77" hidden="1">"c1368"</definedName>
    <definedName name="_rb78" hidden="1">"c1397"</definedName>
    <definedName name="_rb79" hidden="1">"c1398"</definedName>
    <definedName name="_rb8">{9}</definedName>
    <definedName name="_rb9">{9}</definedName>
    <definedName name="_Regression_Int" hidden="1">1</definedName>
    <definedName name="_rt1" hidden="1">"c1392"</definedName>
    <definedName name="_rt10" hidden="1">"c1409"</definedName>
    <definedName name="_rt11" hidden="1">"c1453"</definedName>
    <definedName name="_rt12" hidden="1">"c1410"</definedName>
    <definedName name="_rt14" hidden="1">"c2128"</definedName>
    <definedName name="_rt15" hidden="1">"c1457"</definedName>
    <definedName name="_rt16" hidden="1">"c1414"</definedName>
    <definedName name="_rt17" hidden="1">"c1416"</definedName>
    <definedName name="_rt18" hidden="1">"c1415"</definedName>
    <definedName name="_rt19" hidden="1">"c1418"</definedName>
    <definedName name="_rt2" hidden="1">"c1399"</definedName>
    <definedName name="_rt20" hidden="1">"c1412"</definedName>
    <definedName name="_rt21" hidden="1">"c1413"</definedName>
    <definedName name="_rt22" hidden="1">"c1452"</definedName>
    <definedName name="_rt24" hidden="1">"c1379"</definedName>
    <definedName name="_rt25" hidden="1">"c1402"</definedName>
    <definedName name="_rt26" hidden="1">"c1417"</definedName>
    <definedName name="_rt27" hidden="1">"c1419"</definedName>
    <definedName name="_rt28" hidden="1">"c1420"</definedName>
    <definedName name="_rt29" hidden="1">"c1421"</definedName>
    <definedName name="_rt3" hidden="1">"c1400"</definedName>
    <definedName name="_rt30" hidden="1">"c1422"</definedName>
    <definedName name="_rt31" hidden="1">"c1347"</definedName>
    <definedName name="_rt32" hidden="1">"c1425"</definedName>
    <definedName name="_rt4" hidden="1">"c1401"</definedName>
    <definedName name="_rt5" hidden="1">"c1423"</definedName>
    <definedName name="_rt6" hidden="1">"c1448"</definedName>
    <definedName name="_rt7" hidden="1">"c1403"</definedName>
    <definedName name="_rt8" hidden="1">"c1404"</definedName>
    <definedName name="_rt9" hidden="1">"c1408"</definedName>
    <definedName name="_t1" hidden="1">{"Client is",#N/A,FALSE,"Client"}</definedName>
    <definedName name="AdditionalInstructions">IndexInformation!$B$42</definedName>
    <definedName name="Address" localSheetId="0">ImportantDisclosures!$A$2:$A$2</definedName>
    <definedName name="af" hidden="1">"c1430"</definedName>
    <definedName name="AllTables">{9}</definedName>
    <definedName name="alltables1">{9}</definedName>
    <definedName name="ANA" localSheetId="10">ModPubIndex!$A$7</definedName>
    <definedName name="anscount" hidden="1">1</definedName>
    <definedName name="ASM">{9}</definedName>
    <definedName name="ASMM2">{9}</definedName>
    <definedName name="Authors" localSheetId="0">ImportantDisclosures!$A$7</definedName>
    <definedName name="Authors" localSheetId="9">IndexInformation!$B$18</definedName>
    <definedName name="BRO" localSheetId="10">ModPubIndex!$A$1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hoiceOfChem">{"Client Name or Project Name"}</definedName>
    <definedName name="Choices_Wrapper">[0]!Choices_Wrapper</definedName>
    <definedName name="copy">{9}</definedName>
    <definedName name="copy2">{9}</definedName>
    <definedName name="CopyrightStamp">ImportantDisclosures!$A$27</definedName>
    <definedName name="COU" localSheetId="10">ModPubIndex!$A$5</definedName>
    <definedName name="CQEnd" localSheetId="9">IndexInformation!$B$31</definedName>
    <definedName name="Currency" localSheetId="9">IndexInformation!$B$24</definedName>
    <definedName name="CurrentStockPrice" localSheetId="9">IndexInformation!$B$23</definedName>
    <definedName name="CurrQtrEPS" localSheetId="9">IndexInformation!$B$29</definedName>
    <definedName name="CurrYearEPS" localSheetId="9">IndexInformation!$B$11</definedName>
    <definedName name="CurrYearTotalRevenue" localSheetId="9">IndexInformation!$B$10</definedName>
    <definedName name="CurrYearTotalRevenueActual" localSheetId="9">IndexInformation!$B$32</definedName>
    <definedName name="CUSIP" localSheetId="9">IndexInformation!$B$20</definedName>
    <definedName name="CYEnd" localSheetId="9">IndexInformation!$B$30</definedName>
    <definedName name="_xlnm.Database">[0]!_xlnm.Database</definedName>
    <definedName name="Date" localSheetId="0">ImportantDisclosures!$A$8</definedName>
    <definedName name="Deleted" localSheetId="9">IndexInformation!$B$27</definedName>
    <definedName name="Description" localSheetId="9">IndexInformation!$B$7</definedName>
    <definedName name="DEVELOPMENT">5</definedName>
    <definedName name="Discipline" localSheetId="9">IndexInformation!$B$3</definedName>
    <definedName name="DISCIPLINE" localSheetId="10">ModPubIndex!$A$12</definedName>
    <definedName name="DisclosuresText">ImportantDisclosures!$A$22</definedName>
    <definedName name="Distribution" localSheetId="9">IndexInformation!$B$26</definedName>
    <definedName name="DistTable" localSheetId="0">ImportantDisclosures!#REF!</definedName>
    <definedName name="DistTablePreamble" localSheetId="0">ImportantDisclosures!#REF!</definedName>
    <definedName name="DOCDAT" localSheetId="10">ModPubIndex!$A$2</definedName>
    <definedName name="DOCTIME" localSheetId="10">ModPubIndex!$A$3</definedName>
    <definedName name="DocType" localSheetId="9">IndexInformation!$B$5</definedName>
    <definedName name="DYNO">"TARGET"</definedName>
    <definedName name="EMAIL_ALERT" localSheetId="10">ModPubIndex!$A$10</definedName>
    <definedName name="EmailAlert" localSheetId="9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ev.Calculation" hidden="1">-4135</definedName>
    <definedName name="ev.Initialized" hidden="1">FALSE</definedName>
    <definedName name="Exhibit_4">"QSALES1"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INCriteriaType">1</definedName>
    <definedName name="FiveYearGrowthRate" localSheetId="9">IndexInformation!$B$16</definedName>
    <definedName name="fmv_04">{"Client Name or Project Name"}</definedName>
    <definedName name="FollowingYearEPS" localSheetId="9">IndexInformation!$B$15</definedName>
    <definedName name="FollowingYearTotalRevenue" localSheetId="9">IndexInformation!$B$14</definedName>
    <definedName name="FollowingYearTotalRevenueActual" localSheetId="9">IndexInformation!$B$34</definedName>
    <definedName name="Guidance">#N/A</definedName>
    <definedName name="guidance1">{9}</definedName>
    <definedName name="HL" localSheetId="10">ModPubIndex!$A$8</definedName>
    <definedName name="hn.ModelVersion" hidden="1">1</definedName>
    <definedName name="hn.NoUpload" hidden="1">0</definedName>
    <definedName name="HTML_CodePage" hidden="1">1252</definedName>
    <definedName name="HTML_Control" hidden="1">{"'Breakup 01 Euro'!$A$3:$I$30"}</definedName>
    <definedName name="HTML_Description" hidden="1">""</definedName>
    <definedName name="HTML_Email" hidden="1">""</definedName>
    <definedName name="HTML_Header" hidden="1">"Breakup 01 Euro"</definedName>
    <definedName name="HTML_LastUpdate" hidden="1">"27/02/2001"</definedName>
    <definedName name="HTML_LineAfter" hidden="1">FALSE</definedName>
    <definedName name="HTML_LineBefore" hidden="1">FALSE</definedName>
    <definedName name="HTML_Name" hidden="1">"jonasa"</definedName>
    <definedName name="HTML_OBDlg2" hidden="1">TRUE</definedName>
    <definedName name="HTML_OBDlg4" hidden="1">TRUE</definedName>
    <definedName name="HTML_OS" hidden="1">0</definedName>
    <definedName name="HTML_PathFile" hidden="1">"L:\AUTOS\XLDATA\Jonas\other\DCX_Sop.htm"</definedName>
    <definedName name="HTML_Title" hidden="1">"DAIC-INC"</definedName>
    <definedName name="IncomeEPSFullyDiluted">0</definedName>
    <definedName name="IncomeEPSPrimary">0</definedName>
    <definedName name="IncomeEPSRegular">0</definedName>
    <definedName name="IND" localSheetId="10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" hidden="1">"c413"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38859.8503356481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9">IndexInformation!$B$8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mcount" hidden="1">1</definedName>
    <definedName name="Linking_1">'P&amp;L'!$A$7:$CG$51</definedName>
    <definedName name="Linking_10">#N/A</definedName>
    <definedName name="Linking_11">OrgRev!$DD$27:$DX$47</definedName>
    <definedName name="Linking_12">1346.59904331655</definedName>
    <definedName name="Linking_13">#N/A</definedName>
    <definedName name="Linking_14">#N/A</definedName>
    <definedName name="Linking_15">#N/A</definedName>
    <definedName name="Linking_16">#N/A</definedName>
    <definedName name="Linking_17">"50bps improvement "</definedName>
    <definedName name="Linking_18">Growth_Drivers!$A$138:$CM$161</definedName>
    <definedName name="Linking_2">CFS!$A$6:$CG$66</definedName>
    <definedName name="Linking_20">#N/A</definedName>
    <definedName name="Linking_21">#N/A</definedName>
    <definedName name="Linking_22">Growth_Drivers!$A$280:$CM$299</definedName>
    <definedName name="Linking_23">Growth_Drivers!$A$229:$CM$260</definedName>
    <definedName name="Linking_25">Growth_Drivers!$A$103:$CM$131</definedName>
    <definedName name="Linking_26">Growth_Drivers!$A$170:$CM$210</definedName>
    <definedName name="Linking_27">Growth_Drivers!$A$28:$CM$46</definedName>
    <definedName name="Linking_28">#N/A</definedName>
    <definedName name="Linking_29">Growth_Drivers!$A$103:$CM$118</definedName>
    <definedName name="Linking_3">#N/A</definedName>
    <definedName name="Linking_32">#N/A</definedName>
    <definedName name="Linking_33">DCF!$A$4:$N$52</definedName>
    <definedName name="Linking_34">#N/A</definedName>
    <definedName name="Linking_4">Growth_Drivers!$A$170:$CM$207</definedName>
    <definedName name="Linking_46">#N/A</definedName>
    <definedName name="Linking_49">'P&amp;L'!$A$7:$CM$66</definedName>
    <definedName name="Linking_5">Growth_Drivers!$A$103:$CM$137</definedName>
    <definedName name="Linking_50">RevBuild!$A$6:$CM$63</definedName>
    <definedName name="Linking_55">OrgRev!$DD$26:$DX$47</definedName>
    <definedName name="Linking_57">DCF!$A$4:$O$52</definedName>
    <definedName name="Linking_59">DCF!$A$4:$P$52</definedName>
    <definedName name="Linking_6">Growth_Drivers!$A$103:$CM$128</definedName>
    <definedName name="Linking_60">RevBuild!$CR$24</definedName>
    <definedName name="Linking_61">'P&amp;L'!$CO$8</definedName>
    <definedName name="Linking_62">'P&amp;L'!$A$4:$CY$66</definedName>
    <definedName name="Linking_63">RevBuild!$A$4:$CY$63</definedName>
    <definedName name="Linking_64">OrgRev!$DD$26:$DX$37</definedName>
    <definedName name="Linking_66">OrgRev!$DD$26:$DU$50</definedName>
    <definedName name="Linking_7">Growth_Drivers!$A$103:$CM$130</definedName>
    <definedName name="Linking_70">OrgRev!$DD$26:$DW$50</definedName>
    <definedName name="Linking_71">OrgRev!$DD$26:$EB$37</definedName>
    <definedName name="Linking_9">Growth_Drivers!$A$79:$CM$96</definedName>
    <definedName name="Linking_Range_1" localSheetId="8">DCF!$D$24:$N$34</definedName>
    <definedName name="Linking_Range_1">[7]DCF!$G$56:$Q$66</definedName>
    <definedName name="Linking_Range_10">'[7]P&amp;L'!$C$7:$CA$46</definedName>
    <definedName name="Linking_Range_12">'[7]Q Variance'!$D$7:$P$37</definedName>
    <definedName name="Linking_Range_13">'[7]Q Variance'!$D$7:$Q$37</definedName>
    <definedName name="Linking_Range_14">'[7]Earnings Charts'!$A$1:$E$15</definedName>
    <definedName name="Linking_Range_15">'[7]Earnings Charts'!$Q$50:$Y$90</definedName>
    <definedName name="Linking_Range_16">'[7]Earnings Charts'!$H$17:$I$38</definedName>
    <definedName name="Linking_Range_20">'[7]Earnings Charts'!$Q$50:$X$90</definedName>
    <definedName name="Linking_Range_23">'[7]P&amp;L'!$C$7:$CA$60</definedName>
    <definedName name="Linking_Range_25">'[7]P&amp;L'!$C$7:$BO$60</definedName>
    <definedName name="Linking_Range_3">[7]BBB!$B$1:$E$32</definedName>
    <definedName name="Linking_Range_33">'[7]Earnings Charts'!$A$1:$F$15</definedName>
    <definedName name="Linking_Range_34">'P&amp;L'!$A$7:$CG$66</definedName>
    <definedName name="Linking_Range_35">RevBuild!$A$6:$CG$58</definedName>
    <definedName name="Linking_Range_36">OrgRev!$B$4:$CG$53</definedName>
    <definedName name="Linking_Range_37">CFS!$A$6:$CG$62</definedName>
    <definedName name="Linking_Range_38">BS!$A$6:$CG$51</definedName>
    <definedName name="Linking_Range_41">OrgRev!$A$4:$BU$35</definedName>
    <definedName name="Linking_Range_42">OrgRev!$A$4:$CA$21</definedName>
    <definedName name="Linking_Range_43">DCF!$D$24:$N$34</definedName>
    <definedName name="Linking_Range_44">DCF!$A$23:$B$28</definedName>
    <definedName name="Linking_Range_45">DCF!$A$82:$B$91</definedName>
    <definedName name="Linking_Range_49">RevBuild!$A$6:$CG$17</definedName>
    <definedName name="Linking_Range_5">'[7]P&amp;L'!$C$7:$CA$70</definedName>
    <definedName name="Linking_Range_50">OrgRev!$A$5:$CG$53</definedName>
    <definedName name="Linking_Range_51">CFS!$A$6:$CG$56</definedName>
    <definedName name="Linking_Range_58">RevBuild!$A$6:$CG$62</definedName>
    <definedName name="Linking_Range_59">RevBuild!$A$30:$CG$62</definedName>
    <definedName name="Linking_Range_60">RevBuild!$A$30:$CG$77</definedName>
    <definedName name="Linking_Range_61">RevBuild!$A$30:$CG$44</definedName>
    <definedName name="Linking_Range_62">BS!$A$6:$CG$57</definedName>
    <definedName name="Linking_Range_65">BS!$A$6:$CM$51</definedName>
    <definedName name="Linking_Range_68">BS!$A$6:$CG$86</definedName>
    <definedName name="Linking_Range_69">RevBuild!$A$6:$CG$63</definedName>
    <definedName name="Linking_Range_72">OrgRev!$DD$26:$DX$50</definedName>
    <definedName name="Linking_Text_1">'[7]Q Variance'!$D$8</definedName>
    <definedName name="Linking_Text_2">Growth_Drivers!$BC$93</definedName>
    <definedName name="Linking_Text_3">'P&amp;L'!$CM$45</definedName>
    <definedName name="MacroVersion" localSheetId="9">IndexInformation!$B$1</definedName>
    <definedName name="ModelPrice" localSheetId="0">ImportantDisclosures!$A$14</definedName>
    <definedName name="MonitorRow">1</definedName>
    <definedName name="Multiplier" localSheetId="9">IndexInformation!$B$35</definedName>
    <definedName name="NetIncome">{"Client Name or Project Name"}</definedName>
    <definedName name="newDCF">{"Client Name or Project Name"}</definedName>
    <definedName name="newname14">{9}</definedName>
    <definedName name="newname18">{9}</definedName>
    <definedName name="newname19">{9}</definedName>
    <definedName name="newname20">{"Client Name or Project Name"}</definedName>
    <definedName name="newname22">{9}</definedName>
    <definedName name="newname23" hidden="1">{"'Breakup 01 Euro'!$A$3:$I$30"}</definedName>
    <definedName name="newname25" hidden="1">39244.4711574074</definedName>
    <definedName name="newname26">{"Client Name or Project Name"}</definedName>
    <definedName name="newname28">{"Client Name or Project Name"}</definedName>
    <definedName name="newname29">{"Client Name or Project Name"}</definedName>
    <definedName name="newname30">{"Client Name or Project Name"}</definedName>
    <definedName name="newname31">{126}</definedName>
    <definedName name="newname32">{1}</definedName>
    <definedName name="newname33">{0}</definedName>
    <definedName name="newname34">{126}</definedName>
    <definedName name="newname35">{"Client Name or Project Name"}</definedName>
    <definedName name="newname36">{"Client Name or Project Name"}</definedName>
    <definedName name="newname37">{"Client Name or Project Name"}</definedName>
    <definedName name="newname38">{"Client Name or Project Name"}</definedName>
    <definedName name="newname39">{"Client Name or Project Name"}</definedName>
    <definedName name="newname40">{"Client Name or Project Name"}</definedName>
    <definedName name="newname41">{"Client Name or Project Name"}</definedName>
    <definedName name="newname42">{"Client Name or Project Name"}</definedName>
    <definedName name="newname43">{"Client Name or Project Name"}</definedName>
    <definedName name="newProjectName">{"Client Name or Project Name"}</definedName>
    <definedName name="NewProjName">{"Client Name or Project Name"}</definedName>
    <definedName name="newstone">{"Client Name or Project Name"}</definedName>
    <definedName name="NextYearEPS" localSheetId="9">IndexInformation!$B$13</definedName>
    <definedName name="NextYearTotalRevenue" localSheetId="9">IndexInformation!$B$12</definedName>
    <definedName name="NextYearTotalRevenueActual" localSheetId="9">IndexInformation!$B$33</definedName>
    <definedName name="NoIdeaWhatToDo">{"Client Name or Project Name"}</definedName>
    <definedName name="Normalized_Income_Statement">"IS_Annual"</definedName>
    <definedName name="num">{126}</definedName>
    <definedName name="NumCUSIP">{1}</definedName>
    <definedName name="NumCUSIPMissing">{0}</definedName>
    <definedName name="NumInst">{126}</definedName>
    <definedName name="NVCURR">[8]I!$B$1:$U$51</definedName>
    <definedName name="ObjectType">IndexInformation!$B$37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over_15_years">0.1</definedName>
    <definedName name="PANA" localSheetId="10">ModPubIndex!$A$11</definedName>
    <definedName name="PathName" localSheetId="9">IndexInformation!$B$25</definedName>
    <definedName name="PPP">{"Client Name or Project Name"}</definedName>
    <definedName name="_xlnm.Print_Area" localSheetId="5">BS!$A$2:$DJ$136</definedName>
    <definedName name="_xlnm.Print_Area" localSheetId="6">CFS!$A$2:$CM$87</definedName>
    <definedName name="_xlnm.Print_Area" localSheetId="8">DCF!$A$2:$P$68</definedName>
    <definedName name="_xlnm.Print_Area" localSheetId="7">Debt!$A$5:$BO$86</definedName>
    <definedName name="_xlnm.Print_Area" localSheetId="1">'P&amp;L'!$A$2:$CM$88</definedName>
    <definedName name="_xlnm.Print_Area" localSheetId="2">RevBuild!$A$2:$CM$77</definedName>
    <definedName name="_xlnm.Print_Area">"Formula removed, name can be deleted."</definedName>
    <definedName name="_xlnm.Print_Titles" localSheetId="5">BS!$2:$7</definedName>
    <definedName name="_xlnm.Print_Titles" localSheetId="1">'P&amp;L'!$A:$A,'P&amp;L'!$2:$8</definedName>
    <definedName name="_xlnm.Print_Titles" localSheetId="2">RevBuild!$A:$A,RevBuild!$2:$7</definedName>
    <definedName name="_xlnm.Print_Titles">"Formula removed, name can be deleted."</definedName>
    <definedName name="PRODUCT" localSheetId="10">ModPubIndex!$A$6</definedName>
    <definedName name="ProjectName" localSheetId="8">{"Client Name or Project Name"}</definedName>
    <definedName name="ProjectName">{"Client Name or Project Name"}</definedName>
    <definedName name="ProjectName_Options">{"Client Name or Project Name"}</definedName>
    <definedName name="ProjectName2">{"Client Name or Project Name"}</definedName>
    <definedName name="projectnamez">{"Client Name or Project Name"}</definedName>
    <definedName name="pronames">{"Client Name or Project Name"}</definedName>
    <definedName name="PSYM" localSheetId="10">ModPubIndex!$A$4</definedName>
    <definedName name="PUB_UserID" hidden="1">"MAYERX"</definedName>
    <definedName name="PublishDate" localSheetId="9">IndexInformation!$B$2</definedName>
    <definedName name="qqq">{9}</definedName>
    <definedName name="Rating" localSheetId="9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9">IndexInformation!$B$4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9">IndexInformation!$B$21</definedName>
    <definedName name="RiskAutoStopPercChange">1.5</definedName>
    <definedName name="RiskCollectDistributionSamples">2</definedName>
    <definedName name="RiskExcelReportsGoInNewWorkbook">TRUE</definedName>
    <definedName name="RiskExcelReportsToGenerate">1024</definedName>
    <definedName name="RiskFixedSeed">923</definedName>
    <definedName name="RiskGenerateExcelReportsAtEndOfSimulation">FALSE</definedName>
    <definedName name="RiskHasSettings">TRUE</definedName>
    <definedName name="RiskMinimizeOnStart">TRUE</definedName>
    <definedName name="RiskMonitorConvergence">FALSE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TRUE</definedName>
    <definedName name="RiskUseMultipleCPUs">FALSE</definedName>
    <definedName name="SecondROI">{"Client Name or Project Name"}</definedName>
    <definedName name="SECSettlement" localSheetId="0">ImportantDisclosures!#REF!</definedName>
    <definedName name="SEDOL" localSheetId="9">IndexInformation!$B$22</definedName>
    <definedName name="sencount" hidden="1">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ourceDefined" localSheetId="0">ImportantDisclosures!$A$19</definedName>
    <definedName name="Space">"          "</definedName>
    <definedName name="Spaces">"      "</definedName>
    <definedName name="Stand1">{"Client Name or Project Name"}</definedName>
    <definedName name="state">{"Client Name or Project Name"}</definedName>
    <definedName name="States">{"Client Name or Project Name"}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9">IndexInformation!$B$6</definedName>
    <definedName name="SubmitterUserId">IndexInformation!$B$39</definedName>
    <definedName name="SUPPRESSED" localSheetId="10">ModPubIndex!$A$13</definedName>
    <definedName name="Table_16">"GENEYE"</definedName>
    <definedName name="Tarceva.new">{"Client Name or Project Name"}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9">IndexInformation!$B$19</definedName>
    <definedName name="tones">{"Client Name or Project Name"}</definedName>
    <definedName name="trc_XLS_DATASHEET_ProtectDate">35417.7656018519</definedName>
    <definedName name="UpdateReason" localSheetId="9">IndexInformation!$B$17</definedName>
    <definedName name="USRegDisclosures" localSheetId="0">ImportantDisclosures!#REF!</definedName>
    <definedName name="Validation">"MAM"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Version">"June 29, 2004"</definedName>
  </definedNames>
  <calcPr calcId="145621"/>
</workbook>
</file>

<file path=xl/calcChain.xml><?xml version="1.0" encoding="utf-8"?>
<calcChain xmlns="http://schemas.openxmlformats.org/spreadsheetml/2006/main">
  <c r="CV177" i="2" l="1"/>
  <c r="CW177" i="2" s="1"/>
  <c r="CX177" i="2" s="1"/>
  <c r="CP177" i="2"/>
  <c r="CQ177" i="2" s="1"/>
  <c r="CR177" i="2" s="1"/>
  <c r="CI446" i="73"/>
  <c r="CG53" i="54" l="1"/>
  <c r="CG57" i="54"/>
  <c r="CF86" i="54" l="1"/>
  <c r="CG86" i="54"/>
  <c r="CF75" i="54"/>
  <c r="CG75" i="54"/>
  <c r="CF58" i="54"/>
  <c r="CF57" i="54"/>
  <c r="CE57" i="54"/>
  <c r="CF42" i="54"/>
  <c r="CF38" i="54"/>
  <c r="CF55" i="54"/>
  <c r="CF54" i="54"/>
  <c r="CF50" i="54"/>
  <c r="CF46" i="54"/>
  <c r="CF34" i="54"/>
  <c r="CF30" i="54"/>
  <c r="CF74" i="54" s="1"/>
  <c r="CF125" i="2"/>
  <c r="CF126" i="2" s="1"/>
  <c r="CF124" i="2"/>
  <c r="CG133" i="2"/>
  <c r="CF133" i="2"/>
  <c r="CG130" i="2"/>
  <c r="CF130" i="2"/>
  <c r="CG128" i="2"/>
  <c r="CF128" i="2"/>
  <c r="CF127" i="2" s="1"/>
  <c r="CG127" i="2" s="1"/>
  <c r="CG125" i="2"/>
  <c r="CG126" i="2" s="1"/>
  <c r="CG124" i="2"/>
  <c r="CG123" i="2"/>
  <c r="CF123" i="2"/>
  <c r="CF118" i="2"/>
  <c r="CG108" i="2"/>
  <c r="CF99" i="2"/>
  <c r="CG99" i="2" s="1"/>
  <c r="CG98" i="2"/>
  <c r="CG96" i="2"/>
  <c r="CF96" i="2"/>
  <c r="CF91" i="2"/>
  <c r="CE91" i="2"/>
  <c r="CD91" i="2"/>
  <c r="CC91" i="2"/>
  <c r="CF90" i="2"/>
  <c r="CE90" i="2"/>
  <c r="CD90" i="2"/>
  <c r="CC90" i="2"/>
  <c r="CF89" i="2"/>
  <c r="CE89" i="2"/>
  <c r="CD89" i="2"/>
  <c r="CC89" i="2"/>
  <c r="CF79" i="2"/>
  <c r="CD79" i="2"/>
  <c r="CC79" i="2"/>
  <c r="CF78" i="2"/>
  <c r="CD78" i="2"/>
  <c r="CC78" i="2"/>
  <c r="CF77" i="2"/>
  <c r="CE77" i="2"/>
  <c r="CD77" i="2"/>
  <c r="CC77" i="2"/>
  <c r="CC80" i="2" s="1"/>
  <c r="CG68" i="2"/>
  <c r="CF68" i="2"/>
  <c r="CG55" i="2"/>
  <c r="CF55" i="2"/>
  <c r="CF48" i="2"/>
  <c r="CG72" i="3"/>
  <c r="CG75" i="3"/>
  <c r="CF86" i="3"/>
  <c r="CG118" i="51"/>
  <c r="CF118" i="51"/>
  <c r="CF80" i="2" l="1"/>
  <c r="CD80" i="2"/>
  <c r="CF82" i="54"/>
  <c r="CE88" i="51" l="1"/>
  <c r="CD88" i="51"/>
  <c r="CC88" i="51"/>
  <c r="CB88" i="51"/>
  <c r="CA88" i="51"/>
  <c r="BZ88" i="51"/>
  <c r="BY88" i="51"/>
  <c r="BX88" i="51"/>
  <c r="BW88" i="51"/>
  <c r="BV88" i="51"/>
  <c r="BU88" i="51"/>
  <c r="BT88" i="51"/>
  <c r="BS88" i="51"/>
  <c r="BR88" i="51"/>
  <c r="BQ88" i="51"/>
  <c r="CF88" i="51"/>
  <c r="CI49" i="54"/>
  <c r="CX449" i="73" l="1"/>
  <c r="CW449" i="73"/>
  <c r="CV449" i="73"/>
  <c r="CU449" i="73"/>
  <c r="CO436" i="73" l="1"/>
  <c r="CJ436" i="73"/>
  <c r="CI436" i="73"/>
  <c r="CO427" i="73"/>
  <c r="CJ427" i="73"/>
  <c r="CI427" i="73"/>
  <c r="CY406" i="73"/>
  <c r="CX406" i="73"/>
  <c r="CW406" i="73"/>
  <c r="CV406" i="73"/>
  <c r="CU406" i="73"/>
  <c r="CS406" i="73"/>
  <c r="CR406" i="73"/>
  <c r="CQ406" i="73"/>
  <c r="CP406" i="73"/>
  <c r="CO406" i="73"/>
  <c r="CJ406" i="73"/>
  <c r="CI406" i="73"/>
  <c r="CY377" i="73"/>
  <c r="CX377" i="73"/>
  <c r="CW377" i="73"/>
  <c r="CV377" i="73"/>
  <c r="CU377" i="73"/>
  <c r="CS377" i="73"/>
  <c r="CR377" i="73"/>
  <c r="CQ377" i="73"/>
  <c r="CP377" i="73"/>
  <c r="CO377" i="73"/>
  <c r="CM377" i="73"/>
  <c r="CL377" i="73"/>
  <c r="CK377" i="73"/>
  <c r="CJ377" i="73"/>
  <c r="CI377" i="73"/>
  <c r="CY397" i="73"/>
  <c r="CX397" i="73"/>
  <c r="CW397" i="73"/>
  <c r="CV397" i="73"/>
  <c r="CU397" i="73"/>
  <c r="CR397" i="73"/>
  <c r="CQ397" i="73"/>
  <c r="CP397" i="73"/>
  <c r="CO397" i="73"/>
  <c r="CS397" i="73" s="1"/>
  <c r="CJ397" i="73"/>
  <c r="CI397" i="73"/>
  <c r="CI73" i="73"/>
  <c r="CV345" i="73"/>
  <c r="CW345" i="73" s="1"/>
  <c r="CX345" i="73" s="1"/>
  <c r="CR345" i="73"/>
  <c r="CQ345" i="73"/>
  <c r="CP345" i="73"/>
  <c r="CI41" i="4"/>
  <c r="CF110" i="51"/>
  <c r="CJ73" i="73" l="1"/>
  <c r="CY62" i="73"/>
  <c r="CX62" i="73"/>
  <c r="CW62" i="73"/>
  <c r="CV62" i="73"/>
  <c r="CU62" i="73"/>
  <c r="CS62" i="73"/>
  <c r="CR62" i="73"/>
  <c r="CQ62" i="73"/>
  <c r="CY65" i="73"/>
  <c r="CX65" i="73"/>
  <c r="CW65" i="73"/>
  <c r="CV65" i="73"/>
  <c r="CU65" i="73"/>
  <c r="CS65" i="73"/>
  <c r="CR65" i="73"/>
  <c r="CQ65" i="73"/>
  <c r="CK68" i="73"/>
  <c r="CW64" i="73"/>
  <c r="CX64" i="73" s="1"/>
  <c r="CY64" i="73" s="1"/>
  <c r="CV64" i="73"/>
  <c r="CU64" i="73"/>
  <c r="CM64" i="73"/>
  <c r="CS64" i="73"/>
  <c r="CU60" i="73"/>
  <c r="CV60" i="73" s="1"/>
  <c r="CW60" i="73" s="1"/>
  <c r="CX60" i="73" s="1"/>
  <c r="CY60" i="73" s="1"/>
  <c r="CK67" i="73"/>
  <c r="CK61" i="73"/>
  <c r="CL59" i="73"/>
  <c r="CM59" i="73" s="1"/>
  <c r="CO59" i="73" s="1"/>
  <c r="CP60" i="73"/>
  <c r="CQ60" i="73" s="1"/>
  <c r="CR60" i="73" s="1"/>
  <c r="CP59" i="73" l="1"/>
  <c r="CO67" i="73"/>
  <c r="CL67" i="73"/>
  <c r="CM67" i="73" s="1"/>
  <c r="CK69" i="73"/>
  <c r="CL61" i="73"/>
  <c r="CL68" i="73" s="1"/>
  <c r="CS60" i="73"/>
  <c r="CM60" i="73"/>
  <c r="CL69" i="73" l="1"/>
  <c r="CQ59" i="73"/>
  <c r="CP67" i="73"/>
  <c r="CM68" i="73"/>
  <c r="CL76" i="73" l="1"/>
  <c r="CR59" i="73"/>
  <c r="CQ67" i="73"/>
  <c r="CS59" i="73" l="1"/>
  <c r="CU59" i="73" s="1"/>
  <c r="CR67" i="73"/>
  <c r="CS67" i="73" s="1"/>
  <c r="CV59" i="73" l="1"/>
  <c r="CU67" i="73"/>
  <c r="CW59" i="73" l="1"/>
  <c r="CV67" i="73"/>
  <c r="CX59" i="73" l="1"/>
  <c r="CW67" i="73"/>
  <c r="CY59" i="73" l="1"/>
  <c r="CX67" i="73"/>
  <c r="CY67" i="73" s="1"/>
  <c r="CM61" i="73" l="1"/>
  <c r="CO61" i="73" s="1"/>
  <c r="CM58" i="73"/>
  <c r="CM57" i="73"/>
  <c r="CM56" i="73"/>
  <c r="CM55" i="73"/>
  <c r="CY58" i="73"/>
  <c r="CS58" i="73"/>
  <c r="CY57" i="73"/>
  <c r="CS57" i="73"/>
  <c r="CY56" i="73"/>
  <c r="CS56" i="73"/>
  <c r="CY55" i="73"/>
  <c r="CS55" i="73"/>
  <c r="CF453" i="73"/>
  <c r="CF452" i="73" s="1"/>
  <c r="CJ177" i="73"/>
  <c r="CK177" i="73" s="1"/>
  <c r="CL177" i="73" s="1"/>
  <c r="CP61" i="73" l="1"/>
  <c r="CO68" i="73"/>
  <c r="CO69" i="73" s="1"/>
  <c r="CK73" i="73"/>
  <c r="CK397" i="73" s="1"/>
  <c r="CG52" i="51"/>
  <c r="CF52" i="51"/>
  <c r="CG51" i="51"/>
  <c r="CF51" i="51"/>
  <c r="CK406" i="73" l="1"/>
  <c r="CQ61" i="73"/>
  <c r="CP68" i="73"/>
  <c r="CP69" i="73" s="1"/>
  <c r="CL74" i="73"/>
  <c r="CL73" i="73" s="1"/>
  <c r="CM69" i="73"/>
  <c r="CM73" i="73" l="1"/>
  <c r="CM74" i="73" s="1"/>
  <c r="CL397" i="73"/>
  <c r="CR61" i="73"/>
  <c r="CQ68" i="73"/>
  <c r="CF100" i="51"/>
  <c r="CF99" i="51"/>
  <c r="CF75" i="4"/>
  <c r="CF73" i="4" s="1"/>
  <c r="CF70" i="4"/>
  <c r="CF67" i="4"/>
  <c r="CF26" i="4"/>
  <c r="CF25" i="4"/>
  <c r="CF23" i="4" s="1"/>
  <c r="CF354" i="73" s="1"/>
  <c r="CF20" i="4"/>
  <c r="CF16" i="4"/>
  <c r="CF15" i="4" s="1"/>
  <c r="CF13" i="4"/>
  <c r="CF11" i="4"/>
  <c r="CF9" i="4"/>
  <c r="CF74" i="1"/>
  <c r="CF87" i="1"/>
  <c r="CF23" i="1"/>
  <c r="CF14" i="1"/>
  <c r="CF13" i="1"/>
  <c r="CF12" i="1"/>
  <c r="CF9" i="1"/>
  <c r="CF98" i="51" l="1"/>
  <c r="CF102" i="51" s="1"/>
  <c r="CF331" i="73"/>
  <c r="CL406" i="73"/>
  <c r="CM397" i="73"/>
  <c r="CM406" i="73" s="1"/>
  <c r="CP74" i="73"/>
  <c r="CO73" i="73"/>
  <c r="CQ69" i="73"/>
  <c r="CR68" i="73"/>
  <c r="CR69" i="73" s="1"/>
  <c r="CR70" i="73" s="1"/>
  <c r="CS61" i="73"/>
  <c r="CU61" i="73" s="1"/>
  <c r="CF366" i="73"/>
  <c r="CF17" i="4"/>
  <c r="CF29" i="4"/>
  <c r="CF76" i="4"/>
  <c r="CQ74" i="73" l="1"/>
  <c r="CP73" i="73"/>
  <c r="CV61" i="73"/>
  <c r="CU68" i="73"/>
  <c r="CU69" i="73" s="1"/>
  <c r="CQ70" i="73"/>
  <c r="CS69" i="73"/>
  <c r="CS70" i="73" s="1"/>
  <c r="CS68" i="73"/>
  <c r="CR74" i="73" l="1"/>
  <c r="CQ73" i="73"/>
  <c r="CU70" i="73"/>
  <c r="CW61" i="73"/>
  <c r="CV68" i="73"/>
  <c r="CU74" i="73" l="1"/>
  <c r="CU73" i="73" s="1"/>
  <c r="CR73" i="73"/>
  <c r="CV69" i="73"/>
  <c r="CX61" i="73"/>
  <c r="CW68" i="73"/>
  <c r="CW69" i="73" s="1"/>
  <c r="CW70" i="73" s="1"/>
  <c r="CF49" i="1"/>
  <c r="CF48" i="1"/>
  <c r="CF44" i="1"/>
  <c r="CF455" i="73" s="1"/>
  <c r="CF43" i="1"/>
  <c r="CF454" i="73" s="1"/>
  <c r="CF42" i="1"/>
  <c r="CF456" i="73" s="1"/>
  <c r="CF20" i="73" s="1"/>
  <c r="CF21" i="73" s="1"/>
  <c r="CF36" i="1"/>
  <c r="CF88" i="1" s="1"/>
  <c r="CF24" i="1"/>
  <c r="CF19" i="1"/>
  <c r="CF39" i="1"/>
  <c r="CV74" i="73" l="1"/>
  <c r="CV73" i="73" s="1"/>
  <c r="CY61" i="73"/>
  <c r="CX68" i="73"/>
  <c r="CX69" i="73" s="1"/>
  <c r="CX70" i="73" s="1"/>
  <c r="CV70" i="73"/>
  <c r="CF11" i="1"/>
  <c r="CF16" i="1"/>
  <c r="CF17" i="1" l="1"/>
  <c r="CF66" i="2" s="1"/>
  <c r="CF92" i="2"/>
  <c r="CF71" i="1"/>
  <c r="CW74" i="73"/>
  <c r="CW73" i="73" s="1"/>
  <c r="CY69" i="73"/>
  <c r="CY70" i="73" s="1"/>
  <c r="CY68" i="73"/>
  <c r="CF25" i="1"/>
  <c r="CF45" i="1"/>
  <c r="CF40" i="1"/>
  <c r="CX74" i="73" l="1"/>
  <c r="CX73" i="73" s="1"/>
  <c r="CY73" i="73" s="1"/>
  <c r="CY74" i="73" s="1"/>
  <c r="CF28" i="1"/>
  <c r="CF50" i="1"/>
  <c r="CF73" i="1" l="1"/>
  <c r="CF79" i="54"/>
  <c r="CF60" i="2"/>
  <c r="CF92" i="1"/>
  <c r="CF85" i="1"/>
  <c r="CF33" i="1"/>
  <c r="CF32" i="1"/>
  <c r="CF51" i="1"/>
  <c r="EB15" i="51" l="1"/>
  <c r="EA15" i="51"/>
  <c r="DZ15" i="51"/>
  <c r="DY15" i="51"/>
  <c r="EB27" i="51"/>
  <c r="EB40" i="51" s="1"/>
  <c r="EA27" i="51"/>
  <c r="EA40" i="51" s="1"/>
  <c r="DZ27" i="51"/>
  <c r="DZ40" i="51" s="1"/>
  <c r="DY27" i="51"/>
  <c r="DY40" i="51" s="1"/>
  <c r="CY54" i="54" l="1"/>
  <c r="CS54" i="54"/>
  <c r="CM54" i="54"/>
  <c r="CE54" i="54"/>
  <c r="CG54" i="54" s="1"/>
  <c r="CE55" i="54"/>
  <c r="CI52" i="54"/>
  <c r="CJ52" i="54" s="1"/>
  <c r="CK52" i="54" s="1"/>
  <c r="CL52" i="54" s="1"/>
  <c r="CD57" i="54"/>
  <c r="CG52" i="54" l="1"/>
  <c r="CM52" i="54"/>
  <c r="CO52" i="54"/>
  <c r="CP52" i="54" s="1"/>
  <c r="CQ52" i="54" s="1"/>
  <c r="CR52" i="54" s="1"/>
  <c r="CU52" i="54" l="1"/>
  <c r="CV52" i="54" s="1"/>
  <c r="CW52" i="54" s="1"/>
  <c r="CX52" i="54" s="1"/>
  <c r="CY52" i="54" s="1"/>
  <c r="CS52" i="54"/>
  <c r="CM53" i="54" l="1"/>
  <c r="CG55" i="54"/>
  <c r="CK53" i="54" l="1"/>
  <c r="CK55" i="54" s="1"/>
  <c r="CI53" i="54"/>
  <c r="CI55" i="54" s="1"/>
  <c r="CS53" i="54"/>
  <c r="CL53" i="54"/>
  <c r="CL55" i="54" s="1"/>
  <c r="CJ53" i="54"/>
  <c r="CJ55" i="54" s="1"/>
  <c r="CY53" i="54" l="1"/>
  <c r="CR53" i="54"/>
  <c r="CR55" i="54" s="1"/>
  <c r="CP53" i="54"/>
  <c r="CP55" i="54" s="1"/>
  <c r="CQ53" i="54"/>
  <c r="CQ55" i="54" s="1"/>
  <c r="CO53" i="54"/>
  <c r="CO55" i="54" s="1"/>
  <c r="CM55" i="54"/>
  <c r="CS55" i="54" l="1"/>
  <c r="CW53" i="54"/>
  <c r="CW55" i="54" s="1"/>
  <c r="CU53" i="54"/>
  <c r="CU55" i="54" s="1"/>
  <c r="CX53" i="54"/>
  <c r="CX55" i="54" s="1"/>
  <c r="CV53" i="54"/>
  <c r="CV55" i="54" s="1"/>
  <c r="CY55" i="54" l="1"/>
  <c r="CE59" i="54" l="1"/>
  <c r="CE50" i="54"/>
  <c r="CE58" i="54"/>
  <c r="CE46" i="54"/>
  <c r="CE42" i="54"/>
  <c r="CE38" i="54"/>
  <c r="CE34" i="54"/>
  <c r="CE30" i="54"/>
  <c r="CE133" i="2"/>
  <c r="CE128" i="2"/>
  <c r="CE118" i="2"/>
  <c r="CE99" i="2"/>
  <c r="CE96" i="2"/>
  <c r="CE55" i="2"/>
  <c r="CE48" i="2"/>
  <c r="CE86" i="3"/>
  <c r="CE74" i="54" l="1"/>
  <c r="CD200" i="2" l="1"/>
  <c r="CC200" i="2"/>
  <c r="BZ200" i="2"/>
  <c r="BY200" i="2"/>
  <c r="BX200" i="2"/>
  <c r="BW200" i="2"/>
  <c r="BT200" i="2"/>
  <c r="BS200" i="2"/>
  <c r="BR200" i="2"/>
  <c r="BQ200" i="2"/>
  <c r="BN200" i="2"/>
  <c r="BM200" i="2"/>
  <c r="BL200" i="2"/>
  <c r="BK200" i="2"/>
  <c r="BH200" i="2"/>
  <c r="BG200" i="2"/>
  <c r="BF200" i="2"/>
  <c r="BE200" i="2"/>
  <c r="BB200" i="2"/>
  <c r="BA200" i="2"/>
  <c r="AZ200" i="2"/>
  <c r="AY200" i="2"/>
  <c r="AV200" i="2"/>
  <c r="AU200" i="2"/>
  <c r="AT200" i="2"/>
  <c r="AS200" i="2"/>
  <c r="AP200" i="2"/>
  <c r="AO200" i="2"/>
  <c r="AN200" i="2"/>
  <c r="AM200" i="2"/>
  <c r="AJ200" i="2"/>
  <c r="AI200" i="2"/>
  <c r="AH200" i="2"/>
  <c r="AG200" i="2"/>
  <c r="AD200" i="2"/>
  <c r="AC200" i="2"/>
  <c r="AB200" i="2"/>
  <c r="AA200" i="2"/>
  <c r="X200" i="2"/>
  <c r="W200" i="2"/>
  <c r="V200" i="2"/>
  <c r="U200" i="2"/>
  <c r="R200" i="2"/>
  <c r="Q200" i="2"/>
  <c r="P200" i="2"/>
  <c r="O200" i="2"/>
  <c r="CD199" i="2"/>
  <c r="CC199" i="2"/>
  <c r="BZ199" i="2"/>
  <c r="BY199" i="2"/>
  <c r="BX199" i="2"/>
  <c r="BW199" i="2"/>
  <c r="BT199" i="2"/>
  <c r="BS199" i="2"/>
  <c r="BR199" i="2"/>
  <c r="BQ199" i="2"/>
  <c r="BN199" i="2"/>
  <c r="BM199" i="2"/>
  <c r="BL199" i="2"/>
  <c r="BK199" i="2"/>
  <c r="BH199" i="2"/>
  <c r="BG199" i="2"/>
  <c r="BF199" i="2"/>
  <c r="BE199" i="2"/>
  <c r="BB199" i="2"/>
  <c r="BA199" i="2"/>
  <c r="AZ199" i="2"/>
  <c r="AY199" i="2"/>
  <c r="AV199" i="2"/>
  <c r="AU199" i="2"/>
  <c r="AT199" i="2"/>
  <c r="AS199" i="2"/>
  <c r="AP199" i="2"/>
  <c r="AO199" i="2"/>
  <c r="AN199" i="2"/>
  <c r="AM199" i="2"/>
  <c r="AJ199" i="2"/>
  <c r="AI199" i="2"/>
  <c r="AH199" i="2"/>
  <c r="AG199" i="2"/>
  <c r="AD199" i="2"/>
  <c r="AC199" i="2"/>
  <c r="AB199" i="2"/>
  <c r="AA199" i="2"/>
  <c r="X199" i="2"/>
  <c r="W199" i="2"/>
  <c r="V199" i="2"/>
  <c r="U199" i="2"/>
  <c r="R199" i="2"/>
  <c r="Q199" i="2"/>
  <c r="P199" i="2"/>
  <c r="O199" i="2"/>
  <c r="CD193" i="2"/>
  <c r="CC193" i="2"/>
  <c r="BZ193" i="2"/>
  <c r="BY193" i="2"/>
  <c r="BX193" i="2"/>
  <c r="BW193" i="2"/>
  <c r="BT193" i="2"/>
  <c r="BS193" i="2"/>
  <c r="BR193" i="2"/>
  <c r="BQ193" i="2"/>
  <c r="BN193" i="2"/>
  <c r="BM193" i="2"/>
  <c r="BL193" i="2"/>
  <c r="BK193" i="2"/>
  <c r="BH193" i="2"/>
  <c r="BG193" i="2"/>
  <c r="BF193" i="2"/>
  <c r="BE193" i="2"/>
  <c r="BB193" i="2"/>
  <c r="BA193" i="2"/>
  <c r="AZ193" i="2"/>
  <c r="AY193" i="2"/>
  <c r="AV193" i="2"/>
  <c r="AU193" i="2"/>
  <c r="AT193" i="2"/>
  <c r="AS193" i="2"/>
  <c r="AP193" i="2"/>
  <c r="AO193" i="2"/>
  <c r="AN193" i="2"/>
  <c r="AM193" i="2"/>
  <c r="AI193" i="2"/>
  <c r="AH193" i="2"/>
  <c r="AG193" i="2"/>
  <c r="AD193" i="2"/>
  <c r="AC193" i="2"/>
  <c r="AB193" i="2"/>
  <c r="AA193" i="2"/>
  <c r="X193" i="2"/>
  <c r="W193" i="2"/>
  <c r="V193" i="2"/>
  <c r="U193" i="2"/>
  <c r="R193" i="2"/>
  <c r="Q193" i="2"/>
  <c r="P193" i="2"/>
  <c r="O193" i="2"/>
  <c r="CD190" i="2"/>
  <c r="CC190" i="2"/>
  <c r="BZ190" i="2"/>
  <c r="BY190" i="2"/>
  <c r="BX190" i="2"/>
  <c r="BW190" i="2"/>
  <c r="BT190" i="2"/>
  <c r="BS190" i="2"/>
  <c r="BR190" i="2"/>
  <c r="BQ190" i="2"/>
  <c r="BN190" i="2"/>
  <c r="BM190" i="2"/>
  <c r="BL190" i="2"/>
  <c r="BK190" i="2"/>
  <c r="BH190" i="2"/>
  <c r="BG190" i="2"/>
  <c r="BF190" i="2"/>
  <c r="BE190" i="2"/>
  <c r="BB190" i="2"/>
  <c r="BA190" i="2"/>
  <c r="AZ190" i="2"/>
  <c r="AY190" i="2"/>
  <c r="AV190" i="2"/>
  <c r="AU190" i="2"/>
  <c r="AT190" i="2"/>
  <c r="AS190" i="2"/>
  <c r="AP190" i="2"/>
  <c r="AO190" i="2"/>
  <c r="AN190" i="2"/>
  <c r="AM190" i="2"/>
  <c r="AJ190" i="2"/>
  <c r="AI190" i="2"/>
  <c r="AH190" i="2"/>
  <c r="AG190" i="2"/>
  <c r="AD190" i="2"/>
  <c r="AC190" i="2"/>
  <c r="AB190" i="2"/>
  <c r="AA190" i="2"/>
  <c r="X190" i="2"/>
  <c r="W190" i="2"/>
  <c r="V190" i="2"/>
  <c r="U190" i="2"/>
  <c r="R190" i="2"/>
  <c r="Q190" i="2"/>
  <c r="P190" i="2"/>
  <c r="O190" i="2"/>
  <c r="CD189" i="2"/>
  <c r="CC189" i="2"/>
  <c r="BZ189" i="2"/>
  <c r="BY189" i="2"/>
  <c r="BX189" i="2"/>
  <c r="BW189" i="2"/>
  <c r="BT189" i="2"/>
  <c r="BS189" i="2"/>
  <c r="BR189" i="2"/>
  <c r="BQ189" i="2"/>
  <c r="BN189" i="2"/>
  <c r="BM189" i="2"/>
  <c r="BL189" i="2"/>
  <c r="BK189" i="2"/>
  <c r="BH189" i="2"/>
  <c r="BG189" i="2"/>
  <c r="BF189" i="2"/>
  <c r="BE189" i="2"/>
  <c r="BB189" i="2"/>
  <c r="BA189" i="2"/>
  <c r="AZ189" i="2"/>
  <c r="AY189" i="2"/>
  <c r="AV189" i="2"/>
  <c r="AU189" i="2"/>
  <c r="AT189" i="2"/>
  <c r="AS189" i="2"/>
  <c r="AP189" i="2"/>
  <c r="AO189" i="2"/>
  <c r="AN189" i="2"/>
  <c r="AM189" i="2"/>
  <c r="AJ189" i="2"/>
  <c r="AI189" i="2"/>
  <c r="AH189" i="2"/>
  <c r="AG189" i="2"/>
  <c r="AD189" i="2"/>
  <c r="AC189" i="2"/>
  <c r="AB189" i="2"/>
  <c r="AA189" i="2"/>
  <c r="X189" i="2"/>
  <c r="W189" i="2"/>
  <c r="V189" i="2"/>
  <c r="U189" i="2"/>
  <c r="R189" i="2"/>
  <c r="Q189" i="2"/>
  <c r="P189" i="2"/>
  <c r="O189" i="2"/>
  <c r="CD188" i="2"/>
  <c r="CC188" i="2"/>
  <c r="BZ188" i="2"/>
  <c r="BY188" i="2"/>
  <c r="BX188" i="2"/>
  <c r="BW188" i="2"/>
  <c r="BT188" i="2"/>
  <c r="BS188" i="2"/>
  <c r="BQ188" i="2"/>
  <c r="BN188" i="2"/>
  <c r="BM188" i="2"/>
  <c r="BL188" i="2"/>
  <c r="BK188" i="2"/>
  <c r="BH188" i="2"/>
  <c r="BG188" i="2"/>
  <c r="BF188" i="2"/>
  <c r="BB188" i="2"/>
  <c r="BA188" i="2"/>
  <c r="AZ188" i="2"/>
  <c r="AY188" i="2"/>
  <c r="AV188" i="2"/>
  <c r="AU188" i="2"/>
  <c r="AT188" i="2"/>
  <c r="AS188" i="2"/>
  <c r="AP188" i="2"/>
  <c r="AO188" i="2"/>
  <c r="AN188" i="2"/>
  <c r="AM188" i="2"/>
  <c r="AJ188" i="2"/>
  <c r="AI188" i="2"/>
  <c r="AH188" i="2"/>
  <c r="AG188" i="2"/>
  <c r="AD188" i="2"/>
  <c r="AC188" i="2"/>
  <c r="AB188" i="2"/>
  <c r="AA188" i="2"/>
  <c r="X188" i="2"/>
  <c r="W188" i="2"/>
  <c r="V188" i="2"/>
  <c r="U188" i="2"/>
  <c r="R188" i="2"/>
  <c r="Q188" i="2"/>
  <c r="P188" i="2"/>
  <c r="O188" i="2"/>
  <c r="L200" i="2"/>
  <c r="K200" i="2"/>
  <c r="J200" i="2"/>
  <c r="L199" i="2"/>
  <c r="K199" i="2"/>
  <c r="J199" i="2"/>
  <c r="L193" i="2"/>
  <c r="K193" i="2"/>
  <c r="J193" i="2"/>
  <c r="L190" i="2"/>
  <c r="K190" i="2"/>
  <c r="J190" i="2"/>
  <c r="L189" i="2"/>
  <c r="K189" i="2"/>
  <c r="J189" i="2"/>
  <c r="L188" i="2"/>
  <c r="K188" i="2"/>
  <c r="J188" i="2"/>
  <c r="I200" i="2"/>
  <c r="I199" i="2"/>
  <c r="I189" i="2"/>
  <c r="I193" i="2"/>
  <c r="I190" i="2"/>
  <c r="I188" i="2"/>
  <c r="CE52" i="51" l="1"/>
  <c r="CE51" i="51"/>
  <c r="CC118" i="51" l="1"/>
  <c r="CE118" i="51"/>
  <c r="CE110" i="51"/>
  <c r="CE453" i="73" l="1"/>
  <c r="CE452" i="73" s="1"/>
  <c r="CE16" i="4"/>
  <c r="CE100" i="51"/>
  <c r="CE99" i="51"/>
  <c r="CE75" i="4" l="1"/>
  <c r="CE98" i="51" s="1"/>
  <c r="CE102" i="51" s="1"/>
  <c r="CE70" i="4"/>
  <c r="CE67" i="4"/>
  <c r="CE26" i="4"/>
  <c r="CE25" i="4"/>
  <c r="CE23" i="4" s="1"/>
  <c r="CE354" i="73" s="1"/>
  <c r="CE20" i="4"/>
  <c r="CE331" i="73" s="1"/>
  <c r="CE15" i="4"/>
  <c r="CE51" i="4" s="1"/>
  <c r="CE13" i="4"/>
  <c r="CE45" i="4" s="1"/>
  <c r="CE11" i="4"/>
  <c r="CE39" i="4" s="1"/>
  <c r="CE9" i="4"/>
  <c r="CE32" i="4" s="1"/>
  <c r="CE74" i="1"/>
  <c r="CE29" i="1" s="1"/>
  <c r="CE82" i="1"/>
  <c r="CE26" i="1"/>
  <c r="CE22" i="1"/>
  <c r="CE14" i="1"/>
  <c r="CE44" i="1"/>
  <c r="CE455" i="73" s="1"/>
  <c r="CE10" i="1"/>
  <c r="CE87" i="1"/>
  <c r="CE60" i="1"/>
  <c r="CE59" i="1"/>
  <c r="CE55" i="1"/>
  <c r="CE54" i="1"/>
  <c r="CE48" i="1"/>
  <c r="CE43" i="1"/>
  <c r="CE454" i="73" s="1"/>
  <c r="CE42" i="1"/>
  <c r="CE456" i="73" s="1"/>
  <c r="CE36" i="1"/>
  <c r="CE88" i="1" s="1"/>
  <c r="CE24" i="1"/>
  <c r="CE78" i="2" l="1"/>
  <c r="CE80" i="2" s="1"/>
  <c r="CE79" i="2"/>
  <c r="CK36" i="4"/>
  <c r="CE39" i="1"/>
  <c r="CE73" i="4"/>
  <c r="CE76" i="4" s="1"/>
  <c r="CE56" i="1"/>
  <c r="CE29" i="4"/>
  <c r="CE57" i="4"/>
  <c r="CE64" i="4" s="1"/>
  <c r="CE17" i="4"/>
  <c r="CE58" i="1"/>
  <c r="CE61" i="1"/>
  <c r="CE11" i="1"/>
  <c r="CE16" i="1"/>
  <c r="CE92" i="2" s="1"/>
  <c r="CK61" i="4" l="1"/>
  <c r="CE71" i="1"/>
  <c r="CE17" i="1"/>
  <c r="CE66" i="2" s="1"/>
  <c r="CE40" i="1"/>
  <c r="CE25" i="1" l="1"/>
  <c r="CE45" i="1"/>
  <c r="CE28" i="1" l="1"/>
  <c r="CE50" i="1"/>
  <c r="CE33" i="1" l="1"/>
  <c r="CE32" i="1"/>
  <c r="CE51" i="1"/>
  <c r="CE73" i="1"/>
  <c r="CE30" i="1"/>
  <c r="CE31" i="1" l="1"/>
  <c r="CE97" i="2"/>
  <c r="CE100" i="2" s="1"/>
  <c r="CE86" i="1"/>
  <c r="CE85" i="1"/>
  <c r="CS125" i="2" l="1"/>
  <c r="CY125" i="2" s="1"/>
  <c r="CA34" i="1"/>
  <c r="CK78" i="2" l="1"/>
  <c r="CQ78" i="2" s="1"/>
  <c r="CW78" i="2" s="1"/>
  <c r="CO114" i="2" l="1"/>
  <c r="F34" i="1" l="1"/>
  <c r="L34" i="1"/>
  <c r="R34" i="1"/>
  <c r="X34" i="1"/>
  <c r="AD34" i="1"/>
  <c r="AJ34" i="1"/>
  <c r="AP34" i="1"/>
  <c r="AV34" i="1"/>
  <c r="BB34" i="1"/>
  <c r="CD58" i="54" l="1"/>
  <c r="CC58" i="54"/>
  <c r="BZ58" i="54"/>
  <c r="BY58" i="54"/>
  <c r="BX58" i="54"/>
  <c r="BW58" i="54"/>
  <c r="CD50" i="54"/>
  <c r="CD46" i="54"/>
  <c r="CD42" i="54"/>
  <c r="CD38" i="54"/>
  <c r="CD34" i="54"/>
  <c r="CC30" i="54"/>
  <c r="BZ30" i="54"/>
  <c r="BW30" i="54"/>
  <c r="BT30" i="54"/>
  <c r="CD30" i="54"/>
  <c r="CD49" i="1"/>
  <c r="CE49" i="1" s="1"/>
  <c r="CG58" i="54" l="1"/>
  <c r="CD74" i="54"/>
  <c r="CD125" i="2"/>
  <c r="CE125" i="2" s="1"/>
  <c r="CD124" i="2"/>
  <c r="CE124" i="2" s="1"/>
  <c r="CD133" i="2"/>
  <c r="CE130" i="2" s="1"/>
  <c r="CD128" i="2"/>
  <c r="CD118" i="2"/>
  <c r="CC48" i="3"/>
  <c r="CD48" i="3" s="1"/>
  <c r="CD86" i="3"/>
  <c r="CD52" i="3"/>
  <c r="CD49" i="3"/>
  <c r="CD45" i="3"/>
  <c r="CD44" i="3"/>
  <c r="CD43" i="3"/>
  <c r="CD39" i="3"/>
  <c r="CD37" i="3"/>
  <c r="CD36" i="3"/>
  <c r="CD35" i="3"/>
  <c r="CD38" i="3"/>
  <c r="CD34" i="3"/>
  <c r="CD33" i="3"/>
  <c r="CD32" i="3"/>
  <c r="CD28" i="3"/>
  <c r="CD27" i="3"/>
  <c r="CD26" i="3"/>
  <c r="CD25" i="3"/>
  <c r="CD24" i="3"/>
  <c r="CD23" i="3"/>
  <c r="CD21" i="3"/>
  <c r="CD19" i="3"/>
  <c r="CD18" i="3"/>
  <c r="CD15" i="3"/>
  <c r="CD14" i="3"/>
  <c r="CD11" i="3"/>
  <c r="CD9" i="3"/>
  <c r="CD47" i="3"/>
  <c r="CD46" i="3"/>
  <c r="CD22" i="3"/>
  <c r="CD17" i="3"/>
  <c r="CD16" i="3"/>
  <c r="CD13" i="3"/>
  <c r="CD99" i="2"/>
  <c r="CD96" i="2"/>
  <c r="CJ79" i="2"/>
  <c r="CP79" i="2" s="1"/>
  <c r="CV79" i="2" s="1"/>
  <c r="CJ78" i="2"/>
  <c r="CP78" i="2" s="1"/>
  <c r="CV78" i="2" s="1"/>
  <c r="CJ77" i="2"/>
  <c r="CP77" i="2" s="1"/>
  <c r="CV77" i="2" s="1"/>
  <c r="CD55" i="2"/>
  <c r="CD48" i="2"/>
  <c r="CE22" i="3" l="1"/>
  <c r="CF22" i="3"/>
  <c r="CE19" i="3"/>
  <c r="CF19" i="3" s="1"/>
  <c r="CE25" i="3"/>
  <c r="CF25" i="3" s="1"/>
  <c r="CE35" i="3"/>
  <c r="CF35" i="3" s="1"/>
  <c r="CE43" i="3"/>
  <c r="CF43" i="3" s="1"/>
  <c r="CE52" i="3"/>
  <c r="CF52" i="3" s="1"/>
  <c r="CE14" i="3"/>
  <c r="CF14" i="3" s="1"/>
  <c r="CE26" i="3"/>
  <c r="CF26" i="3" s="1"/>
  <c r="CE36" i="3"/>
  <c r="CF36" i="3" s="1"/>
  <c r="CE15" i="3"/>
  <c r="CF15" i="3" s="1"/>
  <c r="CE37" i="3"/>
  <c r="CF37" i="3" s="1"/>
  <c r="CE48" i="3"/>
  <c r="CF48" i="3"/>
  <c r="CF85" i="3" s="1"/>
  <c r="CF84" i="3" s="1"/>
  <c r="CE11" i="3"/>
  <c r="CF11" i="3" s="1"/>
  <c r="CE46" i="3"/>
  <c r="CF46" i="3"/>
  <c r="CE21" i="3"/>
  <c r="CF21" i="3" s="1"/>
  <c r="CE33" i="3"/>
  <c r="CF33" i="3" s="1"/>
  <c r="CE44" i="3"/>
  <c r="CF44" i="3" s="1"/>
  <c r="CE16" i="3"/>
  <c r="CF16" i="3" s="1"/>
  <c r="CE47" i="3"/>
  <c r="CF47" i="3" s="1"/>
  <c r="CE23" i="3"/>
  <c r="CF23" i="3" s="1"/>
  <c r="CE27" i="3"/>
  <c r="CF27" i="3" s="1"/>
  <c r="CE34" i="3"/>
  <c r="CF34" i="3" s="1"/>
  <c r="CE45" i="3"/>
  <c r="CF45" i="3" s="1"/>
  <c r="CE17" i="3"/>
  <c r="CF17" i="3" s="1"/>
  <c r="CE9" i="3"/>
  <c r="CF9" i="3" s="1"/>
  <c r="CE18" i="3"/>
  <c r="CF18" i="3" s="1"/>
  <c r="CE24" i="3"/>
  <c r="CF24" i="3" s="1"/>
  <c r="CE28" i="3"/>
  <c r="CF28" i="3"/>
  <c r="CE38" i="3"/>
  <c r="CF38" i="3" s="1"/>
  <c r="CF131" i="2" s="1"/>
  <c r="CE39" i="3"/>
  <c r="CF39" i="3"/>
  <c r="CE49" i="3"/>
  <c r="CF49" i="3" s="1"/>
  <c r="CE131" i="2"/>
  <c r="CE132" i="2" s="1"/>
  <c r="CE113" i="2"/>
  <c r="CE19" i="1"/>
  <c r="CD106" i="2"/>
  <c r="CD107" i="2" s="1"/>
  <c r="CE32" i="3"/>
  <c r="CE106" i="2" s="1"/>
  <c r="CE107" i="2" s="1"/>
  <c r="CD12" i="3"/>
  <c r="CE13" i="3"/>
  <c r="CF13" i="3" s="1"/>
  <c r="CD131" i="2"/>
  <c r="CD113" i="2"/>
  <c r="CC91" i="51"/>
  <c r="CD91" i="51"/>
  <c r="CF113" i="2" l="1"/>
  <c r="CF80" i="54"/>
  <c r="CF132" i="2"/>
  <c r="CF32" i="3"/>
  <c r="CG109" i="51"/>
  <c r="CG108" i="51"/>
  <c r="CG107" i="51"/>
  <c r="CG106" i="51"/>
  <c r="CG105" i="51"/>
  <c r="CD110" i="51"/>
  <c r="CF81" i="54" l="1"/>
  <c r="CF106" i="2"/>
  <c r="CD82" i="1"/>
  <c r="CD13" i="1"/>
  <c r="CF107" i="2" l="1"/>
  <c r="CV54" i="4"/>
  <c r="CW54" i="4" s="1"/>
  <c r="CX54" i="4" s="1"/>
  <c r="CJ345" i="73"/>
  <c r="CK345" i="73" s="1"/>
  <c r="CL345" i="73" s="1"/>
  <c r="CV198" i="73"/>
  <c r="CW198" i="73" s="1"/>
  <c r="CP198" i="73"/>
  <c r="CQ198" i="73" s="1"/>
  <c r="CU197" i="73"/>
  <c r="CO197" i="73"/>
  <c r="CV195" i="73"/>
  <c r="CW195" i="73" s="1"/>
  <c r="CX195" i="73" s="1"/>
  <c r="CP195" i="73"/>
  <c r="CQ195" i="73" s="1"/>
  <c r="CR195" i="73" s="1"/>
  <c r="CJ198" i="73"/>
  <c r="CK198" i="73" s="1"/>
  <c r="CL198" i="73" s="1"/>
  <c r="CJ195" i="73"/>
  <c r="CK195" i="73" s="1"/>
  <c r="CL195" i="73" s="1"/>
  <c r="CR198" i="73" l="1"/>
  <c r="CX198" i="73"/>
  <c r="CD52" i="51"/>
  <c r="CD51" i="51"/>
  <c r="CD453" i="73"/>
  <c r="CD452" i="73" s="1"/>
  <c r="CD100" i="51"/>
  <c r="CD99" i="51"/>
  <c r="CD16" i="4"/>
  <c r="CD15" i="4" s="1"/>
  <c r="CD51" i="4" s="1"/>
  <c r="CD75" i="4"/>
  <c r="CD73" i="4" s="1"/>
  <c r="CD70" i="4"/>
  <c r="CD67" i="4"/>
  <c r="CD26" i="4"/>
  <c r="CD25" i="4"/>
  <c r="CD23" i="4" s="1"/>
  <c r="CD354" i="73" s="1"/>
  <c r="CD20" i="4"/>
  <c r="CD331" i="73" s="1"/>
  <c r="CD13" i="4"/>
  <c r="CD45" i="4" s="1"/>
  <c r="CD11" i="4"/>
  <c r="CD39" i="4" s="1"/>
  <c r="CD9" i="4"/>
  <c r="CD32" i="4" s="1"/>
  <c r="CD36" i="1"/>
  <c r="CD87" i="1"/>
  <c r="CD74" i="1"/>
  <c r="CD48" i="1"/>
  <c r="CD44" i="1"/>
  <c r="CD43" i="1"/>
  <c r="CD42" i="1"/>
  <c r="CD39" i="1"/>
  <c r="CD24" i="1"/>
  <c r="CD16" i="1"/>
  <c r="CD11" i="1"/>
  <c r="CD40" i="1" s="1"/>
  <c r="CD71" i="1" l="1"/>
  <c r="CD92" i="2"/>
  <c r="CD456" i="73"/>
  <c r="CD455" i="73"/>
  <c r="CD454" i="73"/>
  <c r="CD17" i="1"/>
  <c r="CD98" i="51"/>
  <c r="CD102" i="51" s="1"/>
  <c r="CD366" i="73"/>
  <c r="CD29" i="4"/>
  <c r="CD57" i="4"/>
  <c r="CJ61" i="4" s="1"/>
  <c r="CD76" i="4"/>
  <c r="CD17" i="4"/>
  <c r="CD64" i="4" l="1"/>
  <c r="CD25" i="1"/>
  <c r="CD50" i="1" s="1"/>
  <c r="CD45" i="1"/>
  <c r="CD66" i="2"/>
  <c r="CD28" i="1" l="1"/>
  <c r="CD32" i="1" s="1"/>
  <c r="CD92" i="1"/>
  <c r="CD51" i="1" l="1"/>
  <c r="CD73" i="1"/>
  <c r="CD85" i="1" s="1"/>
  <c r="CC81" i="54" l="1"/>
  <c r="CC80" i="54"/>
  <c r="CC59" i="54"/>
  <c r="CC50" i="54"/>
  <c r="CG50" i="54" s="1"/>
  <c r="CC46" i="54"/>
  <c r="CG46" i="54" s="1"/>
  <c r="CC42" i="54"/>
  <c r="CC38" i="54"/>
  <c r="CC175" i="2"/>
  <c r="CC170" i="2"/>
  <c r="CC166" i="2"/>
  <c r="CC148" i="2"/>
  <c r="CC149" i="2"/>
  <c r="CC150" i="2"/>
  <c r="CC151" i="2"/>
  <c r="CC152" i="2"/>
  <c r="CC153" i="2"/>
  <c r="CC156" i="2"/>
  <c r="CC157" i="2"/>
  <c r="CC158" i="2"/>
  <c r="CC133" i="2"/>
  <c r="CD130" i="2" s="1"/>
  <c r="CD132" i="2" s="1"/>
  <c r="CC131" i="2"/>
  <c r="CG131" i="2" s="1"/>
  <c r="CC128" i="2"/>
  <c r="CD123" i="2" s="1"/>
  <c r="CC118" i="2"/>
  <c r="CC113" i="2"/>
  <c r="CG113" i="2" s="1"/>
  <c r="CC106" i="2"/>
  <c r="CG106" i="2" s="1"/>
  <c r="CC55" i="2"/>
  <c r="CC48" i="2"/>
  <c r="CC85" i="3"/>
  <c r="CC86" i="3"/>
  <c r="CA81" i="3"/>
  <c r="CC28" i="3"/>
  <c r="CC19" i="3"/>
  <c r="CC36" i="1"/>
  <c r="CD126" i="2" l="1"/>
  <c r="CD127" i="2"/>
  <c r="CD19" i="1"/>
  <c r="CC84" i="3"/>
  <c r="CC154" i="2"/>
  <c r="CC159" i="2"/>
  <c r="CC161" i="2" l="1"/>
  <c r="CC52" i="51"/>
  <c r="CC51" i="51"/>
  <c r="BU249" i="73"/>
  <c r="CD117" i="51"/>
  <c r="CC110" i="51"/>
  <c r="CG110" i="51" s="1"/>
  <c r="CD118" i="51" l="1"/>
  <c r="CJ447" i="73"/>
  <c r="CK447" i="73" s="1"/>
  <c r="CL447" i="73" s="1"/>
  <c r="CP54" i="4"/>
  <c r="CQ54" i="4" s="1"/>
  <c r="CR54" i="4" s="1"/>
  <c r="CC453" i="73"/>
  <c r="CC25" i="4" l="1"/>
  <c r="CC16" i="4"/>
  <c r="CC100" i="51"/>
  <c r="CC99" i="51"/>
  <c r="CC75" i="4"/>
  <c r="CC98" i="51" s="1"/>
  <c r="CC102" i="51" l="1"/>
  <c r="CC87" i="1"/>
  <c r="CC74" i="1"/>
  <c r="CC22" i="1"/>
  <c r="CC14" i="1"/>
  <c r="BW14" i="1"/>
  <c r="CC10" i="1"/>
  <c r="CC9" i="1"/>
  <c r="CC101" i="1"/>
  <c r="CC60" i="1"/>
  <c r="CC59" i="1"/>
  <c r="CC24" i="1"/>
  <c r="CC15" i="1"/>
  <c r="CC142" i="2" l="1"/>
  <c r="CC171" i="2"/>
  <c r="CC180" i="2" s="1"/>
  <c r="CI77" i="2"/>
  <c r="CO77" i="2" s="1"/>
  <c r="CU77" i="2" s="1"/>
  <c r="CC107" i="2"/>
  <c r="CC177" i="2"/>
  <c r="CC452" i="73"/>
  <c r="CC20" i="4"/>
  <c r="CC11" i="4"/>
  <c r="CC67" i="4"/>
  <c r="CG67" i="4" s="1"/>
  <c r="CC26" i="4"/>
  <c r="CC13" i="4"/>
  <c r="CC9" i="4"/>
  <c r="CC70" i="4"/>
  <c r="CG70" i="4" s="1"/>
  <c r="CC172" i="2"/>
  <c r="CI78" i="2"/>
  <c r="CO78" i="2" s="1"/>
  <c r="CU78" i="2" s="1"/>
  <c r="CI79" i="2"/>
  <c r="CO79" i="2" s="1"/>
  <c r="CU79" i="2" s="1"/>
  <c r="CC15" i="4"/>
  <c r="CC16" i="1"/>
  <c r="CC73" i="4"/>
  <c r="CG73" i="4" s="1"/>
  <c r="CC23" i="4"/>
  <c r="CC354" i="73" s="1"/>
  <c r="CC88" i="1"/>
  <c r="CD88" i="1"/>
  <c r="CC61" i="1"/>
  <c r="CC44" i="1"/>
  <c r="CC48" i="1"/>
  <c r="CC49" i="1"/>
  <c r="CC43" i="1"/>
  <c r="CC54" i="1"/>
  <c r="CC39" i="1"/>
  <c r="CC42" i="1"/>
  <c r="CC11" i="1"/>
  <c r="CC17" i="1" l="1"/>
  <c r="CC92" i="2"/>
  <c r="CG76" i="4"/>
  <c r="CG75" i="4" s="1"/>
  <c r="CC76" i="4"/>
  <c r="CG98" i="51" s="1"/>
  <c r="CC173" i="2"/>
  <c r="CC454" i="73"/>
  <c r="CC456" i="73"/>
  <c r="CC455" i="73"/>
  <c r="CC17" i="4"/>
  <c r="CC331" i="73"/>
  <c r="CC366" i="73" s="1"/>
  <c r="CC29" i="4"/>
  <c r="CC169" i="2"/>
  <c r="CC181" i="2" s="1"/>
  <c r="CC143" i="2"/>
  <c r="CC66" i="2"/>
  <c r="CC71" i="1"/>
  <c r="CC40" i="1"/>
  <c r="CG69" i="4" l="1"/>
  <c r="CG99" i="51"/>
  <c r="CG100" i="51"/>
  <c r="CG72" i="4"/>
  <c r="CC45" i="1"/>
  <c r="CC25" i="1"/>
  <c r="CC176" i="2" s="1"/>
  <c r="CC182" i="2" s="1"/>
  <c r="CC183" i="2" s="1"/>
  <c r="CC184" i="2" s="1"/>
  <c r="CG102" i="51" l="1"/>
  <c r="CC185" i="2"/>
  <c r="CC28" i="1"/>
  <c r="CC50" i="1"/>
  <c r="CC167" i="2" l="1"/>
  <c r="CC79" i="54"/>
  <c r="CC92" i="1"/>
  <c r="CC144" i="2" s="1"/>
  <c r="CC145" i="2" s="1"/>
  <c r="CC146" i="2" s="1"/>
  <c r="CC147" i="2" s="1"/>
  <c r="CC51" i="1"/>
  <c r="CC99" i="1"/>
  <c r="CC73" i="1"/>
  <c r="CC86" i="1" s="1"/>
  <c r="AP33" i="51" l="1"/>
  <c r="BU33" i="51"/>
  <c r="CO33" i="51"/>
  <c r="CU33" i="51"/>
  <c r="X34" i="51"/>
  <c r="AI34" i="51"/>
  <c r="AK34" i="51"/>
  <c r="AM34" i="51"/>
  <c r="AN34" i="51"/>
  <c r="BC34" i="51"/>
  <c r="BI34" i="51"/>
  <c r="BL34" i="51"/>
  <c r="U35" i="51"/>
  <c r="V35" i="51"/>
  <c r="W35" i="51"/>
  <c r="Y35" i="51"/>
  <c r="AA35" i="51"/>
  <c r="AB35" i="51"/>
  <c r="AC35" i="51"/>
  <c r="AE35" i="51"/>
  <c r="AG35" i="51"/>
  <c r="AI35" i="51"/>
  <c r="AK35" i="51"/>
  <c r="AM35" i="51"/>
  <c r="AQ35" i="51"/>
  <c r="AS35" i="51"/>
  <c r="AT35" i="51"/>
  <c r="AU35" i="51"/>
  <c r="AV35" i="51"/>
  <c r="AW35" i="51"/>
  <c r="AY35" i="51"/>
  <c r="AZ35" i="51"/>
  <c r="BA35" i="51"/>
  <c r="BB35" i="51"/>
  <c r="BC35" i="51"/>
  <c r="BE35" i="51"/>
  <c r="BF35" i="51"/>
  <c r="BG35" i="51"/>
  <c r="BH35" i="51"/>
  <c r="BK35" i="51"/>
  <c r="BM35" i="51"/>
  <c r="BN35" i="51"/>
  <c r="BO35" i="51"/>
  <c r="BQ35" i="51"/>
  <c r="BR35" i="51"/>
  <c r="BV35" i="51"/>
  <c r="M7" i="1"/>
  <c r="S7" i="1" s="1"/>
  <c r="Y7" i="1" s="1"/>
  <c r="AE7" i="1" s="1"/>
  <c r="AK7" i="1" s="1"/>
  <c r="AQ7" i="1" s="1"/>
  <c r="AW7" i="1" s="1"/>
  <c r="BC7" i="1" s="1"/>
  <c r="BI7" i="1" s="1"/>
  <c r="BO7" i="1" s="1"/>
  <c r="BU7" i="1" s="1"/>
  <c r="CA7" i="1" s="1"/>
  <c r="CG7" i="1" s="1"/>
  <c r="CM7" i="1" s="1"/>
  <c r="CS7" i="1" s="1"/>
  <c r="CY7" i="1" s="1"/>
  <c r="AA7" i="1"/>
  <c r="AG7" i="1" s="1"/>
  <c r="AM7" i="1" s="1"/>
  <c r="AS7" i="1" s="1"/>
  <c r="AY7" i="1" s="1"/>
  <c r="BE7" i="1" s="1"/>
  <c r="BK7" i="1" s="1"/>
  <c r="BQ7" i="1" s="1"/>
  <c r="D8" i="1"/>
  <c r="E8" i="1" s="1"/>
  <c r="F8" i="1" s="1"/>
  <c r="I8" i="1" s="1"/>
  <c r="J8" i="1" s="1"/>
  <c r="K8" i="1" s="1"/>
  <c r="L8" i="1" s="1"/>
  <c r="O8" i="1" s="1"/>
  <c r="P8" i="1" s="1"/>
  <c r="Q8" i="1" s="1"/>
  <c r="R8" i="1" s="1"/>
  <c r="V8" i="1"/>
  <c r="W8" i="1" s="1"/>
  <c r="X8" i="1" s="1"/>
  <c r="AA8" i="1"/>
  <c r="AG8" i="1" s="1"/>
  <c r="F9" i="1"/>
  <c r="G9" i="1" s="1"/>
  <c r="L9" i="1"/>
  <c r="M9" i="1" s="1"/>
  <c r="R9" i="1"/>
  <c r="S9" i="1" s="1"/>
  <c r="X9" i="1"/>
  <c r="Y9" i="1" s="1"/>
  <c r="AD9" i="1"/>
  <c r="AJ9" i="1"/>
  <c r="AP9" i="1"/>
  <c r="AQ9" i="1" s="1"/>
  <c r="AV9" i="1"/>
  <c r="AW9" i="1" s="1"/>
  <c r="BB9" i="1"/>
  <c r="BC9" i="1" s="1"/>
  <c r="BF9" i="1"/>
  <c r="BI9" i="1" s="1"/>
  <c r="BG9" i="1"/>
  <c r="BH9" i="1"/>
  <c r="BK9" i="1"/>
  <c r="BL9" i="1"/>
  <c r="BM9" i="1"/>
  <c r="BN9" i="1"/>
  <c r="BO9" i="1"/>
  <c r="BQ9" i="1"/>
  <c r="CA9" i="1"/>
  <c r="E10" i="1"/>
  <c r="J10" i="1"/>
  <c r="O10" i="1"/>
  <c r="P10" i="1"/>
  <c r="Q10" i="1"/>
  <c r="R10" i="1"/>
  <c r="U10" i="1"/>
  <c r="V10" i="1"/>
  <c r="W10" i="1"/>
  <c r="AA10" i="1"/>
  <c r="AD10" i="1" s="1"/>
  <c r="AD39" i="1" s="1"/>
  <c r="AB10" i="1"/>
  <c r="AB11" i="1" s="1"/>
  <c r="AB40" i="1" s="1"/>
  <c r="AC10" i="1"/>
  <c r="AC11" i="1" s="1"/>
  <c r="AC40" i="1" s="1"/>
  <c r="AG10" i="1"/>
  <c r="AJ10" i="1" s="1"/>
  <c r="AH10" i="1"/>
  <c r="AI10" i="1"/>
  <c r="AM10" i="1"/>
  <c r="AN10" i="1"/>
  <c r="AN11" i="1" s="1"/>
  <c r="AO10" i="1"/>
  <c r="AS10" i="1"/>
  <c r="AT10" i="1"/>
  <c r="AU10" i="1"/>
  <c r="AU11" i="1" s="1"/>
  <c r="AU40" i="1" s="1"/>
  <c r="AY10" i="1"/>
  <c r="BB10" i="1" s="1"/>
  <c r="BC10" i="1" s="1"/>
  <c r="AZ10" i="1"/>
  <c r="BA10" i="1"/>
  <c r="BE10" i="1"/>
  <c r="BF10" i="1"/>
  <c r="BG10" i="1"/>
  <c r="BH10" i="1"/>
  <c r="BK10" i="1"/>
  <c r="BL10" i="1"/>
  <c r="BM10" i="1"/>
  <c r="BN10" i="1"/>
  <c r="BQ10" i="1"/>
  <c r="BR10" i="1"/>
  <c r="BS10" i="1"/>
  <c r="BT10" i="1"/>
  <c r="BW10" i="1"/>
  <c r="CC58" i="1" s="1"/>
  <c r="BY10" i="1"/>
  <c r="BZ10" i="1"/>
  <c r="C11" i="1"/>
  <c r="C40" i="1" s="1"/>
  <c r="D11" i="1"/>
  <c r="D40" i="1" s="1"/>
  <c r="I11" i="1"/>
  <c r="I40" i="1" s="1"/>
  <c r="K11" i="1"/>
  <c r="K40" i="1" s="1"/>
  <c r="O11" i="1"/>
  <c r="O40" i="1" s="1"/>
  <c r="P11" i="1"/>
  <c r="P40" i="1" s="1"/>
  <c r="V11" i="1"/>
  <c r="V40" i="1" s="1"/>
  <c r="W11" i="1"/>
  <c r="W40" i="1" s="1"/>
  <c r="AG11" i="1"/>
  <c r="AG40" i="1" s="1"/>
  <c r="AH11" i="1"/>
  <c r="AH40" i="1" s="1"/>
  <c r="AO11" i="1"/>
  <c r="AO40" i="1" s="1"/>
  <c r="AS11" i="1"/>
  <c r="AY11" i="1"/>
  <c r="AY40" i="1" s="1"/>
  <c r="AZ11" i="1"/>
  <c r="AZ40" i="1" s="1"/>
  <c r="BA11" i="1"/>
  <c r="BA40" i="1" s="1"/>
  <c r="BH11" i="1"/>
  <c r="BH40" i="1" s="1"/>
  <c r="BK11" i="1"/>
  <c r="BK40" i="1" s="1"/>
  <c r="BL11" i="1"/>
  <c r="BL40" i="1" s="1"/>
  <c r="BR11" i="1"/>
  <c r="BR40" i="1" s="1"/>
  <c r="BS11" i="1"/>
  <c r="BS40" i="1" s="1"/>
  <c r="BT11" i="1"/>
  <c r="BT40" i="1" s="1"/>
  <c r="BX11" i="1"/>
  <c r="BZ11" i="1"/>
  <c r="F12" i="1"/>
  <c r="G12" i="1" s="1"/>
  <c r="L12" i="1"/>
  <c r="M12" i="1" s="1"/>
  <c r="R12" i="1"/>
  <c r="X12" i="1"/>
  <c r="Y12" i="1" s="1"/>
  <c r="AC12" i="1"/>
  <c r="AD12" i="1" s="1"/>
  <c r="AE12" i="1" s="1"/>
  <c r="AJ12" i="1"/>
  <c r="AK12" i="1" s="1"/>
  <c r="AP12" i="1"/>
  <c r="AQ12" i="1" s="1"/>
  <c r="AS12" i="1"/>
  <c r="AV12" i="1"/>
  <c r="AW12" i="1" s="1"/>
  <c r="BB12" i="1"/>
  <c r="BC12" i="1" s="1"/>
  <c r="BI12" i="1"/>
  <c r="BO12" i="1"/>
  <c r="BT12" i="1"/>
  <c r="BZ12" i="1"/>
  <c r="CA12" i="1" s="1"/>
  <c r="F13" i="1"/>
  <c r="G13" i="1" s="1"/>
  <c r="L13" i="1"/>
  <c r="M13" i="1" s="1"/>
  <c r="R13" i="1"/>
  <c r="S13" i="1" s="1"/>
  <c r="X13" i="1"/>
  <c r="Y13" i="1" s="1"/>
  <c r="AD13" i="1"/>
  <c r="AE13" i="1" s="1"/>
  <c r="AJ13" i="1"/>
  <c r="AK13" i="1" s="1"/>
  <c r="AP13" i="1"/>
  <c r="AQ13" i="1" s="1"/>
  <c r="AS13" i="1"/>
  <c r="AV13" i="1" s="1"/>
  <c r="BB13" i="1"/>
  <c r="BC13" i="1" s="1"/>
  <c r="BI13" i="1"/>
  <c r="BO13" i="1"/>
  <c r="BU13" i="1"/>
  <c r="BZ13" i="1"/>
  <c r="C14" i="1"/>
  <c r="D14" i="1"/>
  <c r="E14" i="1"/>
  <c r="L14" i="1"/>
  <c r="M14" i="1" s="1"/>
  <c r="O14" i="1"/>
  <c r="P14" i="1"/>
  <c r="Q14" i="1"/>
  <c r="R14" i="1"/>
  <c r="U14" i="1"/>
  <c r="V14" i="1"/>
  <c r="W14" i="1"/>
  <c r="AA14" i="1"/>
  <c r="AB14" i="1"/>
  <c r="AC14" i="1"/>
  <c r="AG14" i="1"/>
  <c r="AH14" i="1"/>
  <c r="AI14" i="1"/>
  <c r="AM14" i="1"/>
  <c r="AN14" i="1"/>
  <c r="AO14" i="1"/>
  <c r="AS14" i="1"/>
  <c r="AT14" i="1"/>
  <c r="AU14" i="1"/>
  <c r="AY14" i="1"/>
  <c r="AZ14" i="1"/>
  <c r="BA14" i="1"/>
  <c r="BB14" i="1"/>
  <c r="BC14" i="1" s="1"/>
  <c r="BE14" i="1"/>
  <c r="BF14" i="1"/>
  <c r="BG14" i="1"/>
  <c r="BH14" i="1"/>
  <c r="BK14" i="1"/>
  <c r="BL14" i="1"/>
  <c r="BM14" i="1"/>
  <c r="BN14" i="1"/>
  <c r="BQ14" i="1"/>
  <c r="BR14" i="1"/>
  <c r="BS14" i="1"/>
  <c r="BX14" i="1"/>
  <c r="BY14" i="1"/>
  <c r="BZ14" i="1"/>
  <c r="G15" i="1"/>
  <c r="J15" i="1"/>
  <c r="K15" i="1"/>
  <c r="O15" i="1"/>
  <c r="P15" i="1"/>
  <c r="Q15" i="1"/>
  <c r="R15" i="1" s="1"/>
  <c r="S15" i="1" s="1"/>
  <c r="U15" i="1"/>
  <c r="V15" i="1"/>
  <c r="V16" i="1" s="1"/>
  <c r="W15" i="1"/>
  <c r="AA15" i="1"/>
  <c r="AB15" i="1"/>
  <c r="AB16" i="1" s="1"/>
  <c r="AB17" i="1" s="1"/>
  <c r="AC15" i="1"/>
  <c r="AG15" i="1"/>
  <c r="AH15" i="1"/>
  <c r="AI15" i="1"/>
  <c r="AJ15" i="1"/>
  <c r="AK15" i="1" s="1"/>
  <c r="AM15" i="1"/>
  <c r="AN15" i="1"/>
  <c r="AO15" i="1"/>
  <c r="AO16" i="1" s="1"/>
  <c r="AO17" i="1" s="1"/>
  <c r="AS15" i="1"/>
  <c r="AT15" i="1"/>
  <c r="AU15" i="1"/>
  <c r="AY15" i="1"/>
  <c r="AZ15" i="1"/>
  <c r="BA15" i="1"/>
  <c r="BE15" i="1"/>
  <c r="BF15" i="1"/>
  <c r="BG15" i="1"/>
  <c r="BH15" i="1"/>
  <c r="BH16" i="1" s="1"/>
  <c r="BH17" i="1" s="1"/>
  <c r="BK15" i="1"/>
  <c r="BL15" i="1"/>
  <c r="BM15" i="1"/>
  <c r="BN15" i="1"/>
  <c r="BN16" i="1" s="1"/>
  <c r="BN71" i="1" s="1"/>
  <c r="BQ15" i="1"/>
  <c r="BU15" i="1"/>
  <c r="BW15" i="1"/>
  <c r="CA15" i="1"/>
  <c r="CG15" i="1"/>
  <c r="CM15" i="1"/>
  <c r="CS15" i="1"/>
  <c r="CY15" i="1"/>
  <c r="D16" i="1"/>
  <c r="D17" i="1" s="1"/>
  <c r="I16" i="1"/>
  <c r="I17" i="1" s="1"/>
  <c r="K16" i="1"/>
  <c r="K17" i="1" s="1"/>
  <c r="O16" i="1"/>
  <c r="O17" i="1" s="1"/>
  <c r="W16" i="1"/>
  <c r="W17" i="1" s="1"/>
  <c r="AG16" i="1"/>
  <c r="AG17" i="1" s="1"/>
  <c r="AH16" i="1"/>
  <c r="AH17" i="1" s="1"/>
  <c r="AM16" i="1"/>
  <c r="AM17" i="1" s="1"/>
  <c r="AN16" i="1"/>
  <c r="AN17" i="1" s="1"/>
  <c r="AZ16" i="1"/>
  <c r="AZ17" i="1" s="1"/>
  <c r="BA16" i="1"/>
  <c r="BA17" i="1" s="1"/>
  <c r="BF16" i="1"/>
  <c r="BF71" i="1" s="1"/>
  <c r="BK16" i="1"/>
  <c r="BK17" i="1" s="1"/>
  <c r="BR16" i="1"/>
  <c r="BR71" i="1" s="1"/>
  <c r="BS16" i="1"/>
  <c r="BS17" i="1" s="1"/>
  <c r="BX16" i="1"/>
  <c r="C18" i="1"/>
  <c r="F19" i="1"/>
  <c r="I19" i="1"/>
  <c r="J19" i="1"/>
  <c r="K19" i="1"/>
  <c r="O19" i="1"/>
  <c r="P19" i="1"/>
  <c r="Q19" i="1"/>
  <c r="U19" i="1"/>
  <c r="V19" i="1"/>
  <c r="W19" i="1"/>
  <c r="AA19" i="1"/>
  <c r="AB19" i="1"/>
  <c r="AC19" i="1"/>
  <c r="AG19" i="1"/>
  <c r="AH19" i="1"/>
  <c r="AI19" i="1"/>
  <c r="AM19" i="1"/>
  <c r="AN19" i="1"/>
  <c r="AO19" i="1"/>
  <c r="AS19" i="1"/>
  <c r="AT19" i="1"/>
  <c r="AU19" i="1"/>
  <c r="AY19" i="1"/>
  <c r="AZ19" i="1"/>
  <c r="BA19" i="1"/>
  <c r="BE19" i="1"/>
  <c r="BK19" i="1"/>
  <c r="BQ19" i="1"/>
  <c r="BW19" i="1"/>
  <c r="F21" i="1"/>
  <c r="G21" i="1" s="1"/>
  <c r="L21" i="1"/>
  <c r="M21" i="1" s="1"/>
  <c r="R21" i="1"/>
  <c r="S21" i="1" s="1"/>
  <c r="X21" i="1"/>
  <c r="Y21" i="1" s="1"/>
  <c r="AD21" i="1"/>
  <c r="AJ21" i="1"/>
  <c r="AP21" i="1"/>
  <c r="AV21" i="1"/>
  <c r="AW21" i="1" s="1"/>
  <c r="BB21" i="1"/>
  <c r="BC21" i="1" s="1"/>
  <c r="BI21" i="1"/>
  <c r="BO21" i="1"/>
  <c r="BU21" i="1"/>
  <c r="CA21" i="1"/>
  <c r="F22" i="1"/>
  <c r="G22" i="1" s="1"/>
  <c r="L22" i="1"/>
  <c r="R22" i="1"/>
  <c r="S22" i="1" s="1"/>
  <c r="X22" i="1"/>
  <c r="Y22" i="1" s="1"/>
  <c r="AD22" i="1"/>
  <c r="AE22" i="1" s="1"/>
  <c r="AJ22" i="1"/>
  <c r="AK22" i="1" s="1"/>
  <c r="AP22" i="1"/>
  <c r="AQ22" i="1" s="1"/>
  <c r="AV22" i="1"/>
  <c r="AW22" i="1" s="1"/>
  <c r="BB22" i="1"/>
  <c r="BC22" i="1" s="1"/>
  <c r="BI22" i="1"/>
  <c r="BK22" i="1"/>
  <c r="BL22" i="1"/>
  <c r="BO22" i="1" s="1"/>
  <c r="BM22" i="1"/>
  <c r="BN22" i="1"/>
  <c r="BQ22" i="1"/>
  <c r="BW22" i="1"/>
  <c r="BX22" i="1"/>
  <c r="BY22" i="1"/>
  <c r="BZ22" i="1"/>
  <c r="C23" i="1"/>
  <c r="D23" i="1"/>
  <c r="E23" i="1"/>
  <c r="F23" i="1" s="1"/>
  <c r="G23" i="1" s="1"/>
  <c r="I23" i="1"/>
  <c r="J23" i="1"/>
  <c r="J24" i="1" s="1"/>
  <c r="K23" i="1"/>
  <c r="K24" i="1" s="1"/>
  <c r="O23" i="1"/>
  <c r="P23" i="1"/>
  <c r="Q23" i="1"/>
  <c r="Q24" i="1" s="1"/>
  <c r="R23" i="1"/>
  <c r="X23" i="1"/>
  <c r="AC23" i="1"/>
  <c r="AC24" i="1" s="1"/>
  <c r="AG23" i="1"/>
  <c r="AG24" i="1" s="1"/>
  <c r="AH23" i="1"/>
  <c r="AI23" i="1"/>
  <c r="AJ23" i="1" s="1"/>
  <c r="AO23" i="1"/>
  <c r="AP23" i="1"/>
  <c r="AQ23" i="1" s="1"/>
  <c r="AS23" i="1"/>
  <c r="AT23" i="1"/>
  <c r="AT24" i="1" s="1"/>
  <c r="AU23" i="1"/>
  <c r="AY23" i="1"/>
  <c r="AZ23" i="1"/>
  <c r="BA23" i="1"/>
  <c r="BF23" i="1"/>
  <c r="BH23" i="1"/>
  <c r="BK23" i="1"/>
  <c r="BL23" i="1"/>
  <c r="BM23" i="1"/>
  <c r="BN23" i="1"/>
  <c r="BN24" i="1" s="1"/>
  <c r="BQ23" i="1"/>
  <c r="BR23" i="1"/>
  <c r="BU23" i="1" s="1"/>
  <c r="BS23" i="1"/>
  <c r="BW23" i="1"/>
  <c r="CA23" i="1" s="1"/>
  <c r="BY23" i="1"/>
  <c r="BZ23" i="1"/>
  <c r="BZ24" i="1" s="1"/>
  <c r="CG23" i="1"/>
  <c r="CM23" i="1"/>
  <c r="CS23" i="1"/>
  <c r="CY23" i="1"/>
  <c r="C24" i="1"/>
  <c r="D24" i="1"/>
  <c r="E24" i="1"/>
  <c r="I24" i="1"/>
  <c r="O24" i="1"/>
  <c r="P24" i="1"/>
  <c r="U24" i="1"/>
  <c r="V24" i="1"/>
  <c r="W24" i="1"/>
  <c r="AA24" i="1"/>
  <c r="AB24" i="1"/>
  <c r="AH24" i="1"/>
  <c r="AI24" i="1"/>
  <c r="AM24" i="1"/>
  <c r="AN24" i="1"/>
  <c r="AO24" i="1"/>
  <c r="AS24" i="1"/>
  <c r="AU24" i="1"/>
  <c r="AY24" i="1"/>
  <c r="AZ24" i="1"/>
  <c r="BE24" i="1"/>
  <c r="BG24" i="1"/>
  <c r="BK24" i="1"/>
  <c r="BL24" i="1"/>
  <c r="BS24" i="1"/>
  <c r="BT24" i="1"/>
  <c r="BX24" i="1"/>
  <c r="I26" i="1"/>
  <c r="O26" i="1"/>
  <c r="P26" i="1"/>
  <c r="Q26" i="1"/>
  <c r="U26" i="1"/>
  <c r="V26" i="1"/>
  <c r="W26" i="1"/>
  <c r="AA26" i="1"/>
  <c r="AB26" i="1"/>
  <c r="AC26" i="1"/>
  <c r="AG26" i="1"/>
  <c r="AH26" i="1"/>
  <c r="AI26" i="1"/>
  <c r="AM26" i="1"/>
  <c r="AN26" i="1"/>
  <c r="AO26" i="1"/>
  <c r="AS26" i="1"/>
  <c r="AT26" i="1"/>
  <c r="AU26" i="1"/>
  <c r="AV26" i="1"/>
  <c r="AY26" i="1"/>
  <c r="AZ26" i="1"/>
  <c r="BA26" i="1"/>
  <c r="BE26" i="1"/>
  <c r="BF26" i="1"/>
  <c r="BG26" i="1"/>
  <c r="BH26" i="1"/>
  <c r="BK26" i="1"/>
  <c r="BL26" i="1"/>
  <c r="BM26" i="1"/>
  <c r="BN26" i="1"/>
  <c r="BQ26" i="1"/>
  <c r="BR26" i="1"/>
  <c r="BS26" i="1"/>
  <c r="BT26" i="1"/>
  <c r="BU26" i="1"/>
  <c r="CA26" i="1"/>
  <c r="F27" i="1"/>
  <c r="G27" i="1" s="1"/>
  <c r="L27" i="1"/>
  <c r="M27" i="1" s="1"/>
  <c r="R27" i="1"/>
  <c r="S27" i="1" s="1"/>
  <c r="X27" i="1"/>
  <c r="Y27" i="1" s="1"/>
  <c r="AD27" i="1"/>
  <c r="AE27" i="1" s="1"/>
  <c r="AK27" i="1"/>
  <c r="AQ27" i="1"/>
  <c r="AV27" i="1"/>
  <c r="AW27" i="1" s="1"/>
  <c r="BB27" i="1"/>
  <c r="BC27" i="1" s="1"/>
  <c r="BI27" i="1"/>
  <c r="BO27" i="1"/>
  <c r="BT27" i="1"/>
  <c r="BU27" i="1" s="1"/>
  <c r="CA27" i="1"/>
  <c r="L36" i="1"/>
  <c r="L88" i="1" s="1"/>
  <c r="R36" i="1"/>
  <c r="R88" i="1" s="1"/>
  <c r="X36" i="1"/>
  <c r="X88" i="1" s="1"/>
  <c r="AD36" i="1"/>
  <c r="AD88" i="1" s="1"/>
  <c r="AJ36" i="1"/>
  <c r="AJ88" i="1" s="1"/>
  <c r="AV36" i="1"/>
  <c r="AV88" i="1" s="1"/>
  <c r="BB36" i="1"/>
  <c r="BB88" i="1" s="1"/>
  <c r="C36" i="1"/>
  <c r="C88" i="1" s="1"/>
  <c r="D36" i="1"/>
  <c r="D88" i="1" s="1"/>
  <c r="E36" i="1"/>
  <c r="E88" i="1" s="1"/>
  <c r="F36" i="1"/>
  <c r="F88" i="1" s="1"/>
  <c r="G36" i="1"/>
  <c r="G88" i="1" s="1"/>
  <c r="I36" i="1"/>
  <c r="I88" i="1" s="1"/>
  <c r="J36" i="1"/>
  <c r="J88" i="1" s="1"/>
  <c r="K36" i="1"/>
  <c r="K88" i="1" s="1"/>
  <c r="M36" i="1"/>
  <c r="M88" i="1" s="1"/>
  <c r="O36" i="1"/>
  <c r="O88" i="1" s="1"/>
  <c r="P36" i="1"/>
  <c r="P88" i="1" s="1"/>
  <c r="Q36" i="1"/>
  <c r="Q88" i="1" s="1"/>
  <c r="S36" i="1"/>
  <c r="S88" i="1" s="1"/>
  <c r="U36" i="1"/>
  <c r="U88" i="1" s="1"/>
  <c r="V36" i="1"/>
  <c r="V88" i="1" s="1"/>
  <c r="W36" i="1"/>
  <c r="W88" i="1" s="1"/>
  <c r="Y36" i="1"/>
  <c r="Y88" i="1" s="1"/>
  <c r="AA36" i="1"/>
  <c r="AA88" i="1" s="1"/>
  <c r="AB36" i="1"/>
  <c r="AB88" i="1" s="1"/>
  <c r="AC36" i="1"/>
  <c r="AC88" i="1" s="1"/>
  <c r="AE36" i="1"/>
  <c r="AE88" i="1" s="1"/>
  <c r="AG36" i="1"/>
  <c r="AG88" i="1" s="1"/>
  <c r="AH36" i="1"/>
  <c r="AH88" i="1" s="1"/>
  <c r="AI36" i="1"/>
  <c r="AI88" i="1" s="1"/>
  <c r="AK36" i="1"/>
  <c r="AK88" i="1" s="1"/>
  <c r="AM36" i="1"/>
  <c r="AM88" i="1" s="1"/>
  <c r="AN36" i="1"/>
  <c r="AN88" i="1" s="1"/>
  <c r="AP36" i="1"/>
  <c r="AP88" i="1" s="1"/>
  <c r="AS36" i="1"/>
  <c r="AS88" i="1" s="1"/>
  <c r="AT36" i="1"/>
  <c r="AU36" i="1"/>
  <c r="AU88" i="1" s="1"/>
  <c r="AY36" i="1"/>
  <c r="AY88" i="1" s="1"/>
  <c r="AZ36" i="1"/>
  <c r="AZ88" i="1" s="1"/>
  <c r="BA36" i="1"/>
  <c r="BA88" i="1" s="1"/>
  <c r="BE36" i="1"/>
  <c r="BE88" i="1" s="1"/>
  <c r="BF36" i="1"/>
  <c r="BF88" i="1" s="1"/>
  <c r="BG36" i="1"/>
  <c r="BG88" i="1" s="1"/>
  <c r="BK36" i="1"/>
  <c r="BK88" i="1" s="1"/>
  <c r="BL36" i="1"/>
  <c r="BL88" i="1" s="1"/>
  <c r="BM36" i="1"/>
  <c r="BM88" i="1" s="1"/>
  <c r="BN36" i="1"/>
  <c r="BN88" i="1" s="1"/>
  <c r="BQ36" i="1"/>
  <c r="BQ88" i="1" s="1"/>
  <c r="BR36" i="1"/>
  <c r="BR88" i="1" s="1"/>
  <c r="BS36" i="1"/>
  <c r="BS88" i="1" s="1"/>
  <c r="BT36" i="1"/>
  <c r="BT88" i="1" s="1"/>
  <c r="BW36" i="1"/>
  <c r="BW88" i="1" s="1"/>
  <c r="BX36" i="1"/>
  <c r="BX88" i="1" s="1"/>
  <c r="BY36" i="1"/>
  <c r="BY88" i="1" s="1"/>
  <c r="BZ36" i="1"/>
  <c r="BZ88" i="1" s="1"/>
  <c r="CJ36" i="1"/>
  <c r="C39" i="1"/>
  <c r="D39" i="1"/>
  <c r="E39" i="1"/>
  <c r="I39" i="1"/>
  <c r="J39" i="1"/>
  <c r="K39" i="1"/>
  <c r="O39" i="1"/>
  <c r="P39" i="1"/>
  <c r="Q39" i="1"/>
  <c r="U39" i="1"/>
  <c r="V39" i="1"/>
  <c r="W39" i="1"/>
  <c r="AA39" i="1"/>
  <c r="AB39" i="1"/>
  <c r="AC39" i="1"/>
  <c r="AG39" i="1"/>
  <c r="AH39" i="1"/>
  <c r="AI39" i="1"/>
  <c r="AM39" i="1"/>
  <c r="AN39" i="1"/>
  <c r="AO39" i="1"/>
  <c r="AS39" i="1"/>
  <c r="AT39" i="1"/>
  <c r="AU39" i="1"/>
  <c r="AY39" i="1"/>
  <c r="AZ39" i="1"/>
  <c r="BA39" i="1"/>
  <c r="BE39" i="1"/>
  <c r="BF39" i="1"/>
  <c r="BG39" i="1"/>
  <c r="BH39" i="1"/>
  <c r="BK39" i="1"/>
  <c r="BL39" i="1"/>
  <c r="BM39" i="1"/>
  <c r="BN39" i="1"/>
  <c r="BQ39" i="1"/>
  <c r="BR39" i="1"/>
  <c r="BS39" i="1"/>
  <c r="BT39" i="1"/>
  <c r="BW39" i="1"/>
  <c r="BX39" i="1"/>
  <c r="BY39" i="1"/>
  <c r="BZ39" i="1"/>
  <c r="C42" i="1"/>
  <c r="D42" i="1"/>
  <c r="E42" i="1"/>
  <c r="I42" i="1"/>
  <c r="J42" i="1"/>
  <c r="K42" i="1"/>
  <c r="O42" i="1"/>
  <c r="P42" i="1"/>
  <c r="Q42" i="1"/>
  <c r="U42" i="1"/>
  <c r="V42" i="1"/>
  <c r="W42" i="1"/>
  <c r="AA42" i="1"/>
  <c r="AB42" i="1"/>
  <c r="AC42" i="1"/>
  <c r="AG42" i="1"/>
  <c r="AH42" i="1"/>
  <c r="AI42" i="1"/>
  <c r="AM42" i="1"/>
  <c r="AN42" i="1"/>
  <c r="AO42" i="1"/>
  <c r="AS42" i="1"/>
  <c r="AT42" i="1"/>
  <c r="AU42" i="1"/>
  <c r="AY42" i="1"/>
  <c r="AZ42" i="1"/>
  <c r="BA42" i="1"/>
  <c r="BE42" i="1"/>
  <c r="BF42" i="1"/>
  <c r="BG42" i="1"/>
  <c r="BH42" i="1"/>
  <c r="BK42" i="1"/>
  <c r="BL42" i="1"/>
  <c r="BM42" i="1"/>
  <c r="BN42" i="1"/>
  <c r="BQ42" i="1"/>
  <c r="BR42" i="1"/>
  <c r="BS42" i="1"/>
  <c r="BT42" i="1"/>
  <c r="BW42" i="1"/>
  <c r="BX42" i="1"/>
  <c r="BY42" i="1"/>
  <c r="BZ42" i="1"/>
  <c r="C43" i="1"/>
  <c r="D43" i="1"/>
  <c r="E43" i="1"/>
  <c r="I43" i="1"/>
  <c r="J43" i="1"/>
  <c r="K43" i="1"/>
  <c r="O43" i="1"/>
  <c r="P43" i="1"/>
  <c r="Q43" i="1"/>
  <c r="U43" i="1"/>
  <c r="V43" i="1"/>
  <c r="W43" i="1"/>
  <c r="AA43" i="1"/>
  <c r="AB43" i="1"/>
  <c r="AC43" i="1"/>
  <c r="AG43" i="1"/>
  <c r="AH43" i="1"/>
  <c r="AI43" i="1"/>
  <c r="AM43" i="1"/>
  <c r="AN43" i="1"/>
  <c r="AO43" i="1"/>
  <c r="AS43" i="1"/>
  <c r="AT43" i="1"/>
  <c r="AU43" i="1"/>
  <c r="AY43" i="1"/>
  <c r="AZ43" i="1"/>
  <c r="BA43" i="1"/>
  <c r="BE43" i="1"/>
  <c r="BF43" i="1"/>
  <c r="BG43" i="1"/>
  <c r="BH43" i="1"/>
  <c r="BK43" i="1"/>
  <c r="BL43" i="1"/>
  <c r="BM43" i="1"/>
  <c r="BN43" i="1"/>
  <c r="BQ43" i="1"/>
  <c r="BR43" i="1"/>
  <c r="BS43" i="1"/>
  <c r="BT43" i="1"/>
  <c r="BW43" i="1"/>
  <c r="BX43" i="1"/>
  <c r="BY43" i="1"/>
  <c r="BZ43" i="1"/>
  <c r="C44" i="1"/>
  <c r="D44" i="1"/>
  <c r="E44" i="1"/>
  <c r="I44" i="1"/>
  <c r="J44" i="1"/>
  <c r="K44" i="1"/>
  <c r="O44" i="1"/>
  <c r="P44" i="1"/>
  <c r="Q44" i="1"/>
  <c r="U44" i="1"/>
  <c r="V44" i="1"/>
  <c r="W44" i="1"/>
  <c r="AA44" i="1"/>
  <c r="AB44" i="1"/>
  <c r="AC44" i="1"/>
  <c r="AG44" i="1"/>
  <c r="AH44" i="1"/>
  <c r="AI44" i="1"/>
  <c r="AM44" i="1"/>
  <c r="AN44" i="1"/>
  <c r="AO44" i="1"/>
  <c r="AS44" i="1"/>
  <c r="AT44" i="1"/>
  <c r="AU44" i="1"/>
  <c r="AY44" i="1"/>
  <c r="AZ44" i="1"/>
  <c r="BA44" i="1"/>
  <c r="BE44" i="1"/>
  <c r="BF44" i="1"/>
  <c r="BG44" i="1"/>
  <c r="BH44" i="1"/>
  <c r="BK44" i="1"/>
  <c r="BL44" i="1"/>
  <c r="BM44" i="1"/>
  <c r="BN44" i="1"/>
  <c r="BQ44" i="1"/>
  <c r="BR44" i="1"/>
  <c r="BS44" i="1"/>
  <c r="BT44" i="1"/>
  <c r="BW44" i="1"/>
  <c r="BX44" i="1"/>
  <c r="BY44" i="1"/>
  <c r="BZ44" i="1"/>
  <c r="C48" i="1"/>
  <c r="D48" i="1"/>
  <c r="E48" i="1"/>
  <c r="I48" i="1"/>
  <c r="J48" i="1"/>
  <c r="K48" i="1"/>
  <c r="O48" i="1"/>
  <c r="P48" i="1"/>
  <c r="Q48" i="1"/>
  <c r="U48" i="1"/>
  <c r="V48" i="1"/>
  <c r="W48" i="1"/>
  <c r="AA48" i="1"/>
  <c r="AB48" i="1"/>
  <c r="AC48" i="1"/>
  <c r="AG48" i="1"/>
  <c r="AH48" i="1"/>
  <c r="AI48" i="1"/>
  <c r="AM48" i="1"/>
  <c r="AN48" i="1"/>
  <c r="AO48" i="1"/>
  <c r="AS48" i="1"/>
  <c r="AT48" i="1"/>
  <c r="AU48" i="1"/>
  <c r="AY48" i="1"/>
  <c r="AZ48" i="1"/>
  <c r="BA48" i="1"/>
  <c r="BE48" i="1"/>
  <c r="BF48" i="1"/>
  <c r="BG48" i="1"/>
  <c r="BK48" i="1"/>
  <c r="BL48" i="1"/>
  <c r="BM48" i="1"/>
  <c r="BN48" i="1"/>
  <c r="BQ48" i="1"/>
  <c r="BR48" i="1"/>
  <c r="BS48" i="1"/>
  <c r="BT48" i="1"/>
  <c r="BW48" i="1"/>
  <c r="BX48" i="1"/>
  <c r="BY48" i="1"/>
  <c r="BZ48" i="1"/>
  <c r="C49" i="1"/>
  <c r="D49" i="1"/>
  <c r="E49" i="1"/>
  <c r="I49" i="1"/>
  <c r="J49" i="1"/>
  <c r="K49" i="1"/>
  <c r="O49" i="1"/>
  <c r="P49" i="1"/>
  <c r="Q49" i="1"/>
  <c r="U49" i="1"/>
  <c r="V49" i="1"/>
  <c r="W49" i="1"/>
  <c r="AA49" i="1"/>
  <c r="AB49" i="1"/>
  <c r="AC49" i="1"/>
  <c r="AG49" i="1"/>
  <c r="AH49" i="1"/>
  <c r="AI49" i="1"/>
  <c r="AM49" i="1"/>
  <c r="AN49" i="1"/>
  <c r="AO49" i="1"/>
  <c r="AS49" i="1"/>
  <c r="AT49" i="1"/>
  <c r="AU49" i="1"/>
  <c r="AY49" i="1"/>
  <c r="AZ49" i="1"/>
  <c r="BA49" i="1"/>
  <c r="BE49" i="1"/>
  <c r="BF49" i="1"/>
  <c r="BG49" i="1"/>
  <c r="BH49" i="1"/>
  <c r="BK49" i="1"/>
  <c r="BL49" i="1"/>
  <c r="BM49" i="1"/>
  <c r="BN49" i="1"/>
  <c r="BQ49" i="1"/>
  <c r="BR49" i="1"/>
  <c r="BS49" i="1"/>
  <c r="BT49" i="1"/>
  <c r="BW49" i="1"/>
  <c r="BZ49" i="1"/>
  <c r="CJ50" i="1"/>
  <c r="I54" i="1"/>
  <c r="J54" i="1"/>
  <c r="K54" i="1"/>
  <c r="O54" i="1"/>
  <c r="P54" i="1"/>
  <c r="Q54" i="1"/>
  <c r="U54" i="1"/>
  <c r="V54" i="1"/>
  <c r="W54" i="1"/>
  <c r="AA54" i="1"/>
  <c r="AB54" i="1"/>
  <c r="AC54" i="1"/>
  <c r="AG54" i="1"/>
  <c r="AH54" i="1"/>
  <c r="AI54" i="1"/>
  <c r="AM54" i="1"/>
  <c r="AN54" i="1"/>
  <c r="AO54" i="1"/>
  <c r="AS54" i="1"/>
  <c r="AT54" i="1"/>
  <c r="AU54" i="1"/>
  <c r="AY54" i="1"/>
  <c r="AZ54" i="1"/>
  <c r="BA54" i="1"/>
  <c r="BE54" i="1"/>
  <c r="BF54" i="1"/>
  <c r="BG54" i="1"/>
  <c r="BK54" i="1"/>
  <c r="BL54" i="1"/>
  <c r="BM54" i="1"/>
  <c r="BN54" i="1"/>
  <c r="BQ54" i="1"/>
  <c r="BR54" i="1"/>
  <c r="BS54" i="1"/>
  <c r="BS32" i="51" s="1"/>
  <c r="BT54" i="1"/>
  <c r="BT32" i="51" s="1"/>
  <c r="BW54" i="1"/>
  <c r="BW32" i="51" s="1"/>
  <c r="BX54" i="1"/>
  <c r="BX32" i="51" s="1"/>
  <c r="BY54" i="1"/>
  <c r="BY32" i="51" s="1"/>
  <c r="BZ54" i="1"/>
  <c r="AM55" i="1"/>
  <c r="AN55" i="1"/>
  <c r="AO55" i="1"/>
  <c r="AP55" i="1"/>
  <c r="AQ55" i="1"/>
  <c r="AS55" i="1"/>
  <c r="AT55" i="1"/>
  <c r="AU55" i="1"/>
  <c r="AV55" i="1"/>
  <c r="AW55" i="1"/>
  <c r="AY55" i="1"/>
  <c r="AZ55" i="1"/>
  <c r="BA55" i="1"/>
  <c r="BB55" i="1"/>
  <c r="BC55" i="1"/>
  <c r="BE55" i="1"/>
  <c r="BF55" i="1"/>
  <c r="BG55" i="1"/>
  <c r="BH55" i="1"/>
  <c r="BI55" i="1"/>
  <c r="BK55" i="1"/>
  <c r="BL55" i="1"/>
  <c r="BM55" i="1"/>
  <c r="BN55" i="1"/>
  <c r="BO55" i="1"/>
  <c r="BQ55" i="1"/>
  <c r="BR55" i="1"/>
  <c r="BS55" i="1"/>
  <c r="BT55" i="1"/>
  <c r="BU55" i="1"/>
  <c r="BW55" i="1"/>
  <c r="BX55" i="1"/>
  <c r="BY55" i="1"/>
  <c r="BZ55" i="1"/>
  <c r="CA55" i="1"/>
  <c r="I58" i="1"/>
  <c r="J58" i="1"/>
  <c r="K58" i="1"/>
  <c r="O58" i="1"/>
  <c r="P58" i="1"/>
  <c r="Q58" i="1"/>
  <c r="U58" i="1"/>
  <c r="V58" i="1"/>
  <c r="W58" i="1"/>
  <c r="AA58" i="1"/>
  <c r="AB58" i="1"/>
  <c r="AC58" i="1"/>
  <c r="AG58" i="1"/>
  <c r="AH58" i="1"/>
  <c r="AI58" i="1"/>
  <c r="AM58" i="1"/>
  <c r="AN58" i="1"/>
  <c r="AO58" i="1"/>
  <c r="AS58" i="1"/>
  <c r="AT58" i="1"/>
  <c r="AU58" i="1"/>
  <c r="AY58" i="1"/>
  <c r="AZ58" i="1"/>
  <c r="BA58" i="1"/>
  <c r="BE58" i="1"/>
  <c r="BF58" i="1"/>
  <c r="BG58" i="1"/>
  <c r="BK58" i="1"/>
  <c r="BL58" i="1"/>
  <c r="BM58" i="1"/>
  <c r="BN58" i="1"/>
  <c r="BQ58" i="1"/>
  <c r="BR58" i="1"/>
  <c r="BS58" i="1"/>
  <c r="BT58" i="1"/>
  <c r="BW58" i="1"/>
  <c r="BX58" i="1"/>
  <c r="BY58" i="1"/>
  <c r="BZ58" i="1"/>
  <c r="I59" i="1"/>
  <c r="J59" i="1"/>
  <c r="K59" i="1"/>
  <c r="O59" i="1"/>
  <c r="P59" i="1"/>
  <c r="Q59" i="1"/>
  <c r="U59" i="1"/>
  <c r="V59" i="1"/>
  <c r="W59" i="1"/>
  <c r="AA59" i="1"/>
  <c r="AB59" i="1"/>
  <c r="AC59" i="1"/>
  <c r="AG59" i="1"/>
  <c r="AH59" i="1"/>
  <c r="AI59" i="1"/>
  <c r="AM59" i="1"/>
  <c r="AN59" i="1"/>
  <c r="AO59" i="1"/>
  <c r="AS59" i="1"/>
  <c r="AT59" i="1"/>
  <c r="AU59" i="1"/>
  <c r="AY59" i="1"/>
  <c r="AZ59" i="1"/>
  <c r="BA59" i="1"/>
  <c r="BE59" i="1"/>
  <c r="BF59" i="1"/>
  <c r="BG59" i="1"/>
  <c r="BK59" i="1"/>
  <c r="BL59" i="1"/>
  <c r="BM59" i="1"/>
  <c r="BN59" i="1"/>
  <c r="BQ59" i="1"/>
  <c r="BR59" i="1"/>
  <c r="BS59" i="1"/>
  <c r="BT59" i="1"/>
  <c r="BW59" i="1"/>
  <c r="BX59" i="1"/>
  <c r="BY59" i="1"/>
  <c r="BZ59" i="1"/>
  <c r="I60" i="1"/>
  <c r="J60" i="1"/>
  <c r="K60" i="1"/>
  <c r="O60" i="1"/>
  <c r="P60" i="1"/>
  <c r="Q60" i="1"/>
  <c r="U60" i="1"/>
  <c r="V60" i="1"/>
  <c r="W60" i="1"/>
  <c r="AA60" i="1"/>
  <c r="AB60" i="1"/>
  <c r="AC60" i="1"/>
  <c r="AG60" i="1"/>
  <c r="AH60" i="1"/>
  <c r="AI60" i="1"/>
  <c r="AM60" i="1"/>
  <c r="AN60" i="1"/>
  <c r="AO60" i="1"/>
  <c r="AS60" i="1"/>
  <c r="AT60" i="1"/>
  <c r="AU60" i="1"/>
  <c r="AY60" i="1"/>
  <c r="AZ60" i="1"/>
  <c r="BA60" i="1"/>
  <c r="BE60" i="1"/>
  <c r="BF60" i="1"/>
  <c r="BG60" i="1"/>
  <c r="BK60" i="1"/>
  <c r="BL60" i="1"/>
  <c r="BM60" i="1"/>
  <c r="BN60" i="1"/>
  <c r="BQ60" i="1"/>
  <c r="BR60" i="1"/>
  <c r="BS60" i="1"/>
  <c r="BT60" i="1"/>
  <c r="BW60" i="1"/>
  <c r="BX60" i="1"/>
  <c r="BY60" i="1"/>
  <c r="BZ60" i="1"/>
  <c r="I61" i="1"/>
  <c r="J61" i="1"/>
  <c r="K61" i="1"/>
  <c r="O61" i="1"/>
  <c r="P61" i="1"/>
  <c r="Q61" i="1"/>
  <c r="U61" i="1"/>
  <c r="V61" i="1"/>
  <c r="W61" i="1"/>
  <c r="AA61" i="1"/>
  <c r="AB61" i="1"/>
  <c r="AC61" i="1"/>
  <c r="AG61" i="1"/>
  <c r="AH61" i="1"/>
  <c r="AI61" i="1"/>
  <c r="AM61" i="1"/>
  <c r="AN61" i="1"/>
  <c r="AO61" i="1"/>
  <c r="AS61" i="1"/>
  <c r="AT61" i="1"/>
  <c r="AU61" i="1"/>
  <c r="AY61" i="1"/>
  <c r="AZ61" i="1"/>
  <c r="BA61" i="1"/>
  <c r="BE61" i="1"/>
  <c r="BF61" i="1"/>
  <c r="BG61" i="1"/>
  <c r="BK61" i="1"/>
  <c r="BL61" i="1"/>
  <c r="BM61" i="1"/>
  <c r="BN61" i="1"/>
  <c r="BQ61" i="1"/>
  <c r="BR61" i="1"/>
  <c r="BS61" i="1"/>
  <c r="BT61" i="1"/>
  <c r="BW61" i="1"/>
  <c r="BX61" i="1"/>
  <c r="BY61" i="1"/>
  <c r="BZ61" i="1"/>
  <c r="G70" i="1"/>
  <c r="G72" i="1" s="1"/>
  <c r="M70" i="1"/>
  <c r="M72" i="1" s="1"/>
  <c r="S70" i="1"/>
  <c r="X70" i="1"/>
  <c r="Y70" i="1" s="1"/>
  <c r="AD70" i="1"/>
  <c r="AJ70" i="1"/>
  <c r="AK70" i="1" s="1"/>
  <c r="AP70" i="1"/>
  <c r="AV70" i="1"/>
  <c r="AW70" i="1" s="1"/>
  <c r="BB70" i="1"/>
  <c r="BI70" i="1"/>
  <c r="BO70" i="1"/>
  <c r="BU70" i="1"/>
  <c r="CA70" i="1"/>
  <c r="C72" i="1"/>
  <c r="D72" i="1"/>
  <c r="E72" i="1"/>
  <c r="F72" i="1"/>
  <c r="I72" i="1"/>
  <c r="J72" i="1"/>
  <c r="K72" i="1"/>
  <c r="L72" i="1"/>
  <c r="O72" i="1"/>
  <c r="Q72" i="1"/>
  <c r="U72" i="1"/>
  <c r="V72" i="1"/>
  <c r="W72" i="1"/>
  <c r="AA72" i="1"/>
  <c r="AB72" i="1"/>
  <c r="AC72" i="1"/>
  <c r="AD72" i="1"/>
  <c r="AE72" i="1" s="1"/>
  <c r="AG72" i="1"/>
  <c r="AP72" i="1"/>
  <c r="AQ72" i="1" s="1"/>
  <c r="AV72" i="1"/>
  <c r="AW72" i="1" s="1"/>
  <c r="BB72" i="1"/>
  <c r="BC72" i="1" s="1"/>
  <c r="BI72" i="1"/>
  <c r="BO72" i="1"/>
  <c r="BR72" i="1"/>
  <c r="BS72" i="1"/>
  <c r="BT72" i="1"/>
  <c r="CA72" i="1"/>
  <c r="I74" i="1"/>
  <c r="I29" i="1" s="1"/>
  <c r="BX74" i="1"/>
  <c r="BY74" i="1"/>
  <c r="BY29" i="1" s="1"/>
  <c r="E75" i="1"/>
  <c r="J75" i="1"/>
  <c r="K75" i="1"/>
  <c r="L75" i="1" s="1"/>
  <c r="O75" i="1"/>
  <c r="P75" i="1"/>
  <c r="R75" i="1"/>
  <c r="S75" i="1" s="1"/>
  <c r="W75" i="1"/>
  <c r="X75" i="1"/>
  <c r="AA75" i="1"/>
  <c r="AB75" i="1"/>
  <c r="AC75" i="1"/>
  <c r="AJ75" i="1"/>
  <c r="AK75" i="1" s="1"/>
  <c r="AP75" i="1"/>
  <c r="AQ75" i="1" s="1"/>
  <c r="AV75" i="1"/>
  <c r="AW75" i="1" s="1"/>
  <c r="BB75" i="1"/>
  <c r="BC75" i="1" s="1"/>
  <c r="BI75" i="1"/>
  <c r="BO75" i="1"/>
  <c r="BU75" i="1"/>
  <c r="CA75" i="1"/>
  <c r="G76" i="1"/>
  <c r="M76" i="1"/>
  <c r="R76" i="1"/>
  <c r="S76" i="1" s="1"/>
  <c r="W76" i="1"/>
  <c r="X76" i="1"/>
  <c r="Y76" i="1" s="1"/>
  <c r="AC76" i="1"/>
  <c r="AG76" i="1"/>
  <c r="AH76" i="1"/>
  <c r="AI76" i="1"/>
  <c r="AJ76" i="1" s="1"/>
  <c r="AK76" i="1" s="1"/>
  <c r="AM76" i="1"/>
  <c r="AN76" i="1"/>
  <c r="AN74" i="1" s="1"/>
  <c r="AN29" i="1" s="1"/>
  <c r="AO76" i="1"/>
  <c r="AS76" i="1"/>
  <c r="AT76" i="1"/>
  <c r="AU76" i="1"/>
  <c r="AY76" i="1"/>
  <c r="AZ76" i="1"/>
  <c r="BB76" i="1"/>
  <c r="BE76" i="1"/>
  <c r="BF76" i="1"/>
  <c r="BF74" i="1" s="1"/>
  <c r="BF29" i="1" s="1"/>
  <c r="BO76" i="1"/>
  <c r="BU76" i="1"/>
  <c r="CA76" i="1"/>
  <c r="G77" i="1"/>
  <c r="M77" i="1"/>
  <c r="S77" i="1"/>
  <c r="Y77" i="1"/>
  <c r="AD77" i="1"/>
  <c r="AE77" i="1" s="1"/>
  <c r="AJ77" i="1"/>
  <c r="AK77" i="1" s="1"/>
  <c r="AP77" i="1"/>
  <c r="AQ77" i="1" s="1"/>
  <c r="AV77" i="1"/>
  <c r="AW77" i="1" s="1"/>
  <c r="BA77" i="1"/>
  <c r="BA74" i="1" s="1"/>
  <c r="BA29" i="1" s="1"/>
  <c r="BB77" i="1"/>
  <c r="BC77" i="1"/>
  <c r="BF77" i="1"/>
  <c r="BI77" i="1" s="1"/>
  <c r="BO77" i="1"/>
  <c r="BU77" i="1"/>
  <c r="CA77" i="1"/>
  <c r="CG77" i="1"/>
  <c r="CM77" i="1"/>
  <c r="CS77" i="1"/>
  <c r="CY77" i="1"/>
  <c r="G78" i="1"/>
  <c r="L78" i="1"/>
  <c r="M78" i="1" s="1"/>
  <c r="R78" i="1"/>
  <c r="S78" i="1" s="1"/>
  <c r="X78" i="1"/>
  <c r="Y78" i="1" s="1"/>
  <c r="AD78" i="1"/>
  <c r="AE78" i="1" s="1"/>
  <c r="AJ78" i="1"/>
  <c r="AK78" i="1" s="1"/>
  <c r="AQ78" i="1"/>
  <c r="AW78" i="1"/>
  <c r="BC78" i="1"/>
  <c r="BI78" i="1"/>
  <c r="BO78" i="1"/>
  <c r="BU78" i="1"/>
  <c r="CA78" i="1"/>
  <c r="CG78" i="1"/>
  <c r="CM78" i="1"/>
  <c r="CS78" i="1"/>
  <c r="CY78" i="1"/>
  <c r="F79" i="1"/>
  <c r="G79" i="1" s="1"/>
  <c r="M79" i="1"/>
  <c r="R79" i="1"/>
  <c r="S79" i="1" s="1"/>
  <c r="X79" i="1"/>
  <c r="Y79" i="1" s="1"/>
  <c r="AD79" i="1"/>
  <c r="AE79" i="1" s="1"/>
  <c r="AJ79" i="1"/>
  <c r="AK79" i="1" s="1"/>
  <c r="AQ79" i="1"/>
  <c r="AW79" i="1"/>
  <c r="BC79" i="1"/>
  <c r="BI79" i="1"/>
  <c r="BO79" i="1"/>
  <c r="BU79" i="1"/>
  <c r="BZ79" i="1"/>
  <c r="BZ74" i="1" s="1"/>
  <c r="BZ29" i="1" s="1"/>
  <c r="CG79" i="1"/>
  <c r="CM79" i="1"/>
  <c r="CS79" i="1"/>
  <c r="CY79" i="1"/>
  <c r="G80" i="1"/>
  <c r="M80" i="1"/>
  <c r="S80" i="1"/>
  <c r="Y80" i="1"/>
  <c r="AD80" i="1"/>
  <c r="AE80" i="1" s="1"/>
  <c r="AJ80" i="1"/>
  <c r="AK80" i="1" s="1"/>
  <c r="AQ80" i="1"/>
  <c r="AW80" i="1"/>
  <c r="BC80" i="1"/>
  <c r="BI80" i="1"/>
  <c r="BO80" i="1"/>
  <c r="BU80" i="1"/>
  <c r="CA80" i="1"/>
  <c r="CG80" i="1"/>
  <c r="CM80" i="1"/>
  <c r="CS80" i="1"/>
  <c r="CY80" i="1"/>
  <c r="G81" i="1"/>
  <c r="M81" i="1"/>
  <c r="S81" i="1"/>
  <c r="Y81" i="1"/>
  <c r="AD81" i="1"/>
  <c r="AE81" i="1" s="1"/>
  <c r="AJ81" i="1"/>
  <c r="AK81" i="1" s="1"/>
  <c r="AQ81" i="1"/>
  <c r="AW81" i="1"/>
  <c r="BC81" i="1"/>
  <c r="BI81" i="1"/>
  <c r="BO81" i="1"/>
  <c r="BU81" i="1"/>
  <c r="CA81" i="1"/>
  <c r="CG81" i="1"/>
  <c r="CM81" i="1"/>
  <c r="CS81" i="1"/>
  <c r="CY81" i="1"/>
  <c r="M82" i="1"/>
  <c r="S82" i="1"/>
  <c r="X82" i="1"/>
  <c r="Y82" i="1" s="1"/>
  <c r="AC82" i="1"/>
  <c r="AI82" i="1"/>
  <c r="AJ82" i="1" s="1"/>
  <c r="AK82" i="1" s="1"/>
  <c r="AP82" i="1"/>
  <c r="AQ82" i="1" s="1"/>
  <c r="AV82" i="1"/>
  <c r="AW82" i="1" s="1"/>
  <c r="BB82" i="1"/>
  <c r="BC82" i="1" s="1"/>
  <c r="BH82" i="1"/>
  <c r="BI82" i="1"/>
  <c r="BK82" i="1"/>
  <c r="BL82" i="1"/>
  <c r="BM82" i="1"/>
  <c r="BM74" i="1" s="1"/>
  <c r="BM29" i="1" s="1"/>
  <c r="BN82" i="1"/>
  <c r="BQ82" i="1"/>
  <c r="BQ74" i="1" s="1"/>
  <c r="BQ29" i="1" s="1"/>
  <c r="BR82" i="1"/>
  <c r="BR74" i="1" s="1"/>
  <c r="BR29" i="1" s="1"/>
  <c r="BS82" i="1"/>
  <c r="BS74" i="1" s="1"/>
  <c r="BS29" i="1" s="1"/>
  <c r="BT82" i="1"/>
  <c r="BW82" i="1"/>
  <c r="M83" i="1"/>
  <c r="R83" i="1"/>
  <c r="S83" i="1" s="1"/>
  <c r="X83" i="1"/>
  <c r="Y83" i="1" s="1"/>
  <c r="AD83" i="1"/>
  <c r="AE83" i="1" s="1"/>
  <c r="AJ83" i="1"/>
  <c r="AK83" i="1" s="1"/>
  <c r="AP83" i="1"/>
  <c r="AQ83" i="1" s="1"/>
  <c r="AV83" i="1"/>
  <c r="AW83" i="1" s="1"/>
  <c r="BB83" i="1"/>
  <c r="BC83" i="1" s="1"/>
  <c r="BI83" i="1"/>
  <c r="BO83" i="1"/>
  <c r="BT83" i="1"/>
  <c r="BT74" i="1" s="1"/>
  <c r="BT29" i="1" s="1"/>
  <c r="CA83" i="1"/>
  <c r="O84" i="1"/>
  <c r="O74" i="1" s="1"/>
  <c r="O29" i="1" s="1"/>
  <c r="P84" i="1"/>
  <c r="Q84" i="1"/>
  <c r="Q74" i="1" s="1"/>
  <c r="Q29" i="1" s="1"/>
  <c r="U84" i="1"/>
  <c r="U74" i="1" s="1"/>
  <c r="U29" i="1" s="1"/>
  <c r="V84" i="1"/>
  <c r="V74" i="1" s="1"/>
  <c r="V29" i="1" s="1"/>
  <c r="W84" i="1"/>
  <c r="W74" i="1" s="1"/>
  <c r="W29" i="1" s="1"/>
  <c r="AA84" i="1"/>
  <c r="AB84" i="1"/>
  <c r="AB74" i="1" s="1"/>
  <c r="AB29" i="1" s="1"/>
  <c r="AC84" i="1"/>
  <c r="AG84" i="1"/>
  <c r="AH84" i="1"/>
  <c r="AI84" i="1"/>
  <c r="AM84" i="1"/>
  <c r="AP84" i="1" s="1"/>
  <c r="AN84" i="1"/>
  <c r="AO84" i="1"/>
  <c r="AS84" i="1"/>
  <c r="AT84" i="1"/>
  <c r="AU84" i="1"/>
  <c r="AY84" i="1"/>
  <c r="AZ84" i="1"/>
  <c r="BE84" i="1"/>
  <c r="BF84" i="1"/>
  <c r="BG84" i="1"/>
  <c r="BG74" i="1" s="1"/>
  <c r="BG29" i="1" s="1"/>
  <c r="BH84" i="1"/>
  <c r="BK84" i="1"/>
  <c r="BK74" i="1" s="1"/>
  <c r="BK29" i="1" s="1"/>
  <c r="BL84" i="1"/>
  <c r="BN84" i="1"/>
  <c r="BO84" i="1" s="1"/>
  <c r="BQ84" i="1"/>
  <c r="BU84" i="1" s="1"/>
  <c r="BW84" i="1"/>
  <c r="CA84" i="1" s="1"/>
  <c r="C87" i="1"/>
  <c r="D87" i="1"/>
  <c r="E87" i="1"/>
  <c r="F87" i="1"/>
  <c r="G87" i="1"/>
  <c r="I87" i="1"/>
  <c r="J87" i="1"/>
  <c r="K87" i="1"/>
  <c r="L87" i="1"/>
  <c r="M87" i="1"/>
  <c r="O87" i="1"/>
  <c r="P87" i="1"/>
  <c r="Q87" i="1"/>
  <c r="R87" i="1"/>
  <c r="S87" i="1"/>
  <c r="U87" i="1"/>
  <c r="V87" i="1"/>
  <c r="W87" i="1"/>
  <c r="X87" i="1"/>
  <c r="Y87" i="1"/>
  <c r="AA87" i="1"/>
  <c r="AB87" i="1"/>
  <c r="AC87" i="1"/>
  <c r="AD87" i="1"/>
  <c r="AE87" i="1"/>
  <c r="AG87" i="1"/>
  <c r="AH87" i="1"/>
  <c r="AI87" i="1"/>
  <c r="AJ87" i="1"/>
  <c r="AK87" i="1"/>
  <c r="AM87" i="1"/>
  <c r="AN87" i="1"/>
  <c r="AO87" i="1"/>
  <c r="AP87" i="1"/>
  <c r="AQ87" i="1"/>
  <c r="AS87" i="1"/>
  <c r="AT87" i="1"/>
  <c r="AU87" i="1"/>
  <c r="AV87" i="1"/>
  <c r="AW87" i="1"/>
  <c r="AY87" i="1"/>
  <c r="AZ87" i="1"/>
  <c r="BA87" i="1"/>
  <c r="BB87" i="1"/>
  <c r="BC87" i="1"/>
  <c r="BE87" i="1"/>
  <c r="BF87" i="1"/>
  <c r="BG87" i="1"/>
  <c r="BH87" i="1"/>
  <c r="BI87" i="1"/>
  <c r="BK87" i="1"/>
  <c r="BL87" i="1"/>
  <c r="BM87" i="1"/>
  <c r="BN87" i="1"/>
  <c r="BO87" i="1"/>
  <c r="BQ87" i="1"/>
  <c r="BR87" i="1"/>
  <c r="BS87" i="1"/>
  <c r="BT87" i="1"/>
  <c r="BU87" i="1"/>
  <c r="BW87" i="1"/>
  <c r="BX87" i="1"/>
  <c r="BY87" i="1"/>
  <c r="BZ87" i="1"/>
  <c r="AO88" i="1"/>
  <c r="CI88" i="1"/>
  <c r="C92" i="1"/>
  <c r="I92" i="1"/>
  <c r="J92" i="1" s="1"/>
  <c r="K92" i="1" s="1"/>
  <c r="L92" i="1" s="1"/>
  <c r="O92" i="1"/>
  <c r="P92" i="1" s="1"/>
  <c r="Q92" i="1" s="1"/>
  <c r="R92" i="1" s="1"/>
  <c r="U92" i="1"/>
  <c r="V92" i="1" s="1"/>
  <c r="W92" i="1" s="1"/>
  <c r="X92" i="1" s="1"/>
  <c r="AA92" i="1"/>
  <c r="AB92" i="1" s="1"/>
  <c r="AC92" i="1" s="1"/>
  <c r="AD92" i="1" s="1"/>
  <c r="AG92" i="1"/>
  <c r="AH92" i="1" s="1"/>
  <c r="AI92" i="1" s="1"/>
  <c r="AJ92" i="1" s="1"/>
  <c r="AM92" i="1"/>
  <c r="AN92" i="1" s="1"/>
  <c r="AO92" i="1" s="1"/>
  <c r="AP92" i="1" s="1"/>
  <c r="AS92" i="1"/>
  <c r="AT92" i="1" s="1"/>
  <c r="AU92" i="1" s="1"/>
  <c r="AV92" i="1" s="1"/>
  <c r="AY92" i="1"/>
  <c r="AZ92" i="1" s="1"/>
  <c r="BA92" i="1" s="1"/>
  <c r="CI92" i="1"/>
  <c r="M94" i="1"/>
  <c r="S94" i="1"/>
  <c r="Y94" i="1"/>
  <c r="AE94" i="1"/>
  <c r="AK94" i="1"/>
  <c r="AQ94" i="1"/>
  <c r="AW94" i="1"/>
  <c r="BC94" i="1"/>
  <c r="BI94" i="1"/>
  <c r="BO94" i="1"/>
  <c r="BU94" i="1"/>
  <c r="CA94" i="1"/>
  <c r="CG94" i="1" s="1"/>
  <c r="CI94" i="1" s="1"/>
  <c r="CJ94" i="1" s="1"/>
  <c r="CK94" i="1" s="1"/>
  <c r="CL94" i="1" s="1"/>
  <c r="CM94" i="1" s="1"/>
  <c r="CO94" i="1" s="1"/>
  <c r="CP94" i="1" s="1"/>
  <c r="CQ94" i="1" s="1"/>
  <c r="CR94" i="1" s="1"/>
  <c r="CS94" i="1" s="1"/>
  <c r="CU94" i="1" s="1"/>
  <c r="CV94" i="1" s="1"/>
  <c r="CW94" i="1" s="1"/>
  <c r="CX94" i="1" s="1"/>
  <c r="CY94" i="1" s="1"/>
  <c r="AG100" i="1"/>
  <c r="AH100" i="1"/>
  <c r="AI100" i="1"/>
  <c r="AJ100" i="1"/>
  <c r="AM100" i="1"/>
  <c r="AN100" i="1"/>
  <c r="AO100" i="1"/>
  <c r="AP100" i="1"/>
  <c r="AQ100" i="1"/>
  <c r="AS100" i="1"/>
  <c r="AT100" i="1"/>
  <c r="AU100" i="1"/>
  <c r="AV100" i="1"/>
  <c r="AW100" i="1"/>
  <c r="AG101" i="1"/>
  <c r="AH101" i="1"/>
  <c r="AI101" i="1"/>
  <c r="AJ101" i="1"/>
  <c r="AK101" i="1"/>
  <c r="AM101" i="1"/>
  <c r="AN101" i="1"/>
  <c r="AO101" i="1"/>
  <c r="AP101" i="1"/>
  <c r="AQ101" i="1"/>
  <c r="AS101" i="1"/>
  <c r="AT101" i="1"/>
  <c r="AU101" i="1"/>
  <c r="AV101" i="1"/>
  <c r="AW101" i="1"/>
  <c r="AY101" i="1"/>
  <c r="AZ101" i="1"/>
  <c r="BA101" i="1"/>
  <c r="BB101" i="1"/>
  <c r="BC101" i="1"/>
  <c r="BE101" i="1"/>
  <c r="BF101" i="1"/>
  <c r="BG101" i="1"/>
  <c r="BH101" i="1"/>
  <c r="BI101" i="1"/>
  <c r="BK101" i="1"/>
  <c r="BL101" i="1"/>
  <c r="BM101" i="1"/>
  <c r="BN101" i="1"/>
  <c r="BO101" i="1"/>
  <c r="BQ101" i="1"/>
  <c r="BR101" i="1"/>
  <c r="BS101" i="1"/>
  <c r="BT101" i="1"/>
  <c r="BU101" i="1"/>
  <c r="BW101" i="1"/>
  <c r="BX101" i="1"/>
  <c r="BY101" i="1"/>
  <c r="BZ101" i="1"/>
  <c r="CF41" i="1" l="1"/>
  <c r="BZ40" i="1"/>
  <c r="BL35" i="51"/>
  <c r="BI35" i="51"/>
  <c r="AZ45" i="1"/>
  <c r="AM45" i="1"/>
  <c r="AG45" i="1"/>
  <c r="O45" i="1"/>
  <c r="BH45" i="1"/>
  <c r="AO45" i="1"/>
  <c r="BS45" i="1"/>
  <c r="BK45" i="1"/>
  <c r="AN45" i="1"/>
  <c r="W45" i="1"/>
  <c r="K45" i="1"/>
  <c r="D45" i="1"/>
  <c r="BY56" i="1"/>
  <c r="AE60" i="1"/>
  <c r="BX49" i="1"/>
  <c r="CK50" i="1"/>
  <c r="CL50" i="1" s="1"/>
  <c r="CK36" i="1"/>
  <c r="CL36" i="1" s="1"/>
  <c r="BN74" i="1"/>
  <c r="BN29" i="1" s="1"/>
  <c r="AY74" i="1"/>
  <c r="AY29" i="1" s="1"/>
  <c r="AO74" i="1"/>
  <c r="AO29" i="1" s="1"/>
  <c r="AP76" i="1"/>
  <c r="AQ76" i="1" s="1"/>
  <c r="AG74" i="1"/>
  <c r="AG29" i="1" s="1"/>
  <c r="BY24" i="1"/>
  <c r="BW24" i="1"/>
  <c r="BI15" i="1"/>
  <c r="BU14" i="1"/>
  <c r="BI14" i="1"/>
  <c r="BU10" i="1"/>
  <c r="BI84" i="1"/>
  <c r="X84" i="1"/>
  <c r="X74" i="1" s="1"/>
  <c r="X29" i="1" s="1"/>
  <c r="Y29" i="1" s="1"/>
  <c r="BU82" i="1"/>
  <c r="BH74" i="1"/>
  <c r="BH29" i="1" s="1"/>
  <c r="BI76" i="1"/>
  <c r="AU74" i="1"/>
  <c r="AU29" i="1" s="1"/>
  <c r="AH74" i="1"/>
  <c r="AH29" i="1" s="1"/>
  <c r="AM74" i="1"/>
  <c r="AM29" i="1" s="1"/>
  <c r="BI49" i="1"/>
  <c r="BB26" i="1"/>
  <c r="BC26" i="1" s="1"/>
  <c r="AV23" i="1"/>
  <c r="AV48" i="1" s="1"/>
  <c r="CA14" i="1"/>
  <c r="CA44" i="1" s="1"/>
  <c r="AU16" i="1"/>
  <c r="AU17" i="1" s="1"/>
  <c r="BA47" i="1" s="1"/>
  <c r="AJ14" i="1"/>
  <c r="AK14" i="1" s="1"/>
  <c r="BO49" i="1"/>
  <c r="BK71" i="1"/>
  <c r="BH58" i="1"/>
  <c r="CD41" i="1"/>
  <c r="BK25" i="1"/>
  <c r="BK50" i="1" s="1"/>
  <c r="AC41" i="1"/>
  <c r="CA48" i="1"/>
  <c r="AV43" i="1"/>
  <c r="BX17" i="1"/>
  <c r="BH71" i="1"/>
  <c r="BH54" i="1"/>
  <c r="BB54" i="1"/>
  <c r="AV54" i="1"/>
  <c r="BB49" i="1"/>
  <c r="AV49" i="1"/>
  <c r="AP48" i="1"/>
  <c r="AB41" i="1"/>
  <c r="AQ49" i="1"/>
  <c r="AQ43" i="1"/>
  <c r="BX40" i="1"/>
  <c r="M49" i="1"/>
  <c r="BX41" i="1"/>
  <c r="BC54" i="1"/>
  <c r="BC56" i="1" s="1"/>
  <c r="BA71" i="1"/>
  <c r="AO71" i="1"/>
  <c r="AM63" i="1"/>
  <c r="F49" i="1"/>
  <c r="I41" i="1"/>
  <c r="Y42" i="1"/>
  <c r="AH71" i="1"/>
  <c r="BN62" i="1"/>
  <c r="L59" i="1"/>
  <c r="F48" i="1"/>
  <c r="O25" i="1"/>
  <c r="O28" i="1" s="1"/>
  <c r="O73" i="1" s="1"/>
  <c r="O86" i="1" s="1"/>
  <c r="O33" i="1" s="1"/>
  <c r="BR17" i="1"/>
  <c r="I25" i="1"/>
  <c r="I50" i="1" s="1"/>
  <c r="AH63" i="1"/>
  <c r="AH45" i="1"/>
  <c r="BH60" i="1"/>
  <c r="R39" i="1"/>
  <c r="AP59" i="1"/>
  <c r="R54" i="1"/>
  <c r="L44" i="1"/>
  <c r="X43" i="1"/>
  <c r="AW49" i="1"/>
  <c r="Y43" i="1"/>
  <c r="X54" i="1"/>
  <c r="AN62" i="1"/>
  <c r="G43" i="1"/>
  <c r="AM62" i="1"/>
  <c r="R44" i="1"/>
  <c r="BS71" i="1"/>
  <c r="AN71" i="1"/>
  <c r="BO54" i="1"/>
  <c r="BO56" i="1" s="1"/>
  <c r="AD49" i="1"/>
  <c r="AJ43" i="1"/>
  <c r="BB39" i="1"/>
  <c r="Y49" i="1"/>
  <c r="BX56" i="1"/>
  <c r="AH25" i="1"/>
  <c r="AH50" i="1" s="1"/>
  <c r="BB43" i="1"/>
  <c r="F42" i="1"/>
  <c r="BC49" i="1"/>
  <c r="AM71" i="1"/>
  <c r="R61" i="1"/>
  <c r="BO59" i="1"/>
  <c r="BW56" i="1"/>
  <c r="F43" i="1"/>
  <c r="AJ58" i="1"/>
  <c r="BU83" i="1"/>
  <c r="G48" i="1"/>
  <c r="G49" i="1"/>
  <c r="AQ48" i="1"/>
  <c r="K25" i="1"/>
  <c r="BC44" i="1"/>
  <c r="AW13" i="1"/>
  <c r="M43" i="1"/>
  <c r="AJ42" i="1"/>
  <c r="AB8" i="1"/>
  <c r="AC8" i="1" s="1"/>
  <c r="AD8" i="1" s="1"/>
  <c r="BS56" i="1"/>
  <c r="BQ56" i="1"/>
  <c r="BN56" i="1"/>
  <c r="BL56" i="1"/>
  <c r="BZ56" i="1"/>
  <c r="BZ32" i="51"/>
  <c r="CJ92" i="1"/>
  <c r="CJ88" i="1"/>
  <c r="BH61" i="1"/>
  <c r="AD60" i="1"/>
  <c r="BR56" i="1"/>
  <c r="BM56" i="1"/>
  <c r="AJ54" i="1"/>
  <c r="R49" i="1"/>
  <c r="AJ48" i="1"/>
  <c r="BB44" i="1"/>
  <c r="BO42" i="1"/>
  <c r="AH41" i="1"/>
  <c r="AQ36" i="1"/>
  <c r="AQ88" i="1" s="1"/>
  <c r="X49" i="1"/>
  <c r="AN63" i="1"/>
  <c r="CA42" i="1"/>
  <c r="AJ49" i="1"/>
  <c r="AK9" i="1"/>
  <c r="AK42" i="1" s="1"/>
  <c r="G42" i="1"/>
  <c r="AB25" i="1"/>
  <c r="AB50" i="1" s="1"/>
  <c r="M44" i="1"/>
  <c r="BO60" i="1"/>
  <c r="BZ41" i="1"/>
  <c r="BR41" i="1"/>
  <c r="BC39" i="1"/>
  <c r="AU41" i="1"/>
  <c r="AD54" i="1"/>
  <c r="L49" i="1"/>
  <c r="BA45" i="1"/>
  <c r="AE59" i="1"/>
  <c r="AK59" i="1"/>
  <c r="S49" i="1"/>
  <c r="Y54" i="1"/>
  <c r="S54" i="1"/>
  <c r="BI59" i="1"/>
  <c r="BC59" i="1"/>
  <c r="BC42" i="1"/>
  <c r="AQ59" i="1"/>
  <c r="AQ42" i="1"/>
  <c r="BC43" i="1"/>
  <c r="BI60" i="1"/>
  <c r="S43" i="1"/>
  <c r="S60" i="1"/>
  <c r="Y60" i="1"/>
  <c r="AW59" i="1"/>
  <c r="M42" i="1"/>
  <c r="M59" i="1"/>
  <c r="AW54" i="1"/>
  <c r="AJ59" i="1"/>
  <c r="AY41" i="1"/>
  <c r="BB60" i="1"/>
  <c r="M60" i="1"/>
  <c r="BB59" i="1"/>
  <c r="CA49" i="1"/>
  <c r="I45" i="1"/>
  <c r="X42" i="1"/>
  <c r="L42" i="1"/>
  <c r="AS40" i="1"/>
  <c r="BX62" i="1"/>
  <c r="O62" i="1"/>
  <c r="AP60" i="1"/>
  <c r="L60" i="1"/>
  <c r="BI42" i="1"/>
  <c r="AP42" i="1"/>
  <c r="V41" i="1"/>
  <c r="BC36" i="1"/>
  <c r="BC88" i="1" s="1"/>
  <c r="AE9" i="1"/>
  <c r="AE42" i="1" s="1"/>
  <c r="BB42" i="1"/>
  <c r="AH62" i="1"/>
  <c r="CE92" i="1"/>
  <c r="AN47" i="1"/>
  <c r="AP43" i="1"/>
  <c r="L43" i="1"/>
  <c r="AN25" i="1"/>
  <c r="AG71" i="1"/>
  <c r="BF62" i="1"/>
  <c r="BH59" i="1"/>
  <c r="BI54" i="1"/>
  <c r="BI56" i="1" s="1"/>
  <c r="AP54" i="1"/>
  <c r="M54" i="1"/>
  <c r="AM47" i="1"/>
  <c r="AD43" i="1"/>
  <c r="AW42" i="1"/>
  <c r="AD42" i="1"/>
  <c r="CA36" i="1"/>
  <c r="CA88" i="1" s="1"/>
  <c r="AM25" i="1"/>
  <c r="AM50" i="1" s="1"/>
  <c r="F24" i="1"/>
  <c r="AD11" i="1"/>
  <c r="AD40" i="1" s="1"/>
  <c r="X60" i="1"/>
  <c r="O63" i="1"/>
  <c r="BU29" i="1"/>
  <c r="BI43" i="1"/>
  <c r="O41" i="1"/>
  <c r="AJ39" i="1"/>
  <c r="AQ84" i="1"/>
  <c r="BX71" i="1"/>
  <c r="AZ71" i="1"/>
  <c r="AB71" i="1"/>
  <c r="R60" i="1"/>
  <c r="AD59" i="1"/>
  <c r="L54" i="1"/>
  <c r="AP49" i="1"/>
  <c r="AH47" i="1"/>
  <c r="AB45" i="1"/>
  <c r="AV42" i="1"/>
  <c r="BA41" i="1"/>
  <c r="AJ16" i="1"/>
  <c r="AJ17" i="1" s="1"/>
  <c r="BU72" i="1"/>
  <c r="AV60" i="1"/>
  <c r="AJ60" i="1"/>
  <c r="AV59" i="1"/>
  <c r="O47" i="1"/>
  <c r="R43" i="1"/>
  <c r="K26" i="1"/>
  <c r="K84" i="1"/>
  <c r="K74" i="1" s="1"/>
  <c r="K29" i="1" s="1"/>
  <c r="AD82" i="1"/>
  <c r="AE82" i="1" s="1"/>
  <c r="AJ84" i="1"/>
  <c r="AJ74" i="1" s="1"/>
  <c r="AJ29" i="1" s="1"/>
  <c r="AI74" i="1"/>
  <c r="AI29" i="1" s="1"/>
  <c r="C26" i="1"/>
  <c r="D92" i="1"/>
  <c r="C84" i="1"/>
  <c r="R84" i="1"/>
  <c r="R74" i="1" s="1"/>
  <c r="R29" i="1" s="1"/>
  <c r="CI75" i="1"/>
  <c r="P74" i="1"/>
  <c r="P29" i="1" s="1"/>
  <c r="BC70" i="1"/>
  <c r="CI82" i="1"/>
  <c r="CG82" i="1"/>
  <c r="BE74" i="1"/>
  <c r="BE29" i="1" s="1"/>
  <c r="AT74" i="1"/>
  <c r="AT29" i="1" s="1"/>
  <c r="AV76" i="1"/>
  <c r="AJ72" i="1"/>
  <c r="AK72" i="1" s="1"/>
  <c r="X72" i="1"/>
  <c r="Y72" i="1" s="1"/>
  <c r="BW74" i="1"/>
  <c r="BW29" i="1" s="1"/>
  <c r="CA82" i="1"/>
  <c r="BO82" i="1"/>
  <c r="BO74" i="1" s="1"/>
  <c r="BL74" i="1"/>
  <c r="BL29" i="1" s="1"/>
  <c r="AA74" i="1"/>
  <c r="AA29" i="1" s="1"/>
  <c r="AD75" i="1"/>
  <c r="BX29" i="1"/>
  <c r="AQ70" i="1"/>
  <c r="AV84" i="1"/>
  <c r="AW84" i="1" s="1"/>
  <c r="AS74" i="1"/>
  <c r="AS29" i="1" s="1"/>
  <c r="AW36" i="1"/>
  <c r="AW88" i="1" s="1"/>
  <c r="AT88" i="1"/>
  <c r="M75" i="1"/>
  <c r="AD76" i="1"/>
  <c r="AE76" i="1" s="1"/>
  <c r="AC74" i="1"/>
  <c r="AC29" i="1" s="1"/>
  <c r="F75" i="1"/>
  <c r="G75" i="1" s="1"/>
  <c r="J26" i="1"/>
  <c r="J84" i="1"/>
  <c r="AD84" i="1"/>
  <c r="AE84" i="1" s="1"/>
  <c r="AZ74" i="1"/>
  <c r="AZ29" i="1" s="1"/>
  <c r="S72" i="1"/>
  <c r="BH24" i="1"/>
  <c r="BH25" i="1" s="1"/>
  <c r="BH48" i="1"/>
  <c r="Y23" i="1"/>
  <c r="Y48" i="1" s="1"/>
  <c r="X48" i="1"/>
  <c r="AM8" i="1"/>
  <c r="AH8" i="1"/>
  <c r="AI8" i="1" s="1"/>
  <c r="AJ8" i="1" s="1"/>
  <c r="BB84" i="1"/>
  <c r="BC84" i="1" s="1"/>
  <c r="CA79" i="1"/>
  <c r="CG75" i="1"/>
  <c r="AE70" i="1"/>
  <c r="BC76" i="1"/>
  <c r="AN40" i="1"/>
  <c r="AN41" i="1"/>
  <c r="Y75" i="1"/>
  <c r="BT56" i="1"/>
  <c r="BK56" i="1"/>
  <c r="AK21" i="1"/>
  <c r="AJ24" i="1"/>
  <c r="S12" i="1"/>
  <c r="R16" i="1"/>
  <c r="R42" i="1"/>
  <c r="X59" i="1"/>
  <c r="R59" i="1"/>
  <c r="V17" i="1"/>
  <c r="AB62" i="1"/>
  <c r="BO43" i="1"/>
  <c r="BU60" i="1"/>
  <c r="AQ60" i="1"/>
  <c r="AK60" i="1"/>
  <c r="AP26" i="1"/>
  <c r="AQ26" i="1" s="1"/>
  <c r="R24" i="1"/>
  <c r="R48" i="1"/>
  <c r="BU22" i="1"/>
  <c r="BU24" i="1" s="1"/>
  <c r="BQ24" i="1"/>
  <c r="M22" i="1"/>
  <c r="BO26" i="1"/>
  <c r="W25" i="1"/>
  <c r="BU36" i="1"/>
  <c r="BU88" i="1" s="1"/>
  <c r="R26" i="1"/>
  <c r="BO36" i="1"/>
  <c r="BO88" i="1" s="1"/>
  <c r="S23" i="1"/>
  <c r="S48" i="1" s="1"/>
  <c r="AD26" i="1"/>
  <c r="AE26" i="1" s="1"/>
  <c r="AO25" i="1"/>
  <c r="AC16" i="1"/>
  <c r="AQ21" i="1"/>
  <c r="AQ24" i="1" s="1"/>
  <c r="AP24" i="1"/>
  <c r="G24" i="1"/>
  <c r="AW26" i="1"/>
  <c r="BB23" i="1"/>
  <c r="BC23" i="1" s="1"/>
  <c r="BC48" i="1" s="1"/>
  <c r="BA24" i="1"/>
  <c r="BA25" i="1" s="1"/>
  <c r="AE21" i="1"/>
  <c r="BO15" i="1"/>
  <c r="BI26" i="1"/>
  <c r="AJ26" i="1"/>
  <c r="X26" i="1"/>
  <c r="Y26" i="1" s="1"/>
  <c r="BM24" i="1"/>
  <c r="BO23" i="1"/>
  <c r="BO48" i="1" s="1"/>
  <c r="BY11" i="1"/>
  <c r="BY16" i="1"/>
  <c r="CA10" i="1"/>
  <c r="CA11" i="1" s="1"/>
  <c r="L10" i="1"/>
  <c r="J11" i="1"/>
  <c r="J16" i="1"/>
  <c r="X24" i="1"/>
  <c r="AD14" i="1"/>
  <c r="CA13" i="1"/>
  <c r="BZ16" i="1"/>
  <c r="BR24" i="1"/>
  <c r="AG25" i="1"/>
  <c r="X14" i="1"/>
  <c r="Y14" i="1" s="1"/>
  <c r="BG16" i="1"/>
  <c r="BG17" i="1" s="1"/>
  <c r="BG11" i="1"/>
  <c r="E16" i="1"/>
  <c r="E11" i="1"/>
  <c r="F10" i="1"/>
  <c r="G10" i="1" s="1"/>
  <c r="BI23" i="1"/>
  <c r="BI48" i="1" s="1"/>
  <c r="AK23" i="1"/>
  <c r="D25" i="1"/>
  <c r="BS25" i="1"/>
  <c r="AZ25" i="1"/>
  <c r="BI10" i="1"/>
  <c r="BE11" i="1"/>
  <c r="BE16" i="1"/>
  <c r="AT11" i="1"/>
  <c r="AT16" i="1"/>
  <c r="X10" i="1"/>
  <c r="U11" i="1"/>
  <c r="U16" i="1"/>
  <c r="AV14" i="1"/>
  <c r="AW14" i="1" s="1"/>
  <c r="BC16" i="1"/>
  <c r="AS16" i="1"/>
  <c r="AV10" i="1"/>
  <c r="L23" i="1"/>
  <c r="L48" i="1" s="1"/>
  <c r="CA22" i="1"/>
  <c r="CA24" i="1" s="1"/>
  <c r="BQ16" i="1"/>
  <c r="BQ17" i="1" s="1"/>
  <c r="BQ11" i="1"/>
  <c r="BM11" i="1"/>
  <c r="BM16" i="1"/>
  <c r="BB11" i="1"/>
  <c r="R11" i="1"/>
  <c r="X15" i="1"/>
  <c r="Y15" i="1" s="1"/>
  <c r="AI16" i="1"/>
  <c r="AD23" i="1"/>
  <c r="AD24" i="1" s="1"/>
  <c r="AP15" i="1"/>
  <c r="AQ15" i="1" s="1"/>
  <c r="BU12" i="1"/>
  <c r="BT16" i="1"/>
  <c r="BW11" i="1"/>
  <c r="BW16" i="1"/>
  <c r="BL16" i="1"/>
  <c r="BO10" i="1"/>
  <c r="BO11" i="1" s="1"/>
  <c r="Q11" i="1"/>
  <c r="Q16" i="1"/>
  <c r="BU9" i="1"/>
  <c r="AJ11" i="1"/>
  <c r="BB15" i="1"/>
  <c r="BC15" i="1" s="1"/>
  <c r="AY16" i="1"/>
  <c r="AD15" i="1"/>
  <c r="AE15" i="1" s="1"/>
  <c r="BO14" i="1"/>
  <c r="F14" i="1"/>
  <c r="C16" i="1"/>
  <c r="AP10" i="1"/>
  <c r="AQ10" i="1" s="1"/>
  <c r="P16" i="1"/>
  <c r="S10" i="1"/>
  <c r="S11" i="1" s="1"/>
  <c r="BF17" i="1"/>
  <c r="BF11" i="1"/>
  <c r="BF24" i="1"/>
  <c r="AV15" i="1"/>
  <c r="AW15" i="1" s="1"/>
  <c r="L15" i="1"/>
  <c r="M15" i="1" s="1"/>
  <c r="AP14" i="1"/>
  <c r="S14" i="1"/>
  <c r="AI11" i="1"/>
  <c r="AK10" i="1"/>
  <c r="AE10" i="1"/>
  <c r="AA11" i="1"/>
  <c r="AA16" i="1"/>
  <c r="BN17" i="1"/>
  <c r="BN11" i="1"/>
  <c r="BC11" i="1"/>
  <c r="AM11" i="1"/>
  <c r="BI61" i="1" l="1"/>
  <c r="AJ44" i="1"/>
  <c r="BO29" i="1"/>
  <c r="BI29" i="1"/>
  <c r="CA61" i="1"/>
  <c r="AU25" i="1"/>
  <c r="AU28" i="1" s="1"/>
  <c r="AU62" i="1"/>
  <c r="CE62" i="1"/>
  <c r="CE41" i="1"/>
  <c r="Y84" i="1"/>
  <c r="Y74" i="1" s="1"/>
  <c r="BI74" i="1"/>
  <c r="BR45" i="1"/>
  <c r="AJ45" i="1"/>
  <c r="AU45" i="1"/>
  <c r="BA62" i="1"/>
  <c r="AU47" i="1"/>
  <c r="BI44" i="1"/>
  <c r="AU63" i="1"/>
  <c r="AU71" i="1"/>
  <c r="BA63" i="1"/>
  <c r="AP74" i="1"/>
  <c r="AP29" i="1" s="1"/>
  <c r="AQ29" i="1" s="1"/>
  <c r="BR25" i="1"/>
  <c r="BR28" i="1" s="1"/>
  <c r="AW23" i="1"/>
  <c r="AW48" i="1" s="1"/>
  <c r="AQ74" i="1"/>
  <c r="BI11" i="1"/>
  <c r="AV24" i="1"/>
  <c r="BU74" i="1"/>
  <c r="CK92" i="1"/>
  <c r="CO50" i="1"/>
  <c r="CP50" i="1" s="1"/>
  <c r="BK92" i="1"/>
  <c r="CM36" i="1"/>
  <c r="CM88" i="1" s="1"/>
  <c r="CK88" i="1"/>
  <c r="BY49" i="1"/>
  <c r="O30" i="1"/>
  <c r="O31" i="1" s="1"/>
  <c r="O85" i="1"/>
  <c r="O50" i="1"/>
  <c r="O32" i="1"/>
  <c r="I28" i="1"/>
  <c r="I30" i="1" s="1"/>
  <c r="AB28" i="1"/>
  <c r="AB30" i="1" s="1"/>
  <c r="AB95" i="1" s="1"/>
  <c r="L84" i="1"/>
  <c r="L74" i="1" s="1"/>
  <c r="L29" i="1" s="1"/>
  <c r="O51" i="1"/>
  <c r="AH28" i="1"/>
  <c r="AH30" i="1" s="1"/>
  <c r="AH95" i="1" s="1"/>
  <c r="CD47" i="1"/>
  <c r="BX25" i="1"/>
  <c r="BX28" i="1" s="1"/>
  <c r="BK28" i="1"/>
  <c r="BK30" i="1" s="1"/>
  <c r="AK49" i="1"/>
  <c r="BX45" i="1"/>
  <c r="AW43" i="1"/>
  <c r="S24" i="1"/>
  <c r="BC60" i="1"/>
  <c r="BX63" i="1"/>
  <c r="CC41" i="1"/>
  <c r="AK43" i="1"/>
  <c r="AQ54" i="1"/>
  <c r="AK48" i="1"/>
  <c r="AW60" i="1"/>
  <c r="BX47" i="1"/>
  <c r="CC62" i="1"/>
  <c r="CG36" i="1"/>
  <c r="CG88" i="1" s="1"/>
  <c r="AK29" i="1"/>
  <c r="CA74" i="1"/>
  <c r="AK44" i="1"/>
  <c r="AD16" i="1"/>
  <c r="AD71" i="1" s="1"/>
  <c r="Y24" i="1"/>
  <c r="AM28" i="1"/>
  <c r="AM30" i="1" s="1"/>
  <c r="BC74" i="1"/>
  <c r="BI24" i="1"/>
  <c r="S29" i="1"/>
  <c r="CL92" i="1"/>
  <c r="AE43" i="1"/>
  <c r="AE54" i="1"/>
  <c r="AK54" i="1"/>
  <c r="AN28" i="1"/>
  <c r="AN50" i="1"/>
  <c r="AJ25" i="1"/>
  <c r="AJ50" i="1" s="1"/>
  <c r="AJ71" i="1"/>
  <c r="BC71" i="1"/>
  <c r="AE49" i="1"/>
  <c r="S40" i="1"/>
  <c r="AO41" i="1"/>
  <c r="AI41" i="1"/>
  <c r="AI40" i="1"/>
  <c r="BF25" i="1"/>
  <c r="BF45" i="1"/>
  <c r="BF47" i="1"/>
  <c r="BF63" i="1"/>
  <c r="BU61" i="1"/>
  <c r="BO61" i="1"/>
  <c r="BO44" i="1"/>
  <c r="AJ41" i="1"/>
  <c r="AJ40" i="1"/>
  <c r="BW71" i="1"/>
  <c r="BW62" i="1"/>
  <c r="BW17" i="1"/>
  <c r="BB16" i="1"/>
  <c r="AW44" i="1"/>
  <c r="BC61" i="1"/>
  <c r="U40" i="1"/>
  <c r="U41" i="1"/>
  <c r="Y44" i="1"/>
  <c r="Y61" i="1"/>
  <c r="CA43" i="1"/>
  <c r="CA60" i="1"/>
  <c r="L16" i="1"/>
  <c r="R62" i="1" s="1"/>
  <c r="L39" i="1"/>
  <c r="R58" i="1"/>
  <c r="L58" i="1"/>
  <c r="AC17" i="1"/>
  <c r="AC71" i="1"/>
  <c r="AC62" i="1"/>
  <c r="S42" i="1"/>
  <c r="Y59" i="1"/>
  <c r="S59" i="1"/>
  <c r="AK26" i="1"/>
  <c r="BC40" i="1"/>
  <c r="S44" i="1"/>
  <c r="S61" i="1"/>
  <c r="BO40" i="1"/>
  <c r="BG25" i="1"/>
  <c r="BG45" i="1"/>
  <c r="BG47" i="1"/>
  <c r="BG63" i="1"/>
  <c r="BW41" i="1"/>
  <c r="BW40" i="1"/>
  <c r="AE23" i="1"/>
  <c r="AE48" i="1" s="1"/>
  <c r="AD48" i="1"/>
  <c r="BM17" i="1"/>
  <c r="BS62" i="1"/>
  <c r="BM71" i="1"/>
  <c r="BM62" i="1"/>
  <c r="BB61" i="1"/>
  <c r="AV61" i="1"/>
  <c r="AV44" i="1"/>
  <c r="X16" i="1"/>
  <c r="X11" i="1"/>
  <c r="Y10" i="1"/>
  <c r="X39" i="1"/>
  <c r="X58" i="1"/>
  <c r="AD58" i="1"/>
  <c r="AZ28" i="1"/>
  <c r="AZ50" i="1"/>
  <c r="X44" i="1"/>
  <c r="X61" i="1"/>
  <c r="AD44" i="1"/>
  <c r="AJ61" i="1"/>
  <c r="AD61" i="1"/>
  <c r="CA40" i="1"/>
  <c r="AO28" i="1"/>
  <c r="AO50" i="1"/>
  <c r="L24" i="1"/>
  <c r="J74" i="1"/>
  <c r="J29" i="1" s="1"/>
  <c r="BB74" i="1"/>
  <c r="BB29" i="1" s="1"/>
  <c r="BC29" i="1" s="1"/>
  <c r="AE75" i="1"/>
  <c r="AE74" i="1" s="1"/>
  <c r="AD74" i="1"/>
  <c r="AD29" i="1" s="1"/>
  <c r="AE29" i="1" s="1"/>
  <c r="BT41" i="1"/>
  <c r="BN41" i="1"/>
  <c r="BN40" i="1"/>
  <c r="AP61" i="1"/>
  <c r="AP44" i="1"/>
  <c r="AY17" i="1"/>
  <c r="AY71" i="1"/>
  <c r="AY62" i="1"/>
  <c r="BU11" i="1"/>
  <c r="BU44" i="1"/>
  <c r="BU49" i="1"/>
  <c r="CA54" i="1"/>
  <c r="BU43" i="1"/>
  <c r="BU48" i="1"/>
  <c r="BU54" i="1"/>
  <c r="BU39" i="1"/>
  <c r="BT17" i="1"/>
  <c r="BT62" i="1"/>
  <c r="BT71" i="1"/>
  <c r="BM41" i="1"/>
  <c r="BM40" i="1"/>
  <c r="BS41" i="1"/>
  <c r="M23" i="1"/>
  <c r="AT17" i="1"/>
  <c r="AZ62" i="1"/>
  <c r="AT71" i="1"/>
  <c r="AT62" i="1"/>
  <c r="F16" i="1"/>
  <c r="F17" i="1" s="1"/>
  <c r="F11" i="1"/>
  <c r="F40" i="1" s="1"/>
  <c r="F39" i="1"/>
  <c r="AE14" i="1"/>
  <c r="AE16" i="1" s="1"/>
  <c r="AE71" i="1" s="1"/>
  <c r="W50" i="1"/>
  <c r="W28" i="1"/>
  <c r="CJ75" i="1"/>
  <c r="AK84" i="1"/>
  <c r="AK74" i="1" s="1"/>
  <c r="BN25" i="1"/>
  <c r="BN45" i="1"/>
  <c r="BN63" i="1"/>
  <c r="BN47" i="1"/>
  <c r="BU59" i="1"/>
  <c r="CA59" i="1"/>
  <c r="BU42" i="1"/>
  <c r="AG28" i="1"/>
  <c r="AG50" i="1"/>
  <c r="AK24" i="1"/>
  <c r="K50" i="1"/>
  <c r="K28" i="1"/>
  <c r="R40" i="1"/>
  <c r="BQ40" i="1"/>
  <c r="BQ41" i="1"/>
  <c r="BS28" i="1"/>
  <c r="BS50" i="1"/>
  <c r="BO24" i="1"/>
  <c r="AP16" i="1"/>
  <c r="AP58" i="1"/>
  <c r="AP39" i="1"/>
  <c r="AP11" i="1"/>
  <c r="AI17" i="1"/>
  <c r="AI62" i="1"/>
  <c r="AO62" i="1"/>
  <c r="AI71" i="1"/>
  <c r="AV11" i="1"/>
  <c r="BB41" i="1" s="1"/>
  <c r="AV16" i="1"/>
  <c r="AV39" i="1"/>
  <c r="BB58" i="1"/>
  <c r="AV58" i="1"/>
  <c r="BK41" i="1"/>
  <c r="BE40" i="1"/>
  <c r="BE41" i="1"/>
  <c r="E17" i="1"/>
  <c r="K62" i="1"/>
  <c r="J17" i="1"/>
  <c r="J62" i="1"/>
  <c r="CA16" i="1"/>
  <c r="CA39" i="1"/>
  <c r="CA58" i="1"/>
  <c r="L11" i="1"/>
  <c r="BA28" i="1"/>
  <c r="BA50" i="1"/>
  <c r="L26" i="1"/>
  <c r="S16" i="1"/>
  <c r="S39" i="1"/>
  <c r="BQ25" i="1"/>
  <c r="BQ45" i="1"/>
  <c r="BQ47" i="1"/>
  <c r="BQ63" i="1"/>
  <c r="AZ41" i="1"/>
  <c r="AT40" i="1"/>
  <c r="AT41" i="1"/>
  <c r="K41" i="1"/>
  <c r="E40" i="1"/>
  <c r="V25" i="1"/>
  <c r="V45" i="1"/>
  <c r="AB63" i="1"/>
  <c r="AB47" i="1"/>
  <c r="AS8" i="1"/>
  <c r="AN8" i="1"/>
  <c r="AO8" i="1" s="1"/>
  <c r="AP8" i="1" s="1"/>
  <c r="CJ82" i="1"/>
  <c r="CK82" i="1" s="1"/>
  <c r="CL82" i="1" s="1"/>
  <c r="CO82" i="1" s="1"/>
  <c r="AA17" i="1"/>
  <c r="AG62" i="1"/>
  <c r="AA71" i="1"/>
  <c r="AA62" i="1"/>
  <c r="P17" i="1"/>
  <c r="P62" i="1"/>
  <c r="V62" i="1"/>
  <c r="Q17" i="1"/>
  <c r="W62" i="1"/>
  <c r="Q62" i="1"/>
  <c r="BE17" i="1"/>
  <c r="BK62" i="1"/>
  <c r="BE62" i="1"/>
  <c r="BE71" i="1"/>
  <c r="G39" i="1"/>
  <c r="AV74" i="1"/>
  <c r="AV29" i="1" s="1"/>
  <c r="AW29" i="1" s="1"/>
  <c r="S84" i="1"/>
  <c r="S74" i="1" s="1"/>
  <c r="AQ39" i="1"/>
  <c r="AQ58" i="1"/>
  <c r="AA40" i="1"/>
  <c r="AA41" i="1"/>
  <c r="AG41" i="1"/>
  <c r="Q40" i="1"/>
  <c r="Q41" i="1"/>
  <c r="W41" i="1"/>
  <c r="AM41" i="1"/>
  <c r="AM40" i="1"/>
  <c r="AS41" i="1"/>
  <c r="AE11" i="1"/>
  <c r="AE39" i="1"/>
  <c r="C17" i="1"/>
  <c r="C20" i="1" s="1"/>
  <c r="I62" i="1"/>
  <c r="BO39" i="1"/>
  <c r="BU58" i="1"/>
  <c r="BO16" i="1"/>
  <c r="BO58" i="1"/>
  <c r="AQ11" i="1"/>
  <c r="BQ71" i="1"/>
  <c r="BQ62" i="1"/>
  <c r="AS17" i="1"/>
  <c r="AS62" i="1"/>
  <c r="AS71" i="1"/>
  <c r="BI16" i="1"/>
  <c r="BI58" i="1"/>
  <c r="BI39" i="1"/>
  <c r="BG40" i="1"/>
  <c r="BG41" i="1"/>
  <c r="J40" i="1"/>
  <c r="P41" i="1"/>
  <c r="J41" i="1"/>
  <c r="BY17" i="1"/>
  <c r="BY71" i="1"/>
  <c r="BY62" i="1"/>
  <c r="AW10" i="1"/>
  <c r="S26" i="1"/>
  <c r="CO36" i="1"/>
  <c r="CL88" i="1"/>
  <c r="AW76" i="1"/>
  <c r="AW74" i="1" s="1"/>
  <c r="C74" i="1"/>
  <c r="C29" i="1" s="1"/>
  <c r="AQ14" i="1"/>
  <c r="AK16" i="1"/>
  <c r="AK58" i="1"/>
  <c r="AK39" i="1"/>
  <c r="BL41" i="1"/>
  <c r="BF40" i="1"/>
  <c r="BF41" i="1"/>
  <c r="F44" i="1"/>
  <c r="G14" i="1"/>
  <c r="G16" i="1" s="1"/>
  <c r="G17" i="1" s="1"/>
  <c r="L61" i="1"/>
  <c r="G11" i="1"/>
  <c r="G40" i="1" s="1"/>
  <c r="BL17" i="1"/>
  <c r="BL62" i="1"/>
  <c r="BR62" i="1"/>
  <c r="BL71" i="1"/>
  <c r="BH41" i="1"/>
  <c r="BB40" i="1"/>
  <c r="BC17" i="1"/>
  <c r="U17" i="1"/>
  <c r="U62" i="1"/>
  <c r="BU16" i="1"/>
  <c r="BU17" i="1" s="1"/>
  <c r="BC24" i="1"/>
  <c r="BG62" i="1"/>
  <c r="BG71" i="1"/>
  <c r="BZ17" i="1"/>
  <c r="BZ62" i="1"/>
  <c r="BZ71" i="1"/>
  <c r="M10" i="1"/>
  <c r="S58" i="1" s="1"/>
  <c r="BY41" i="1"/>
  <c r="BY40" i="1"/>
  <c r="AK11" i="1"/>
  <c r="BB24" i="1"/>
  <c r="BB48" i="1"/>
  <c r="R17" i="1"/>
  <c r="BH28" i="1"/>
  <c r="BH50" i="1"/>
  <c r="CA29" i="1"/>
  <c r="D26" i="1"/>
  <c r="D50" i="1" s="1"/>
  <c r="D84" i="1"/>
  <c r="D74" i="1" s="1"/>
  <c r="D29" i="1" s="1"/>
  <c r="E92" i="1"/>
  <c r="CF47" i="1" l="1"/>
  <c r="AU50" i="1"/>
  <c r="BI40" i="1"/>
  <c r="BI41" i="1"/>
  <c r="CE47" i="1"/>
  <c r="CE63" i="1"/>
  <c r="O95" i="1"/>
  <c r="AW24" i="1"/>
  <c r="AB51" i="1"/>
  <c r="AB32" i="1"/>
  <c r="V47" i="1"/>
  <c r="BO41" i="1"/>
  <c r="AB73" i="1"/>
  <c r="AB85" i="1" s="1"/>
  <c r="BR50" i="1"/>
  <c r="BR92" i="1" s="1"/>
  <c r="AB31" i="1"/>
  <c r="M84" i="1"/>
  <c r="M74" i="1" s="1"/>
  <c r="CO92" i="1"/>
  <c r="BY47" i="1"/>
  <c r="M29" i="1"/>
  <c r="BH92" i="1"/>
  <c r="BS92" i="1"/>
  <c r="O66" i="1"/>
  <c r="AH31" i="1"/>
  <c r="I51" i="1"/>
  <c r="AH32" i="1"/>
  <c r="AH103" i="1" s="1"/>
  <c r="I32" i="1"/>
  <c r="O65" i="1" s="1"/>
  <c r="AH51" i="1"/>
  <c r="I73" i="1"/>
  <c r="I86" i="1" s="1"/>
  <c r="I33" i="1" s="1"/>
  <c r="AH73" i="1"/>
  <c r="AH86" i="1" s="1"/>
  <c r="AH33" i="1" s="1"/>
  <c r="AH66" i="1"/>
  <c r="AH99" i="1"/>
  <c r="AH102" i="1" s="1"/>
  <c r="BX50" i="1"/>
  <c r="AD17" i="1"/>
  <c r="AD45" i="1" s="1"/>
  <c r="AJ28" i="1"/>
  <c r="AJ32" i="1" s="1"/>
  <c r="BK99" i="1"/>
  <c r="BK51" i="1"/>
  <c r="BK33" i="1"/>
  <c r="BK32" i="1"/>
  <c r="BK73" i="1"/>
  <c r="BK85" i="1" s="1"/>
  <c r="AJ62" i="1"/>
  <c r="BZ47" i="1"/>
  <c r="BU71" i="1"/>
  <c r="AM73" i="1"/>
  <c r="AM86" i="1" s="1"/>
  <c r="AM33" i="1" s="1"/>
  <c r="AM32" i="1"/>
  <c r="AM103" i="1" s="1"/>
  <c r="BW47" i="1"/>
  <c r="CC47" i="1"/>
  <c r="CC63" i="1"/>
  <c r="BX33" i="1"/>
  <c r="BX99" i="1"/>
  <c r="BX51" i="1"/>
  <c r="BX73" i="1"/>
  <c r="BX32" i="1"/>
  <c r="BX30" i="1"/>
  <c r="AE24" i="1"/>
  <c r="AM66" i="1"/>
  <c r="AM99" i="1"/>
  <c r="AM102" i="1" s="1"/>
  <c r="AM51" i="1"/>
  <c r="BU56" i="1"/>
  <c r="BU32" i="51"/>
  <c r="CA56" i="1"/>
  <c r="CA32" i="51"/>
  <c r="AN32" i="1"/>
  <c r="AN66" i="1"/>
  <c r="AN73" i="1"/>
  <c r="AN99" i="1"/>
  <c r="AN102" i="1" s="1"/>
  <c r="AN51" i="1"/>
  <c r="AN30" i="1"/>
  <c r="V63" i="1"/>
  <c r="G25" i="1"/>
  <c r="G45" i="1"/>
  <c r="J45" i="1"/>
  <c r="J25" i="1"/>
  <c r="J47" i="1"/>
  <c r="J63" i="1"/>
  <c r="BU41" i="1"/>
  <c r="BU40" i="1"/>
  <c r="AE40" i="1"/>
  <c r="AU30" i="1"/>
  <c r="AU32" i="1"/>
  <c r="AU51" i="1"/>
  <c r="AU66" i="1"/>
  <c r="AU73" i="1"/>
  <c r="AU99" i="1"/>
  <c r="AU102" i="1" s="1"/>
  <c r="BB17" i="1"/>
  <c r="BB62" i="1"/>
  <c r="BH62" i="1"/>
  <c r="BB71" i="1"/>
  <c r="AQ61" i="1"/>
  <c r="AQ44" i="1"/>
  <c r="AE17" i="1"/>
  <c r="BQ28" i="1"/>
  <c r="BQ50" i="1"/>
  <c r="E25" i="1"/>
  <c r="E45" i="1"/>
  <c r="K47" i="1"/>
  <c r="K63" i="1"/>
  <c r="BK31" i="1"/>
  <c r="BK95" i="1"/>
  <c r="AA25" i="1"/>
  <c r="AA47" i="1"/>
  <c r="AG63" i="1"/>
  <c r="AA45" i="1"/>
  <c r="AA63" i="1"/>
  <c r="AG47" i="1"/>
  <c r="D28" i="1"/>
  <c r="AP41" i="1"/>
  <c r="AP40" i="1"/>
  <c r="AO32" i="1"/>
  <c r="AO30" i="1"/>
  <c r="AO51" i="1"/>
  <c r="AO99" i="1"/>
  <c r="AO102" i="1" s="1"/>
  <c r="AO73" i="1"/>
  <c r="BM25" i="1"/>
  <c r="BM47" i="1"/>
  <c r="BS63" i="1"/>
  <c r="BS47" i="1"/>
  <c r="BM45" i="1"/>
  <c r="BM63" i="1"/>
  <c r="AC25" i="1"/>
  <c r="AC45" i="1"/>
  <c r="AC47" i="1"/>
  <c r="AC63" i="1"/>
  <c r="BU62" i="1"/>
  <c r="CP82" i="1"/>
  <c r="CQ82" i="1" s="1"/>
  <c r="CR82" i="1" s="1"/>
  <c r="CU82" i="1" s="1"/>
  <c r="BS30" i="1"/>
  <c r="BS32" i="1"/>
  <c r="BS33" i="1"/>
  <c r="BS73" i="1"/>
  <c r="BS51" i="1"/>
  <c r="BS99" i="1"/>
  <c r="AY25" i="1"/>
  <c r="AY45" i="1"/>
  <c r="AY63" i="1"/>
  <c r="AY47" i="1"/>
  <c r="X17" i="1"/>
  <c r="X62" i="1"/>
  <c r="BG28" i="1"/>
  <c r="BG50" i="1"/>
  <c r="CA71" i="1"/>
  <c r="BH32" i="1"/>
  <c r="BH30" i="1"/>
  <c r="BH51" i="1"/>
  <c r="BH99" i="1"/>
  <c r="BH73" i="1"/>
  <c r="M16" i="1"/>
  <c r="S62" i="1" s="1"/>
  <c r="M39" i="1"/>
  <c r="M58" i="1"/>
  <c r="M11" i="1"/>
  <c r="AW11" i="1"/>
  <c r="AW16" i="1"/>
  <c r="AW39" i="1"/>
  <c r="BC58" i="1"/>
  <c r="AW58" i="1"/>
  <c r="BR33" i="1"/>
  <c r="BR30" i="1"/>
  <c r="BR32" i="1"/>
  <c r="BR51" i="1"/>
  <c r="BX66" i="1"/>
  <c r="BR99" i="1"/>
  <c r="BR73" i="1"/>
  <c r="AS47" i="1"/>
  <c r="AS63" i="1"/>
  <c r="AS45" i="1"/>
  <c r="AS25" i="1"/>
  <c r="CM82" i="1"/>
  <c r="V50" i="1"/>
  <c r="V28" i="1"/>
  <c r="AK61" i="1"/>
  <c r="AE61" i="1"/>
  <c r="AE44" i="1"/>
  <c r="CA41" i="1"/>
  <c r="L62" i="1"/>
  <c r="L17" i="1"/>
  <c r="BF28" i="1"/>
  <c r="BF50" i="1"/>
  <c r="BZ25" i="1"/>
  <c r="BZ45" i="1"/>
  <c r="BZ63" i="1"/>
  <c r="AQ41" i="1"/>
  <c r="AQ40" i="1"/>
  <c r="AK62" i="1"/>
  <c r="AK71" i="1"/>
  <c r="AK17" i="1"/>
  <c r="K32" i="1"/>
  <c r="K30" i="1"/>
  <c r="K73" i="1"/>
  <c r="K51" i="1"/>
  <c r="BO62" i="1"/>
  <c r="BO17" i="1"/>
  <c r="AI25" i="1"/>
  <c r="AI47" i="1"/>
  <c r="AO47" i="1"/>
  <c r="AI63" i="1"/>
  <c r="AO63" i="1"/>
  <c r="AI45" i="1"/>
  <c r="BI71" i="1"/>
  <c r="AV17" i="1"/>
  <c r="AV62" i="1"/>
  <c r="AV71" i="1"/>
  <c r="W30" i="1"/>
  <c r="W51" i="1"/>
  <c r="W73" i="1"/>
  <c r="W32" i="1"/>
  <c r="Q47" i="1"/>
  <c r="W63" i="1"/>
  <c r="Q45" i="1"/>
  <c r="W47" i="1"/>
  <c r="Q25" i="1"/>
  <c r="Q63" i="1"/>
  <c r="AV40" i="1"/>
  <c r="AV41" i="1"/>
  <c r="CK75" i="1"/>
  <c r="U25" i="1"/>
  <c r="U45" i="1"/>
  <c r="U47" i="1"/>
  <c r="U63" i="1"/>
  <c r="C25" i="1"/>
  <c r="C45" i="1"/>
  <c r="I47" i="1"/>
  <c r="I63" i="1"/>
  <c r="AQ16" i="1"/>
  <c r="BE25" i="1"/>
  <c r="BK47" i="1"/>
  <c r="BE47" i="1"/>
  <c r="BK63" i="1"/>
  <c r="BE45" i="1"/>
  <c r="BE63" i="1"/>
  <c r="S17" i="1"/>
  <c r="CA17" i="1"/>
  <c r="CA62" i="1"/>
  <c r="AP17" i="1"/>
  <c r="AP62" i="1"/>
  <c r="AP71" i="1"/>
  <c r="AG30" i="1"/>
  <c r="AG32" i="1"/>
  <c r="AG73" i="1"/>
  <c r="AG51" i="1"/>
  <c r="AG99" i="1"/>
  <c r="AG102" i="1" s="1"/>
  <c r="AZ30" i="1"/>
  <c r="AZ32" i="1"/>
  <c r="AZ73" i="1"/>
  <c r="AZ51" i="1"/>
  <c r="AZ99" i="1"/>
  <c r="AW61" i="1"/>
  <c r="AW67" i="1" s="1"/>
  <c r="E26" i="1"/>
  <c r="F92" i="1"/>
  <c r="E84" i="1"/>
  <c r="E74" i="1" s="1"/>
  <c r="E29" i="1" s="1"/>
  <c r="BY25" i="1"/>
  <c r="BY45" i="1"/>
  <c r="BY63" i="1"/>
  <c r="BT25" i="1"/>
  <c r="BT47" i="1"/>
  <c r="BT63" i="1"/>
  <c r="BT45" i="1"/>
  <c r="AT25" i="1"/>
  <c r="AT47" i="1"/>
  <c r="AZ63" i="1"/>
  <c r="AT45" i="1"/>
  <c r="AT63" i="1"/>
  <c r="AZ47" i="1"/>
  <c r="BU25" i="1"/>
  <c r="BU45" i="1"/>
  <c r="I31" i="1"/>
  <c r="I95" i="1"/>
  <c r="AK40" i="1"/>
  <c r="AK41" i="1"/>
  <c r="G44" i="1"/>
  <c r="M61" i="1"/>
  <c r="CP36" i="1"/>
  <c r="CO88" i="1"/>
  <c r="BI62" i="1"/>
  <c r="BI17" i="1"/>
  <c r="BA30" i="1"/>
  <c r="BA32" i="1"/>
  <c r="BA51" i="1"/>
  <c r="BA66" i="1"/>
  <c r="BA73" i="1"/>
  <c r="BA99" i="1"/>
  <c r="M48" i="1"/>
  <c r="M24" i="1"/>
  <c r="Y16" i="1"/>
  <c r="AE62" i="1" s="1"/>
  <c r="Y39" i="1"/>
  <c r="Y58" i="1"/>
  <c r="Y11" i="1"/>
  <c r="CQ50" i="1"/>
  <c r="CP92" i="1"/>
  <c r="BW25" i="1"/>
  <c r="BW45" i="1"/>
  <c r="BW63" i="1"/>
  <c r="L40" i="1"/>
  <c r="L41" i="1"/>
  <c r="F25" i="1"/>
  <c r="F45" i="1"/>
  <c r="AD41" i="1"/>
  <c r="X40" i="1"/>
  <c r="X41" i="1"/>
  <c r="BO71" i="1"/>
  <c r="R25" i="1"/>
  <c r="R45" i="1"/>
  <c r="BC25" i="1"/>
  <c r="BC45" i="1"/>
  <c r="BL25" i="1"/>
  <c r="BL47" i="1"/>
  <c r="BR47" i="1"/>
  <c r="BL63" i="1"/>
  <c r="BR63" i="1"/>
  <c r="BL45" i="1"/>
  <c r="AE58" i="1"/>
  <c r="AD62" i="1"/>
  <c r="P25" i="1"/>
  <c r="P47" i="1"/>
  <c r="P45" i="1"/>
  <c r="P63" i="1"/>
  <c r="AY8" i="1"/>
  <c r="AT8" i="1"/>
  <c r="AU8" i="1" s="1"/>
  <c r="AV8" i="1" s="1"/>
  <c r="M26" i="1"/>
  <c r="R41" i="1"/>
  <c r="BN28" i="1"/>
  <c r="BN50" i="1"/>
  <c r="AM31" i="1"/>
  <c r="AM95" i="1"/>
  <c r="AJ51" i="1" l="1"/>
  <c r="AB86" i="1"/>
  <c r="AB33" i="1" s="1"/>
  <c r="AJ99" i="1"/>
  <c r="AJ102" i="1" s="1"/>
  <c r="AJ30" i="1"/>
  <c r="AJ95" i="1" s="1"/>
  <c r="R47" i="1"/>
  <c r="I85" i="1"/>
  <c r="AJ47" i="1"/>
  <c r="AH65" i="1"/>
  <c r="AD63" i="1"/>
  <c r="AD25" i="1"/>
  <c r="AD28" i="1" s="1"/>
  <c r="AJ63" i="1"/>
  <c r="AH85" i="1"/>
  <c r="BG92" i="1"/>
  <c r="BQ92" i="1"/>
  <c r="BN92" i="1"/>
  <c r="BR103" i="1"/>
  <c r="BS103" i="1"/>
  <c r="BX103" i="1"/>
  <c r="BK103" i="1"/>
  <c r="AJ73" i="1"/>
  <c r="AJ85" i="1" s="1"/>
  <c r="BX92" i="1"/>
  <c r="AM85" i="1"/>
  <c r="E50" i="1"/>
  <c r="BK86" i="1"/>
  <c r="CA47" i="1"/>
  <c r="BU47" i="1"/>
  <c r="BX86" i="1"/>
  <c r="BX85" i="1"/>
  <c r="BX31" i="1"/>
  <c r="BX95" i="1"/>
  <c r="BU63" i="1"/>
  <c r="F84" i="1"/>
  <c r="F74" i="1" s="1"/>
  <c r="F29" i="1" s="1"/>
  <c r="G29" i="1" s="1"/>
  <c r="F26" i="1"/>
  <c r="F28" i="1" s="1"/>
  <c r="AN31" i="1"/>
  <c r="AN95" i="1"/>
  <c r="AN86" i="1"/>
  <c r="AN33" i="1" s="1"/>
  <c r="AN85" i="1"/>
  <c r="AN103" i="1"/>
  <c r="AN65" i="1"/>
  <c r="Y41" i="1"/>
  <c r="Y40" i="1"/>
  <c r="AZ103" i="1"/>
  <c r="CV82" i="1"/>
  <c r="CW82" i="1" s="1"/>
  <c r="CX82" i="1" s="1"/>
  <c r="D30" i="1"/>
  <c r="D32" i="1"/>
  <c r="D51" i="1"/>
  <c r="D73" i="1"/>
  <c r="AA28" i="1"/>
  <c r="AA50" i="1"/>
  <c r="AT28" i="1"/>
  <c r="AT50" i="1"/>
  <c r="AZ31" i="1"/>
  <c r="AZ95" i="1"/>
  <c r="CI49" i="1"/>
  <c r="AI28" i="1"/>
  <c r="AI50" i="1"/>
  <c r="BF30" i="1"/>
  <c r="BF32" i="1"/>
  <c r="BF51" i="1"/>
  <c r="BF66" i="1"/>
  <c r="BF73" i="1"/>
  <c r="BF99" i="1"/>
  <c r="BR31" i="1"/>
  <c r="BR95" i="1"/>
  <c r="BA65" i="1"/>
  <c r="BA103" i="1"/>
  <c r="BX65" i="1"/>
  <c r="BH103" i="1"/>
  <c r="BB47" i="1"/>
  <c r="BB45" i="1"/>
  <c r="BB63" i="1"/>
  <c r="BH63" i="1"/>
  <c r="BH47" i="1"/>
  <c r="BB25" i="1"/>
  <c r="BY28" i="1"/>
  <c r="BY50" i="1"/>
  <c r="AG103" i="1"/>
  <c r="X25" i="1"/>
  <c r="X47" i="1"/>
  <c r="X63" i="1"/>
  <c r="X45" i="1"/>
  <c r="AU31" i="1"/>
  <c r="AU95" i="1"/>
  <c r="AQ62" i="1"/>
  <c r="AQ17" i="1"/>
  <c r="AQ71" i="1"/>
  <c r="K86" i="1"/>
  <c r="K33" i="1" s="1"/>
  <c r="K85" i="1"/>
  <c r="BH31" i="1"/>
  <c r="BH95" i="1"/>
  <c r="AE41" i="1"/>
  <c r="BU28" i="1"/>
  <c r="BU50" i="1"/>
  <c r="AV25" i="1"/>
  <c r="AV45" i="1"/>
  <c r="AV47" i="1"/>
  <c r="AV63" i="1"/>
  <c r="K31" i="1"/>
  <c r="K95" i="1"/>
  <c r="L25" i="1"/>
  <c r="L45" i="1"/>
  <c r="L47" i="1"/>
  <c r="L63" i="1"/>
  <c r="BS85" i="1"/>
  <c r="BS86" i="1"/>
  <c r="J28" i="1"/>
  <c r="J50" i="1"/>
  <c r="BC28" i="1"/>
  <c r="BC50" i="1"/>
  <c r="BA31" i="1"/>
  <c r="BA95" i="1"/>
  <c r="BR86" i="1"/>
  <c r="BR85" i="1"/>
  <c r="AD47" i="1"/>
  <c r="P28" i="1"/>
  <c r="P50" i="1"/>
  <c r="BW28" i="1"/>
  <c r="BW50" i="1"/>
  <c r="AP25" i="1"/>
  <c r="AP63" i="1"/>
  <c r="AP45" i="1"/>
  <c r="AP47" i="1"/>
  <c r="W85" i="1"/>
  <c r="W86" i="1"/>
  <c r="W33" i="1" s="1"/>
  <c r="BE8" i="1"/>
  <c r="AZ8" i="1"/>
  <c r="BA8" i="1" s="1"/>
  <c r="BB8" i="1" s="1"/>
  <c r="AO86" i="1"/>
  <c r="AO33" i="1" s="1"/>
  <c r="AO85" i="1"/>
  <c r="R28" i="1"/>
  <c r="R50" i="1"/>
  <c r="AG31" i="1"/>
  <c r="AG95" i="1"/>
  <c r="M41" i="1"/>
  <c r="M40" i="1"/>
  <c r="S41" i="1"/>
  <c r="AM65" i="1"/>
  <c r="U28" i="1"/>
  <c r="U50" i="1"/>
  <c r="BQ33" i="1"/>
  <c r="BQ30" i="1"/>
  <c r="BQ73" i="1"/>
  <c r="BQ51" i="1"/>
  <c r="BQ66" i="1"/>
  <c r="BQ99" i="1"/>
  <c r="BQ32" i="1"/>
  <c r="BN30" i="1"/>
  <c r="BN32" i="1"/>
  <c r="BN33" i="1"/>
  <c r="BN51" i="1"/>
  <c r="BN66" i="1"/>
  <c r="BN73" i="1"/>
  <c r="BN99" i="1"/>
  <c r="Y62" i="1"/>
  <c r="Y17" i="1"/>
  <c r="BO25" i="1"/>
  <c r="BO45" i="1"/>
  <c r="BO63" i="1"/>
  <c r="BO47" i="1"/>
  <c r="V32" i="1"/>
  <c r="V30" i="1"/>
  <c r="V51" i="1"/>
  <c r="V73" i="1"/>
  <c r="AB66" i="1"/>
  <c r="BI25" i="1"/>
  <c r="BI63" i="1"/>
  <c r="BI45" i="1"/>
  <c r="BI47" i="1"/>
  <c r="CL75" i="1"/>
  <c r="CM75" i="1" s="1"/>
  <c r="Q28" i="1"/>
  <c r="Q50" i="1"/>
  <c r="AK25" i="1"/>
  <c r="AK63" i="1"/>
  <c r="AK45" i="1"/>
  <c r="AK47" i="1"/>
  <c r="M62" i="1"/>
  <c r="M17" i="1"/>
  <c r="AO31" i="1"/>
  <c r="AO95" i="1"/>
  <c r="AE25" i="1"/>
  <c r="AE45" i="1"/>
  <c r="AU86" i="1"/>
  <c r="AU33" i="1" s="1"/>
  <c r="AU85" i="1"/>
  <c r="C28" i="1"/>
  <c r="C50" i="1"/>
  <c r="BH86" i="1"/>
  <c r="BH33" i="1" s="1"/>
  <c r="BH85" i="1"/>
  <c r="AO103" i="1"/>
  <c r="AJ103" i="1"/>
  <c r="BT50" i="1"/>
  <c r="BT28" i="1"/>
  <c r="AZ85" i="1"/>
  <c r="AZ86" i="1"/>
  <c r="AZ33" i="1" s="1"/>
  <c r="AG85" i="1"/>
  <c r="AG86" i="1"/>
  <c r="AG33" i="1" s="1"/>
  <c r="CA25" i="1"/>
  <c r="CA45" i="1"/>
  <c r="CA63" i="1"/>
  <c r="AS28" i="1"/>
  <c r="AS50" i="1"/>
  <c r="AW62" i="1"/>
  <c r="AW17" i="1"/>
  <c r="AW71" i="1"/>
  <c r="BC62" i="1"/>
  <c r="BG30" i="1"/>
  <c r="BG51" i="1"/>
  <c r="BG66" i="1"/>
  <c r="BG73" i="1"/>
  <c r="BG32" i="1"/>
  <c r="BG99" i="1"/>
  <c r="BS31" i="1"/>
  <c r="BS95" i="1"/>
  <c r="AC28" i="1"/>
  <c r="AC50" i="1"/>
  <c r="BM28" i="1"/>
  <c r="BM50" i="1"/>
  <c r="BL28" i="1"/>
  <c r="BL50" i="1"/>
  <c r="R63" i="1"/>
  <c r="CQ92" i="1"/>
  <c r="CR50" i="1"/>
  <c r="BA85" i="1"/>
  <c r="BA86" i="1"/>
  <c r="BA33" i="1" s="1"/>
  <c r="CP88" i="1"/>
  <c r="CQ36" i="1"/>
  <c r="S25" i="1"/>
  <c r="S45" i="1"/>
  <c r="BE28" i="1"/>
  <c r="BE50" i="1"/>
  <c r="W31" i="1"/>
  <c r="W95" i="1"/>
  <c r="BZ28" i="1"/>
  <c r="BZ50" i="1"/>
  <c r="AW40" i="1"/>
  <c r="AW41" i="1"/>
  <c r="BC41" i="1"/>
  <c r="AY28" i="1"/>
  <c r="AY50" i="1"/>
  <c r="CS82" i="1"/>
  <c r="E28" i="1"/>
  <c r="AU65" i="1"/>
  <c r="AU103" i="1"/>
  <c r="AJ86" i="1" l="1"/>
  <c r="AJ33" i="1" s="1"/>
  <c r="AJ31" i="1"/>
  <c r="AD50" i="1"/>
  <c r="CE66" i="1"/>
  <c r="S47" i="1"/>
  <c r="AE47" i="1"/>
  <c r="BE92" i="1"/>
  <c r="BF92" i="1" s="1"/>
  <c r="BL92" i="1"/>
  <c r="BM92" i="1"/>
  <c r="BT92" i="1"/>
  <c r="BY92" i="1"/>
  <c r="BZ92" i="1"/>
  <c r="BC92" i="1"/>
  <c r="BU92" i="1"/>
  <c r="BN103" i="1"/>
  <c r="BQ103" i="1"/>
  <c r="G84" i="1"/>
  <c r="G74" i="1" s="1"/>
  <c r="CC66" i="1"/>
  <c r="S63" i="1"/>
  <c r="G26" i="1"/>
  <c r="G50" i="1" s="1"/>
  <c r="BW92" i="1"/>
  <c r="F73" i="1"/>
  <c r="F85" i="1" s="1"/>
  <c r="F51" i="1"/>
  <c r="F32" i="1"/>
  <c r="F30" i="1"/>
  <c r="F31" i="1" s="1"/>
  <c r="F50" i="1"/>
  <c r="CU50" i="1"/>
  <c r="CR92" i="1"/>
  <c r="V86" i="1"/>
  <c r="V33" i="1" s="1"/>
  <c r="V85" i="1"/>
  <c r="BF65" i="1"/>
  <c r="BF103" i="1"/>
  <c r="BM32" i="1"/>
  <c r="BM30" i="1"/>
  <c r="BM33" i="1"/>
  <c r="BM51" i="1"/>
  <c r="BM73" i="1"/>
  <c r="BM99" i="1"/>
  <c r="BM66" i="1"/>
  <c r="BS66" i="1"/>
  <c r="CO75" i="1"/>
  <c r="BO28" i="1"/>
  <c r="BO50" i="1"/>
  <c r="CY82" i="1"/>
  <c r="BG85" i="1"/>
  <c r="BG86" i="1"/>
  <c r="BG33" i="1" s="1"/>
  <c r="CA28" i="1"/>
  <c r="CA50" i="1"/>
  <c r="AP28" i="1"/>
  <c r="AP50" i="1"/>
  <c r="BZ33" i="1"/>
  <c r="BZ30" i="1"/>
  <c r="BZ32" i="1"/>
  <c r="BZ51" i="1"/>
  <c r="BZ73" i="1"/>
  <c r="BZ99" i="1"/>
  <c r="BZ66" i="1"/>
  <c r="AW45" i="1"/>
  <c r="AW47" i="1"/>
  <c r="AW25" i="1"/>
  <c r="AW63" i="1"/>
  <c r="BC63" i="1"/>
  <c r="BC47" i="1"/>
  <c r="BN85" i="1"/>
  <c r="BN86" i="1"/>
  <c r="BY33" i="1"/>
  <c r="BY30" i="1"/>
  <c r="BY32" i="1"/>
  <c r="BY51" i="1"/>
  <c r="BY73" i="1"/>
  <c r="BY66" i="1"/>
  <c r="BY99" i="1"/>
  <c r="BF31" i="1"/>
  <c r="BF95" i="1"/>
  <c r="AY30" i="1"/>
  <c r="AY32" i="1"/>
  <c r="AY51" i="1"/>
  <c r="AY66" i="1"/>
  <c r="AY99" i="1"/>
  <c r="AY73" i="1"/>
  <c r="AS32" i="1"/>
  <c r="AS30" i="1"/>
  <c r="AS66" i="1"/>
  <c r="AS51" i="1"/>
  <c r="AS73" i="1"/>
  <c r="AS99" i="1"/>
  <c r="AS102" i="1" s="1"/>
  <c r="S28" i="1"/>
  <c r="S50" i="1"/>
  <c r="BT32" i="1"/>
  <c r="BT30" i="1"/>
  <c r="BT66" i="1"/>
  <c r="BT73" i="1"/>
  <c r="BT33" i="1"/>
  <c r="BT51" i="1"/>
  <c r="BT99" i="1"/>
  <c r="P32" i="1"/>
  <c r="P30" i="1"/>
  <c r="P51" i="1"/>
  <c r="P66" i="1"/>
  <c r="P73" i="1"/>
  <c r="BG65" i="1"/>
  <c r="BG103" i="1"/>
  <c r="V66" i="1"/>
  <c r="U32" i="1"/>
  <c r="U65" i="1" s="1"/>
  <c r="U51" i="1"/>
  <c r="U66" i="1"/>
  <c r="U73" i="1"/>
  <c r="U30" i="1"/>
  <c r="AT32" i="1"/>
  <c r="AT51" i="1"/>
  <c r="AT30" i="1"/>
  <c r="AT66" i="1"/>
  <c r="AT99" i="1"/>
  <c r="AT102" i="1" s="1"/>
  <c r="AT73" i="1"/>
  <c r="AZ66" i="1"/>
  <c r="AE28" i="1"/>
  <c r="AE50" i="1"/>
  <c r="BI28" i="1"/>
  <c r="BI50" i="1"/>
  <c r="BQ86" i="1"/>
  <c r="BQ85" i="1"/>
  <c r="BB28" i="1"/>
  <c r="BB50" i="1"/>
  <c r="AC30" i="1"/>
  <c r="AC51" i="1"/>
  <c r="AC73" i="1"/>
  <c r="AC66" i="1"/>
  <c r="AC32" i="1"/>
  <c r="AC65" i="1" s="1"/>
  <c r="V31" i="1"/>
  <c r="V95" i="1"/>
  <c r="BN65" i="1"/>
  <c r="BQ31" i="1"/>
  <c r="BQ95" i="1"/>
  <c r="BK8" i="1"/>
  <c r="BF8" i="1"/>
  <c r="BG8" i="1" s="1"/>
  <c r="BH8" i="1" s="1"/>
  <c r="J30" i="1"/>
  <c r="J32" i="1"/>
  <c r="J65" i="1" s="1"/>
  <c r="J51" i="1"/>
  <c r="J73" i="1"/>
  <c r="J66" i="1"/>
  <c r="AV28" i="1"/>
  <c r="AV50" i="1"/>
  <c r="AI32" i="1"/>
  <c r="AI30" i="1"/>
  <c r="AI66" i="1"/>
  <c r="AI99" i="1"/>
  <c r="AI102" i="1" s="1"/>
  <c r="AI73" i="1"/>
  <c r="AI51" i="1"/>
  <c r="AO66" i="1"/>
  <c r="AA32" i="1"/>
  <c r="AA30" i="1"/>
  <c r="AA51" i="1"/>
  <c r="AA66" i="1"/>
  <c r="AA73" i="1"/>
  <c r="AG66" i="1"/>
  <c r="BE30" i="1"/>
  <c r="BE32" i="1"/>
  <c r="BE51" i="1"/>
  <c r="BE66" i="1"/>
  <c r="BE73" i="1"/>
  <c r="BE99" i="1"/>
  <c r="BK66" i="1"/>
  <c r="CR36" i="1"/>
  <c r="CQ88" i="1"/>
  <c r="BL32" i="1"/>
  <c r="BL30" i="1"/>
  <c r="BL33" i="1"/>
  <c r="BL66" i="1"/>
  <c r="BL51" i="1"/>
  <c r="BL99" i="1"/>
  <c r="BL73" i="1"/>
  <c r="BR66" i="1"/>
  <c r="C51" i="1"/>
  <c r="C30" i="1"/>
  <c r="C73" i="1"/>
  <c r="C32" i="1"/>
  <c r="I65" i="1" s="1"/>
  <c r="I66" i="1"/>
  <c r="AD32" i="1"/>
  <c r="AD30" i="1"/>
  <c r="AD73" i="1"/>
  <c r="AD51" i="1"/>
  <c r="AJ66" i="1"/>
  <c r="AK28" i="1"/>
  <c r="AK50" i="1"/>
  <c r="AB65" i="1"/>
  <c r="BQ65" i="1"/>
  <c r="R30" i="1"/>
  <c r="R32" i="1"/>
  <c r="R51" i="1"/>
  <c r="R73" i="1"/>
  <c r="BW30" i="1"/>
  <c r="BW32" i="1"/>
  <c r="BW51" i="1"/>
  <c r="BW33" i="1"/>
  <c r="BW66" i="1"/>
  <c r="BW73" i="1"/>
  <c r="BW99" i="1"/>
  <c r="L28" i="1"/>
  <c r="R66" i="1" s="1"/>
  <c r="L50" i="1"/>
  <c r="CJ49" i="1"/>
  <c r="D85" i="1"/>
  <c r="D86" i="1"/>
  <c r="D33" i="1" s="1"/>
  <c r="E32" i="1"/>
  <c r="K65" i="1" s="1"/>
  <c r="E30" i="1"/>
  <c r="E51" i="1"/>
  <c r="E73" i="1"/>
  <c r="K66" i="1"/>
  <c r="BG31" i="1"/>
  <c r="BG95" i="1"/>
  <c r="Y25" i="1"/>
  <c r="Y47" i="1"/>
  <c r="Y63" i="1"/>
  <c r="Y45" i="1"/>
  <c r="BN31" i="1"/>
  <c r="BN95" i="1"/>
  <c r="CG71" i="1"/>
  <c r="BU32" i="1"/>
  <c r="BU30" i="1"/>
  <c r="BU95" i="1" s="1"/>
  <c r="BU73" i="1"/>
  <c r="BU51" i="1"/>
  <c r="BU99" i="1"/>
  <c r="BU102" i="1" s="1"/>
  <c r="BF86" i="1"/>
  <c r="BF33" i="1" s="1"/>
  <c r="BF85" i="1"/>
  <c r="AQ25" i="1"/>
  <c r="AQ47" i="1"/>
  <c r="AQ63" i="1"/>
  <c r="AQ45" i="1"/>
  <c r="AE63" i="1"/>
  <c r="M25" i="1"/>
  <c r="M47" i="1"/>
  <c r="M63" i="1"/>
  <c r="M45" i="1"/>
  <c r="Q32" i="1"/>
  <c r="Q51" i="1"/>
  <c r="Q30" i="1"/>
  <c r="Q66" i="1"/>
  <c r="Q73" i="1"/>
  <c r="W66" i="1"/>
  <c r="BC32" i="1"/>
  <c r="BC51" i="1"/>
  <c r="BC73" i="1"/>
  <c r="BC30" i="1"/>
  <c r="BC99" i="1"/>
  <c r="BC102" i="1" s="1"/>
  <c r="X28" i="1"/>
  <c r="X50" i="1"/>
  <c r="D31" i="1"/>
  <c r="D95" i="1"/>
  <c r="CE65" i="1" l="1"/>
  <c r="CS36" i="1"/>
  <c r="CS88" i="1" s="1"/>
  <c r="BB92" i="1"/>
  <c r="BI92" i="1"/>
  <c r="BO92" i="1"/>
  <c r="CA92" i="1"/>
  <c r="BY103" i="1"/>
  <c r="BY65" i="1"/>
  <c r="BW103" i="1"/>
  <c r="BU103" i="1"/>
  <c r="BR65" i="1"/>
  <c r="BT65" i="1"/>
  <c r="BT103" i="1"/>
  <c r="BZ103" i="1"/>
  <c r="BS65" i="1"/>
  <c r="BU66" i="1"/>
  <c r="G28" i="1"/>
  <c r="G32" i="1" s="1"/>
  <c r="F86" i="1"/>
  <c r="F33" i="1" s="1"/>
  <c r="F95" i="1"/>
  <c r="P65" i="1"/>
  <c r="BZ65" i="1"/>
  <c r="BU33" i="1"/>
  <c r="AQ28" i="1"/>
  <c r="AQ50" i="1"/>
  <c r="AW28" i="1"/>
  <c r="AW50" i="1"/>
  <c r="Q86" i="1"/>
  <c r="Q33" i="1" s="1"/>
  <c r="Q85" i="1"/>
  <c r="R31" i="1"/>
  <c r="R95" i="1"/>
  <c r="C31" i="1"/>
  <c r="C95" i="1"/>
  <c r="BL31" i="1"/>
  <c r="BL95" i="1"/>
  <c r="AA31" i="1"/>
  <c r="AA95" i="1"/>
  <c r="AT31" i="1"/>
  <c r="AT95" i="1"/>
  <c r="AS65" i="1"/>
  <c r="AS103" i="1"/>
  <c r="BZ31" i="1"/>
  <c r="BZ95" i="1"/>
  <c r="CK49" i="1"/>
  <c r="BL65" i="1"/>
  <c r="BL103" i="1"/>
  <c r="AA65" i="1"/>
  <c r="AG65" i="1"/>
  <c r="BQ8" i="1"/>
  <c r="BL8" i="1"/>
  <c r="BM8" i="1" s="1"/>
  <c r="BN8" i="1" s="1"/>
  <c r="AC31" i="1"/>
  <c r="AC95" i="1"/>
  <c r="BI30" i="1"/>
  <c r="BI32" i="1"/>
  <c r="BI66" i="1"/>
  <c r="BI51" i="1"/>
  <c r="BI73" i="1"/>
  <c r="BI99" i="1"/>
  <c r="BI102" i="1" s="1"/>
  <c r="AY86" i="1"/>
  <c r="AY33" i="1" s="1"/>
  <c r="AY85" i="1"/>
  <c r="Q31" i="1"/>
  <c r="Q95" i="1"/>
  <c r="Y28" i="1"/>
  <c r="AE66" i="1" s="1"/>
  <c r="Y50" i="1"/>
  <c r="AD86" i="1"/>
  <c r="AD33" i="1" s="1"/>
  <c r="AD85" i="1"/>
  <c r="BE65" i="1"/>
  <c r="BE103" i="1"/>
  <c r="BK65" i="1"/>
  <c r="AV51" i="1"/>
  <c r="AV30" i="1"/>
  <c r="AV73" i="1"/>
  <c r="AV66" i="1"/>
  <c r="AV32" i="1"/>
  <c r="AV99" i="1"/>
  <c r="AV102" i="1" s="1"/>
  <c r="AT65" i="1"/>
  <c r="AT103" i="1"/>
  <c r="AZ65" i="1"/>
  <c r="S30" i="1"/>
  <c r="S32" i="1"/>
  <c r="S51" i="1"/>
  <c r="S73" i="1"/>
  <c r="BE86" i="1"/>
  <c r="BE33" i="1" s="1"/>
  <c r="BE85" i="1"/>
  <c r="J31" i="1"/>
  <c r="J95" i="1"/>
  <c r="AC86" i="1"/>
  <c r="AC33" i="1" s="1"/>
  <c r="AC85" i="1"/>
  <c r="AS31" i="1"/>
  <c r="AS95" i="1"/>
  <c r="M28" i="1"/>
  <c r="S66" i="1" s="1"/>
  <c r="M50" i="1"/>
  <c r="BC31" i="1"/>
  <c r="BC95" i="1"/>
  <c r="E85" i="1"/>
  <c r="E86" i="1"/>
  <c r="E33" i="1" s="1"/>
  <c r="BW31" i="1"/>
  <c r="BW95" i="1"/>
  <c r="AD31" i="1"/>
  <c r="AD95" i="1"/>
  <c r="BL85" i="1"/>
  <c r="BL86" i="1"/>
  <c r="BE31" i="1"/>
  <c r="BE95" i="1"/>
  <c r="BB32" i="1"/>
  <c r="BB30" i="1"/>
  <c r="BB51" i="1"/>
  <c r="BB73" i="1"/>
  <c r="BB99" i="1"/>
  <c r="BB66" i="1"/>
  <c r="BH66" i="1"/>
  <c r="AE30" i="1"/>
  <c r="AE32" i="1"/>
  <c r="AE51" i="1"/>
  <c r="AE73" i="1"/>
  <c r="P85" i="1"/>
  <c r="P86" i="1"/>
  <c r="P33" i="1" s="1"/>
  <c r="BY86" i="1"/>
  <c r="BY85" i="1"/>
  <c r="AP30" i="1"/>
  <c r="AP66" i="1"/>
  <c r="AP51" i="1"/>
  <c r="AP32" i="1"/>
  <c r="AP73" i="1"/>
  <c r="AP99" i="1"/>
  <c r="AP102" i="1" s="1"/>
  <c r="BM86" i="1"/>
  <c r="BM85" i="1"/>
  <c r="BC86" i="1"/>
  <c r="BC33" i="1" s="1"/>
  <c r="BC85" i="1"/>
  <c r="Q65" i="1"/>
  <c r="W65" i="1"/>
  <c r="CI71" i="1"/>
  <c r="L30" i="1"/>
  <c r="L32" i="1"/>
  <c r="L65" i="1" s="1"/>
  <c r="L51" i="1"/>
  <c r="L66" i="1"/>
  <c r="L73" i="1"/>
  <c r="R86" i="1"/>
  <c r="R33" i="1" s="1"/>
  <c r="R85" i="1"/>
  <c r="V65" i="1"/>
  <c r="AJ65" i="1"/>
  <c r="CU36" i="1"/>
  <c r="CR88" i="1"/>
  <c r="AI85" i="1"/>
  <c r="AI86" i="1"/>
  <c r="AI33" i="1" s="1"/>
  <c r="J86" i="1"/>
  <c r="J33" i="1" s="1"/>
  <c r="J85" i="1"/>
  <c r="AS85" i="1"/>
  <c r="AS86" i="1"/>
  <c r="AS33" i="1" s="1"/>
  <c r="BO33" i="1"/>
  <c r="BO30" i="1"/>
  <c r="BO32" i="1"/>
  <c r="BO51" i="1"/>
  <c r="BO73" i="1"/>
  <c r="BO66" i="1"/>
  <c r="BO99" i="1"/>
  <c r="BO102" i="1" s="1"/>
  <c r="C86" i="1"/>
  <c r="C33" i="1" s="1"/>
  <c r="C85" i="1"/>
  <c r="AI95" i="1"/>
  <c r="AI31" i="1"/>
  <c r="BT31" i="1"/>
  <c r="BT95" i="1"/>
  <c r="BM65" i="1"/>
  <c r="BM103" i="1"/>
  <c r="X30" i="1"/>
  <c r="X51" i="1"/>
  <c r="X66" i="1"/>
  <c r="X32" i="1"/>
  <c r="X65" i="1" s="1"/>
  <c r="X73" i="1"/>
  <c r="CA33" i="1"/>
  <c r="BW65" i="1"/>
  <c r="AD66" i="1"/>
  <c r="AI65" i="1"/>
  <c r="AI103" i="1"/>
  <c r="AO65" i="1"/>
  <c r="E31" i="1"/>
  <c r="E95" i="1"/>
  <c r="AA86" i="1"/>
  <c r="AA33" i="1" s="1"/>
  <c r="AA85" i="1"/>
  <c r="AT86" i="1"/>
  <c r="AT33" i="1" s="1"/>
  <c r="AT85" i="1"/>
  <c r="U31" i="1"/>
  <c r="U95" i="1"/>
  <c r="BT85" i="1"/>
  <c r="BT86" i="1"/>
  <c r="AY103" i="1"/>
  <c r="AY65" i="1"/>
  <c r="BZ85" i="1"/>
  <c r="BZ86" i="1"/>
  <c r="CA51" i="1"/>
  <c r="CA30" i="1"/>
  <c r="CA99" i="1"/>
  <c r="CA73" i="1"/>
  <c r="CA66" i="1"/>
  <c r="CP75" i="1"/>
  <c r="BC103" i="1"/>
  <c r="BU85" i="1"/>
  <c r="BU86" i="1"/>
  <c r="BW86" i="1"/>
  <c r="BW85" i="1"/>
  <c r="AK30" i="1"/>
  <c r="AK32" i="1"/>
  <c r="AK51" i="1"/>
  <c r="AK66" i="1"/>
  <c r="AK73" i="1"/>
  <c r="AK99" i="1"/>
  <c r="AK102" i="1" s="1"/>
  <c r="U85" i="1"/>
  <c r="U86" i="1"/>
  <c r="U33" i="1" s="1"/>
  <c r="P31" i="1"/>
  <c r="P95" i="1"/>
  <c r="AY31" i="1"/>
  <c r="AY95" i="1"/>
  <c r="BY31" i="1"/>
  <c r="BY95" i="1"/>
  <c r="BM31" i="1"/>
  <c r="BM95" i="1"/>
  <c r="CV50" i="1"/>
  <c r="CU92" i="1"/>
  <c r="CA35" i="1" l="1"/>
  <c r="G30" i="1"/>
  <c r="G31" i="1" s="1"/>
  <c r="BU31" i="1"/>
  <c r="BO103" i="1"/>
  <c r="G73" i="1"/>
  <c r="G86" i="1" s="1"/>
  <c r="G33" i="1" s="1"/>
  <c r="CA65" i="1"/>
  <c r="G51" i="1"/>
  <c r="BU65" i="1"/>
  <c r="CA31" i="1"/>
  <c r="CV36" i="1"/>
  <c r="CU88" i="1"/>
  <c r="AK31" i="1"/>
  <c r="AK95" i="1"/>
  <c r="BI31" i="1"/>
  <c r="BI95" i="1"/>
  <c r="X85" i="1"/>
  <c r="X86" i="1"/>
  <c r="X33" i="1" s="1"/>
  <c r="BO86" i="1"/>
  <c r="BO85" i="1"/>
  <c r="AD65" i="1"/>
  <c r="L31" i="1"/>
  <c r="L95" i="1"/>
  <c r="BB65" i="1"/>
  <c r="BB103" i="1"/>
  <c r="BH65" i="1"/>
  <c r="CL49" i="1"/>
  <c r="CQ75" i="1"/>
  <c r="AP31" i="1"/>
  <c r="AP95" i="1"/>
  <c r="AV103" i="1"/>
  <c r="AV65" i="1"/>
  <c r="AP85" i="1"/>
  <c r="AP86" i="1"/>
  <c r="AP33" i="1" s="1"/>
  <c r="M30" i="1"/>
  <c r="M32" i="1"/>
  <c r="M65" i="1" s="1"/>
  <c r="M66" i="1"/>
  <c r="M73" i="1"/>
  <c r="M51" i="1"/>
  <c r="BI65" i="1"/>
  <c r="BI103" i="1"/>
  <c r="BB31" i="1"/>
  <c r="BB95" i="1"/>
  <c r="S86" i="1"/>
  <c r="S33" i="1" s="1"/>
  <c r="S85" i="1"/>
  <c r="AE31" i="1"/>
  <c r="AE95" i="1"/>
  <c r="X31" i="1"/>
  <c r="X95" i="1"/>
  <c r="AK65" i="1"/>
  <c r="AK103" i="1"/>
  <c r="CW50" i="1"/>
  <c r="CV92" i="1"/>
  <c r="CJ71" i="1"/>
  <c r="AK86" i="1"/>
  <c r="AK33" i="1" s="1"/>
  <c r="AK85" i="1"/>
  <c r="CA86" i="1"/>
  <c r="CA85" i="1"/>
  <c r="BO31" i="1"/>
  <c r="BO95" i="1"/>
  <c r="AP65" i="1"/>
  <c r="AP103" i="1"/>
  <c r="S31" i="1"/>
  <c r="S95" i="1"/>
  <c r="AV86" i="1"/>
  <c r="AV33" i="1" s="1"/>
  <c r="AV85" i="1"/>
  <c r="BI85" i="1"/>
  <c r="BI86" i="1"/>
  <c r="BI33" i="1" s="1"/>
  <c r="BW8" i="1"/>
  <c r="BR8" i="1"/>
  <c r="BS8" i="1" s="1"/>
  <c r="BT8" i="1" s="1"/>
  <c r="AW30" i="1"/>
  <c r="AW73" i="1"/>
  <c r="AW32" i="1"/>
  <c r="AW51" i="1"/>
  <c r="AW66" i="1"/>
  <c r="AW99" i="1"/>
  <c r="AW102" i="1" s="1"/>
  <c r="BC66" i="1"/>
  <c r="L86" i="1"/>
  <c r="L33" i="1" s="1"/>
  <c r="L85" i="1"/>
  <c r="AV31" i="1"/>
  <c r="AV95" i="1"/>
  <c r="CA95" i="1"/>
  <c r="R65" i="1"/>
  <c r="AE86" i="1"/>
  <c r="AE33" i="1" s="1"/>
  <c r="AE85" i="1"/>
  <c r="BB85" i="1"/>
  <c r="BB86" i="1"/>
  <c r="BB33" i="1" s="1"/>
  <c r="Y32" i="1"/>
  <c r="Y65" i="1" s="1"/>
  <c r="Y30" i="1"/>
  <c r="Y66" i="1"/>
  <c r="Y51" i="1"/>
  <c r="Y73" i="1"/>
  <c r="AQ32" i="1"/>
  <c r="AQ30" i="1"/>
  <c r="AQ51" i="1"/>
  <c r="AQ66" i="1"/>
  <c r="AQ73" i="1"/>
  <c r="AQ99" i="1"/>
  <c r="AQ102" i="1" s="1"/>
  <c r="G95" i="1" l="1"/>
  <c r="G85" i="1"/>
  <c r="BO65" i="1"/>
  <c r="CA32" i="1"/>
  <c r="CA101" i="1"/>
  <c r="CA102" i="1" s="1"/>
  <c r="CA87" i="1"/>
  <c r="Y85" i="1"/>
  <c r="Y86" i="1"/>
  <c r="Y33" i="1" s="1"/>
  <c r="CX50" i="1"/>
  <c r="CW92" i="1"/>
  <c r="Y31" i="1"/>
  <c r="Y95" i="1"/>
  <c r="AW31" i="1"/>
  <c r="AW95" i="1"/>
  <c r="CC8" i="1"/>
  <c r="BX8" i="1"/>
  <c r="BY8" i="1" s="1"/>
  <c r="BZ8" i="1" s="1"/>
  <c r="CK71" i="1"/>
  <c r="AE65" i="1"/>
  <c r="AQ31" i="1"/>
  <c r="AQ95" i="1"/>
  <c r="AW65" i="1"/>
  <c r="AW103" i="1"/>
  <c r="BC65" i="1"/>
  <c r="CO49" i="1"/>
  <c r="AW85" i="1"/>
  <c r="AW86" i="1"/>
  <c r="AW33" i="1" s="1"/>
  <c r="M85" i="1"/>
  <c r="M86" i="1"/>
  <c r="M33" i="1" s="1"/>
  <c r="AQ85" i="1"/>
  <c r="AQ86" i="1"/>
  <c r="AQ33" i="1" s="1"/>
  <c r="M31" i="1"/>
  <c r="M95" i="1"/>
  <c r="S65" i="1"/>
  <c r="AQ65" i="1"/>
  <c r="AQ103" i="1"/>
  <c r="CR75" i="1"/>
  <c r="CW36" i="1"/>
  <c r="CV88" i="1"/>
  <c r="CX92" i="1" l="1"/>
  <c r="CA103" i="1"/>
  <c r="CX36" i="1"/>
  <c r="CY36" i="1" s="1"/>
  <c r="CY88" i="1" s="1"/>
  <c r="CW88" i="1"/>
  <c r="CP49" i="1"/>
  <c r="CL71" i="1"/>
  <c r="CM71" i="1" s="1"/>
  <c r="CU75" i="1"/>
  <c r="CS75" i="1"/>
  <c r="CI8" i="1"/>
  <c r="CD8" i="1"/>
  <c r="CE8" i="1" l="1"/>
  <c r="CF8" i="1" s="1"/>
  <c r="CX88" i="1"/>
  <c r="CV75" i="1"/>
  <c r="CQ49" i="1"/>
  <c r="CO8" i="1"/>
  <c r="CJ8" i="1"/>
  <c r="CK8" i="1" s="1"/>
  <c r="CL8" i="1" s="1"/>
  <c r="CO71" i="1"/>
  <c r="CU8" i="1" l="1"/>
  <c r="CV8" i="1" s="1"/>
  <c r="CW8" i="1" s="1"/>
  <c r="CX8" i="1" s="1"/>
  <c r="CP8" i="1"/>
  <c r="CQ8" i="1" s="1"/>
  <c r="CR8" i="1" s="1"/>
  <c r="CW75" i="1"/>
  <c r="CP71" i="1"/>
  <c r="CR49" i="1"/>
  <c r="CQ71" i="1" l="1"/>
  <c r="CU49" i="1"/>
  <c r="CX75" i="1"/>
  <c r="CY75" i="1" s="1"/>
  <c r="CV49" i="1" l="1"/>
  <c r="CR71" i="1"/>
  <c r="CU71" i="1" l="1"/>
  <c r="CS71" i="1"/>
  <c r="CW49" i="1"/>
  <c r="CV71" i="1" l="1"/>
  <c r="CX49" i="1"/>
  <c r="CW71" i="1" l="1"/>
  <c r="CX71" i="1" l="1"/>
  <c r="CY71" i="1" s="1"/>
  <c r="CL78" i="2" l="1"/>
  <c r="CR78" i="2" s="1"/>
  <c r="CX78" i="2" s="1"/>
  <c r="BZ86" i="54" l="1"/>
  <c r="CA86" i="54" s="1"/>
  <c r="CA79" i="54"/>
  <c r="BZ79" i="54"/>
  <c r="BZ75" i="54"/>
  <c r="CA75" i="54" s="1"/>
  <c r="BY30" i="54"/>
  <c r="BZ57" i="54"/>
  <c r="BZ59" i="54" s="1"/>
  <c r="CA56" i="54"/>
  <c r="BZ50" i="54"/>
  <c r="CA48" i="54"/>
  <c r="BZ46" i="54"/>
  <c r="CA44" i="54"/>
  <c r="BZ42" i="54"/>
  <c r="CA40" i="54"/>
  <c r="BZ38" i="54"/>
  <c r="CA36" i="54"/>
  <c r="BZ34" i="54"/>
  <c r="CA32" i="54"/>
  <c r="CA28" i="54"/>
  <c r="CA26" i="54"/>
  <c r="BZ25" i="54"/>
  <c r="CA176" i="2"/>
  <c r="CA182" i="2" s="1"/>
  <c r="BZ176" i="2"/>
  <c r="BZ182" i="2" s="1"/>
  <c r="CA174" i="2"/>
  <c r="BZ174" i="2"/>
  <c r="CA173" i="2"/>
  <c r="BZ173" i="2"/>
  <c r="CA172" i="2"/>
  <c r="BZ172" i="2"/>
  <c r="CA171" i="2"/>
  <c r="CA180" i="2" s="1"/>
  <c r="BZ171" i="2"/>
  <c r="BZ180" i="2" s="1"/>
  <c r="CA170" i="2"/>
  <c r="BZ170" i="2"/>
  <c r="CA169" i="2"/>
  <c r="CA181" i="2" s="1"/>
  <c r="BZ169" i="2"/>
  <c r="BZ181" i="2" s="1"/>
  <c r="CA167" i="2"/>
  <c r="BZ167" i="2"/>
  <c r="CA166" i="2"/>
  <c r="BZ166" i="2"/>
  <c r="BZ133" i="2"/>
  <c r="BZ128" i="2"/>
  <c r="BZ118" i="2"/>
  <c r="CA108" i="2"/>
  <c r="CA105" i="2"/>
  <c r="BZ99" i="2"/>
  <c r="CA98" i="2"/>
  <c r="BZ97" i="2"/>
  <c r="BZ100" i="2" s="1"/>
  <c r="BZ96" i="2"/>
  <c r="BZ92" i="2"/>
  <c r="BZ91" i="2"/>
  <c r="BZ90" i="2"/>
  <c r="BZ89" i="2"/>
  <c r="BZ79" i="2"/>
  <c r="BZ78" i="2"/>
  <c r="BZ77" i="2"/>
  <c r="CA66" i="2"/>
  <c r="BZ66" i="2"/>
  <c r="BZ55" i="2"/>
  <c r="BZ48" i="2"/>
  <c r="BZ86" i="3"/>
  <c r="BZ74" i="3"/>
  <c r="BY74" i="3" s="1"/>
  <c r="BX74" i="3" s="1"/>
  <c r="BW74" i="3" s="1"/>
  <c r="CA72" i="3"/>
  <c r="CA183" i="2" l="1"/>
  <c r="CA184" i="2" s="1"/>
  <c r="CA185" i="2" s="1"/>
  <c r="BZ183" i="2"/>
  <c r="BZ184" i="2" s="1"/>
  <c r="CA57" i="54"/>
  <c r="BZ80" i="2"/>
  <c r="BZ185" i="2" l="1"/>
  <c r="CX47" i="3" l="1"/>
  <c r="CW47" i="3"/>
  <c r="CV47" i="3"/>
  <c r="CU47" i="3"/>
  <c r="CR47" i="3"/>
  <c r="CQ47" i="3"/>
  <c r="CP47" i="3"/>
  <c r="CO47" i="3"/>
  <c r="CL47" i="3"/>
  <c r="CK47" i="3"/>
  <c r="CJ47" i="3"/>
  <c r="CI47" i="3"/>
  <c r="CE143" i="73" l="1"/>
  <c r="CF143" i="73" s="1"/>
  <c r="DD47" i="51" l="1"/>
  <c r="DL50" i="51"/>
  <c r="DK50" i="51"/>
  <c r="DJ50" i="51"/>
  <c r="DI50" i="51"/>
  <c r="DH50" i="51"/>
  <c r="DG50" i="51"/>
  <c r="DF50" i="51"/>
  <c r="DE50" i="51"/>
  <c r="DL49" i="51"/>
  <c r="DK49" i="51"/>
  <c r="DJ49" i="51"/>
  <c r="DI49" i="51"/>
  <c r="DH49" i="51"/>
  <c r="DG49" i="51"/>
  <c r="DF49" i="51"/>
  <c r="DE49" i="51"/>
  <c r="DL48" i="51"/>
  <c r="DK48" i="51"/>
  <c r="DJ48" i="51"/>
  <c r="DI48" i="51"/>
  <c r="DH48" i="51"/>
  <c r="DG48" i="51"/>
  <c r="DF48" i="51"/>
  <c r="DE48" i="51"/>
  <c r="DL37" i="51"/>
  <c r="DK37" i="51"/>
  <c r="DJ37" i="51"/>
  <c r="DI37" i="51"/>
  <c r="DH37" i="51"/>
  <c r="DG37" i="51"/>
  <c r="DF37" i="51"/>
  <c r="DE37" i="51"/>
  <c r="DL36" i="51"/>
  <c r="DK36" i="51"/>
  <c r="DJ36" i="51"/>
  <c r="DI36" i="51"/>
  <c r="DH36" i="51"/>
  <c r="DG36" i="51"/>
  <c r="DF36" i="51"/>
  <c r="DE36" i="51"/>
  <c r="CH253" i="73" l="1"/>
  <c r="CB253" i="73"/>
  <c r="BV253" i="73"/>
  <c r="BP253" i="73"/>
  <c r="BJ253" i="73"/>
  <c r="BD253" i="73"/>
  <c r="AX253" i="73"/>
  <c r="AY235" i="73"/>
  <c r="CY310" i="73" l="1"/>
  <c r="CY309" i="73"/>
  <c r="CY308" i="73"/>
  <c r="CY307" i="73"/>
  <c r="CS310" i="73"/>
  <c r="CS309" i="73"/>
  <c r="CS308" i="73"/>
  <c r="CS307" i="73"/>
  <c r="CM310" i="73"/>
  <c r="CM309" i="73"/>
  <c r="CM308" i="73"/>
  <c r="CM307" i="73"/>
  <c r="BU310" i="73"/>
  <c r="BU309" i="73"/>
  <c r="BU308" i="73"/>
  <c r="BU307" i="73"/>
  <c r="CA310" i="73"/>
  <c r="CA309" i="73"/>
  <c r="CA308" i="73"/>
  <c r="CA307" i="73"/>
  <c r="CG310" i="73"/>
  <c r="CG309" i="73"/>
  <c r="CG308" i="73"/>
  <c r="CG307" i="73"/>
  <c r="CY285" i="73"/>
  <c r="CY284" i="73"/>
  <c r="CY283" i="73"/>
  <c r="CY282" i="73"/>
  <c r="CS285" i="73"/>
  <c r="CS284" i="73"/>
  <c r="CS283" i="73"/>
  <c r="CS282" i="73"/>
  <c r="CM285" i="73"/>
  <c r="CM284" i="73"/>
  <c r="CM283" i="73"/>
  <c r="CM282" i="73"/>
  <c r="CG285" i="73"/>
  <c r="CG284" i="73"/>
  <c r="CG283" i="73"/>
  <c r="CG282" i="73"/>
  <c r="CA285" i="73"/>
  <c r="CA284" i="73"/>
  <c r="CA283" i="73"/>
  <c r="CA282" i="73"/>
  <c r="BU285" i="73"/>
  <c r="BU284" i="73"/>
  <c r="BU283" i="73"/>
  <c r="BU282" i="73"/>
  <c r="BO285" i="73"/>
  <c r="BO284" i="73"/>
  <c r="BO283" i="73"/>
  <c r="BO282" i="73"/>
  <c r="BI285" i="73"/>
  <c r="BI284" i="73"/>
  <c r="BI283" i="73"/>
  <c r="BI282" i="73"/>
  <c r="BC234" i="73"/>
  <c r="BC233" i="73"/>
  <c r="BC232" i="73"/>
  <c r="BC231" i="73"/>
  <c r="BI234" i="73"/>
  <c r="BI233" i="73"/>
  <c r="BI232" i="73"/>
  <c r="BI231" i="73"/>
  <c r="BO234" i="73"/>
  <c r="BO233" i="73"/>
  <c r="BO232" i="73"/>
  <c r="BO231" i="73"/>
  <c r="BU234" i="73"/>
  <c r="BU233" i="73"/>
  <c r="BU232" i="73"/>
  <c r="BU231" i="73"/>
  <c r="CY234" i="73"/>
  <c r="CY233" i="73"/>
  <c r="CY232" i="73"/>
  <c r="CY231" i="73"/>
  <c r="CS234" i="73"/>
  <c r="CS233" i="73"/>
  <c r="CS232" i="73"/>
  <c r="CS231" i="73"/>
  <c r="CM234" i="73"/>
  <c r="CM233" i="73"/>
  <c r="CM232" i="73"/>
  <c r="CM231" i="73"/>
  <c r="CG234" i="73"/>
  <c r="CG233" i="73"/>
  <c r="CG232" i="73"/>
  <c r="CG231" i="73"/>
  <c r="CA234" i="73"/>
  <c r="CA233" i="73"/>
  <c r="CA232" i="73"/>
  <c r="CA231" i="73"/>
  <c r="CY175" i="73"/>
  <c r="CY174" i="73"/>
  <c r="CY173" i="73"/>
  <c r="CY172" i="73"/>
  <c r="CS175" i="73"/>
  <c r="CS174" i="73"/>
  <c r="CS173" i="73"/>
  <c r="CS172" i="73"/>
  <c r="CM175" i="73"/>
  <c r="CM174" i="73"/>
  <c r="CM173" i="73"/>
  <c r="CM172" i="73"/>
  <c r="CG175" i="73"/>
  <c r="CG174" i="73"/>
  <c r="CG173" i="73"/>
  <c r="CG172" i="73"/>
  <c r="CA175" i="73"/>
  <c r="CA174" i="73"/>
  <c r="CA173" i="73"/>
  <c r="CA172" i="73"/>
  <c r="BU175" i="73"/>
  <c r="BU174" i="73"/>
  <c r="BU173" i="73"/>
  <c r="BU172" i="73"/>
  <c r="BO175" i="73"/>
  <c r="BO174" i="73"/>
  <c r="BO173" i="73"/>
  <c r="BO172" i="73"/>
  <c r="BC175" i="73"/>
  <c r="BC174" i="73"/>
  <c r="BC173" i="73"/>
  <c r="BC172" i="73"/>
  <c r="BI175" i="73"/>
  <c r="BI174" i="73"/>
  <c r="BI173" i="73"/>
  <c r="BI172" i="73"/>
  <c r="BC143" i="73"/>
  <c r="BC142" i="73"/>
  <c r="BC141" i="73"/>
  <c r="BC140" i="73"/>
  <c r="BI143" i="73"/>
  <c r="BI140" i="73"/>
  <c r="BO143" i="73"/>
  <c r="BO140" i="73"/>
  <c r="BU33" i="73"/>
  <c r="BU32" i="73"/>
  <c r="BU31" i="73"/>
  <c r="BU30" i="73"/>
  <c r="CA33" i="73"/>
  <c r="CA32" i="73"/>
  <c r="CA31" i="73"/>
  <c r="CA30" i="73"/>
  <c r="CG33" i="73"/>
  <c r="CG32" i="73"/>
  <c r="CG31" i="73"/>
  <c r="CG30" i="73"/>
  <c r="CY33" i="73"/>
  <c r="CY32" i="73"/>
  <c r="CY31" i="73"/>
  <c r="CY30" i="73"/>
  <c r="CS33" i="73"/>
  <c r="CS32" i="73"/>
  <c r="CS31" i="73"/>
  <c r="CS30" i="73"/>
  <c r="CM33" i="73"/>
  <c r="CM32" i="73"/>
  <c r="CM31" i="73"/>
  <c r="CM30" i="73"/>
  <c r="CY108" i="73"/>
  <c r="CY107" i="73"/>
  <c r="CS108" i="73"/>
  <c r="CS107" i="73"/>
  <c r="CM108" i="73"/>
  <c r="CM107" i="73"/>
  <c r="CG108" i="73"/>
  <c r="CG107" i="73"/>
  <c r="CA108" i="73"/>
  <c r="CA107" i="73"/>
  <c r="BC108" i="73"/>
  <c r="BC107" i="73"/>
  <c r="BI108" i="73"/>
  <c r="BI107" i="73"/>
  <c r="BO108" i="73"/>
  <c r="BO107" i="73"/>
  <c r="BU108" i="73"/>
  <c r="BU107" i="73"/>
  <c r="BC84" i="73"/>
  <c r="BC83" i="73"/>
  <c r="BC82" i="73"/>
  <c r="BC81" i="73"/>
  <c r="BI84" i="73"/>
  <c r="BI83" i="73"/>
  <c r="BI82" i="73"/>
  <c r="BI81" i="73"/>
  <c r="BO84" i="73"/>
  <c r="BO83" i="73"/>
  <c r="BO82" i="73"/>
  <c r="BO81" i="73"/>
  <c r="BU84" i="73"/>
  <c r="BU83" i="73"/>
  <c r="BU82" i="73"/>
  <c r="BU81" i="73"/>
  <c r="CY84" i="73"/>
  <c r="CY83" i="73"/>
  <c r="CY82" i="73"/>
  <c r="CY81" i="73"/>
  <c r="CS84" i="73"/>
  <c r="CS83" i="73"/>
  <c r="CS82" i="73"/>
  <c r="CS81" i="73"/>
  <c r="CM84" i="73"/>
  <c r="CM83" i="73"/>
  <c r="CM82" i="73"/>
  <c r="CM81" i="73"/>
  <c r="CG84" i="73"/>
  <c r="CG83" i="73"/>
  <c r="CG82" i="73"/>
  <c r="CG81" i="73"/>
  <c r="CA84" i="73"/>
  <c r="CA83" i="73"/>
  <c r="CA82" i="73"/>
  <c r="CA81" i="73"/>
  <c r="CR135" i="73" l="1"/>
  <c r="CX135" i="73" s="1"/>
  <c r="CQ135" i="73"/>
  <c r="CW135" i="73" s="1"/>
  <c r="CP135" i="73"/>
  <c r="CV135" i="73" s="1"/>
  <c r="CO135" i="73"/>
  <c r="CU135" i="73" s="1"/>
  <c r="CE150" i="73"/>
  <c r="CG321" i="73"/>
  <c r="CJ152" i="73"/>
  <c r="CK152" i="73" s="1"/>
  <c r="CU34" i="4"/>
  <c r="CO34" i="4"/>
  <c r="CU41" i="4"/>
  <c r="CO41" i="4"/>
  <c r="CU47" i="4"/>
  <c r="CO47" i="4"/>
  <c r="CU53" i="4"/>
  <c r="CO53" i="4"/>
  <c r="CA52" i="51"/>
  <c r="CA51" i="51"/>
  <c r="BU52" i="51"/>
  <c r="BU51" i="51"/>
  <c r="BZ52" i="51"/>
  <c r="BY52" i="51"/>
  <c r="BX52" i="51"/>
  <c r="BW52" i="51"/>
  <c r="BT52" i="51"/>
  <c r="BS52" i="51"/>
  <c r="BR52" i="51"/>
  <c r="BQ52" i="51"/>
  <c r="BZ51" i="51"/>
  <c r="BY51" i="51"/>
  <c r="BX51" i="51"/>
  <c r="BW51" i="51"/>
  <c r="BT51" i="51"/>
  <c r="BS51" i="51"/>
  <c r="BC53" i="51"/>
  <c r="BN52" i="51"/>
  <c r="BN51" i="51"/>
  <c r="BO52" i="51"/>
  <c r="BO51" i="51"/>
  <c r="BM52" i="51"/>
  <c r="BL52" i="51"/>
  <c r="BK52" i="51"/>
  <c r="BI52" i="51"/>
  <c r="BH52" i="51"/>
  <c r="BG52" i="51"/>
  <c r="BF52" i="51"/>
  <c r="BC52" i="51"/>
  <c r="BB52" i="51"/>
  <c r="BA52" i="51"/>
  <c r="AZ52" i="51"/>
  <c r="AY52" i="51"/>
  <c r="AU52" i="51"/>
  <c r="AT52" i="51"/>
  <c r="AS52" i="51"/>
  <c r="BR62" i="4"/>
  <c r="BQ62" i="4"/>
  <c r="BO62" i="4"/>
  <c r="BN62" i="4"/>
  <c r="BM62" i="4"/>
  <c r="BK62" i="4"/>
  <c r="BH62" i="4"/>
  <c r="BG62" i="4"/>
  <c r="BF62" i="4"/>
  <c r="BE62" i="4"/>
  <c r="BB62" i="4"/>
  <c r="BA62" i="4"/>
  <c r="AZ62" i="4"/>
  <c r="AY62" i="4"/>
  <c r="AW62" i="4"/>
  <c r="AV62" i="4"/>
  <c r="AU62" i="4"/>
  <c r="AT62" i="4"/>
  <c r="AS62" i="4"/>
  <c r="AQ62" i="4"/>
  <c r="AP62" i="4"/>
  <c r="AO62" i="4"/>
  <c r="AN61" i="4"/>
  <c r="AN62" i="4"/>
  <c r="AM62" i="4"/>
  <c r="CV59" i="4"/>
  <c r="CP59" i="4"/>
  <c r="BI61" i="4"/>
  <c r="BC61" i="4"/>
  <c r="CU63" i="73" l="1"/>
  <c r="CU66" i="73"/>
  <c r="CU71" i="73"/>
  <c r="AQ57" i="1"/>
  <c r="BA57" i="1"/>
  <c r="BB57" i="1"/>
  <c r="AY57" i="1"/>
  <c r="AP57" i="1"/>
  <c r="CV197" i="73"/>
  <c r="AU57" i="1"/>
  <c r="AO57" i="1"/>
  <c r="AZ57" i="1"/>
  <c r="AS57" i="1"/>
  <c r="AN57" i="1"/>
  <c r="AV57" i="1"/>
  <c r="BC62" i="4"/>
  <c r="BI62" i="4"/>
  <c r="BI21" i="51" s="1"/>
  <c r="AT57" i="1"/>
  <c r="AM57" i="1"/>
  <c r="AW57" i="1"/>
  <c r="CP33" i="51"/>
  <c r="CP197" i="73"/>
  <c r="CQ59" i="4"/>
  <c r="BF21" i="51"/>
  <c r="BF53" i="51" s="1"/>
  <c r="BF57" i="1"/>
  <c r="BH21" i="51"/>
  <c r="BH53" i="51" s="1"/>
  <c r="BH57" i="1"/>
  <c r="BM21" i="51"/>
  <c r="BM57" i="1"/>
  <c r="BO21" i="51"/>
  <c r="BO57" i="1"/>
  <c r="BR21" i="51"/>
  <c r="BR57" i="1"/>
  <c r="CW59" i="4"/>
  <c r="CV33" i="51"/>
  <c r="BE21" i="51"/>
  <c r="BE53" i="51" s="1"/>
  <c r="BE57" i="1"/>
  <c r="BG21" i="51"/>
  <c r="BG53" i="51" s="1"/>
  <c r="BG57" i="1"/>
  <c r="BK21" i="51"/>
  <c r="BK57" i="1"/>
  <c r="BN21" i="51"/>
  <c r="BN57" i="1"/>
  <c r="BQ21" i="51"/>
  <c r="BQ57" i="1"/>
  <c r="CP53" i="4"/>
  <c r="CP47" i="4"/>
  <c r="CP41" i="4"/>
  <c r="CP34" i="4"/>
  <c r="CV53" i="4"/>
  <c r="CV47" i="4"/>
  <c r="CV41" i="4"/>
  <c r="CV34" i="4"/>
  <c r="CF150" i="73"/>
  <c r="CL152" i="73"/>
  <c r="CV63" i="73" l="1"/>
  <c r="CV66" i="73"/>
  <c r="CV71" i="73"/>
  <c r="BI57" i="1"/>
  <c r="BC57" i="1"/>
  <c r="CW34" i="4"/>
  <c r="CW197" i="73"/>
  <c r="CQ34" i="4"/>
  <c r="CQ197" i="73"/>
  <c r="CQ41" i="4"/>
  <c r="BO53" i="51"/>
  <c r="BI53" i="51"/>
  <c r="CQ47" i="4"/>
  <c r="CW47" i="4"/>
  <c r="BQ53" i="51"/>
  <c r="CQ53" i="4"/>
  <c r="BM53" i="51"/>
  <c r="BN53" i="51"/>
  <c r="CW53" i="4"/>
  <c r="BK53" i="51"/>
  <c r="CX59" i="4"/>
  <c r="CW33" i="51"/>
  <c r="CW41" i="4"/>
  <c r="CR59" i="4"/>
  <c r="CQ33" i="51"/>
  <c r="CO152" i="73"/>
  <c r="CW63" i="73" l="1"/>
  <c r="CW66" i="73"/>
  <c r="CW71" i="73"/>
  <c r="CQ66" i="73"/>
  <c r="CQ63" i="73"/>
  <c r="CQ71" i="73"/>
  <c r="CX197" i="73"/>
  <c r="CR197" i="73"/>
  <c r="CS59" i="4"/>
  <c r="CR33" i="51"/>
  <c r="CR53" i="4"/>
  <c r="CR41" i="4"/>
  <c r="CR47" i="4"/>
  <c r="CR34" i="4"/>
  <c r="CX53" i="4"/>
  <c r="CX33" i="51"/>
  <c r="CX47" i="4"/>
  <c r="CX34" i="4"/>
  <c r="CX41" i="4"/>
  <c r="CY59" i="4"/>
  <c r="CP152" i="73"/>
  <c r="CO151" i="73"/>
  <c r="CR66" i="73" l="1"/>
  <c r="CR63" i="73"/>
  <c r="CR71" i="73"/>
  <c r="CX66" i="73"/>
  <c r="CX63" i="73"/>
  <c r="CX71" i="73"/>
  <c r="CS33" i="51"/>
  <c r="CY33" i="51"/>
  <c r="CP151" i="73"/>
  <c r="CQ152" i="73"/>
  <c r="CQ151" i="73" l="1"/>
  <c r="CR152" i="73"/>
  <c r="CR151" i="73" l="1"/>
  <c r="CU152" i="73"/>
  <c r="CV152" i="73" l="1"/>
  <c r="CU151" i="73"/>
  <c r="CW152" i="73" l="1"/>
  <c r="CV151" i="73"/>
  <c r="CX152" i="73" l="1"/>
  <c r="CX151" i="73" s="1"/>
  <c r="CW151" i="73"/>
  <c r="CA109" i="51" l="1"/>
  <c r="CA108" i="51"/>
  <c r="CA107" i="51"/>
  <c r="CA106" i="51"/>
  <c r="CA105" i="51"/>
  <c r="CA117" i="51"/>
  <c r="CA116" i="51"/>
  <c r="CA115" i="51"/>
  <c r="CA114" i="51"/>
  <c r="CA113" i="51"/>
  <c r="BZ118" i="51"/>
  <c r="AM61" i="4"/>
  <c r="BW321" i="73" l="1"/>
  <c r="CA321" i="73"/>
  <c r="BZ453" i="73"/>
  <c r="BZ452" i="73" s="1"/>
  <c r="BZ110" i="51"/>
  <c r="BZ100" i="51"/>
  <c r="BZ99" i="51"/>
  <c r="BZ67" i="4"/>
  <c r="CF68" i="4" s="1"/>
  <c r="BZ75" i="4"/>
  <c r="BZ98" i="51" s="1"/>
  <c r="BZ70" i="4"/>
  <c r="CF71" i="4" s="1"/>
  <c r="BZ9" i="4"/>
  <c r="BZ26" i="4"/>
  <c r="BZ25" i="4"/>
  <c r="BZ23" i="4" s="1"/>
  <c r="BZ20" i="4"/>
  <c r="BZ15" i="4"/>
  <c r="BZ13" i="4"/>
  <c r="BZ11" i="4"/>
  <c r="BZ455" i="73"/>
  <c r="BZ454" i="73"/>
  <c r="BZ456" i="73"/>
  <c r="BZ331" i="73" l="1"/>
  <c r="CF332" i="73" s="1"/>
  <c r="CF21" i="4"/>
  <c r="BZ354" i="73"/>
  <c r="CF355" i="73" s="1"/>
  <c r="CF24" i="4"/>
  <c r="BZ45" i="4"/>
  <c r="CF49" i="4" s="1"/>
  <c r="CF50" i="4" s="1"/>
  <c r="BZ39" i="4"/>
  <c r="CF43" i="4" s="1"/>
  <c r="CF44" i="4" s="1"/>
  <c r="BZ51" i="4"/>
  <c r="CF55" i="4" s="1"/>
  <c r="BZ32" i="4"/>
  <c r="CF36" i="4" s="1"/>
  <c r="CF37" i="4" s="1"/>
  <c r="BZ73" i="4"/>
  <c r="BZ102" i="51"/>
  <c r="BZ17" i="4"/>
  <c r="BZ29" i="4"/>
  <c r="BY90" i="2"/>
  <c r="BZ366" i="73" l="1"/>
  <c r="BZ76" i="4"/>
  <c r="CF74" i="4"/>
  <c r="CF56" i="4"/>
  <c r="CF367" i="73"/>
  <c r="BZ57" i="4"/>
  <c r="CL77" i="2"/>
  <c r="CR77" i="2" s="1"/>
  <c r="CX77" i="2" s="1"/>
  <c r="CF61" i="4" l="1"/>
  <c r="CF62" i="4"/>
  <c r="BZ64" i="4"/>
  <c r="BX21" i="3"/>
  <c r="BX22" i="3"/>
  <c r="BX23" i="3"/>
  <c r="BX24" i="3"/>
  <c r="BX25" i="3"/>
  <c r="BX26" i="3"/>
  <c r="BX27" i="3"/>
  <c r="BX28" i="3"/>
  <c r="BX18" i="3"/>
  <c r="BX17" i="3"/>
  <c r="BX15" i="3"/>
  <c r="BX175" i="2" s="1"/>
  <c r="BX177" i="2" s="1"/>
  <c r="BX13" i="3"/>
  <c r="BX14" i="3"/>
  <c r="BX11" i="3"/>
  <c r="BX9" i="3"/>
  <c r="BX19" i="3"/>
  <c r="BY19" i="3" s="1"/>
  <c r="BX16" i="3"/>
  <c r="BX32" i="3"/>
  <c r="BX33" i="3"/>
  <c r="BX34" i="3"/>
  <c r="BX35" i="3"/>
  <c r="BX36" i="3"/>
  <c r="BX37" i="3"/>
  <c r="BX38" i="3"/>
  <c r="BX39" i="3"/>
  <c r="BX43" i="3"/>
  <c r="BX44" i="3"/>
  <c r="BX45" i="3"/>
  <c r="BX46" i="3"/>
  <c r="BY46" i="3" s="1"/>
  <c r="BX47" i="3"/>
  <c r="BX48" i="3"/>
  <c r="BX49" i="3"/>
  <c r="BX52" i="3"/>
  <c r="BW20" i="3"/>
  <c r="BW12" i="3"/>
  <c r="BW40" i="3"/>
  <c r="BW50" i="3"/>
  <c r="BQ20" i="3"/>
  <c r="BR21" i="3"/>
  <c r="BR23" i="3"/>
  <c r="BS23" i="3" s="1"/>
  <c r="BR24" i="3"/>
  <c r="BS24" i="3" s="1"/>
  <c r="BT24" i="3" s="1"/>
  <c r="BR25" i="3"/>
  <c r="BR26" i="3"/>
  <c r="BS26" i="3" s="1"/>
  <c r="BT26" i="3" s="1"/>
  <c r="BU26" i="3" s="1"/>
  <c r="BR27" i="3"/>
  <c r="BS27" i="3" s="1"/>
  <c r="BT27" i="3" s="1"/>
  <c r="BR28" i="3"/>
  <c r="BS28" i="3" s="1"/>
  <c r="BS22" i="3"/>
  <c r="BT22" i="3" s="1"/>
  <c r="BU22" i="3" s="1"/>
  <c r="BR18" i="3"/>
  <c r="BS17" i="3"/>
  <c r="BT17" i="3" s="1"/>
  <c r="BR15" i="3"/>
  <c r="BS15" i="3" s="1"/>
  <c r="BS13" i="3"/>
  <c r="BS14" i="3"/>
  <c r="BT14" i="3" s="1"/>
  <c r="BR11" i="3"/>
  <c r="BS11" i="3" s="1"/>
  <c r="BS80" i="54" s="1"/>
  <c r="BR9" i="3"/>
  <c r="BS9" i="3" s="1"/>
  <c r="BR19" i="3"/>
  <c r="BS19" i="3" s="1"/>
  <c r="BT19" i="3" s="1"/>
  <c r="BR16" i="3"/>
  <c r="BS16" i="3" s="1"/>
  <c r="BR32" i="3"/>
  <c r="BR106" i="2" s="1"/>
  <c r="BR107" i="2" s="1"/>
  <c r="BR33" i="3"/>
  <c r="BS33" i="3" s="1"/>
  <c r="BR34" i="3"/>
  <c r="BS34" i="3" s="1"/>
  <c r="BR35" i="3"/>
  <c r="BS35" i="3" s="1"/>
  <c r="BR36" i="3"/>
  <c r="BS36" i="3" s="1"/>
  <c r="BT36" i="3" s="1"/>
  <c r="BR37" i="3"/>
  <c r="BS37" i="3" s="1"/>
  <c r="BT37" i="3" s="1"/>
  <c r="BR38" i="3"/>
  <c r="BS38" i="3" s="1"/>
  <c r="BT38" i="3" s="1"/>
  <c r="BR39" i="3"/>
  <c r="BS39" i="3" s="1"/>
  <c r="BR43" i="3"/>
  <c r="BS43" i="3" s="1"/>
  <c r="BR44" i="3"/>
  <c r="BR45" i="3"/>
  <c r="BS45" i="3" s="1"/>
  <c r="BR46" i="3"/>
  <c r="BS46" i="3" s="1"/>
  <c r="BR47" i="3"/>
  <c r="BS47" i="3" s="1"/>
  <c r="BR48" i="3"/>
  <c r="BR85" i="3" s="1"/>
  <c r="BR49" i="3"/>
  <c r="BS49" i="3" s="1"/>
  <c r="BR52" i="3"/>
  <c r="BS52" i="3" s="1"/>
  <c r="BK20" i="3"/>
  <c r="BL21" i="3"/>
  <c r="BL22" i="3"/>
  <c r="BL23" i="3"/>
  <c r="BM23" i="3" s="1"/>
  <c r="BN23" i="3" s="1"/>
  <c r="BO23" i="3" s="1"/>
  <c r="BL24" i="3"/>
  <c r="BM24" i="3" s="1"/>
  <c r="BL25" i="3"/>
  <c r="BL26" i="3"/>
  <c r="BM26" i="3" s="1"/>
  <c r="BN26" i="3" s="1"/>
  <c r="BL27" i="3"/>
  <c r="BM27" i="3" s="1"/>
  <c r="BL28" i="3"/>
  <c r="BM21" i="3"/>
  <c r="BM22" i="3"/>
  <c r="BL18" i="3"/>
  <c r="BL17" i="3"/>
  <c r="BL15" i="3"/>
  <c r="BL13" i="3"/>
  <c r="BL14" i="3"/>
  <c r="BL11" i="3"/>
  <c r="BM11" i="3" s="1"/>
  <c r="BN11" i="3" s="1"/>
  <c r="BN80" i="54" s="1"/>
  <c r="BL9" i="3"/>
  <c r="BM9" i="3" s="1"/>
  <c r="BL19" i="3"/>
  <c r="BM19" i="3" s="1"/>
  <c r="BL16" i="3"/>
  <c r="BM16" i="3" s="1"/>
  <c r="BL32" i="3"/>
  <c r="BL33" i="3"/>
  <c r="BM33" i="3" s="1"/>
  <c r="BL34" i="3"/>
  <c r="BL35" i="3"/>
  <c r="BM35" i="3" s="1"/>
  <c r="BN35" i="3" s="1"/>
  <c r="BL36" i="3"/>
  <c r="BL37" i="3"/>
  <c r="BM37" i="3" s="1"/>
  <c r="BL38" i="3"/>
  <c r="BM38" i="3" s="1"/>
  <c r="BL39" i="3"/>
  <c r="BM39" i="3" s="1"/>
  <c r="BL43" i="3"/>
  <c r="BL44" i="3"/>
  <c r="BL45" i="3"/>
  <c r="BM45" i="3" s="1"/>
  <c r="BL46" i="3"/>
  <c r="BL47" i="3"/>
  <c r="BL48" i="3"/>
  <c r="BL49" i="3"/>
  <c r="BL52" i="3"/>
  <c r="BM52" i="3" s="1"/>
  <c r="BE20" i="3"/>
  <c r="BF21" i="3"/>
  <c r="BF22" i="3"/>
  <c r="BF23" i="3"/>
  <c r="BF24" i="3"/>
  <c r="BG24" i="3" s="1"/>
  <c r="BF25" i="3"/>
  <c r="BG25" i="3" s="1"/>
  <c r="BF26" i="3"/>
  <c r="BG26" i="3" s="1"/>
  <c r="BF27" i="3"/>
  <c r="BG27" i="3" s="1"/>
  <c r="BF28" i="3"/>
  <c r="BG21" i="3"/>
  <c r="BG22" i="3"/>
  <c r="BF18" i="3"/>
  <c r="BG18" i="3" s="1"/>
  <c r="BF17" i="3"/>
  <c r="BG17" i="3" s="1"/>
  <c r="BH17" i="3" s="1"/>
  <c r="BF15" i="3"/>
  <c r="BF13" i="3"/>
  <c r="BF14" i="3"/>
  <c r="BG14" i="3" s="1"/>
  <c r="BF11" i="3"/>
  <c r="BG11" i="3" s="1"/>
  <c r="BH11" i="3" s="1"/>
  <c r="BH80" i="54" s="1"/>
  <c r="BF9" i="3"/>
  <c r="BG9" i="3" s="1"/>
  <c r="BF19" i="3"/>
  <c r="BG19" i="3" s="1"/>
  <c r="BH19" i="3" s="1"/>
  <c r="BI19" i="3" s="1"/>
  <c r="BF16" i="3"/>
  <c r="BG16" i="3" s="1"/>
  <c r="BF32" i="3"/>
  <c r="BG32" i="3" s="1"/>
  <c r="BH32" i="3" s="1"/>
  <c r="BF33" i="3"/>
  <c r="BF34" i="3"/>
  <c r="BG34" i="3" s="1"/>
  <c r="BF35" i="3"/>
  <c r="BF36" i="3"/>
  <c r="BG36" i="3" s="1"/>
  <c r="BF37" i="3"/>
  <c r="BG37" i="3" s="1"/>
  <c r="BH37" i="3" s="1"/>
  <c r="BF38" i="3"/>
  <c r="BG38" i="3" s="1"/>
  <c r="BF39" i="3"/>
  <c r="BF43" i="3"/>
  <c r="BF44" i="3"/>
  <c r="BG44" i="3" s="1"/>
  <c r="BF45" i="3"/>
  <c r="BF46" i="3"/>
  <c r="BG46" i="3" s="1"/>
  <c r="BF47" i="3"/>
  <c r="BG47" i="3" s="1"/>
  <c r="BF48" i="3"/>
  <c r="BG48" i="3" s="1"/>
  <c r="BF49" i="3"/>
  <c r="BG49" i="3" s="1"/>
  <c r="BH49" i="3" s="1"/>
  <c r="BF52" i="3"/>
  <c r="AY20" i="3"/>
  <c r="AZ21" i="3"/>
  <c r="AZ23" i="3"/>
  <c r="BA23" i="3" s="1"/>
  <c r="BB23" i="3" s="1"/>
  <c r="AZ25" i="3"/>
  <c r="BA25" i="3" s="1"/>
  <c r="BB25" i="3" s="1"/>
  <c r="AZ26" i="3"/>
  <c r="AZ28" i="3"/>
  <c r="BA28" i="3" s="1"/>
  <c r="BB22" i="3"/>
  <c r="BC22" i="3" s="1"/>
  <c r="BB24" i="3"/>
  <c r="BC24" i="3" s="1"/>
  <c r="BB27" i="3"/>
  <c r="BC27" i="3" s="1"/>
  <c r="AZ18" i="3"/>
  <c r="BB17" i="3"/>
  <c r="BC17" i="3" s="1"/>
  <c r="AZ15" i="3"/>
  <c r="BA15" i="3" s="1"/>
  <c r="BB15" i="3" s="1"/>
  <c r="BB13" i="3"/>
  <c r="BB14" i="3"/>
  <c r="BC14" i="3" s="1"/>
  <c r="AZ11" i="3"/>
  <c r="BA11" i="3" s="1"/>
  <c r="AZ9" i="3"/>
  <c r="BA9" i="3" s="1"/>
  <c r="BB9" i="3" s="1"/>
  <c r="AZ19" i="3"/>
  <c r="BA19" i="3" s="1"/>
  <c r="BB19" i="3" s="1"/>
  <c r="AZ16" i="3"/>
  <c r="BA16" i="3" s="1"/>
  <c r="BB16" i="3" s="1"/>
  <c r="AZ32" i="3"/>
  <c r="AZ33" i="3"/>
  <c r="AZ34" i="3"/>
  <c r="BA34" i="3" s="1"/>
  <c r="AZ35" i="3"/>
  <c r="BA36" i="3"/>
  <c r="BB36" i="3" s="1"/>
  <c r="AZ37" i="3"/>
  <c r="BA37" i="3" s="1"/>
  <c r="BB37" i="3" s="1"/>
  <c r="BC37" i="3" s="1"/>
  <c r="AZ38" i="3"/>
  <c r="BA38" i="3" s="1"/>
  <c r="BB38" i="3" s="1"/>
  <c r="BB39" i="3"/>
  <c r="BC39" i="3" s="1"/>
  <c r="AZ43" i="3"/>
  <c r="AZ44" i="3"/>
  <c r="BA44" i="3" s="1"/>
  <c r="BB44" i="3" s="1"/>
  <c r="AZ45" i="3"/>
  <c r="AZ46" i="3"/>
  <c r="AZ47" i="3"/>
  <c r="AZ48" i="3"/>
  <c r="BA48" i="3" s="1"/>
  <c r="BB48" i="3" s="1"/>
  <c r="BC48" i="3" s="1"/>
  <c r="AZ49" i="3"/>
  <c r="AZ52" i="3"/>
  <c r="BA52" i="3" s="1"/>
  <c r="BB52" i="3" s="1"/>
  <c r="AS20" i="3"/>
  <c r="AT21" i="3"/>
  <c r="AU21" i="3" s="1"/>
  <c r="AT23" i="3"/>
  <c r="AU23" i="3" s="1"/>
  <c r="AT25" i="3"/>
  <c r="AU25" i="3" s="1"/>
  <c r="AV25" i="3" s="1"/>
  <c r="AT26" i="3"/>
  <c r="AU26" i="3" s="1"/>
  <c r="AV26" i="3" s="1"/>
  <c r="AW26" i="3" s="1"/>
  <c r="AT28" i="3"/>
  <c r="AV22" i="3"/>
  <c r="AW22" i="3" s="1"/>
  <c r="AV24" i="3"/>
  <c r="AW24" i="3" s="1"/>
  <c r="AT18" i="3"/>
  <c r="AW17" i="3"/>
  <c r="AT15" i="3"/>
  <c r="AT175" i="2" s="1"/>
  <c r="AT177" i="2" s="1"/>
  <c r="AW13" i="3"/>
  <c r="AV14" i="3"/>
  <c r="AW14" i="3" s="1"/>
  <c r="AT11" i="3"/>
  <c r="AU11" i="3" s="1"/>
  <c r="AU113" i="2" s="1"/>
  <c r="AU18" i="1" s="1"/>
  <c r="AU20" i="1" s="1"/>
  <c r="AT9" i="3"/>
  <c r="AU9" i="3" s="1"/>
  <c r="AV9" i="3" s="1"/>
  <c r="AT19" i="3"/>
  <c r="AU19" i="3" s="1"/>
  <c r="AT16" i="3"/>
  <c r="AU16" i="3" s="1"/>
  <c r="AT32" i="3"/>
  <c r="AU32" i="3" s="1"/>
  <c r="AT33" i="3"/>
  <c r="AU33" i="3" s="1"/>
  <c r="AT34" i="3"/>
  <c r="AU34" i="3" s="1"/>
  <c r="AT35" i="3"/>
  <c r="AU35" i="3" s="1"/>
  <c r="AT36" i="3"/>
  <c r="AU36" i="3" s="1"/>
  <c r="AT37" i="3"/>
  <c r="AU37" i="3" s="1"/>
  <c r="AT38" i="3"/>
  <c r="AU38" i="3" s="1"/>
  <c r="AW39" i="3"/>
  <c r="AU43" i="3"/>
  <c r="AU44" i="3"/>
  <c r="AT45" i="3"/>
  <c r="AU45" i="3" s="1"/>
  <c r="AT46" i="3"/>
  <c r="AU46" i="3" s="1"/>
  <c r="AT47" i="3"/>
  <c r="AU47" i="3" s="1"/>
  <c r="AV47" i="3" s="1"/>
  <c r="AT48" i="3"/>
  <c r="AU48" i="3" s="1"/>
  <c r="AT49" i="3"/>
  <c r="AU49" i="3" s="1"/>
  <c r="AV49" i="3" s="1"/>
  <c r="AT52" i="3"/>
  <c r="AM20" i="3"/>
  <c r="AN21" i="3"/>
  <c r="AN23" i="3"/>
  <c r="AN25" i="3"/>
  <c r="AO25" i="3" s="1"/>
  <c r="AP25" i="3" s="1"/>
  <c r="AN26" i="3"/>
  <c r="AN28" i="3"/>
  <c r="AO28" i="3" s="1"/>
  <c r="AO23" i="3"/>
  <c r="AP23" i="3" s="1"/>
  <c r="AQ23" i="3" s="1"/>
  <c r="AP22" i="3"/>
  <c r="AQ22" i="3" s="1"/>
  <c r="AP24" i="3"/>
  <c r="AQ24" i="3" s="1"/>
  <c r="AN18" i="3"/>
  <c r="AO18" i="3" s="1"/>
  <c r="AQ17" i="3"/>
  <c r="AN15" i="3"/>
  <c r="AQ13" i="3"/>
  <c r="AQ14" i="3"/>
  <c r="AN11" i="3"/>
  <c r="AN113" i="2" s="1"/>
  <c r="AN18" i="1" s="1"/>
  <c r="AN20" i="1" s="1"/>
  <c r="AN9" i="3"/>
  <c r="AO9" i="3" s="1"/>
  <c r="AN19" i="3"/>
  <c r="AN16" i="3"/>
  <c r="AN32" i="3"/>
  <c r="AN106" i="2" s="1"/>
  <c r="AN107" i="2" s="1"/>
  <c r="AN33" i="3"/>
  <c r="AO33" i="3" s="1"/>
  <c r="AP33" i="3" s="1"/>
  <c r="AQ33" i="3" s="1"/>
  <c r="AN34" i="3"/>
  <c r="AN35" i="3"/>
  <c r="AO35" i="3" s="1"/>
  <c r="AP35" i="3" s="1"/>
  <c r="AQ35" i="3" s="1"/>
  <c r="AN36" i="3"/>
  <c r="AO36" i="3" s="1"/>
  <c r="AP36" i="3" s="1"/>
  <c r="AN37" i="3"/>
  <c r="AO37" i="3" s="1"/>
  <c r="AN38" i="3"/>
  <c r="AQ39" i="3"/>
  <c r="AN43" i="3"/>
  <c r="AO43" i="3" s="1"/>
  <c r="AO44" i="3"/>
  <c r="AN45" i="3"/>
  <c r="AO45" i="3" s="1"/>
  <c r="AN46" i="3"/>
  <c r="AO46" i="3" s="1"/>
  <c r="AN47" i="3"/>
  <c r="AO47" i="3" s="1"/>
  <c r="AP47" i="3" s="1"/>
  <c r="AN48" i="3"/>
  <c r="AN49" i="3"/>
  <c r="AO49" i="3" s="1"/>
  <c r="AN52" i="3"/>
  <c r="AG20" i="3"/>
  <c r="AH21" i="3"/>
  <c r="AH23" i="3"/>
  <c r="AI23" i="3" s="1"/>
  <c r="AH25" i="3"/>
  <c r="AI25" i="3" s="1"/>
  <c r="AJ25" i="3" s="1"/>
  <c r="AH26" i="3"/>
  <c r="AH28" i="3"/>
  <c r="AI28" i="3" s="1"/>
  <c r="AJ28" i="3" s="1"/>
  <c r="AJ22" i="3"/>
  <c r="AK22" i="3" s="1"/>
  <c r="AJ24" i="3"/>
  <c r="AK24" i="3" s="1"/>
  <c r="AH18" i="3"/>
  <c r="AK17" i="3"/>
  <c r="AH15" i="3"/>
  <c r="AI15" i="3" s="1"/>
  <c r="AI175" i="2" s="1"/>
  <c r="AI177" i="2" s="1"/>
  <c r="AK13" i="3"/>
  <c r="AJ14" i="3"/>
  <c r="AK14" i="3" s="1"/>
  <c r="AH11" i="3"/>
  <c r="AH113" i="2" s="1"/>
  <c r="AH18" i="1" s="1"/>
  <c r="AH20" i="1" s="1"/>
  <c r="AH9" i="3"/>
  <c r="AI9" i="3" s="1"/>
  <c r="AJ9" i="3" s="1"/>
  <c r="AK9" i="3" s="1"/>
  <c r="AH19" i="3"/>
  <c r="AI19" i="3" s="1"/>
  <c r="AJ19" i="3" s="1"/>
  <c r="AH16" i="3"/>
  <c r="AI16" i="3" s="1"/>
  <c r="AJ16" i="3" s="1"/>
  <c r="AH32" i="3"/>
  <c r="AH33" i="3"/>
  <c r="AI33" i="3" s="1"/>
  <c r="AJ33" i="3" s="1"/>
  <c r="AK33" i="3" s="1"/>
  <c r="AH34" i="3"/>
  <c r="AI34" i="3" s="1"/>
  <c r="AJ34" i="3" s="1"/>
  <c r="AI35" i="3"/>
  <c r="AJ35" i="3" s="1"/>
  <c r="AJ36" i="3"/>
  <c r="AK36" i="3" s="1"/>
  <c r="AK37" i="3"/>
  <c r="AH38" i="3"/>
  <c r="AI38" i="3" s="1"/>
  <c r="AK39" i="3"/>
  <c r="AK43" i="3"/>
  <c r="AI44" i="3"/>
  <c r="AH45" i="3"/>
  <c r="AH46" i="3"/>
  <c r="AI46" i="3" s="1"/>
  <c r="AJ46" i="3" s="1"/>
  <c r="AK46" i="3" s="1"/>
  <c r="AH47" i="3"/>
  <c r="AI47" i="3" s="1"/>
  <c r="AJ47" i="3" s="1"/>
  <c r="AH48" i="3"/>
  <c r="AI48" i="3" s="1"/>
  <c r="AH49" i="3"/>
  <c r="AH52" i="3"/>
  <c r="AI52" i="3" s="1"/>
  <c r="AA20" i="3"/>
  <c r="AB21" i="3"/>
  <c r="AB23" i="3"/>
  <c r="AB25" i="3"/>
  <c r="AC25" i="3" s="1"/>
  <c r="AB26" i="3"/>
  <c r="AB28" i="3"/>
  <c r="AD22" i="3"/>
  <c r="AE22" i="3" s="1"/>
  <c r="AD24" i="3"/>
  <c r="AE24" i="3" s="1"/>
  <c r="AD27" i="3"/>
  <c r="AE27" i="3" s="1"/>
  <c r="AB18" i="3"/>
  <c r="AE17" i="3"/>
  <c r="AB15" i="3"/>
  <c r="AD13" i="3"/>
  <c r="AD14" i="3"/>
  <c r="AE14" i="3" s="1"/>
  <c r="AB11" i="3"/>
  <c r="AC11" i="3" s="1"/>
  <c r="AD11" i="3" s="1"/>
  <c r="AE11" i="3" s="1"/>
  <c r="AE80" i="54" s="1"/>
  <c r="AB9" i="3"/>
  <c r="AB19" i="3"/>
  <c r="AC19" i="3" s="1"/>
  <c r="AB16" i="3"/>
  <c r="AB32" i="3"/>
  <c r="AB33" i="3"/>
  <c r="AB34" i="3"/>
  <c r="AB35" i="3"/>
  <c r="AE36" i="3"/>
  <c r="AB37" i="3"/>
  <c r="AC37" i="3" s="1"/>
  <c r="AB38" i="3"/>
  <c r="AC38" i="3" s="1"/>
  <c r="AB39" i="3"/>
  <c r="AC39" i="3" s="1"/>
  <c r="AE43" i="3"/>
  <c r="AD44" i="3"/>
  <c r="AB45" i="3"/>
  <c r="AC45" i="3" s="1"/>
  <c r="AB46" i="3"/>
  <c r="AB47" i="3"/>
  <c r="AC47" i="3" s="1"/>
  <c r="AD47" i="3" s="1"/>
  <c r="AB48" i="3"/>
  <c r="AC48" i="3" s="1"/>
  <c r="AB49" i="3"/>
  <c r="AC49" i="3" s="1"/>
  <c r="AD49" i="3" s="1"/>
  <c r="AB52" i="3"/>
  <c r="AC52" i="3" s="1"/>
  <c r="U20" i="3"/>
  <c r="V21" i="3"/>
  <c r="W21" i="3" s="1"/>
  <c r="V22" i="3"/>
  <c r="V23" i="3"/>
  <c r="W23" i="3" s="1"/>
  <c r="V24" i="3"/>
  <c r="W24" i="3" s="1"/>
  <c r="V25" i="3"/>
  <c r="V26" i="3"/>
  <c r="W26" i="3" s="1"/>
  <c r="V27" i="3"/>
  <c r="W27" i="3" s="1"/>
  <c r="X27" i="3" s="1"/>
  <c r="V28" i="3"/>
  <c r="V18" i="3"/>
  <c r="V17" i="3"/>
  <c r="W17" i="3" s="1"/>
  <c r="V15" i="3"/>
  <c r="W13" i="3"/>
  <c r="W14" i="3"/>
  <c r="X14" i="3" s="1"/>
  <c r="Y14" i="3" s="1"/>
  <c r="V11" i="3"/>
  <c r="W11" i="3" s="1"/>
  <c r="W80" i="54" s="1"/>
  <c r="V9" i="3"/>
  <c r="V19" i="3"/>
  <c r="W19" i="3" s="1"/>
  <c r="V16" i="3"/>
  <c r="V32" i="3"/>
  <c r="W32" i="3" s="1"/>
  <c r="X32" i="3" s="1"/>
  <c r="Y32" i="3" s="1"/>
  <c r="V33" i="3"/>
  <c r="V34" i="3"/>
  <c r="W34" i="3" s="1"/>
  <c r="X34" i="3" s="1"/>
  <c r="Y34" i="3" s="1"/>
  <c r="X35" i="3"/>
  <c r="Y35" i="3" s="1"/>
  <c r="V36" i="3"/>
  <c r="W36" i="3" s="1"/>
  <c r="V37" i="3"/>
  <c r="W37" i="3" s="1"/>
  <c r="V38" i="3"/>
  <c r="V131" i="2" s="1"/>
  <c r="V39" i="3"/>
  <c r="W39" i="3" s="1"/>
  <c r="X39" i="3" s="1"/>
  <c r="W43" i="3"/>
  <c r="V44" i="3"/>
  <c r="V45" i="3"/>
  <c r="W45" i="3" s="1"/>
  <c r="V46" i="3"/>
  <c r="W46" i="3" s="1"/>
  <c r="X46" i="3" s="1"/>
  <c r="V47" i="3"/>
  <c r="W47" i="3" s="1"/>
  <c r="V48" i="3"/>
  <c r="Y49" i="3"/>
  <c r="V52" i="3"/>
  <c r="W52" i="3" s="1"/>
  <c r="X52" i="3" s="1"/>
  <c r="O20" i="3"/>
  <c r="P21" i="3"/>
  <c r="P22" i="3"/>
  <c r="Q22" i="3" s="1"/>
  <c r="P23" i="3"/>
  <c r="P24" i="3"/>
  <c r="Q24" i="3" s="1"/>
  <c r="R24" i="3" s="1"/>
  <c r="P25" i="3"/>
  <c r="Q25" i="3" s="1"/>
  <c r="R25" i="3" s="1"/>
  <c r="S25" i="3" s="1"/>
  <c r="P26" i="3"/>
  <c r="Q26" i="3" s="1"/>
  <c r="P27" i="3"/>
  <c r="Q27" i="3" s="1"/>
  <c r="P28" i="3"/>
  <c r="Q21" i="3"/>
  <c r="P18" i="3"/>
  <c r="Q18" i="3" s="1"/>
  <c r="R18" i="3" s="1"/>
  <c r="P17" i="3"/>
  <c r="P15" i="3"/>
  <c r="P13" i="3"/>
  <c r="P14" i="3"/>
  <c r="P11" i="3"/>
  <c r="P80" i="54" s="1"/>
  <c r="P9" i="3"/>
  <c r="Q9" i="3" s="1"/>
  <c r="P19" i="3"/>
  <c r="P16" i="3"/>
  <c r="P32" i="3"/>
  <c r="P106" i="2" s="1"/>
  <c r="P107" i="2" s="1"/>
  <c r="P33" i="3"/>
  <c r="Q33" i="3" s="1"/>
  <c r="P34" i="3"/>
  <c r="R35" i="3"/>
  <c r="S35" i="3" s="1"/>
  <c r="Q36" i="3"/>
  <c r="P37" i="3"/>
  <c r="Q37" i="3" s="1"/>
  <c r="R37" i="3" s="1"/>
  <c r="S37" i="3" s="1"/>
  <c r="P38" i="3"/>
  <c r="P39" i="3"/>
  <c r="P43" i="3"/>
  <c r="Q43" i="3" s="1"/>
  <c r="R43" i="3" s="1"/>
  <c r="P44" i="3"/>
  <c r="Q44" i="3" s="1"/>
  <c r="P45" i="3"/>
  <c r="Q45" i="3" s="1"/>
  <c r="R45" i="3" s="1"/>
  <c r="P46" i="3"/>
  <c r="Q46" i="3" s="1"/>
  <c r="R46" i="3" s="1"/>
  <c r="P47" i="3"/>
  <c r="Q47" i="3" s="1"/>
  <c r="P48" i="3"/>
  <c r="Q48" i="3" s="1"/>
  <c r="R48" i="3" s="1"/>
  <c r="S49" i="3"/>
  <c r="P52" i="3"/>
  <c r="I20" i="3"/>
  <c r="J21" i="3"/>
  <c r="J22" i="3"/>
  <c r="J23" i="3"/>
  <c r="K23" i="3" s="1"/>
  <c r="L23" i="3" s="1"/>
  <c r="J24" i="3"/>
  <c r="J25" i="3"/>
  <c r="K25" i="3" s="1"/>
  <c r="L25" i="3" s="1"/>
  <c r="M25" i="3" s="1"/>
  <c r="J26" i="3"/>
  <c r="K26" i="3" s="1"/>
  <c r="J27" i="3"/>
  <c r="K27" i="3" s="1"/>
  <c r="J28" i="3"/>
  <c r="J18" i="3"/>
  <c r="K18" i="3" s="1"/>
  <c r="L18" i="3" s="1"/>
  <c r="J17" i="3"/>
  <c r="M15" i="3"/>
  <c r="M175" i="2" s="1"/>
  <c r="M177" i="2" s="1"/>
  <c r="J13" i="3"/>
  <c r="K13" i="3" s="1"/>
  <c r="J14" i="3"/>
  <c r="J11" i="3"/>
  <c r="J113" i="2" s="1"/>
  <c r="J18" i="1" s="1"/>
  <c r="J20" i="1" s="1"/>
  <c r="J9" i="3"/>
  <c r="K9" i="3" s="1"/>
  <c r="J19" i="3"/>
  <c r="J16" i="3"/>
  <c r="K16" i="3" s="1"/>
  <c r="J32" i="3"/>
  <c r="J81" i="54" s="1"/>
  <c r="J33" i="3"/>
  <c r="J34" i="3"/>
  <c r="J35" i="3"/>
  <c r="K35" i="3" s="1"/>
  <c r="J36" i="3"/>
  <c r="J37" i="3"/>
  <c r="K37" i="3" s="1"/>
  <c r="J38" i="3"/>
  <c r="J131" i="2" s="1"/>
  <c r="K39" i="3"/>
  <c r="L39" i="3" s="1"/>
  <c r="M39" i="3" s="1"/>
  <c r="J43" i="3"/>
  <c r="J44" i="3"/>
  <c r="K44" i="3" s="1"/>
  <c r="J45" i="3"/>
  <c r="J46" i="3"/>
  <c r="K46" i="3" s="1"/>
  <c r="M47" i="3"/>
  <c r="J48" i="3"/>
  <c r="K49" i="3"/>
  <c r="L49" i="3" s="1"/>
  <c r="M49" i="3" s="1"/>
  <c r="J52" i="3"/>
  <c r="K52" i="3" s="1"/>
  <c r="L52" i="3" s="1"/>
  <c r="G20" i="3"/>
  <c r="G12" i="3"/>
  <c r="G40" i="3"/>
  <c r="G50" i="3"/>
  <c r="BX30" i="54"/>
  <c r="CA30" i="54" s="1"/>
  <c r="BX34" i="54"/>
  <c r="BX38" i="54"/>
  <c r="BX42" i="54"/>
  <c r="BX46" i="54"/>
  <c r="BX50" i="54"/>
  <c r="BC33" i="54"/>
  <c r="BI33" i="54" s="1"/>
  <c r="BO33" i="54" s="1"/>
  <c r="BU33" i="54" s="1"/>
  <c r="BC41" i="54"/>
  <c r="BI41" i="54" s="1"/>
  <c r="BO41" i="54" s="1"/>
  <c r="BU41" i="54" s="1"/>
  <c r="BC37" i="54"/>
  <c r="BI37" i="54" s="1"/>
  <c r="BO37" i="54" s="1"/>
  <c r="BU37" i="54" s="1"/>
  <c r="BW25" i="54"/>
  <c r="BW27" i="54" s="1"/>
  <c r="BC29" i="54"/>
  <c r="BI29" i="54" s="1"/>
  <c r="BO29" i="54" s="1"/>
  <c r="BU29" i="54" s="1"/>
  <c r="BN9" i="4"/>
  <c r="BN32" i="4" s="1"/>
  <c r="BH9" i="4"/>
  <c r="BN11" i="4"/>
  <c r="BN39" i="4" s="1"/>
  <c r="BH11" i="4"/>
  <c r="BN13" i="4"/>
  <c r="BH13" i="4"/>
  <c r="BN56" i="4"/>
  <c r="BN19" i="51" s="1"/>
  <c r="DL11" i="51" s="1"/>
  <c r="BN15" i="4"/>
  <c r="BN51" i="4" s="1"/>
  <c r="BH15" i="4"/>
  <c r="BH51" i="4" s="1"/>
  <c r="BS241" i="73"/>
  <c r="BT241" i="73" s="1"/>
  <c r="BT243" i="73" s="1"/>
  <c r="BT252" i="73" s="1"/>
  <c r="BT248" i="73"/>
  <c r="BK235" i="73"/>
  <c r="BL235" i="73" s="1"/>
  <c r="BM235" i="73" s="1"/>
  <c r="BN235" i="73" s="1"/>
  <c r="AV13" i="4"/>
  <c r="AV45" i="4" s="1"/>
  <c r="AV9" i="4"/>
  <c r="BB44" i="4"/>
  <c r="BB13" i="51" s="1"/>
  <c r="BB13" i="4"/>
  <c r="BB56" i="4"/>
  <c r="BH44" i="4"/>
  <c r="BT35" i="73"/>
  <c r="BR20" i="4"/>
  <c r="BR23" i="4"/>
  <c r="BR354" i="73" s="1"/>
  <c r="BR12" i="73" s="1"/>
  <c r="BR26" i="4"/>
  <c r="BQ20" i="4"/>
  <c r="BQ23" i="4"/>
  <c r="BQ354" i="73" s="1"/>
  <c r="BQ12" i="73" s="1"/>
  <c r="BQ13" i="73" s="1"/>
  <c r="BQ26" i="4"/>
  <c r="BK20" i="4"/>
  <c r="BK331" i="73" s="1"/>
  <c r="BL20" i="4"/>
  <c r="BL331" i="73" s="1"/>
  <c r="BM20" i="4"/>
  <c r="BM331" i="73" s="1"/>
  <c r="BN20" i="4"/>
  <c r="BN331" i="73" s="1"/>
  <c r="BK23" i="4"/>
  <c r="BK354" i="73" s="1"/>
  <c r="BL23" i="4"/>
  <c r="BM23" i="4"/>
  <c r="BN23" i="4"/>
  <c r="BK26" i="4"/>
  <c r="BL26" i="4"/>
  <c r="BM26" i="4"/>
  <c r="BN26" i="4"/>
  <c r="BT13" i="4"/>
  <c r="BT9" i="4"/>
  <c r="BE20" i="4"/>
  <c r="BE331" i="73" s="1"/>
  <c r="BF20" i="4"/>
  <c r="BG20" i="4"/>
  <c r="BG331" i="73" s="1"/>
  <c r="BG10" i="73" s="1"/>
  <c r="BG11" i="73" s="1"/>
  <c r="BH20" i="4"/>
  <c r="BH331" i="73" s="1"/>
  <c r="BE23" i="4"/>
  <c r="BF23" i="4"/>
  <c r="BF354" i="73" s="1"/>
  <c r="BG23" i="4"/>
  <c r="BG354" i="73" s="1"/>
  <c r="BG12" i="73" s="1"/>
  <c r="BG13" i="73" s="1"/>
  <c r="BH23" i="4"/>
  <c r="BE26" i="4"/>
  <c r="BF26" i="4"/>
  <c r="BG26" i="4"/>
  <c r="BH26" i="4"/>
  <c r="BT25" i="4"/>
  <c r="BT23" i="4" s="1"/>
  <c r="BZ181" i="73"/>
  <c r="BZ192" i="73"/>
  <c r="CF192" i="73" s="1"/>
  <c r="CL192" i="73" s="1"/>
  <c r="CR192" i="73" s="1"/>
  <c r="CX192" i="73" s="1"/>
  <c r="BZ188" i="73"/>
  <c r="CF188" i="73" s="1"/>
  <c r="CL188" i="73" s="1"/>
  <c r="CR188" i="73" s="1"/>
  <c r="CX188" i="73" s="1"/>
  <c r="AQ180" i="73"/>
  <c r="AP180" i="73" s="1"/>
  <c r="AS176" i="73"/>
  <c r="AS177" i="73" s="1"/>
  <c r="AS181" i="73" s="1"/>
  <c r="AS206" i="73" s="1"/>
  <c r="AU176" i="73"/>
  <c r="AU177" i="73" s="1"/>
  <c r="AU181" i="73" s="1"/>
  <c r="AU206" i="73" s="1"/>
  <c r="AU217" i="73" s="1"/>
  <c r="AY176" i="73"/>
  <c r="AZ176" i="73" s="1"/>
  <c r="AZ179" i="73" s="1"/>
  <c r="BE176" i="73"/>
  <c r="BF176" i="73" s="1"/>
  <c r="BG176" i="73" s="1"/>
  <c r="BH176" i="73" s="1"/>
  <c r="BK176" i="73"/>
  <c r="BK177" i="73" s="1"/>
  <c r="BK181" i="73" s="1"/>
  <c r="BS176" i="73"/>
  <c r="BT176" i="73" s="1"/>
  <c r="AP15" i="4"/>
  <c r="AV44" i="4"/>
  <c r="AP13" i="4"/>
  <c r="AP45" i="4" s="1"/>
  <c r="AN193" i="73"/>
  <c r="AO193" i="73" s="1"/>
  <c r="AP193" i="73" s="1"/>
  <c r="BB128" i="73"/>
  <c r="BB115" i="73" s="1"/>
  <c r="BB379" i="73" s="1"/>
  <c r="BT20" i="4"/>
  <c r="D7" i="4"/>
  <c r="E7" i="4" s="1"/>
  <c r="F7" i="4" s="1"/>
  <c r="I7" i="4" s="1"/>
  <c r="J7" i="4" s="1"/>
  <c r="K7" i="4" s="1"/>
  <c r="L7" i="4" s="1"/>
  <c r="O7" i="4" s="1"/>
  <c r="P7" i="4" s="1"/>
  <c r="Q7" i="4" s="1"/>
  <c r="R7" i="4" s="1"/>
  <c r="U7" i="4" s="1"/>
  <c r="V7" i="4" s="1"/>
  <c r="W7" i="4" s="1"/>
  <c r="X7" i="4" s="1"/>
  <c r="AA7" i="4" s="1"/>
  <c r="AB7" i="4" s="1"/>
  <c r="AC7" i="4" s="1"/>
  <c r="AD7" i="4" s="1"/>
  <c r="AG7" i="4" s="1"/>
  <c r="AH7" i="4" s="1"/>
  <c r="AI7" i="4" s="1"/>
  <c r="AJ7" i="4" s="1"/>
  <c r="AM7" i="4" s="1"/>
  <c r="AN7" i="4" s="1"/>
  <c r="AO7" i="4" s="1"/>
  <c r="AP7" i="4" s="1"/>
  <c r="AS7" i="4" s="1"/>
  <c r="AT7" i="4" s="1"/>
  <c r="AU7" i="4" s="1"/>
  <c r="AV7" i="4" s="1"/>
  <c r="AY7" i="4" s="1"/>
  <c r="AZ7" i="4" s="1"/>
  <c r="BA7" i="4" s="1"/>
  <c r="BB7" i="4" s="1"/>
  <c r="BE7" i="4" s="1"/>
  <c r="BF7" i="4" s="1"/>
  <c r="BG7" i="4" s="1"/>
  <c r="BH7" i="4" s="1"/>
  <c r="BK7" i="4" s="1"/>
  <c r="BL7" i="4" s="1"/>
  <c r="BM7" i="4" s="1"/>
  <c r="BN7" i="4" s="1"/>
  <c r="BQ7" i="4" s="1"/>
  <c r="BR7" i="4" s="1"/>
  <c r="BS7" i="4" s="1"/>
  <c r="BT7" i="4" s="1"/>
  <c r="BW7" i="4" s="1"/>
  <c r="BX7" i="4" s="1"/>
  <c r="BY7" i="4" s="1"/>
  <c r="BZ7" i="4" s="1"/>
  <c r="AG134" i="73"/>
  <c r="AG448" i="73" s="1"/>
  <c r="AG23" i="4"/>
  <c r="AG354" i="73" s="1"/>
  <c r="AG20" i="4"/>
  <c r="AG379" i="73"/>
  <c r="AG454" i="73"/>
  <c r="AG455" i="73"/>
  <c r="BT86" i="3"/>
  <c r="CL86" i="3" s="1"/>
  <c r="CR86" i="3" s="1"/>
  <c r="CX86" i="3" s="1"/>
  <c r="BT15" i="4"/>
  <c r="BT11" i="4"/>
  <c r="CC19" i="1"/>
  <c r="BK11" i="4"/>
  <c r="BK13" i="4"/>
  <c r="BK15" i="4"/>
  <c r="BK51" i="4" s="1"/>
  <c r="BW245" i="73"/>
  <c r="BW248" i="73" s="1"/>
  <c r="BW181" i="73"/>
  <c r="BW192" i="73"/>
  <c r="CC192" i="73" s="1"/>
  <c r="CI192" i="73" s="1"/>
  <c r="CO192" i="73" s="1"/>
  <c r="CU192" i="73" s="1"/>
  <c r="AY9" i="4"/>
  <c r="AY32" i="4" s="1"/>
  <c r="AS9" i="4"/>
  <c r="AS32" i="4" s="1"/>
  <c r="AY11" i="4"/>
  <c r="AS11" i="4"/>
  <c r="AS39" i="4" s="1"/>
  <c r="AY13" i="4"/>
  <c r="AY45" i="4" s="1"/>
  <c r="AS13" i="4"/>
  <c r="AS45" i="4" s="1"/>
  <c r="AY15" i="4"/>
  <c r="AS15" i="4"/>
  <c r="BE11" i="4"/>
  <c r="BE13" i="4"/>
  <c r="BE45" i="4" s="1"/>
  <c r="BE56" i="4"/>
  <c r="BE15" i="4"/>
  <c r="BW188" i="73"/>
  <c r="BW35" i="73"/>
  <c r="BW13" i="4"/>
  <c r="BQ13" i="4"/>
  <c r="BW9" i="4"/>
  <c r="BW23" i="4"/>
  <c r="CC24" i="4" s="1"/>
  <c r="CC244" i="73"/>
  <c r="CD244" i="73" s="1"/>
  <c r="CE244" i="73" s="1"/>
  <c r="CF244" i="73" s="1"/>
  <c r="CI244" i="73" s="1"/>
  <c r="CC184" i="73"/>
  <c r="AM9" i="4"/>
  <c r="AM32" i="4" s="1"/>
  <c r="AM11" i="4"/>
  <c r="AM39" i="4" s="1"/>
  <c r="AM13" i="4"/>
  <c r="AM45" i="4" s="1"/>
  <c r="AM15" i="4"/>
  <c r="AY128" i="73"/>
  <c r="BE128" i="73" s="1"/>
  <c r="BK128" i="73" s="1"/>
  <c r="BK115" i="73" s="1"/>
  <c r="BK132" i="73" s="1"/>
  <c r="BW20" i="4"/>
  <c r="CC21" i="4" s="1"/>
  <c r="BW86" i="3"/>
  <c r="CA32" i="2"/>
  <c r="BT90" i="2"/>
  <c r="BW106" i="2"/>
  <c r="BW107" i="2" s="1"/>
  <c r="BW105" i="2"/>
  <c r="BX125" i="2"/>
  <c r="BZ73" i="54"/>
  <c r="CG40" i="54"/>
  <c r="CI40" i="54" s="1"/>
  <c r="CJ40" i="54" s="1"/>
  <c r="CK40" i="54" s="1"/>
  <c r="CL40" i="54" s="1"/>
  <c r="CM40" i="54" s="1"/>
  <c r="CO40" i="54" s="1"/>
  <c r="CG36" i="54"/>
  <c r="CI36" i="54" s="1"/>
  <c r="CJ36" i="54" s="1"/>
  <c r="CK36" i="54" s="1"/>
  <c r="CL36" i="54" s="1"/>
  <c r="CM36" i="54" s="1"/>
  <c r="CO36" i="54" s="1"/>
  <c r="CP36" i="54" s="1"/>
  <c r="CQ36" i="54" s="1"/>
  <c r="CR36" i="54" s="1"/>
  <c r="CS36" i="54" s="1"/>
  <c r="CU36" i="54" s="1"/>
  <c r="CV36" i="54" s="1"/>
  <c r="CW36" i="54" s="1"/>
  <c r="CX36" i="54" s="1"/>
  <c r="CY36" i="54" s="1"/>
  <c r="CG25" i="54"/>
  <c r="CG28" i="54"/>
  <c r="CI28" i="54" s="1"/>
  <c r="CJ28" i="54" s="1"/>
  <c r="CK28" i="54" s="1"/>
  <c r="CL28" i="54" s="1"/>
  <c r="BL9" i="4"/>
  <c r="BF9" i="4"/>
  <c r="BF32" i="4" s="1"/>
  <c r="BL11" i="4"/>
  <c r="BF11" i="4"/>
  <c r="BL13" i="4"/>
  <c r="BL45" i="4" s="1"/>
  <c r="BF13" i="4"/>
  <c r="BL15" i="4"/>
  <c r="BF15" i="4"/>
  <c r="BF51" i="4" s="1"/>
  <c r="BX181" i="73"/>
  <c r="BX192" i="73"/>
  <c r="CD192" i="73" s="1"/>
  <c r="CJ192" i="73" s="1"/>
  <c r="CP192" i="73" s="1"/>
  <c r="CV192" i="73" s="1"/>
  <c r="AT9" i="4"/>
  <c r="AT32" i="4" s="1"/>
  <c r="AZ44" i="4"/>
  <c r="AZ11" i="4"/>
  <c r="AT11" i="4"/>
  <c r="AZ13" i="4"/>
  <c r="AZ45" i="4" s="1"/>
  <c r="AT13" i="4"/>
  <c r="AT45" i="4" s="1"/>
  <c r="AZ15" i="4"/>
  <c r="AT15" i="4"/>
  <c r="BX188" i="73"/>
  <c r="CD188" i="73" s="1"/>
  <c r="CJ188" i="73" s="1"/>
  <c r="CP188" i="73" s="1"/>
  <c r="CV188" i="73" s="1"/>
  <c r="BX35" i="73"/>
  <c r="BX13" i="4"/>
  <c r="BR13" i="4"/>
  <c r="BX9" i="4"/>
  <c r="BR9" i="4"/>
  <c r="BX25" i="4"/>
  <c r="BX23" i="4" s="1"/>
  <c r="CD24" i="4" s="1"/>
  <c r="CD184" i="73"/>
  <c r="AN9" i="4"/>
  <c r="AN11" i="4"/>
  <c r="AN13" i="4"/>
  <c r="AN45" i="4" s="1"/>
  <c r="AN15" i="4"/>
  <c r="AZ128" i="73"/>
  <c r="BX20" i="4"/>
  <c r="BY245" i="73"/>
  <c r="BY181" i="73"/>
  <c r="BY192" i="73"/>
  <c r="CE192" i="73" s="1"/>
  <c r="CK192" i="73" s="1"/>
  <c r="CQ192" i="73" s="1"/>
  <c r="CW192" i="73" s="1"/>
  <c r="AU9" i="4"/>
  <c r="AU32" i="4" s="1"/>
  <c r="BA44" i="4"/>
  <c r="BA13" i="51" s="1"/>
  <c r="BA11" i="4"/>
  <c r="AU11" i="4"/>
  <c r="BA13" i="4"/>
  <c r="BA45" i="4" s="1"/>
  <c r="AU13" i="4"/>
  <c r="BA56" i="4"/>
  <c r="BA19" i="51" s="1"/>
  <c r="BA15" i="4"/>
  <c r="BA51" i="4" s="1"/>
  <c r="AU15" i="4"/>
  <c r="BG9" i="4"/>
  <c r="BG44" i="4"/>
  <c r="BG11" i="4"/>
  <c r="BG39" i="4" s="1"/>
  <c r="BG13" i="4"/>
  <c r="BG15" i="4"/>
  <c r="BG51" i="4" s="1"/>
  <c r="BY188" i="73"/>
  <c r="CE188" i="73" s="1"/>
  <c r="CK188" i="73" s="1"/>
  <c r="CQ188" i="73" s="1"/>
  <c r="CW188" i="73" s="1"/>
  <c r="BY35" i="73"/>
  <c r="BS35" i="73"/>
  <c r="BY13" i="4"/>
  <c r="BS13" i="4"/>
  <c r="BS45" i="4" s="1"/>
  <c r="BY9" i="4"/>
  <c r="BS9" i="4"/>
  <c r="BS32" i="4" s="1"/>
  <c r="BM13" i="4"/>
  <c r="BM9" i="4"/>
  <c r="BM32" i="4" s="1"/>
  <c r="BY25" i="4"/>
  <c r="BY23" i="4" s="1"/>
  <c r="CE24" i="4" s="1"/>
  <c r="CE184" i="73"/>
  <c r="AO9" i="4"/>
  <c r="AO32" i="4" s="1"/>
  <c r="AO11" i="4"/>
  <c r="AO39" i="4" s="1"/>
  <c r="AO13" i="4"/>
  <c r="AO15" i="4"/>
  <c r="AO51" i="4" s="1"/>
  <c r="BA128" i="73"/>
  <c r="BY20" i="4"/>
  <c r="CF184" i="73"/>
  <c r="CF181" i="73" s="1"/>
  <c r="BW92" i="2"/>
  <c r="CI92" i="2" s="1"/>
  <c r="CO92" i="2" s="1"/>
  <c r="CU92" i="2" s="1"/>
  <c r="CC12" i="3"/>
  <c r="CA33" i="2"/>
  <c r="BX77" i="2"/>
  <c r="BY77" i="2"/>
  <c r="CK77" i="2" s="1"/>
  <c r="CQ77" i="2" s="1"/>
  <c r="CW77" i="2" s="1"/>
  <c r="BY89" i="2"/>
  <c r="CK89" i="2" s="1"/>
  <c r="CQ89" i="2" s="1"/>
  <c r="CW89" i="2" s="1"/>
  <c r="BY92" i="2"/>
  <c r="CK92" i="2" s="1"/>
  <c r="CQ92" i="2" s="1"/>
  <c r="CW92" i="2" s="1"/>
  <c r="CE12" i="3"/>
  <c r="BX86" i="3"/>
  <c r="CJ86" i="3" s="1"/>
  <c r="CP86" i="3" s="1"/>
  <c r="CV86" i="3" s="1"/>
  <c r="CE85" i="3"/>
  <c r="CG85" i="3" s="1"/>
  <c r="BY86" i="3"/>
  <c r="CI89" i="2"/>
  <c r="CO89" i="2" s="1"/>
  <c r="CU89" i="2" s="1"/>
  <c r="CJ89" i="2"/>
  <c r="CP89" i="2" s="1"/>
  <c r="CV89" i="2" s="1"/>
  <c r="BY50" i="54"/>
  <c r="BY42" i="54"/>
  <c r="BY46" i="54"/>
  <c r="BW46" i="54"/>
  <c r="BY38" i="54"/>
  <c r="BY34" i="54"/>
  <c r="BY133" i="2"/>
  <c r="BZ130" i="2" s="1"/>
  <c r="BY128" i="2"/>
  <c r="BZ123" i="2" s="1"/>
  <c r="BY118" i="2"/>
  <c r="BY99" i="2"/>
  <c r="BY96" i="2"/>
  <c r="BY91" i="2"/>
  <c r="BY55" i="2"/>
  <c r="BY48" i="2"/>
  <c r="BZ74" i="54"/>
  <c r="BZ82" i="54" s="1"/>
  <c r="BR34" i="54"/>
  <c r="BR38" i="54"/>
  <c r="BR42" i="54"/>
  <c r="BR46" i="54"/>
  <c r="BT50" i="54"/>
  <c r="BS50" i="54"/>
  <c r="BR50" i="54"/>
  <c r="BQ58" i="54"/>
  <c r="BQ50" i="54"/>
  <c r="BQ46" i="54"/>
  <c r="BQ42" i="54"/>
  <c r="BQ38" i="54"/>
  <c r="BQ30" i="54"/>
  <c r="BQ34" i="54"/>
  <c r="BW50" i="54"/>
  <c r="BW42" i="54"/>
  <c r="BW38" i="54"/>
  <c r="BW34" i="54"/>
  <c r="CM34" i="54"/>
  <c r="CS34" i="54"/>
  <c r="CY34" i="54"/>
  <c r="BT34" i="54"/>
  <c r="BS34" i="54"/>
  <c r="DX27" i="51"/>
  <c r="DX40" i="51" s="1"/>
  <c r="DW27" i="51"/>
  <c r="DW40" i="51" s="1"/>
  <c r="DV27" i="51"/>
  <c r="DV40" i="51" s="1"/>
  <c r="DU27" i="51"/>
  <c r="DU40" i="51" s="1"/>
  <c r="DT27" i="51"/>
  <c r="DT40" i="51" s="1"/>
  <c r="DS27" i="51"/>
  <c r="DS40" i="51" s="1"/>
  <c r="DR27" i="51"/>
  <c r="DR40" i="51" s="1"/>
  <c r="DQ27" i="51"/>
  <c r="DQ40" i="51" s="1"/>
  <c r="DP27" i="51"/>
  <c r="DP40" i="51" s="1"/>
  <c r="DO27" i="51"/>
  <c r="DO40" i="51" s="1"/>
  <c r="DN27" i="51"/>
  <c r="DN40" i="51" s="1"/>
  <c r="DM27" i="51"/>
  <c r="DM40" i="51" s="1"/>
  <c r="DL40" i="51"/>
  <c r="DK40" i="51"/>
  <c r="DJ40" i="51"/>
  <c r="DI40" i="51"/>
  <c r="DX15" i="51"/>
  <c r="DW15" i="51"/>
  <c r="DV15" i="51"/>
  <c r="DU15" i="51"/>
  <c r="BY76" i="51"/>
  <c r="BS76" i="51"/>
  <c r="BX76" i="51"/>
  <c r="BW76" i="51"/>
  <c r="BR76" i="51"/>
  <c r="BQ76" i="51"/>
  <c r="BN76" i="51"/>
  <c r="BM76" i="51"/>
  <c r="BL76" i="51"/>
  <c r="BK76" i="51"/>
  <c r="BG76" i="51"/>
  <c r="BF76" i="51"/>
  <c r="BE76" i="51"/>
  <c r="BA76" i="51"/>
  <c r="AZ76" i="51"/>
  <c r="AU76" i="51"/>
  <c r="AT76" i="51"/>
  <c r="AO76" i="51"/>
  <c r="AN76" i="51"/>
  <c r="AM76" i="51"/>
  <c r="AH76" i="51"/>
  <c r="AG76" i="51"/>
  <c r="AB76" i="51"/>
  <c r="AA76" i="51"/>
  <c r="U76" i="51"/>
  <c r="W76" i="51"/>
  <c r="V76" i="51"/>
  <c r="AE64" i="51"/>
  <c r="AD64" i="51"/>
  <c r="AC64" i="51"/>
  <c r="AB64" i="51"/>
  <c r="AA64" i="51"/>
  <c r="AE63" i="51"/>
  <c r="AD63" i="51"/>
  <c r="AC63" i="51"/>
  <c r="AB63" i="51"/>
  <c r="AH70" i="51" s="1"/>
  <c r="AA63" i="51"/>
  <c r="AE62" i="51"/>
  <c r="AD62" i="51"/>
  <c r="AC62" i="51"/>
  <c r="AB62" i="51"/>
  <c r="AA62" i="51"/>
  <c r="AE61" i="51"/>
  <c r="AD61" i="51"/>
  <c r="AC61" i="51"/>
  <c r="AB61" i="51"/>
  <c r="AA61" i="51"/>
  <c r="AD60" i="51"/>
  <c r="Y64" i="51"/>
  <c r="X64" i="51"/>
  <c r="W64" i="51"/>
  <c r="V64" i="51"/>
  <c r="U64" i="51"/>
  <c r="Y63" i="51"/>
  <c r="X63" i="51"/>
  <c r="W63" i="51"/>
  <c r="V63" i="51"/>
  <c r="U63" i="51"/>
  <c r="Y62" i="51"/>
  <c r="X62" i="51"/>
  <c r="W62" i="51"/>
  <c r="V62" i="51"/>
  <c r="U62" i="51"/>
  <c r="Y61" i="51"/>
  <c r="X61" i="51"/>
  <c r="W61" i="51"/>
  <c r="V61" i="51"/>
  <c r="U61" i="51"/>
  <c r="X60" i="51"/>
  <c r="BY118" i="51"/>
  <c r="BX118" i="51"/>
  <c r="BW118" i="51"/>
  <c r="BT118" i="51"/>
  <c r="BQ118" i="51"/>
  <c r="BR118" i="51"/>
  <c r="BS118" i="51"/>
  <c r="BN118" i="51"/>
  <c r="BM118" i="51"/>
  <c r="BL118" i="51"/>
  <c r="BK118" i="51"/>
  <c r="BH118" i="51"/>
  <c r="BG118" i="51"/>
  <c r="BF118" i="51"/>
  <c r="BE118" i="51"/>
  <c r="BA118" i="51"/>
  <c r="AZ118" i="51"/>
  <c r="AY118" i="51"/>
  <c r="AW118" i="51"/>
  <c r="AV118" i="51"/>
  <c r="AU118" i="51"/>
  <c r="AT118" i="51"/>
  <c r="AS118" i="51"/>
  <c r="AQ118" i="51"/>
  <c r="AP118" i="51"/>
  <c r="AO118" i="51"/>
  <c r="AN118" i="51"/>
  <c r="AM118" i="51"/>
  <c r="AK118" i="51"/>
  <c r="AJ118" i="51"/>
  <c r="AI118" i="51"/>
  <c r="AH118" i="51"/>
  <c r="AG118" i="51"/>
  <c r="AE118" i="51"/>
  <c r="AD118" i="51"/>
  <c r="AC118" i="51"/>
  <c r="AB118" i="51"/>
  <c r="AA118" i="51"/>
  <c r="BU117" i="51"/>
  <c r="BU116" i="51"/>
  <c r="BU115" i="51"/>
  <c r="BU114" i="51"/>
  <c r="BU113" i="51"/>
  <c r="BO117" i="51"/>
  <c r="BO116" i="51"/>
  <c r="BO115" i="51"/>
  <c r="BO114" i="51"/>
  <c r="BO113" i="51"/>
  <c r="BI117" i="51"/>
  <c r="BI116" i="51"/>
  <c r="BI115" i="51"/>
  <c r="BI114" i="51"/>
  <c r="BI113" i="51"/>
  <c r="BB117" i="51"/>
  <c r="BB118" i="51" s="1"/>
  <c r="BC116" i="51"/>
  <c r="BC115" i="51"/>
  <c r="BC114" i="51"/>
  <c r="BC113" i="51"/>
  <c r="BY110" i="51"/>
  <c r="BX110" i="51"/>
  <c r="BW110" i="51"/>
  <c r="BT110" i="51"/>
  <c r="BS110" i="51"/>
  <c r="BR110" i="51"/>
  <c r="BN110" i="51"/>
  <c r="BM110" i="51"/>
  <c r="BL110" i="51"/>
  <c r="BH110" i="51"/>
  <c r="BG110" i="51"/>
  <c r="BF110" i="51"/>
  <c r="BE110" i="51"/>
  <c r="BB110" i="51"/>
  <c r="BA110" i="51"/>
  <c r="AZ110" i="51"/>
  <c r="AY110" i="51"/>
  <c r="AW110" i="51"/>
  <c r="AV110" i="51"/>
  <c r="AU110" i="51"/>
  <c r="AT110" i="51"/>
  <c r="AS110" i="51"/>
  <c r="AQ110" i="51"/>
  <c r="AP110" i="51"/>
  <c r="AO110" i="51"/>
  <c r="AN110" i="51"/>
  <c r="AM110" i="51"/>
  <c r="AK110" i="51"/>
  <c r="AJ110" i="51"/>
  <c r="AI110" i="51"/>
  <c r="AH110" i="51"/>
  <c r="AG110" i="51"/>
  <c r="AE110" i="51"/>
  <c r="AD110" i="51"/>
  <c r="AC110" i="51"/>
  <c r="AB110" i="51"/>
  <c r="AA110" i="51"/>
  <c r="BU108" i="51"/>
  <c r="BU107" i="51"/>
  <c r="BU106" i="51"/>
  <c r="BU105" i="51"/>
  <c r="BQ109" i="51"/>
  <c r="BQ110" i="51" s="1"/>
  <c r="BO108" i="51"/>
  <c r="BO107" i="51"/>
  <c r="BO106" i="51"/>
  <c r="BO105" i="51"/>
  <c r="BK109" i="51"/>
  <c r="BO109" i="51" s="1"/>
  <c r="BI109" i="51"/>
  <c r="BI108" i="51"/>
  <c r="BI107" i="51"/>
  <c r="BI106" i="51"/>
  <c r="BI105" i="51"/>
  <c r="BC109" i="51"/>
  <c r="BC108" i="51"/>
  <c r="BC107" i="51"/>
  <c r="BC106" i="51"/>
  <c r="BC105" i="51"/>
  <c r="Y102" i="51"/>
  <c r="X102" i="51"/>
  <c r="W102" i="51"/>
  <c r="V102" i="51"/>
  <c r="U102" i="51"/>
  <c r="BH101" i="51"/>
  <c r="BB101" i="51"/>
  <c r="BB99" i="51"/>
  <c r="BB98" i="51"/>
  <c r="BY100" i="51"/>
  <c r="BX100" i="51"/>
  <c r="BW100" i="51"/>
  <c r="BY99" i="51"/>
  <c r="BX99" i="51"/>
  <c r="BW99" i="51"/>
  <c r="BW98" i="51"/>
  <c r="BT100" i="51"/>
  <c r="BS100" i="51"/>
  <c r="BT99" i="51"/>
  <c r="BS99" i="51"/>
  <c r="BQ99" i="51"/>
  <c r="BT98" i="51"/>
  <c r="BQ98" i="51"/>
  <c r="BM99" i="51"/>
  <c r="BL99" i="51"/>
  <c r="BK99" i="51"/>
  <c r="BM98" i="51"/>
  <c r="BL98" i="51"/>
  <c r="BK98" i="51"/>
  <c r="BG100" i="51"/>
  <c r="BF100" i="51"/>
  <c r="BG99" i="51"/>
  <c r="BG98" i="51"/>
  <c r="BF99" i="51"/>
  <c r="BE99" i="51"/>
  <c r="BF98" i="51"/>
  <c r="BE98" i="51"/>
  <c r="BA100" i="51"/>
  <c r="AZ100" i="51"/>
  <c r="AZ98" i="51"/>
  <c r="AZ99" i="51"/>
  <c r="BA99" i="51"/>
  <c r="BA98" i="51"/>
  <c r="AY99" i="51"/>
  <c r="AY98" i="51"/>
  <c r="AV100" i="51"/>
  <c r="AT100" i="51"/>
  <c r="AS100" i="51"/>
  <c r="AV99" i="51"/>
  <c r="AU99" i="51"/>
  <c r="AT99" i="51"/>
  <c r="AS99" i="51"/>
  <c r="AV98" i="51"/>
  <c r="AU98" i="51"/>
  <c r="AT98" i="51"/>
  <c r="AS98" i="51"/>
  <c r="AP98" i="51"/>
  <c r="AP102" i="51" s="1"/>
  <c r="AO98" i="51"/>
  <c r="AO102" i="51" s="1"/>
  <c r="AN98" i="51"/>
  <c r="AN102" i="51" s="1"/>
  <c r="AM98" i="51"/>
  <c r="AM102" i="51" s="1"/>
  <c r="AJ98" i="51"/>
  <c r="AJ102" i="51" s="1"/>
  <c r="AI98" i="51"/>
  <c r="AI102" i="51" s="1"/>
  <c r="AH98" i="51"/>
  <c r="AH102" i="51" s="1"/>
  <c r="AG98" i="51"/>
  <c r="AG102" i="51" s="1"/>
  <c r="AD98" i="51"/>
  <c r="AD102" i="51" s="1"/>
  <c r="AC98" i="51"/>
  <c r="AC102" i="51" s="1"/>
  <c r="AB98" i="51"/>
  <c r="AB102" i="51" s="1"/>
  <c r="AA98" i="51"/>
  <c r="AA102" i="51" s="1"/>
  <c r="BH93" i="51"/>
  <c r="BH92" i="51"/>
  <c r="BH91" i="51"/>
  <c r="BH90" i="51"/>
  <c r="BB93" i="51"/>
  <c r="BB92" i="51"/>
  <c r="BB91" i="51"/>
  <c r="BB90" i="51"/>
  <c r="DD45" i="51"/>
  <c r="DD44" i="51"/>
  <c r="DD43" i="51"/>
  <c r="DD42" i="51"/>
  <c r="BC51" i="51"/>
  <c r="DD33" i="51"/>
  <c r="DD46" i="51" s="1"/>
  <c r="AP53" i="51"/>
  <c r="AN53" i="51"/>
  <c r="AJ53" i="51"/>
  <c r="AD53" i="51"/>
  <c r="AW52" i="51"/>
  <c r="AW51" i="51"/>
  <c r="AQ52" i="51"/>
  <c r="AQ51" i="51"/>
  <c r="AK52" i="51"/>
  <c r="AK51" i="51"/>
  <c r="AE52" i="51"/>
  <c r="AE51" i="51"/>
  <c r="Y52" i="51"/>
  <c r="Y51" i="51"/>
  <c r="S52" i="51"/>
  <c r="S51" i="51"/>
  <c r="A52" i="51"/>
  <c r="A51" i="51"/>
  <c r="A49" i="51"/>
  <c r="DD19" i="51" s="1"/>
  <c r="A45" i="51"/>
  <c r="DD18" i="51" s="1"/>
  <c r="A43" i="51"/>
  <c r="DD17" i="51" s="1"/>
  <c r="AU51" i="51"/>
  <c r="AT51" i="51"/>
  <c r="AS51" i="51"/>
  <c r="BB51" i="51"/>
  <c r="BA51" i="51"/>
  <c r="AZ51" i="51"/>
  <c r="AY51" i="51"/>
  <c r="BR51" i="51"/>
  <c r="BQ51" i="51"/>
  <c r="BM51" i="51"/>
  <c r="BL51" i="51"/>
  <c r="BK51" i="51"/>
  <c r="BE52" i="51"/>
  <c r="BI51" i="51"/>
  <c r="BH51" i="51"/>
  <c r="BG51" i="51"/>
  <c r="BF51" i="51"/>
  <c r="BE51" i="51"/>
  <c r="A38" i="51"/>
  <c r="DD16" i="51" s="1"/>
  <c r="DD20" i="51"/>
  <c r="AO53" i="51"/>
  <c r="AV53" i="51"/>
  <c r="CW190" i="73"/>
  <c r="DT15" i="51"/>
  <c r="DS15" i="51"/>
  <c r="DR15" i="51"/>
  <c r="DQ15" i="51"/>
  <c r="DP15" i="51"/>
  <c r="DO15" i="51"/>
  <c r="DN15" i="51"/>
  <c r="DM15" i="51"/>
  <c r="DL15" i="51"/>
  <c r="DK15" i="51"/>
  <c r="DJ15" i="51"/>
  <c r="DI15" i="51"/>
  <c r="AV22" i="51"/>
  <c r="AU22" i="51"/>
  <c r="AT22" i="51"/>
  <c r="AS22" i="51"/>
  <c r="AQ22" i="51"/>
  <c r="AP22" i="51"/>
  <c r="AO22" i="51"/>
  <c r="AN22" i="51"/>
  <c r="AM22" i="51"/>
  <c r="AK22" i="51"/>
  <c r="AJ22" i="51"/>
  <c r="AI22" i="51"/>
  <c r="AH22" i="51"/>
  <c r="AG22" i="51"/>
  <c r="AE22" i="51"/>
  <c r="AD22" i="51"/>
  <c r="AC22" i="51"/>
  <c r="AB22" i="51"/>
  <c r="AA22" i="51"/>
  <c r="Y22" i="51"/>
  <c r="X22" i="51"/>
  <c r="W22" i="51"/>
  <c r="V22" i="51"/>
  <c r="U22" i="51"/>
  <c r="S22" i="51"/>
  <c r="R22" i="51"/>
  <c r="Q22" i="51"/>
  <c r="P22" i="51"/>
  <c r="O22" i="51"/>
  <c r="M22" i="51"/>
  <c r="L22" i="51"/>
  <c r="K22" i="51"/>
  <c r="J22" i="51"/>
  <c r="I22" i="51"/>
  <c r="G22" i="51"/>
  <c r="F22" i="51"/>
  <c r="E22" i="51"/>
  <c r="D22" i="51"/>
  <c r="C22" i="51"/>
  <c r="AC60" i="51"/>
  <c r="AA60" i="51"/>
  <c r="Y60" i="51"/>
  <c r="W60" i="51"/>
  <c r="V60" i="51"/>
  <c r="U60" i="51"/>
  <c r="DN12" i="51"/>
  <c r="DM12" i="51"/>
  <c r="DG12" i="51"/>
  <c r="DF12" i="51"/>
  <c r="DD11" i="51"/>
  <c r="DD10" i="51"/>
  <c r="DD9" i="51"/>
  <c r="DD8" i="51"/>
  <c r="DD28" i="51" s="1"/>
  <c r="DD41" i="51" s="1"/>
  <c r="D6" i="51"/>
  <c r="E6" i="51" s="1"/>
  <c r="F6" i="51" s="1"/>
  <c r="I6" i="51" s="1"/>
  <c r="J6" i="51" s="1"/>
  <c r="K6" i="51" s="1"/>
  <c r="L6" i="51" s="1"/>
  <c r="O6" i="51" s="1"/>
  <c r="P6" i="51" s="1"/>
  <c r="Q6" i="51" s="1"/>
  <c r="R6" i="51" s="1"/>
  <c r="U6" i="51" s="1"/>
  <c r="V6" i="51" s="1"/>
  <c r="W6" i="51" s="1"/>
  <c r="X6" i="51" s="1"/>
  <c r="AA6" i="51" s="1"/>
  <c r="AB6" i="51" s="1"/>
  <c r="AC6" i="51" s="1"/>
  <c r="AD6" i="51" s="1"/>
  <c r="AG6" i="51" s="1"/>
  <c r="AH6" i="51" s="1"/>
  <c r="AI6" i="51" s="1"/>
  <c r="AJ6" i="51" s="1"/>
  <c r="AM6" i="51" s="1"/>
  <c r="AN6" i="51" s="1"/>
  <c r="AO6" i="51" s="1"/>
  <c r="AP6" i="51" s="1"/>
  <c r="AS6" i="51" s="1"/>
  <c r="AT6" i="51" s="1"/>
  <c r="AU6" i="51" s="1"/>
  <c r="AV6" i="51" s="1"/>
  <c r="AY6" i="51" s="1"/>
  <c r="AZ6" i="51" s="1"/>
  <c r="BA6" i="51" s="1"/>
  <c r="BB6" i="51" s="1"/>
  <c r="BE6" i="51" s="1"/>
  <c r="BF6" i="51" s="1"/>
  <c r="BG6" i="51" s="1"/>
  <c r="BH6" i="51" s="1"/>
  <c r="BK6" i="51" s="1"/>
  <c r="BL6" i="51" s="1"/>
  <c r="BM6" i="51" s="1"/>
  <c r="BN6" i="51" s="1"/>
  <c r="BQ6" i="51" s="1"/>
  <c r="BR6" i="51" s="1"/>
  <c r="BS6" i="51" s="1"/>
  <c r="BT6" i="51" s="1"/>
  <c r="BW6" i="51" s="1"/>
  <c r="BX6" i="51" s="1"/>
  <c r="BY6" i="51" s="1"/>
  <c r="BZ6" i="51" s="1"/>
  <c r="CC6" i="51" s="1"/>
  <c r="CD6" i="51" s="1"/>
  <c r="CE6" i="51" s="1"/>
  <c r="CF6" i="51" s="1"/>
  <c r="CI6" i="51" s="1"/>
  <c r="CJ6" i="51" s="1"/>
  <c r="CK6" i="51" s="1"/>
  <c r="CL6" i="51" s="1"/>
  <c r="CO6" i="51" s="1"/>
  <c r="CP6" i="51" s="1"/>
  <c r="CQ6" i="51" s="1"/>
  <c r="CR6" i="51" s="1"/>
  <c r="CU6" i="51" s="1"/>
  <c r="CV6" i="51" s="1"/>
  <c r="CW6" i="51" s="1"/>
  <c r="CX6" i="51" s="1"/>
  <c r="AA5" i="51"/>
  <c r="AG5" i="51" s="1"/>
  <c r="AM5" i="51" s="1"/>
  <c r="AS5" i="51" s="1"/>
  <c r="AY5" i="51" s="1"/>
  <c r="BE5" i="51" s="1"/>
  <c r="BK5" i="51" s="1"/>
  <c r="BQ5" i="51" s="1"/>
  <c r="BW5" i="51" s="1"/>
  <c r="M5" i="51"/>
  <c r="S5" i="51" s="1"/>
  <c r="Y5" i="51" s="1"/>
  <c r="AE5" i="51" s="1"/>
  <c r="AK5" i="51" s="1"/>
  <c r="AQ5" i="51" s="1"/>
  <c r="AW5" i="51" s="1"/>
  <c r="BC5" i="51" s="1"/>
  <c r="BI5" i="51" s="1"/>
  <c r="BO5" i="51" s="1"/>
  <c r="BU5" i="51" s="1"/>
  <c r="CA5" i="51" s="1"/>
  <c r="CG5" i="51" s="1"/>
  <c r="CM5" i="51" s="1"/>
  <c r="CS5" i="51" s="1"/>
  <c r="CY5" i="51" s="1"/>
  <c r="CX459" i="73"/>
  <c r="CW459" i="73"/>
  <c r="CV459" i="73"/>
  <c r="CU459" i="73"/>
  <c r="CR459" i="73"/>
  <c r="CQ459" i="73"/>
  <c r="CP459" i="73"/>
  <c r="CO459" i="73"/>
  <c r="CL459" i="73"/>
  <c r="CK459" i="73"/>
  <c r="CJ459" i="73"/>
  <c r="CI459" i="73"/>
  <c r="CX453" i="73"/>
  <c r="CU453" i="73"/>
  <c r="CV453" i="73"/>
  <c r="CW453" i="73"/>
  <c r="CR453" i="73"/>
  <c r="CQ453" i="73"/>
  <c r="CP453" i="73"/>
  <c r="CO453" i="73"/>
  <c r="CL453" i="73"/>
  <c r="CI453" i="73"/>
  <c r="CJ453" i="73"/>
  <c r="CK453" i="73"/>
  <c r="BY453" i="73"/>
  <c r="BX453" i="73"/>
  <c r="BX452" i="73" s="1"/>
  <c r="BW453" i="73"/>
  <c r="BW452" i="73" s="1"/>
  <c r="CR447" i="73"/>
  <c r="CX447" i="73" s="1"/>
  <c r="CQ447" i="73"/>
  <c r="CW447" i="73" s="1"/>
  <c r="CP447" i="73"/>
  <c r="CV447" i="73" s="1"/>
  <c r="CO447" i="73"/>
  <c r="CU447" i="73" s="1"/>
  <c r="BT453" i="73"/>
  <c r="BT452" i="73" s="1"/>
  <c r="BS453" i="73"/>
  <c r="BR453" i="73"/>
  <c r="BR452" i="73" s="1"/>
  <c r="BQ453" i="73"/>
  <c r="BQ452" i="73" s="1"/>
  <c r="BN453" i="73"/>
  <c r="BN452" i="73" s="1"/>
  <c r="BM453" i="73"/>
  <c r="BM452" i="73" s="1"/>
  <c r="BL453" i="73"/>
  <c r="BL452" i="73" s="1"/>
  <c r="BK453" i="73"/>
  <c r="BK452" i="73" s="1"/>
  <c r="BH453" i="73"/>
  <c r="BH452" i="73" s="1"/>
  <c r="BG453" i="73"/>
  <c r="BG452" i="73" s="1"/>
  <c r="BF453" i="73"/>
  <c r="BF452" i="73" s="1"/>
  <c r="BE453" i="73"/>
  <c r="BE452" i="73" s="1"/>
  <c r="BB453" i="73"/>
  <c r="BB452" i="73" s="1"/>
  <c r="BA453" i="73"/>
  <c r="BA452" i="73" s="1"/>
  <c r="AZ453" i="73"/>
  <c r="AZ452" i="73" s="1"/>
  <c r="AY453" i="73"/>
  <c r="AV453" i="73"/>
  <c r="AV452" i="73" s="1"/>
  <c r="AU453" i="73"/>
  <c r="AU452" i="73" s="1"/>
  <c r="AT453" i="73"/>
  <c r="AT452" i="73" s="1"/>
  <c r="AS453" i="73"/>
  <c r="AS452" i="73" s="1"/>
  <c r="AP453" i="73"/>
  <c r="AP452" i="73" s="1"/>
  <c r="AO453" i="73"/>
  <c r="AN453" i="73"/>
  <c r="AN452" i="73" s="1"/>
  <c r="AM453" i="73"/>
  <c r="AM452" i="73" s="1"/>
  <c r="AJ453" i="73"/>
  <c r="AI453" i="73"/>
  <c r="AI452" i="73" s="1"/>
  <c r="AH453" i="73"/>
  <c r="AG453" i="73"/>
  <c r="AG452" i="73" s="1"/>
  <c r="AP433" i="73"/>
  <c r="AO433" i="73"/>
  <c r="AN433" i="73"/>
  <c r="AM433" i="73"/>
  <c r="AP432" i="73"/>
  <c r="AO432" i="73"/>
  <c r="AN432" i="73"/>
  <c r="AM432" i="73"/>
  <c r="AJ433" i="73"/>
  <c r="AI433" i="73"/>
  <c r="AH433" i="73"/>
  <c r="AG433" i="73"/>
  <c r="AJ432" i="73"/>
  <c r="AI432" i="73"/>
  <c r="AH432" i="73"/>
  <c r="AG432" i="73"/>
  <c r="AJ403" i="73"/>
  <c r="AI403" i="73"/>
  <c r="AH403" i="73"/>
  <c r="AG403" i="73"/>
  <c r="AJ402" i="73"/>
  <c r="AI402" i="73"/>
  <c r="AH402" i="73"/>
  <c r="AG402" i="73"/>
  <c r="AJ383" i="73"/>
  <c r="AI383" i="73"/>
  <c r="AI412" i="73" s="1"/>
  <c r="AH383" i="73"/>
  <c r="AG383" i="73"/>
  <c r="AJ382" i="73"/>
  <c r="AI382" i="73"/>
  <c r="AH382" i="73"/>
  <c r="AG382" i="73"/>
  <c r="AG441" i="73" s="1"/>
  <c r="AI379" i="73"/>
  <c r="AH379" i="73"/>
  <c r="AP403" i="73"/>
  <c r="AO403" i="73"/>
  <c r="AN403" i="73"/>
  <c r="AM403" i="73"/>
  <c r="AP402" i="73"/>
  <c r="AO402" i="73"/>
  <c r="AN402" i="73"/>
  <c r="AM402" i="73"/>
  <c r="AP383" i="73"/>
  <c r="AO383" i="73"/>
  <c r="AN383" i="73"/>
  <c r="AM383" i="73"/>
  <c r="AP382" i="73"/>
  <c r="AO382" i="73"/>
  <c r="AN382" i="73"/>
  <c r="AN411" i="73" s="1"/>
  <c r="AM382" i="73"/>
  <c r="CF322" i="73"/>
  <c r="CE322" i="73"/>
  <c r="BU318" i="73"/>
  <c r="BB315" i="73"/>
  <c r="BA315" i="73"/>
  <c r="AZ315" i="73"/>
  <c r="BC315" i="73" s="1"/>
  <c r="CY293" i="73"/>
  <c r="CY291" i="73"/>
  <c r="CS293" i="73"/>
  <c r="CS291" i="73"/>
  <c r="CM293" i="73"/>
  <c r="CM291" i="73"/>
  <c r="CG293" i="73"/>
  <c r="CG291" i="73"/>
  <c r="CA293" i="73"/>
  <c r="CA291" i="73"/>
  <c r="BU291" i="73"/>
  <c r="BO291" i="73"/>
  <c r="AW296" i="73"/>
  <c r="AV294" i="73"/>
  <c r="AV300" i="73" s="1"/>
  <c r="AV403" i="73" s="1"/>
  <c r="AU294" i="73"/>
  <c r="AU295" i="73" s="1"/>
  <c r="AU383" i="73" s="1"/>
  <c r="AT294" i="73"/>
  <c r="AS294" i="73"/>
  <c r="AS295" i="73" s="1"/>
  <c r="AS383" i="73" s="1"/>
  <c r="BI291" i="73"/>
  <c r="CY275" i="73"/>
  <c r="CS275" i="73"/>
  <c r="CM275" i="73"/>
  <c r="CG275" i="73"/>
  <c r="CA275" i="73"/>
  <c r="BU275" i="73"/>
  <c r="BO275" i="73"/>
  <c r="BI275" i="73"/>
  <c r="BC275" i="73"/>
  <c r="AW275" i="73"/>
  <c r="AQ275" i="73"/>
  <c r="AK275" i="73"/>
  <c r="BS248" i="73"/>
  <c r="BR248" i="73"/>
  <c r="BQ248" i="73"/>
  <c r="BN248" i="73"/>
  <c r="BM248" i="73"/>
  <c r="BL248" i="73"/>
  <c r="BK248" i="73"/>
  <c r="BH248" i="73"/>
  <c r="BG248" i="73"/>
  <c r="BF248" i="73"/>
  <c r="BE248" i="73"/>
  <c r="BB248" i="73"/>
  <c r="BA248" i="73"/>
  <c r="AZ248" i="73"/>
  <c r="AY248" i="73"/>
  <c r="AV248" i="73"/>
  <c r="AU248" i="73"/>
  <c r="AT248" i="73"/>
  <c r="AS248" i="73"/>
  <c r="CA242" i="73"/>
  <c r="CA244" i="73" s="1"/>
  <c r="BR243" i="73"/>
  <c r="BR252" i="73" s="1"/>
  <c r="BN243" i="73"/>
  <c r="BN252" i="73" s="1"/>
  <c r="BM243" i="73"/>
  <c r="BM252" i="73" s="1"/>
  <c r="BL243" i="73"/>
  <c r="BL252" i="73" s="1"/>
  <c r="BH243" i="73"/>
  <c r="BH252" i="73" s="1"/>
  <c r="BG243" i="73"/>
  <c r="BG252" i="73" s="1"/>
  <c r="BF243" i="73"/>
  <c r="BF252" i="73" s="1"/>
  <c r="BB243" i="73"/>
  <c r="BB252" i="73" s="1"/>
  <c r="BB253" i="73" s="1"/>
  <c r="BA243" i="73"/>
  <c r="BA252" i="73" s="1"/>
  <c r="AY243" i="73"/>
  <c r="AY252" i="73" s="1"/>
  <c r="AZ243" i="73"/>
  <c r="AZ252" i="73" s="1"/>
  <c r="AW243" i="73"/>
  <c r="AV243" i="73"/>
  <c r="AV252" i="73" s="1"/>
  <c r="AU243" i="73"/>
  <c r="AU252" i="73" s="1"/>
  <c r="AT243" i="73"/>
  <c r="AT252" i="73" s="1"/>
  <c r="AS243" i="73"/>
  <c r="AS252" i="73" s="1"/>
  <c r="AS255" i="73" s="1"/>
  <c r="CY242" i="73"/>
  <c r="CS242" i="73"/>
  <c r="CM242" i="73"/>
  <c r="CG242" i="73"/>
  <c r="BU242" i="73"/>
  <c r="BO242" i="73"/>
  <c r="BO241" i="73"/>
  <c r="BQ243" i="73" s="1"/>
  <c r="BQ252" i="73" s="1"/>
  <c r="BQ253" i="73" s="1"/>
  <c r="BI242" i="73"/>
  <c r="BI241" i="73"/>
  <c r="BK243" i="73" s="1"/>
  <c r="BK252" i="73" s="1"/>
  <c r="BC242" i="73"/>
  <c r="BC241" i="73"/>
  <c r="BC243" i="73" s="1"/>
  <c r="BO238" i="73"/>
  <c r="BI238" i="73"/>
  <c r="BC238" i="73"/>
  <c r="CV240" i="73"/>
  <c r="CV237" i="73"/>
  <c r="CW237" i="73" s="1"/>
  <c r="CP240" i="73"/>
  <c r="CQ240" i="73" s="1"/>
  <c r="CP237" i="73"/>
  <c r="CQ237" i="73" s="1"/>
  <c r="CR237" i="73" s="1"/>
  <c r="BF235" i="73"/>
  <c r="BE236" i="73"/>
  <c r="AT195" i="73"/>
  <c r="AV195" i="73"/>
  <c r="AU195" i="73"/>
  <c r="AK189" i="73"/>
  <c r="AO183" i="73"/>
  <c r="AN183" i="73"/>
  <c r="AM183" i="73"/>
  <c r="AI183" i="73"/>
  <c r="AH183" i="73"/>
  <c r="AG183" i="73"/>
  <c r="AO181" i="73"/>
  <c r="AN181" i="73"/>
  <c r="AM181" i="73"/>
  <c r="AI181" i="73"/>
  <c r="AH181" i="73"/>
  <c r="AG181" i="73"/>
  <c r="AG182" i="73" s="1"/>
  <c r="AJ180" i="73"/>
  <c r="AJ183" i="73" s="1"/>
  <c r="BO179" i="73"/>
  <c r="BI179" i="73"/>
  <c r="BC179" i="73"/>
  <c r="CX178" i="73"/>
  <c r="CW178" i="73"/>
  <c r="CV178" i="73"/>
  <c r="CU178" i="73"/>
  <c r="CR178" i="73"/>
  <c r="CQ178" i="73"/>
  <c r="CP178" i="73"/>
  <c r="CO178" i="73"/>
  <c r="CL178" i="73"/>
  <c r="CK178" i="73"/>
  <c r="CJ178" i="73"/>
  <c r="CI178" i="73"/>
  <c r="CF178" i="73"/>
  <c r="CE178" i="73"/>
  <c r="CD178" i="73"/>
  <c r="CC178" i="73"/>
  <c r="BZ178" i="73"/>
  <c r="CY177" i="73"/>
  <c r="CS177" i="73"/>
  <c r="CM177" i="73"/>
  <c r="CG177" i="73"/>
  <c r="CA177" i="73"/>
  <c r="BT177" i="73"/>
  <c r="BT181" i="73" s="1"/>
  <c r="BS177" i="73"/>
  <c r="BX178" i="73" s="1"/>
  <c r="AM176" i="73"/>
  <c r="AG176" i="73"/>
  <c r="AG177" i="73" s="1"/>
  <c r="AG184" i="73" s="1"/>
  <c r="AV166" i="73"/>
  <c r="AU166" i="73"/>
  <c r="AT166" i="73"/>
  <c r="AS166" i="73"/>
  <c r="AP166" i="73"/>
  <c r="AO166" i="73"/>
  <c r="AN166" i="73"/>
  <c r="AM166" i="73"/>
  <c r="AJ166" i="73"/>
  <c r="AI166" i="73"/>
  <c r="AH166" i="73"/>
  <c r="AG166" i="73"/>
  <c r="AV162" i="73"/>
  <c r="AU162" i="73"/>
  <c r="AU401" i="73" s="1"/>
  <c r="AT162" i="73"/>
  <c r="AT401" i="73" s="1"/>
  <c r="AS162" i="73"/>
  <c r="AS401" i="73" s="1"/>
  <c r="AP162" i="73"/>
  <c r="AP401" i="73" s="1"/>
  <c r="AO162" i="73"/>
  <c r="AO401" i="73" s="1"/>
  <c r="AN162" i="73"/>
  <c r="AN401" i="73" s="1"/>
  <c r="AM162" i="73"/>
  <c r="AJ162" i="73"/>
  <c r="AI162" i="73"/>
  <c r="AI401" i="73" s="1"/>
  <c r="AH162" i="73"/>
  <c r="AH401" i="73" s="1"/>
  <c r="AG162" i="73"/>
  <c r="BK158" i="73"/>
  <c r="BK162" i="73" s="1"/>
  <c r="BK401" i="73" s="1"/>
  <c r="BH158" i="73"/>
  <c r="BH156" i="73" s="1"/>
  <c r="BH157" i="73" s="1"/>
  <c r="BH381" i="73" s="1"/>
  <c r="BG158" i="73"/>
  <c r="BF158" i="73"/>
  <c r="BF156" i="73" s="1"/>
  <c r="BE158" i="73"/>
  <c r="BE162" i="73" s="1"/>
  <c r="BE401" i="73" s="1"/>
  <c r="BB158" i="73"/>
  <c r="AY158" i="73"/>
  <c r="AY162" i="73" s="1"/>
  <c r="AY401" i="73" s="1"/>
  <c r="AZ158" i="73"/>
  <c r="AZ162" i="73" s="1"/>
  <c r="AZ401" i="73" s="1"/>
  <c r="BA158" i="73"/>
  <c r="AW156" i="73"/>
  <c r="AW157" i="73" s="1"/>
  <c r="AV156" i="73"/>
  <c r="AV157" i="73" s="1"/>
  <c r="AV381" i="73" s="1"/>
  <c r="AU156" i="73"/>
  <c r="AU157" i="73" s="1"/>
  <c r="AU381" i="73" s="1"/>
  <c r="AT156" i="73"/>
  <c r="AT157" i="73" s="1"/>
  <c r="AT381" i="73" s="1"/>
  <c r="AS156" i="73"/>
  <c r="AS157" i="73" s="1"/>
  <c r="AS381" i="73" s="1"/>
  <c r="AQ156" i="73"/>
  <c r="AQ157" i="73" s="1"/>
  <c r="AP156" i="73"/>
  <c r="AP157" i="73" s="1"/>
  <c r="AP381" i="73" s="1"/>
  <c r="AO156" i="73"/>
  <c r="AO157" i="73" s="1"/>
  <c r="AO381" i="73" s="1"/>
  <c r="AN156" i="73"/>
  <c r="AN157" i="73" s="1"/>
  <c r="AN381" i="73" s="1"/>
  <c r="AM156" i="73"/>
  <c r="AM157" i="73" s="1"/>
  <c r="AM381" i="73" s="1"/>
  <c r="AK156" i="73"/>
  <c r="AK157" i="73" s="1"/>
  <c r="AJ156" i="73"/>
  <c r="AJ157" i="73" s="1"/>
  <c r="AJ381" i="73" s="1"/>
  <c r="AI156" i="73"/>
  <c r="AI157" i="73" s="1"/>
  <c r="AI381" i="73" s="1"/>
  <c r="AI410" i="73" s="1"/>
  <c r="AH156" i="73"/>
  <c r="AH157" i="73" s="1"/>
  <c r="AH381" i="73" s="1"/>
  <c r="AG156" i="73"/>
  <c r="AG157" i="73" s="1"/>
  <c r="AG381" i="73" s="1"/>
  <c r="AE156" i="73"/>
  <c r="AE157" i="73" s="1"/>
  <c r="AD156" i="73"/>
  <c r="AD157" i="73" s="1"/>
  <c r="AC156" i="73"/>
  <c r="AC157" i="73" s="1"/>
  <c r="AB156" i="73"/>
  <c r="AB157" i="73" s="1"/>
  <c r="AA156" i="73"/>
  <c r="AA157" i="73" s="1"/>
  <c r="BO153" i="73"/>
  <c r="BI153" i="73"/>
  <c r="BC153" i="73"/>
  <c r="BI147" i="73"/>
  <c r="BN145" i="73"/>
  <c r="CJ155" i="73"/>
  <c r="CK155" i="73" s="1"/>
  <c r="CL155" i="73" s="1"/>
  <c r="CO155" i="73" s="1"/>
  <c r="CP155" i="73" s="1"/>
  <c r="CJ149" i="73"/>
  <c r="CK149" i="73" s="1"/>
  <c r="CL149" i="73" s="1"/>
  <c r="CO149" i="73" s="1"/>
  <c r="CJ146" i="73"/>
  <c r="CK146" i="73" s="1"/>
  <c r="CL146" i="73" s="1"/>
  <c r="CO146" i="73" s="1"/>
  <c r="BI144" i="73"/>
  <c r="BS143" i="73"/>
  <c r="BT143" i="73" s="1"/>
  <c r="BU143" i="73" s="1"/>
  <c r="BR141" i="73"/>
  <c r="BR142" i="73" s="1"/>
  <c r="BQ141" i="73"/>
  <c r="BQ142" i="73" s="1"/>
  <c r="BN141" i="73"/>
  <c r="BM141" i="73"/>
  <c r="BM142" i="73" s="1"/>
  <c r="BL141" i="73"/>
  <c r="BL142" i="73" s="1"/>
  <c r="BK141" i="73"/>
  <c r="BK142" i="73" s="1"/>
  <c r="BH141" i="73"/>
  <c r="BG141" i="73"/>
  <c r="BG142" i="73" s="1"/>
  <c r="BF141" i="73"/>
  <c r="BF142" i="73" s="1"/>
  <c r="CW143" i="73"/>
  <c r="CX143" i="73" s="1"/>
  <c r="CY143" i="73" s="1"/>
  <c r="CQ143" i="73"/>
  <c r="CR143" i="73" s="1"/>
  <c r="CS143" i="73" s="1"/>
  <c r="CK143" i="73"/>
  <c r="CL143" i="73" s="1"/>
  <c r="CM143" i="73" s="1"/>
  <c r="BY143" i="73"/>
  <c r="BZ143" i="73" s="1"/>
  <c r="CA143" i="73" s="1"/>
  <c r="BT140" i="73"/>
  <c r="BU140" i="73" s="1"/>
  <c r="AW128" i="73"/>
  <c r="AI134" i="73"/>
  <c r="AI448" i="73" s="1"/>
  <c r="AH134" i="73"/>
  <c r="AH448" i="73" s="1"/>
  <c r="AI132" i="73"/>
  <c r="AH132" i="73"/>
  <c r="AH399" i="73" s="1"/>
  <c r="AG132" i="73"/>
  <c r="AP124" i="73"/>
  <c r="AP106" i="73" s="1"/>
  <c r="AP105" i="73" s="1"/>
  <c r="AU129" i="73"/>
  <c r="AT129" i="73"/>
  <c r="AS129" i="73"/>
  <c r="AK128" i="73"/>
  <c r="AE128" i="73"/>
  <c r="AI127" i="73"/>
  <c r="AH127" i="73"/>
  <c r="AG127" i="73"/>
  <c r="AI125" i="73"/>
  <c r="AH125" i="73"/>
  <c r="AG125" i="73"/>
  <c r="AD125" i="73"/>
  <c r="AD127" i="73" s="1"/>
  <c r="AC125" i="73"/>
  <c r="AC127" i="73" s="1"/>
  <c r="AB125" i="73"/>
  <c r="AB127" i="73" s="1"/>
  <c r="AA125" i="73"/>
  <c r="AA127" i="73" s="1"/>
  <c r="BN124" i="73"/>
  <c r="BN106" i="73" s="1"/>
  <c r="BM124" i="73"/>
  <c r="BM106" i="73" s="1"/>
  <c r="BM105" i="73" s="1"/>
  <c r="BL124" i="73"/>
  <c r="BL106" i="73" s="1"/>
  <c r="BL105" i="73" s="1"/>
  <c r="BK124" i="73"/>
  <c r="BK106" i="73" s="1"/>
  <c r="BK105" i="73" s="1"/>
  <c r="BH124" i="73"/>
  <c r="BH106" i="73" s="1"/>
  <c r="BG124" i="73"/>
  <c r="BG106" i="73" s="1"/>
  <c r="BG105" i="73" s="1"/>
  <c r="BF124" i="73"/>
  <c r="BF106" i="73" s="1"/>
  <c r="BF105" i="73" s="1"/>
  <c r="BE124" i="73"/>
  <c r="BE106" i="73" s="1"/>
  <c r="BE105" i="73" s="1"/>
  <c r="BB124" i="73"/>
  <c r="BB106" i="73" s="1"/>
  <c r="BA124" i="73"/>
  <c r="BA106" i="73" s="1"/>
  <c r="BA105" i="73" s="1"/>
  <c r="AZ124" i="73"/>
  <c r="AZ106" i="73" s="1"/>
  <c r="AZ105" i="73" s="1"/>
  <c r="AY124" i="73"/>
  <c r="AY106" i="73" s="1"/>
  <c r="AY105" i="73" s="1"/>
  <c r="AV124" i="73"/>
  <c r="AV106" i="73" s="1"/>
  <c r="AV105" i="73" s="1"/>
  <c r="AU124" i="73"/>
  <c r="AU106" i="73" s="1"/>
  <c r="AU105" i="73" s="1"/>
  <c r="AT124" i="73"/>
  <c r="AT106" i="73" s="1"/>
  <c r="AT105" i="73" s="1"/>
  <c r="AS124" i="73"/>
  <c r="AS106" i="73" s="1"/>
  <c r="AS105" i="73" s="1"/>
  <c r="AO124" i="73"/>
  <c r="AO106" i="73" s="1"/>
  <c r="AO105" i="73" s="1"/>
  <c r="AN124" i="73"/>
  <c r="AN106" i="73" s="1"/>
  <c r="AN105" i="73" s="1"/>
  <c r="AM124" i="73"/>
  <c r="AM106" i="73" s="1"/>
  <c r="AM105" i="73" s="1"/>
  <c r="AJ119" i="73"/>
  <c r="AJ127" i="73" s="1"/>
  <c r="AV115" i="73"/>
  <c r="AU115" i="73"/>
  <c r="AU132" i="73" s="1"/>
  <c r="AU399" i="73" s="1"/>
  <c r="AT115" i="73"/>
  <c r="AS115" i="73"/>
  <c r="AS132" i="73" s="1"/>
  <c r="AS399" i="73" s="1"/>
  <c r="AO115" i="73"/>
  <c r="AO379" i="73" s="1"/>
  <c r="AN115" i="73"/>
  <c r="AN134" i="73" s="1"/>
  <c r="AN448" i="73" s="1"/>
  <c r="AM115" i="73"/>
  <c r="AM134" i="73" s="1"/>
  <c r="AM448" i="73" s="1"/>
  <c r="AJ115" i="73"/>
  <c r="AJ134" i="73" s="1"/>
  <c r="AJ448" i="73" s="1"/>
  <c r="AV109" i="73"/>
  <c r="AU109" i="73"/>
  <c r="AT109" i="73"/>
  <c r="AS109" i="73"/>
  <c r="AS126" i="73" s="1"/>
  <c r="AS119" i="73" s="1"/>
  <c r="AS127" i="73" s="1"/>
  <c r="AO109" i="73"/>
  <c r="AO125" i="73" s="1"/>
  <c r="AN109" i="73"/>
  <c r="AM109" i="73"/>
  <c r="AJ109" i="73"/>
  <c r="AY98" i="73"/>
  <c r="AZ98" i="73" s="1"/>
  <c r="AZ97" i="73" s="1"/>
  <c r="AZ398" i="73" s="1"/>
  <c r="AV97" i="73"/>
  <c r="AV398" i="73" s="1"/>
  <c r="AU97" i="73"/>
  <c r="AU398" i="73" s="1"/>
  <c r="AT97" i="73"/>
  <c r="AS97" i="73"/>
  <c r="AS398" i="73" s="1"/>
  <c r="AJ97" i="73"/>
  <c r="AJ398" i="73" s="1"/>
  <c r="AI97" i="73"/>
  <c r="AI398" i="73" s="1"/>
  <c r="AH97" i="73"/>
  <c r="AG97" i="73"/>
  <c r="AG398" i="73" s="1"/>
  <c r="AQ94" i="73"/>
  <c r="AK94" i="73"/>
  <c r="AE94" i="73"/>
  <c r="Y94" i="73"/>
  <c r="AW93" i="73"/>
  <c r="AZ91" i="73"/>
  <c r="AZ92" i="73" s="1"/>
  <c r="AY91" i="73"/>
  <c r="AY92" i="73" s="1"/>
  <c r="AV91" i="73"/>
  <c r="AV92" i="73" s="1"/>
  <c r="AV378" i="73" s="1"/>
  <c r="AU91" i="73"/>
  <c r="AU92" i="73" s="1"/>
  <c r="AU378" i="73" s="1"/>
  <c r="AT91" i="73"/>
  <c r="AT92" i="73" s="1"/>
  <c r="AT378" i="73" s="1"/>
  <c r="AS91" i="73"/>
  <c r="AS92" i="73" s="1"/>
  <c r="AS378" i="73" s="1"/>
  <c r="AP91" i="73"/>
  <c r="AP92" i="73" s="1"/>
  <c r="AP378" i="73" s="1"/>
  <c r="AO91" i="73"/>
  <c r="AO92" i="73" s="1"/>
  <c r="AN91" i="73"/>
  <c r="AN92" i="73" s="1"/>
  <c r="AN378" i="73" s="1"/>
  <c r="AM91" i="73"/>
  <c r="AM92" i="73" s="1"/>
  <c r="AJ91" i="73"/>
  <c r="AJ92" i="73" s="1"/>
  <c r="AJ378" i="73" s="1"/>
  <c r="AI91" i="73"/>
  <c r="AI92" i="73" s="1"/>
  <c r="AI378" i="73" s="1"/>
  <c r="AH91" i="73"/>
  <c r="AG91" i="73"/>
  <c r="AG92" i="73" s="1"/>
  <c r="AG378" i="73" s="1"/>
  <c r="AD91" i="73"/>
  <c r="AC91" i="73"/>
  <c r="AC92" i="73" s="1"/>
  <c r="AB91" i="73"/>
  <c r="AB92" i="73" s="1"/>
  <c r="AA91" i="73"/>
  <c r="AA92" i="73" s="1"/>
  <c r="CX89" i="73"/>
  <c r="CW89" i="73"/>
  <c r="CV89" i="73"/>
  <c r="CU89" i="73"/>
  <c r="CR89" i="73"/>
  <c r="CQ89" i="73"/>
  <c r="CP89" i="73"/>
  <c r="CO89" i="73"/>
  <c r="AJ48" i="73"/>
  <c r="AI48" i="73"/>
  <c r="AH48" i="73"/>
  <c r="AG48" i="73"/>
  <c r="AD41" i="73"/>
  <c r="AD42" i="73" s="1"/>
  <c r="AC41" i="73"/>
  <c r="AC42" i="73" s="1"/>
  <c r="CJ40" i="73"/>
  <c r="CK40" i="73" s="1"/>
  <c r="CL40" i="73" s="1"/>
  <c r="A12" i="73"/>
  <c r="A10" i="73"/>
  <c r="D8" i="73"/>
  <c r="E8" i="73" s="1"/>
  <c r="F8" i="73" s="1"/>
  <c r="I8" i="73" s="1"/>
  <c r="J8" i="73" s="1"/>
  <c r="K8" i="73" s="1"/>
  <c r="L8" i="73" s="1"/>
  <c r="O8" i="73" s="1"/>
  <c r="P8" i="73" s="1"/>
  <c r="Q8" i="73" s="1"/>
  <c r="R8" i="73" s="1"/>
  <c r="U8" i="73" s="1"/>
  <c r="V8" i="73" s="1"/>
  <c r="W8" i="73" s="1"/>
  <c r="X8" i="73" s="1"/>
  <c r="AA8" i="73" s="1"/>
  <c r="AB8" i="73" s="1"/>
  <c r="AC8" i="73" s="1"/>
  <c r="AD8" i="73" s="1"/>
  <c r="AG8" i="73" s="1"/>
  <c r="AH8" i="73" s="1"/>
  <c r="AI8" i="73" s="1"/>
  <c r="AJ8" i="73" s="1"/>
  <c r="AM8" i="73" s="1"/>
  <c r="AN8" i="73" s="1"/>
  <c r="AO8" i="73" s="1"/>
  <c r="AP8" i="73" s="1"/>
  <c r="AS8" i="73" s="1"/>
  <c r="AT8" i="73" s="1"/>
  <c r="AU8" i="73" s="1"/>
  <c r="AV8" i="73" s="1"/>
  <c r="AY8" i="73" s="1"/>
  <c r="AZ8" i="73" s="1"/>
  <c r="BA8" i="73" s="1"/>
  <c r="BB8" i="73" s="1"/>
  <c r="BE8" i="73" s="1"/>
  <c r="BF8" i="73" s="1"/>
  <c r="BG8" i="73" s="1"/>
  <c r="BH8" i="73" s="1"/>
  <c r="BK8" i="73" s="1"/>
  <c r="BL8" i="73" s="1"/>
  <c r="BM8" i="73" s="1"/>
  <c r="BN8" i="73" s="1"/>
  <c r="BQ8" i="73" s="1"/>
  <c r="BR8" i="73" s="1"/>
  <c r="BS8" i="73" s="1"/>
  <c r="BT8" i="73" s="1"/>
  <c r="BW8" i="73" s="1"/>
  <c r="BX8" i="73" s="1"/>
  <c r="BY8" i="73" s="1"/>
  <c r="BZ8" i="73" s="1"/>
  <c r="CC8" i="73" s="1"/>
  <c r="CD8" i="73" s="1"/>
  <c r="CE8" i="73" s="1"/>
  <c r="CF8" i="73" s="1"/>
  <c r="CI8" i="73" s="1"/>
  <c r="CJ8" i="73" s="1"/>
  <c r="CK8" i="73" s="1"/>
  <c r="CL8" i="73" s="1"/>
  <c r="CO8" i="73" s="1"/>
  <c r="CP8" i="73" s="1"/>
  <c r="CQ8" i="73" s="1"/>
  <c r="CR8" i="73" s="1"/>
  <c r="CU8" i="73" s="1"/>
  <c r="CV8" i="73" s="1"/>
  <c r="CW8" i="73" s="1"/>
  <c r="CX8" i="73" s="1"/>
  <c r="AA7" i="73"/>
  <c r="AG7" i="73" s="1"/>
  <c r="AM7" i="73" s="1"/>
  <c r="AS7" i="73" s="1"/>
  <c r="AY7" i="73" s="1"/>
  <c r="BE7" i="73" s="1"/>
  <c r="BK7" i="73" s="1"/>
  <c r="BQ7" i="73" s="1"/>
  <c r="BW7" i="73" s="1"/>
  <c r="M7" i="73"/>
  <c r="S7" i="73" s="1"/>
  <c r="Y7" i="73" s="1"/>
  <c r="AE7" i="73" s="1"/>
  <c r="AK7" i="73" s="1"/>
  <c r="AQ7" i="73" s="1"/>
  <c r="AW7" i="73" s="1"/>
  <c r="BC7" i="73" s="1"/>
  <c r="BI7" i="73" s="1"/>
  <c r="BO7" i="73" s="1"/>
  <c r="BU7" i="73" s="1"/>
  <c r="CA7" i="73" s="1"/>
  <c r="CG7" i="73" s="1"/>
  <c r="CM7" i="73" s="1"/>
  <c r="CS7" i="73" s="1"/>
  <c r="CY7" i="73" s="1"/>
  <c r="K63" i="52"/>
  <c r="K76" i="52" s="1"/>
  <c r="E30" i="52" s="1"/>
  <c r="B51" i="52"/>
  <c r="B46" i="52"/>
  <c r="IV21" i="52"/>
  <c r="O18" i="52"/>
  <c r="N18" i="52"/>
  <c r="M18" i="52"/>
  <c r="L18" i="52"/>
  <c r="K18" i="52"/>
  <c r="J18" i="52"/>
  <c r="I18" i="52"/>
  <c r="P16" i="52"/>
  <c r="O16" i="52"/>
  <c r="N16" i="52"/>
  <c r="M16" i="52"/>
  <c r="L16" i="52"/>
  <c r="K16" i="52"/>
  <c r="J16" i="52"/>
  <c r="I16" i="52"/>
  <c r="G5" i="52"/>
  <c r="H5" i="52" s="1"/>
  <c r="I5" i="52" s="1"/>
  <c r="J5" i="52" s="1"/>
  <c r="K5" i="52" s="1"/>
  <c r="L5" i="52" s="1"/>
  <c r="M5" i="52" s="1"/>
  <c r="N5" i="52" s="1"/>
  <c r="O5" i="52" s="1"/>
  <c r="P5" i="52" s="1"/>
  <c r="BI86" i="54"/>
  <c r="AW86" i="54"/>
  <c r="AQ86" i="54"/>
  <c r="AK86" i="54"/>
  <c r="AE86" i="54"/>
  <c r="Y86" i="54"/>
  <c r="S86" i="54"/>
  <c r="M86" i="54"/>
  <c r="G86" i="54"/>
  <c r="G81" i="54"/>
  <c r="D81" i="54"/>
  <c r="E81" i="54" s="1"/>
  <c r="G80" i="54"/>
  <c r="D80" i="54"/>
  <c r="BW81" i="54"/>
  <c r="BW80" i="54"/>
  <c r="BT86" i="54"/>
  <c r="BU86" i="54" s="1"/>
  <c r="BQ81" i="54"/>
  <c r="BQ80" i="54"/>
  <c r="BN86" i="54"/>
  <c r="BO86" i="54" s="1"/>
  <c r="BK81" i="54"/>
  <c r="BK80" i="54"/>
  <c r="BE81" i="54"/>
  <c r="BE80" i="54"/>
  <c r="BB86" i="54"/>
  <c r="BC86" i="54" s="1"/>
  <c r="AY81" i="54"/>
  <c r="AS81" i="54"/>
  <c r="AM81" i="54"/>
  <c r="AG81" i="54"/>
  <c r="AA81" i="54"/>
  <c r="U81" i="54"/>
  <c r="O81" i="54"/>
  <c r="I81" i="54"/>
  <c r="I80" i="54"/>
  <c r="F78" i="54"/>
  <c r="E78" i="54"/>
  <c r="D78" i="54"/>
  <c r="C78" i="54"/>
  <c r="G78" i="54" s="1"/>
  <c r="BI75" i="54"/>
  <c r="BI73" i="54"/>
  <c r="AE75" i="54"/>
  <c r="AE73" i="54"/>
  <c r="Y75" i="54"/>
  <c r="S75" i="54"/>
  <c r="M75" i="54"/>
  <c r="G75" i="54"/>
  <c r="BT75" i="54"/>
  <c r="BU75" i="54" s="1"/>
  <c r="BN75" i="54"/>
  <c r="BO75" i="54" s="1"/>
  <c r="C74" i="54"/>
  <c r="C82" i="54" s="1"/>
  <c r="BU73" i="54"/>
  <c r="BO73" i="54"/>
  <c r="BC73" i="54"/>
  <c r="AW73" i="54"/>
  <c r="AQ73" i="54"/>
  <c r="AK73" i="54"/>
  <c r="X73" i="54"/>
  <c r="R73" i="54"/>
  <c r="L73" i="54"/>
  <c r="F73" i="54"/>
  <c r="E71" i="54"/>
  <c r="D71" i="54"/>
  <c r="D70" i="54"/>
  <c r="C70" i="54"/>
  <c r="X69" i="54"/>
  <c r="R69" i="54"/>
  <c r="R12" i="54"/>
  <c r="R16" i="54"/>
  <c r="U18" i="54" s="1"/>
  <c r="R20" i="54"/>
  <c r="R22" i="54" s="1"/>
  <c r="R24" i="54"/>
  <c r="U26" i="54" s="1"/>
  <c r="R28" i="54"/>
  <c r="U30" i="54" s="1"/>
  <c r="R60" i="54"/>
  <c r="R64" i="54"/>
  <c r="L69" i="54"/>
  <c r="F69" i="54"/>
  <c r="X64" i="54"/>
  <c r="L64" i="54"/>
  <c r="F64" i="54"/>
  <c r="E62" i="54"/>
  <c r="D62" i="54"/>
  <c r="D74" i="54" s="1"/>
  <c r="D82" i="54" s="1"/>
  <c r="E61" i="54"/>
  <c r="D61" i="54"/>
  <c r="C61" i="54"/>
  <c r="X60" i="54"/>
  <c r="L60" i="54"/>
  <c r="F60" i="54"/>
  <c r="F62" i="54" s="1"/>
  <c r="F28" i="54"/>
  <c r="F30" i="54" s="1"/>
  <c r="BX59" i="54"/>
  <c r="BW59" i="54"/>
  <c r="BQ59" i="54"/>
  <c r="BN59" i="54"/>
  <c r="BM59" i="54"/>
  <c r="BL59" i="54"/>
  <c r="BK59" i="54"/>
  <c r="BH59" i="54"/>
  <c r="BC56" i="54"/>
  <c r="BF59" i="54"/>
  <c r="BG59" i="54"/>
  <c r="BB59" i="54"/>
  <c r="BT58" i="54"/>
  <c r="BS58" i="54"/>
  <c r="BR58" i="54"/>
  <c r="BR30" i="54"/>
  <c r="BH58" i="54"/>
  <c r="BG58" i="54"/>
  <c r="BC57" i="54"/>
  <c r="CY42" i="54"/>
  <c r="CY38" i="54"/>
  <c r="CY30" i="54"/>
  <c r="CY26" i="54"/>
  <c r="CS42" i="54"/>
  <c r="CS38" i="54"/>
  <c r="CS30" i="54"/>
  <c r="CS26" i="54"/>
  <c r="CM42" i="54"/>
  <c r="CM38" i="54"/>
  <c r="CM30" i="54"/>
  <c r="CM26" i="54"/>
  <c r="CM57" i="54"/>
  <c r="CG42" i="54"/>
  <c r="CG38" i="54"/>
  <c r="CG30" i="54"/>
  <c r="CG26" i="54"/>
  <c r="BR57" i="54"/>
  <c r="BO57" i="54"/>
  <c r="BO56" i="54"/>
  <c r="BO49" i="54"/>
  <c r="BU49" i="54" s="1"/>
  <c r="CA49" i="54" s="1"/>
  <c r="BZ49" i="54" s="1"/>
  <c r="BZ51" i="54" s="1"/>
  <c r="BO48" i="54"/>
  <c r="BO45" i="54"/>
  <c r="BU45" i="54" s="1"/>
  <c r="BO44" i="54"/>
  <c r="BO40" i="54"/>
  <c r="BO36" i="54"/>
  <c r="BO32" i="54"/>
  <c r="BO28" i="54"/>
  <c r="BO26" i="54"/>
  <c r="BI57" i="54"/>
  <c r="BI56" i="54"/>
  <c r="AW57" i="54"/>
  <c r="AQ57" i="54"/>
  <c r="AQ56" i="54"/>
  <c r="BU56" i="54"/>
  <c r="BU48" i="54"/>
  <c r="BU44" i="54"/>
  <c r="BU40" i="54"/>
  <c r="BU36" i="54"/>
  <c r="BU32" i="54"/>
  <c r="BU28" i="54"/>
  <c r="BU26" i="54"/>
  <c r="BA56" i="54"/>
  <c r="BA59" i="54"/>
  <c r="AZ56" i="54"/>
  <c r="AY56" i="54"/>
  <c r="AV56" i="54"/>
  <c r="AW56" i="54"/>
  <c r="AU56" i="54"/>
  <c r="AU8" i="54"/>
  <c r="BN51" i="54"/>
  <c r="BM51" i="54"/>
  <c r="BL51" i="54"/>
  <c r="BK51" i="54"/>
  <c r="BQ51" i="54"/>
  <c r="BN50" i="54"/>
  <c r="BM50" i="54"/>
  <c r="BL50" i="54"/>
  <c r="BN47" i="54"/>
  <c r="BM47" i="54"/>
  <c r="BL47" i="54"/>
  <c r="BK47" i="54"/>
  <c r="BQ47" i="54"/>
  <c r="BT46" i="54"/>
  <c r="BS46" i="54"/>
  <c r="BN46" i="54"/>
  <c r="BM46" i="54"/>
  <c r="BL46" i="54"/>
  <c r="BB43" i="54"/>
  <c r="BC43" i="54" s="1"/>
  <c r="BQ43" i="54"/>
  <c r="BT42" i="54"/>
  <c r="BS42" i="54"/>
  <c r="BN43" i="54"/>
  <c r="BM43" i="54"/>
  <c r="BL43" i="54"/>
  <c r="BK43" i="54"/>
  <c r="BN42" i="54"/>
  <c r="BM42" i="54"/>
  <c r="BK42" i="54"/>
  <c r="BL42" i="54"/>
  <c r="BH43" i="54"/>
  <c r="BG43" i="54"/>
  <c r="BF43" i="54"/>
  <c r="BE43" i="54"/>
  <c r="BH42" i="54"/>
  <c r="BG42" i="54"/>
  <c r="BF42" i="54"/>
  <c r="BE42" i="54"/>
  <c r="BC42" i="54"/>
  <c r="BC40" i="54"/>
  <c r="BC38" i="54"/>
  <c r="BC36" i="54"/>
  <c r="BC34" i="54"/>
  <c r="BC32" i="54"/>
  <c r="BC12" i="54"/>
  <c r="BC24" i="54"/>
  <c r="BC28" i="54"/>
  <c r="BI40" i="54"/>
  <c r="BI36" i="54"/>
  <c r="BI32" i="54"/>
  <c r="BI28" i="54"/>
  <c r="BN39" i="54"/>
  <c r="BM39" i="54"/>
  <c r="BL39" i="54"/>
  <c r="BK39" i="54"/>
  <c r="BB39" i="54"/>
  <c r="BC39" i="54" s="1"/>
  <c r="BQ39" i="54"/>
  <c r="BT38" i="54"/>
  <c r="BS38" i="54"/>
  <c r="BN38" i="54"/>
  <c r="BM38" i="54"/>
  <c r="BL38" i="54"/>
  <c r="BH39" i="54"/>
  <c r="BG39" i="54"/>
  <c r="BF39" i="54"/>
  <c r="BE39" i="54"/>
  <c r="BH38" i="54"/>
  <c r="BG38" i="54"/>
  <c r="BE38" i="54"/>
  <c r="BF38" i="54"/>
  <c r="BB35" i="54"/>
  <c r="BC35" i="54" s="1"/>
  <c r="BQ35" i="54"/>
  <c r="BN35" i="54"/>
  <c r="BM35" i="54"/>
  <c r="BL35" i="54"/>
  <c r="BK35" i="54"/>
  <c r="BN34" i="54"/>
  <c r="BM34" i="54"/>
  <c r="BL34" i="54"/>
  <c r="BK34" i="54"/>
  <c r="BH35" i="54"/>
  <c r="BG35" i="54"/>
  <c r="BF35" i="54"/>
  <c r="BE35" i="54"/>
  <c r="BH34" i="54"/>
  <c r="BG34" i="54"/>
  <c r="BF34" i="54"/>
  <c r="BE34" i="54"/>
  <c r="AE31" i="54"/>
  <c r="AE29" i="54"/>
  <c r="AE28" i="54"/>
  <c r="AE27" i="54"/>
  <c r="AE25" i="54"/>
  <c r="AE24" i="54"/>
  <c r="BQ31" i="54"/>
  <c r="BS30" i="54"/>
  <c r="BN31" i="54"/>
  <c r="BM31" i="54"/>
  <c r="BL31" i="54"/>
  <c r="BK31" i="54"/>
  <c r="BN30" i="54"/>
  <c r="BN74" i="54" s="1"/>
  <c r="BN82" i="54" s="1"/>
  <c r="BM30" i="54"/>
  <c r="BM74" i="54" s="1"/>
  <c r="BM82" i="54" s="1"/>
  <c r="BL30" i="54"/>
  <c r="BL74" i="54" s="1"/>
  <c r="BL82" i="54" s="1"/>
  <c r="BK30" i="54"/>
  <c r="BK74" i="54" s="1"/>
  <c r="BH31" i="54"/>
  <c r="BG31" i="54"/>
  <c r="BF31" i="54"/>
  <c r="BE31" i="54"/>
  <c r="BH30" i="54"/>
  <c r="BH26" i="54"/>
  <c r="BG30" i="54"/>
  <c r="BE30" i="54"/>
  <c r="BF30" i="54"/>
  <c r="BB31" i="54"/>
  <c r="BA31" i="54"/>
  <c r="AZ31" i="54"/>
  <c r="AY31" i="54"/>
  <c r="BB30" i="54"/>
  <c r="BA30" i="54"/>
  <c r="AZ30" i="54"/>
  <c r="AY30" i="54"/>
  <c r="AV30" i="54"/>
  <c r="AU30" i="54"/>
  <c r="AT30" i="54"/>
  <c r="AS30" i="54"/>
  <c r="AP30" i="54"/>
  <c r="AM30" i="54"/>
  <c r="AN30" i="54"/>
  <c r="AO30" i="54"/>
  <c r="AK12" i="54"/>
  <c r="AM14" i="54" s="1"/>
  <c r="AN14" i="54"/>
  <c r="AO14" i="54"/>
  <c r="AP14" i="54"/>
  <c r="AM26" i="54"/>
  <c r="AN26" i="54"/>
  <c r="AO26" i="54"/>
  <c r="AP26" i="54"/>
  <c r="AJ30" i="54"/>
  <c r="AI30" i="54"/>
  <c r="AH30" i="54"/>
  <c r="AG30" i="54"/>
  <c r="AD30" i="54"/>
  <c r="AD74" i="54" s="1"/>
  <c r="AD82" i="54" s="1"/>
  <c r="AC30" i="54"/>
  <c r="AB30" i="54"/>
  <c r="AA30" i="54"/>
  <c r="V30" i="54"/>
  <c r="Q30" i="54"/>
  <c r="P30" i="54"/>
  <c r="K30" i="54"/>
  <c r="J30" i="54"/>
  <c r="AW29" i="54"/>
  <c r="AW28" i="54"/>
  <c r="AQ29" i="54"/>
  <c r="AQ28" i="54"/>
  <c r="R29" i="54"/>
  <c r="L29" i="54"/>
  <c r="L28" i="54"/>
  <c r="L30" i="54" s="1"/>
  <c r="F29" i="54"/>
  <c r="I30" i="54"/>
  <c r="AK28" i="54"/>
  <c r="AK27" i="54"/>
  <c r="AK100" i="1" s="1"/>
  <c r="W28" i="54"/>
  <c r="W30" i="54" s="1"/>
  <c r="BQ27" i="54"/>
  <c r="BK27" i="54"/>
  <c r="BK100" i="1" s="1"/>
  <c r="BK102" i="1" s="1"/>
  <c r="BH27" i="54"/>
  <c r="BH100" i="1" s="1"/>
  <c r="BH102" i="1" s="1"/>
  <c r="BG27" i="54"/>
  <c r="BF27" i="54"/>
  <c r="BF100" i="1" s="1"/>
  <c r="BF102" i="1" s="1"/>
  <c r="BE27" i="54"/>
  <c r="BG26" i="54"/>
  <c r="BG74" i="54" s="1"/>
  <c r="BE26" i="54"/>
  <c r="BF26" i="54"/>
  <c r="BB27" i="54"/>
  <c r="BA27" i="54"/>
  <c r="BA100" i="1" s="1"/>
  <c r="BA102" i="1" s="1"/>
  <c r="AZ27" i="54"/>
  <c r="AY27" i="54"/>
  <c r="BB26" i="54"/>
  <c r="BB74" i="54" s="1"/>
  <c r="BB82" i="54" s="1"/>
  <c r="BA26" i="54"/>
  <c r="AZ26" i="54"/>
  <c r="AY26" i="54"/>
  <c r="AV26" i="54"/>
  <c r="AU26" i="54"/>
  <c r="AS26" i="54"/>
  <c r="AT26" i="54"/>
  <c r="AJ26" i="54"/>
  <c r="AI26" i="54"/>
  <c r="AG26" i="54"/>
  <c r="AH26" i="54"/>
  <c r="AC26" i="54"/>
  <c r="AC14" i="54"/>
  <c r="AB26" i="54"/>
  <c r="W26" i="54"/>
  <c r="V26" i="54"/>
  <c r="Q26" i="54"/>
  <c r="BT25" i="54"/>
  <c r="BT27" i="54" s="1"/>
  <c r="BS25" i="54"/>
  <c r="BS27" i="54" s="1"/>
  <c r="BR25" i="54"/>
  <c r="BR27" i="54" s="1"/>
  <c r="BN25" i="54"/>
  <c r="BN27" i="54" s="1"/>
  <c r="BN100" i="1" s="1"/>
  <c r="BN102" i="1" s="1"/>
  <c r="BM25" i="54"/>
  <c r="BM27" i="54" s="1"/>
  <c r="BL25" i="54"/>
  <c r="BL27" i="54" s="1"/>
  <c r="BL100" i="1" s="1"/>
  <c r="BL102" i="1" s="1"/>
  <c r="AW25" i="54"/>
  <c r="BC25" i="54" s="1"/>
  <c r="AW24" i="54"/>
  <c r="AQ25" i="54"/>
  <c r="AN25" i="54" s="1"/>
  <c r="AQ24" i="54"/>
  <c r="X25" i="54"/>
  <c r="X24" i="54"/>
  <c r="X26" i="54" s="1"/>
  <c r="R25" i="54"/>
  <c r="BU24" i="54"/>
  <c r="BO24" i="54"/>
  <c r="BI24" i="54"/>
  <c r="AK24" i="54"/>
  <c r="L24" i="54"/>
  <c r="F24" i="54"/>
  <c r="W22" i="54"/>
  <c r="V22" i="54"/>
  <c r="V21" i="54"/>
  <c r="U21" i="54"/>
  <c r="Q22" i="54"/>
  <c r="P22" i="54"/>
  <c r="S21" i="54"/>
  <c r="R21" i="54" s="1"/>
  <c r="Q21" i="54"/>
  <c r="P21" i="54"/>
  <c r="O21" i="54"/>
  <c r="K22" i="54"/>
  <c r="M21" i="54"/>
  <c r="L21" i="54" s="1"/>
  <c r="K21" i="54"/>
  <c r="J21" i="54"/>
  <c r="X20" i="54"/>
  <c r="X22" i="54" s="1"/>
  <c r="L20" i="54"/>
  <c r="O22" i="54" s="1"/>
  <c r="F20" i="54"/>
  <c r="W18" i="54"/>
  <c r="V18" i="54"/>
  <c r="Q18" i="54"/>
  <c r="P18" i="54"/>
  <c r="K18" i="54"/>
  <c r="J18" i="54"/>
  <c r="G18" i="54"/>
  <c r="V17" i="54"/>
  <c r="U17" i="54"/>
  <c r="R17" i="54"/>
  <c r="Q17" i="54"/>
  <c r="P17" i="54"/>
  <c r="O17" i="54"/>
  <c r="L17" i="54"/>
  <c r="K17" i="54"/>
  <c r="J17" i="54"/>
  <c r="I17" i="54"/>
  <c r="F17" i="54"/>
  <c r="F16" i="54"/>
  <c r="I18" i="54" s="1"/>
  <c r="X16" i="54"/>
  <c r="X18" i="54" s="1"/>
  <c r="X13" i="54"/>
  <c r="X12" i="54"/>
  <c r="AA14" i="54" s="1"/>
  <c r="AB14" i="54"/>
  <c r="L16" i="54"/>
  <c r="L18" i="54" s="1"/>
  <c r="BH15" i="54"/>
  <c r="BG15" i="54"/>
  <c r="BF15" i="54"/>
  <c r="BE15" i="54"/>
  <c r="BB15" i="54"/>
  <c r="BA15" i="54"/>
  <c r="AZ15" i="54"/>
  <c r="AY15" i="54"/>
  <c r="AD15" i="54"/>
  <c r="AC15" i="54"/>
  <c r="AA15" i="54"/>
  <c r="AB15" i="54"/>
  <c r="W15" i="54"/>
  <c r="CY14" i="54"/>
  <c r="CS14" i="54"/>
  <c r="CM14" i="54"/>
  <c r="CG14" i="54"/>
  <c r="CA14" i="54"/>
  <c r="BU14" i="54"/>
  <c r="BO14" i="54"/>
  <c r="BI14" i="54"/>
  <c r="BI13" i="54"/>
  <c r="BI12" i="54"/>
  <c r="BK12" i="54" s="1"/>
  <c r="BC14" i="54"/>
  <c r="BC13" i="54"/>
  <c r="AV15" i="54"/>
  <c r="AU15" i="54"/>
  <c r="AT15" i="54"/>
  <c r="AS15" i="54"/>
  <c r="AV14" i="54"/>
  <c r="AU14" i="54"/>
  <c r="AT14" i="54"/>
  <c r="AP15" i="54"/>
  <c r="AO15" i="54"/>
  <c r="AN15" i="54"/>
  <c r="AM15" i="54"/>
  <c r="AJ15" i="54"/>
  <c r="AI15" i="54"/>
  <c r="AH15" i="54"/>
  <c r="AG15" i="54"/>
  <c r="AJ14" i="54"/>
  <c r="AI14" i="54"/>
  <c r="AH14" i="54"/>
  <c r="AE13" i="54"/>
  <c r="AE12" i="54"/>
  <c r="AW13" i="54"/>
  <c r="AW12" i="54"/>
  <c r="AQ13" i="54"/>
  <c r="AQ12" i="54"/>
  <c r="AS14" i="54" s="1"/>
  <c r="AK13" i="54"/>
  <c r="L12" i="54"/>
  <c r="F12" i="54"/>
  <c r="BH8" i="54"/>
  <c r="BG8" i="54"/>
  <c r="BF8" i="54"/>
  <c r="BB8" i="54"/>
  <c r="BA8" i="54"/>
  <c r="AZ8" i="54"/>
  <c r="AV8" i="54"/>
  <c r="AT8" i="54"/>
  <c r="AS8" i="54"/>
  <c r="AP8" i="54"/>
  <c r="AO8" i="54"/>
  <c r="AN8" i="54"/>
  <c r="AM8" i="54"/>
  <c r="AJ8" i="54"/>
  <c r="AI8" i="54"/>
  <c r="AH8" i="54"/>
  <c r="AG8" i="54"/>
  <c r="AD8" i="54"/>
  <c r="AC8" i="54"/>
  <c r="AB8" i="54"/>
  <c r="AA8" i="54"/>
  <c r="Y8" i="54"/>
  <c r="V8" i="54"/>
  <c r="U8" i="54"/>
  <c r="S8" i="54"/>
  <c r="Q8" i="54"/>
  <c r="P8" i="54"/>
  <c r="O8" i="54"/>
  <c r="M8" i="54"/>
  <c r="K8" i="54"/>
  <c r="J8" i="54"/>
  <c r="I8" i="54"/>
  <c r="G8" i="54"/>
  <c r="F8" i="54" s="1"/>
  <c r="E8" i="54"/>
  <c r="D8" i="54"/>
  <c r="C8" i="54"/>
  <c r="AA6" i="54"/>
  <c r="V6" i="54"/>
  <c r="W6" i="54" s="1"/>
  <c r="X6" i="54" s="1"/>
  <c r="D6" i="54"/>
  <c r="E6" i="54" s="1"/>
  <c r="F6" i="54" s="1"/>
  <c r="I6" i="54" s="1"/>
  <c r="J6" i="54" s="1"/>
  <c r="K6" i="54" s="1"/>
  <c r="L6" i="54" s="1"/>
  <c r="O6" i="54" s="1"/>
  <c r="P6" i="54" s="1"/>
  <c r="Q6" i="54" s="1"/>
  <c r="R6" i="54" s="1"/>
  <c r="AA5" i="54"/>
  <c r="AG5" i="54" s="1"/>
  <c r="AM5" i="54" s="1"/>
  <c r="AS5" i="54" s="1"/>
  <c r="AY5" i="54" s="1"/>
  <c r="BE5" i="54" s="1"/>
  <c r="BK5" i="54" s="1"/>
  <c r="BQ5" i="54" s="1"/>
  <c r="BW5" i="54" s="1"/>
  <c r="CC5" i="54" s="1"/>
  <c r="CI5" i="54" s="1"/>
  <c r="CO5" i="54" s="1"/>
  <c r="CU5" i="54" s="1"/>
  <c r="M5" i="54"/>
  <c r="S5" i="54" s="1"/>
  <c r="Y5" i="54" s="1"/>
  <c r="AE5" i="54" s="1"/>
  <c r="AK5" i="54" s="1"/>
  <c r="AQ5" i="54" s="1"/>
  <c r="AW5" i="54" s="1"/>
  <c r="BC5" i="54" s="1"/>
  <c r="BI5" i="54" s="1"/>
  <c r="BO5" i="54" s="1"/>
  <c r="BU5" i="54" s="1"/>
  <c r="CA5" i="54" s="1"/>
  <c r="CG5" i="54" s="1"/>
  <c r="CM5" i="54" s="1"/>
  <c r="CS5" i="54" s="1"/>
  <c r="CY5" i="54" s="1"/>
  <c r="BI90" i="3"/>
  <c r="BI89" i="3"/>
  <c r="AW90" i="3"/>
  <c r="AW89" i="3"/>
  <c r="AQ90" i="3"/>
  <c r="AQ89" i="3"/>
  <c r="AK90" i="3"/>
  <c r="AK89" i="3"/>
  <c r="AE90" i="3"/>
  <c r="AE89" i="3"/>
  <c r="Y90" i="3"/>
  <c r="Y89" i="3"/>
  <c r="S90" i="3"/>
  <c r="S89" i="3"/>
  <c r="M90" i="3"/>
  <c r="M89" i="3"/>
  <c r="G90" i="3"/>
  <c r="G89" i="3"/>
  <c r="BL90" i="3"/>
  <c r="BM90" i="3" s="1"/>
  <c r="BN90" i="3" s="1"/>
  <c r="BO89" i="3"/>
  <c r="BL89" i="3"/>
  <c r="BM89" i="3" s="1"/>
  <c r="BN89" i="3" s="1"/>
  <c r="BQ89" i="3" s="1"/>
  <c r="BR89" i="3" s="1"/>
  <c r="BS89" i="3" s="1"/>
  <c r="BT89" i="3" s="1"/>
  <c r="BW89" i="3" s="1"/>
  <c r="BB86" i="3"/>
  <c r="BB84" i="3" s="1"/>
  <c r="BA86" i="3"/>
  <c r="AZ86" i="3"/>
  <c r="AY86" i="3"/>
  <c r="AV86" i="3"/>
  <c r="AU86" i="3"/>
  <c r="AT86" i="3"/>
  <c r="AS86" i="3"/>
  <c r="AP86" i="3"/>
  <c r="AO86" i="3"/>
  <c r="AN86" i="3"/>
  <c r="AM86" i="3"/>
  <c r="AJ86" i="3"/>
  <c r="AI86" i="3"/>
  <c r="AH86" i="3"/>
  <c r="AG86" i="3"/>
  <c r="AD86" i="3"/>
  <c r="AC86" i="3"/>
  <c r="AB86" i="3"/>
  <c r="AA86" i="3"/>
  <c r="X86" i="3"/>
  <c r="W86" i="3"/>
  <c r="V86" i="3"/>
  <c r="U86" i="3"/>
  <c r="R86" i="3"/>
  <c r="Q86" i="3"/>
  <c r="P86" i="3"/>
  <c r="O86" i="3"/>
  <c r="L86" i="3"/>
  <c r="K86" i="3"/>
  <c r="J86" i="3"/>
  <c r="I86" i="3"/>
  <c r="G86" i="3"/>
  <c r="F86" i="3"/>
  <c r="E86" i="3"/>
  <c r="D86" i="3"/>
  <c r="C86" i="3"/>
  <c r="CZ85" i="3"/>
  <c r="CZ84" i="3" s="1"/>
  <c r="BC85" i="3"/>
  <c r="AW85" i="3"/>
  <c r="AW84" i="3"/>
  <c r="AQ85" i="3"/>
  <c r="AQ84" i="3"/>
  <c r="AK85" i="3"/>
  <c r="AK84" i="3"/>
  <c r="AE85" i="3"/>
  <c r="AE84" i="3"/>
  <c r="Y85" i="3"/>
  <c r="Y84" i="3"/>
  <c r="S85" i="3"/>
  <c r="S84" i="3"/>
  <c r="M85" i="3"/>
  <c r="M84" i="3"/>
  <c r="CI85" i="3"/>
  <c r="BW85" i="3"/>
  <c r="BS86" i="3"/>
  <c r="BR86" i="3"/>
  <c r="BQ86" i="3"/>
  <c r="BN86" i="3"/>
  <c r="BM86" i="3"/>
  <c r="BL86" i="3"/>
  <c r="BK86" i="3"/>
  <c r="BH86" i="3"/>
  <c r="BG86" i="3"/>
  <c r="BF86" i="3"/>
  <c r="BE86" i="3"/>
  <c r="BE85" i="3"/>
  <c r="BU81" i="3"/>
  <c r="BO81" i="3"/>
  <c r="BI81" i="3"/>
  <c r="AW81" i="3"/>
  <c r="AQ81" i="3"/>
  <c r="AK81" i="3"/>
  <c r="AE81" i="3"/>
  <c r="Y81" i="3"/>
  <c r="S81" i="3"/>
  <c r="M81" i="3"/>
  <c r="G81" i="3"/>
  <c r="G79" i="3"/>
  <c r="G78" i="3"/>
  <c r="G77" i="3"/>
  <c r="BU75" i="3"/>
  <c r="BO75" i="3"/>
  <c r="BI75" i="3"/>
  <c r="BC75" i="3"/>
  <c r="AW75" i="3"/>
  <c r="AQ75" i="3"/>
  <c r="AK75" i="3"/>
  <c r="AE75" i="3"/>
  <c r="Y75" i="3"/>
  <c r="S75" i="3"/>
  <c r="M75" i="3"/>
  <c r="BT74" i="3"/>
  <c r="BS74" i="3" s="1"/>
  <c r="BU72" i="3"/>
  <c r="BO72" i="3"/>
  <c r="AW72" i="3"/>
  <c r="G73" i="3"/>
  <c r="M69" i="3" s="1"/>
  <c r="BI72" i="3"/>
  <c r="Y70" i="3"/>
  <c r="BO69" i="3"/>
  <c r="BO73" i="3" s="1"/>
  <c r="BU69" i="3" s="1"/>
  <c r="BU73" i="3" s="1"/>
  <c r="CA69" i="3" s="1"/>
  <c r="CA73" i="3" s="1"/>
  <c r="CG69" i="3" s="1"/>
  <c r="CG73" i="3" s="1"/>
  <c r="BI69" i="3"/>
  <c r="BC66" i="3"/>
  <c r="CY52" i="3"/>
  <c r="CS52" i="3"/>
  <c r="CM52" i="3"/>
  <c r="CG52" i="3"/>
  <c r="AY50" i="3"/>
  <c r="AS50" i="3"/>
  <c r="AM50" i="3"/>
  <c r="AG50" i="3"/>
  <c r="AA50" i="3"/>
  <c r="U50" i="3"/>
  <c r="O50" i="3"/>
  <c r="I50" i="3"/>
  <c r="CY49" i="3"/>
  <c r="CY47" i="3"/>
  <c r="CY46" i="3"/>
  <c r="CY45" i="3"/>
  <c r="CS49" i="3"/>
  <c r="CS47" i="3"/>
  <c r="CS46" i="3"/>
  <c r="CS45" i="3"/>
  <c r="CM49" i="3"/>
  <c r="CM47" i="3"/>
  <c r="CM46" i="3"/>
  <c r="CM45" i="3"/>
  <c r="CG49" i="3"/>
  <c r="CG47" i="3"/>
  <c r="CG46" i="3"/>
  <c r="CG45" i="3"/>
  <c r="BE49" i="3"/>
  <c r="BE50" i="3"/>
  <c r="CJ48" i="3"/>
  <c r="BQ48" i="3"/>
  <c r="BK49" i="3"/>
  <c r="BK48" i="3"/>
  <c r="BK44" i="3"/>
  <c r="BK43" i="3"/>
  <c r="BQ40" i="3"/>
  <c r="BK40" i="3"/>
  <c r="BE40" i="3"/>
  <c r="AY40" i="3"/>
  <c r="AM40" i="3"/>
  <c r="AG40" i="3"/>
  <c r="AA40" i="3"/>
  <c r="U40" i="3"/>
  <c r="O40" i="3"/>
  <c r="I40" i="3"/>
  <c r="CY39" i="3"/>
  <c r="CY38" i="3"/>
  <c r="CY37" i="3"/>
  <c r="CY36" i="3"/>
  <c r="CY35" i="3"/>
  <c r="CY34" i="3"/>
  <c r="CY33" i="3"/>
  <c r="CS39" i="3"/>
  <c r="CS38" i="3"/>
  <c r="CS37" i="3"/>
  <c r="CS36" i="3"/>
  <c r="CS35" i="3"/>
  <c r="CS34" i="3"/>
  <c r="CS33" i="3"/>
  <c r="CM39" i="3"/>
  <c r="CM38" i="3"/>
  <c r="CM37" i="3"/>
  <c r="CM36" i="3"/>
  <c r="CM35" i="3"/>
  <c r="CM34" i="3"/>
  <c r="CM33" i="3"/>
  <c r="CG39" i="3"/>
  <c r="CG38" i="3"/>
  <c r="CG37" i="3"/>
  <c r="CG36" i="3"/>
  <c r="CG35" i="3"/>
  <c r="CG34" i="3"/>
  <c r="CG33" i="3"/>
  <c r="G38" i="3"/>
  <c r="AS35" i="3"/>
  <c r="CY28" i="3"/>
  <c r="CY19" i="3"/>
  <c r="CY17" i="3"/>
  <c r="CY14" i="3"/>
  <c r="CY13" i="3"/>
  <c r="CS28" i="3"/>
  <c r="CS19" i="3"/>
  <c r="CS17" i="3"/>
  <c r="CS14" i="3"/>
  <c r="CS13" i="3"/>
  <c r="CM28" i="3"/>
  <c r="CM19" i="3"/>
  <c r="CM17" i="3"/>
  <c r="CM14" i="3"/>
  <c r="CM13" i="3"/>
  <c r="CG28" i="3"/>
  <c r="CG19" i="3"/>
  <c r="CG17" i="3"/>
  <c r="CG14" i="3"/>
  <c r="CG13" i="3"/>
  <c r="BW28" i="3"/>
  <c r="BQ28" i="3"/>
  <c r="AW27" i="3"/>
  <c r="AQ27" i="3"/>
  <c r="AK27" i="3"/>
  <c r="U26" i="3"/>
  <c r="O26" i="3"/>
  <c r="I26" i="3"/>
  <c r="G26" i="3"/>
  <c r="U24" i="3"/>
  <c r="O24" i="3"/>
  <c r="I24" i="3"/>
  <c r="G24" i="3"/>
  <c r="BW19" i="3"/>
  <c r="BQ19" i="3"/>
  <c r="BK19" i="3"/>
  <c r="AS12" i="3"/>
  <c r="AA19" i="3"/>
  <c r="O19" i="3"/>
  <c r="I19" i="3"/>
  <c r="G19" i="3"/>
  <c r="BR12" i="3"/>
  <c r="BQ12" i="3"/>
  <c r="BQ29" i="3" s="1"/>
  <c r="BK12" i="3"/>
  <c r="BE12" i="3"/>
  <c r="O12" i="3"/>
  <c r="O11" i="3"/>
  <c r="O80" i="54"/>
  <c r="I12" i="3"/>
  <c r="CX12" i="3"/>
  <c r="CW12" i="3"/>
  <c r="CV12" i="3"/>
  <c r="CU12" i="3"/>
  <c r="CR12" i="3"/>
  <c r="CQ12" i="3"/>
  <c r="CP12" i="3"/>
  <c r="CO12" i="3"/>
  <c r="CL12" i="3"/>
  <c r="CK12" i="3"/>
  <c r="CJ12" i="3"/>
  <c r="CI12" i="3"/>
  <c r="CF12" i="3"/>
  <c r="BA12" i="3"/>
  <c r="AZ12" i="3"/>
  <c r="AY12" i="3"/>
  <c r="AY11" i="3"/>
  <c r="AU12" i="3"/>
  <c r="AT12" i="3"/>
  <c r="AS11" i="3"/>
  <c r="AP12" i="3"/>
  <c r="AO12" i="3"/>
  <c r="AN12" i="3"/>
  <c r="AM12" i="3"/>
  <c r="AM11" i="3"/>
  <c r="AI12" i="3"/>
  <c r="AH12" i="3"/>
  <c r="AG12" i="3"/>
  <c r="AG11" i="3"/>
  <c r="AC12" i="3"/>
  <c r="AB12" i="3"/>
  <c r="AA12" i="3"/>
  <c r="AA11" i="3"/>
  <c r="V12" i="3"/>
  <c r="U12" i="3"/>
  <c r="U11" i="3"/>
  <c r="D7" i="3"/>
  <c r="E7" i="3" s="1"/>
  <c r="F7" i="3" s="1"/>
  <c r="I7" i="3" s="1"/>
  <c r="J7" i="3" s="1"/>
  <c r="K7" i="3" s="1"/>
  <c r="L7" i="3" s="1"/>
  <c r="O7" i="3" s="1"/>
  <c r="P7" i="3" s="1"/>
  <c r="Q7" i="3" s="1"/>
  <c r="R7" i="3" s="1"/>
  <c r="U7" i="3" s="1"/>
  <c r="V7" i="3" s="1"/>
  <c r="W7" i="3" s="1"/>
  <c r="X7" i="3" s="1"/>
  <c r="AA7" i="3" s="1"/>
  <c r="AB7" i="3" s="1"/>
  <c r="AC7" i="3" s="1"/>
  <c r="AD7" i="3" s="1"/>
  <c r="AG7" i="3" s="1"/>
  <c r="AH7" i="3" s="1"/>
  <c r="AI7" i="3" s="1"/>
  <c r="AJ7" i="3" s="1"/>
  <c r="AM7" i="3" s="1"/>
  <c r="AN7" i="3" s="1"/>
  <c r="AO7" i="3" s="1"/>
  <c r="AP7" i="3" s="1"/>
  <c r="AS7" i="3" s="1"/>
  <c r="AT7" i="3" s="1"/>
  <c r="AU7" i="3" s="1"/>
  <c r="AV7" i="3" s="1"/>
  <c r="AY7" i="3" s="1"/>
  <c r="AZ7" i="3" s="1"/>
  <c r="BA7" i="3" s="1"/>
  <c r="BB7" i="3" s="1"/>
  <c r="BE7" i="3" s="1"/>
  <c r="BF7" i="3" s="1"/>
  <c r="BG7" i="3" s="1"/>
  <c r="BH7" i="3" s="1"/>
  <c r="BK7" i="3" s="1"/>
  <c r="BL7" i="3" s="1"/>
  <c r="BM7" i="3" s="1"/>
  <c r="BN7" i="3" s="1"/>
  <c r="BQ7" i="3" s="1"/>
  <c r="BR7" i="3" s="1"/>
  <c r="BS7" i="3" s="1"/>
  <c r="BT7" i="3" s="1"/>
  <c r="BW7" i="3" s="1"/>
  <c r="BX7" i="3" s="1"/>
  <c r="BY7" i="3" s="1"/>
  <c r="BZ7" i="3" s="1"/>
  <c r="CC7" i="3" s="1"/>
  <c r="CD7" i="3" s="1"/>
  <c r="CE7" i="3" s="1"/>
  <c r="CF7" i="3" s="1"/>
  <c r="CI7" i="3" s="1"/>
  <c r="CJ7" i="3" s="1"/>
  <c r="CK7" i="3" s="1"/>
  <c r="CL7" i="3" s="1"/>
  <c r="CO7" i="3" s="1"/>
  <c r="CP7" i="3" s="1"/>
  <c r="CQ7" i="3" s="1"/>
  <c r="CR7" i="3" s="1"/>
  <c r="CU7" i="3" s="1"/>
  <c r="CV7" i="3" s="1"/>
  <c r="CW7" i="3" s="1"/>
  <c r="CX7" i="3" s="1"/>
  <c r="AA6" i="3"/>
  <c r="AG6" i="3" s="1"/>
  <c r="AM6" i="3" s="1"/>
  <c r="AS6" i="3" s="1"/>
  <c r="AY6" i="3" s="1"/>
  <c r="BE6" i="3" s="1"/>
  <c r="BK6" i="3" s="1"/>
  <c r="BQ6" i="3" s="1"/>
  <c r="BW6" i="3" s="1"/>
  <c r="CC6" i="3" s="1"/>
  <c r="CI6" i="3" s="1"/>
  <c r="CO6" i="3" s="1"/>
  <c r="CU6" i="3" s="1"/>
  <c r="M6" i="3"/>
  <c r="S6" i="3" s="1"/>
  <c r="Y6" i="3" s="1"/>
  <c r="AE6" i="3" s="1"/>
  <c r="AK6" i="3" s="1"/>
  <c r="AQ6" i="3" s="1"/>
  <c r="AW6" i="3" s="1"/>
  <c r="BC6" i="3" s="1"/>
  <c r="BI6" i="3" s="1"/>
  <c r="BO6" i="3" s="1"/>
  <c r="BU6" i="3" s="1"/>
  <c r="CA6" i="3" s="1"/>
  <c r="CG6" i="3" s="1"/>
  <c r="CM6" i="3" s="1"/>
  <c r="CS6" i="3" s="1"/>
  <c r="CY6" i="3" s="1"/>
  <c r="AS175" i="2"/>
  <c r="AS177" i="2" s="1"/>
  <c r="AU171" i="2"/>
  <c r="AU180" i="2" s="1"/>
  <c r="AT171" i="2"/>
  <c r="AT180" i="2" s="1"/>
  <c r="AS171" i="2"/>
  <c r="AS180" i="2" s="1"/>
  <c r="AW166" i="2"/>
  <c r="AV166" i="2"/>
  <c r="AU166" i="2"/>
  <c r="AT166" i="2"/>
  <c r="AS166" i="2"/>
  <c r="AM175" i="2"/>
  <c r="AM177" i="2" s="1"/>
  <c r="AO171" i="2"/>
  <c r="AO180" i="2" s="1"/>
  <c r="AN171" i="2"/>
  <c r="AN180" i="2" s="1"/>
  <c r="AM171" i="2"/>
  <c r="AM180" i="2" s="1"/>
  <c r="AN170" i="2"/>
  <c r="AM170" i="2"/>
  <c r="AQ166" i="2"/>
  <c r="AP166" i="2"/>
  <c r="AO166" i="2"/>
  <c r="AN166" i="2"/>
  <c r="AM166" i="2"/>
  <c r="AG175" i="2"/>
  <c r="AG177" i="2" s="1"/>
  <c r="AI171" i="2"/>
  <c r="AI180" i="2" s="1"/>
  <c r="AH171" i="2"/>
  <c r="AH180" i="2" s="1"/>
  <c r="AG171" i="2"/>
  <c r="AG180" i="2" s="1"/>
  <c r="AK166" i="2"/>
  <c r="AJ166" i="2"/>
  <c r="AI166" i="2"/>
  <c r="AH166" i="2"/>
  <c r="AG166" i="2"/>
  <c r="AA175" i="2"/>
  <c r="AA177" i="2" s="1"/>
  <c r="AC171" i="2"/>
  <c r="AC180" i="2" s="1"/>
  <c r="AB171" i="2"/>
  <c r="AB180" i="2" s="1"/>
  <c r="AA171" i="2"/>
  <c r="AA180" i="2" s="1"/>
  <c r="AB170" i="2"/>
  <c r="AA170" i="2"/>
  <c r="AE166" i="2"/>
  <c r="AD166" i="2"/>
  <c r="AC166" i="2"/>
  <c r="AB166" i="2"/>
  <c r="AA166" i="2"/>
  <c r="U175" i="2"/>
  <c r="U177" i="2" s="1"/>
  <c r="W171" i="2"/>
  <c r="W180" i="2" s="1"/>
  <c r="V171" i="2"/>
  <c r="V180" i="2" s="1"/>
  <c r="U171" i="2"/>
  <c r="U180" i="2" s="1"/>
  <c r="W170" i="2"/>
  <c r="V170" i="2"/>
  <c r="U170" i="2"/>
  <c r="Y166" i="2"/>
  <c r="X166" i="2"/>
  <c r="W166" i="2"/>
  <c r="V166" i="2"/>
  <c r="U166" i="2"/>
  <c r="O175" i="2"/>
  <c r="O177" i="2" s="1"/>
  <c r="Q171" i="2"/>
  <c r="Q180" i="2" s="1"/>
  <c r="P171" i="2"/>
  <c r="P180" i="2" s="1"/>
  <c r="O171" i="2"/>
  <c r="O180" i="2" s="1"/>
  <c r="S166" i="2"/>
  <c r="R166" i="2"/>
  <c r="Q166" i="2"/>
  <c r="P166" i="2"/>
  <c r="O166" i="2"/>
  <c r="L175" i="2"/>
  <c r="L177" i="2" s="1"/>
  <c r="K175" i="2"/>
  <c r="K177" i="2" s="1"/>
  <c r="J175" i="2"/>
  <c r="J177" i="2" s="1"/>
  <c r="I175" i="2"/>
  <c r="I177" i="2" s="1"/>
  <c r="K172" i="2"/>
  <c r="I172" i="2"/>
  <c r="K171" i="2"/>
  <c r="K180" i="2" s="1"/>
  <c r="J171" i="2"/>
  <c r="J180" i="2" s="1"/>
  <c r="I171" i="2"/>
  <c r="I180" i="2" s="1"/>
  <c r="M166" i="2"/>
  <c r="L166" i="2"/>
  <c r="K166" i="2"/>
  <c r="J166" i="2"/>
  <c r="I166" i="2"/>
  <c r="G175" i="2"/>
  <c r="F175" i="2"/>
  <c r="E175" i="2"/>
  <c r="E177" i="2" s="1"/>
  <c r="D175" i="2"/>
  <c r="D177" i="2" s="1"/>
  <c r="C175" i="2"/>
  <c r="C177" i="2" s="1"/>
  <c r="D172" i="2"/>
  <c r="C172" i="2"/>
  <c r="E171" i="2"/>
  <c r="E180" i="2" s="1"/>
  <c r="D171" i="2"/>
  <c r="D180" i="2" s="1"/>
  <c r="C171" i="2"/>
  <c r="C180" i="2" s="1"/>
  <c r="G166" i="2"/>
  <c r="F166" i="2"/>
  <c r="E166" i="2"/>
  <c r="D166" i="2"/>
  <c r="C166" i="2"/>
  <c r="CJ177" i="2"/>
  <c r="CK177" i="2" s="1"/>
  <c r="CL177" i="2" s="1"/>
  <c r="CF170" i="2"/>
  <c r="CE170" i="2"/>
  <c r="CD170" i="2"/>
  <c r="BW175" i="2"/>
  <c r="BW177" i="2" s="1"/>
  <c r="BX172" i="2"/>
  <c r="BQ175" i="2"/>
  <c r="BQ177" i="2" s="1"/>
  <c r="BT171" i="2"/>
  <c r="BT180" i="2" s="1"/>
  <c r="BS171" i="2"/>
  <c r="BS180" i="2" s="1"/>
  <c r="BR171" i="2"/>
  <c r="BR180" i="2" s="1"/>
  <c r="BT170" i="2"/>
  <c r="BU166" i="2"/>
  <c r="BT166" i="2"/>
  <c r="BS166" i="2"/>
  <c r="BR166" i="2"/>
  <c r="BQ166" i="2"/>
  <c r="BK175" i="2"/>
  <c r="BK177" i="2" s="1"/>
  <c r="BO166" i="2"/>
  <c r="BN166" i="2"/>
  <c r="BM166" i="2"/>
  <c r="BL166" i="2"/>
  <c r="BK166" i="2"/>
  <c r="BE175" i="2"/>
  <c r="BE177" i="2" s="1"/>
  <c r="BE171" i="2"/>
  <c r="BE180" i="2" s="1"/>
  <c r="BG170" i="2"/>
  <c r="BE170" i="2"/>
  <c r="BI166" i="2"/>
  <c r="BH166" i="2"/>
  <c r="BG166" i="2"/>
  <c r="BF166" i="2"/>
  <c r="BE166" i="2"/>
  <c r="AY175" i="2"/>
  <c r="AY177" i="2" s="1"/>
  <c r="BA171" i="2"/>
  <c r="BA180" i="2" s="1"/>
  <c r="AZ171" i="2"/>
  <c r="AZ180" i="2" s="1"/>
  <c r="AY171" i="2"/>
  <c r="AY180" i="2" s="1"/>
  <c r="BC166" i="2"/>
  <c r="BB166" i="2"/>
  <c r="BA166" i="2"/>
  <c r="AZ166" i="2"/>
  <c r="AY166" i="2"/>
  <c r="CX170" i="2"/>
  <c r="CW170" i="2"/>
  <c r="CV170" i="2"/>
  <c r="CU170" i="2"/>
  <c r="CR170" i="2"/>
  <c r="CQ170" i="2"/>
  <c r="CP170" i="2"/>
  <c r="CO170" i="2"/>
  <c r="CL170" i="2"/>
  <c r="CK170" i="2"/>
  <c r="CJ170" i="2"/>
  <c r="CI170" i="2"/>
  <c r="BY171" i="2"/>
  <c r="BY180" i="2" s="1"/>
  <c r="BX171" i="2"/>
  <c r="BX180" i="2" s="1"/>
  <c r="BW171" i="2"/>
  <c r="BW180" i="2" s="1"/>
  <c r="BX170" i="2"/>
  <c r="BY166" i="2"/>
  <c r="BX166" i="2"/>
  <c r="BW166" i="2"/>
  <c r="G156" i="2"/>
  <c r="BX158" i="2"/>
  <c r="BX156" i="2"/>
  <c r="BX157" i="2"/>
  <c r="BW158" i="2"/>
  <c r="BW157" i="2"/>
  <c r="BW156" i="2"/>
  <c r="BT158" i="2"/>
  <c r="BS158" i="2"/>
  <c r="BR158" i="2"/>
  <c r="BQ158" i="2"/>
  <c r="BT157" i="2"/>
  <c r="BS157" i="2"/>
  <c r="BS156" i="2"/>
  <c r="BR157" i="2"/>
  <c r="BQ157" i="2"/>
  <c r="BT156" i="2"/>
  <c r="BT148" i="2"/>
  <c r="BT149" i="2"/>
  <c r="BT150" i="2"/>
  <c r="BT151" i="2"/>
  <c r="BT152" i="2"/>
  <c r="BT153" i="2"/>
  <c r="BR156" i="2"/>
  <c r="BQ156" i="2"/>
  <c r="BN158" i="2"/>
  <c r="BM158" i="2"/>
  <c r="BL158" i="2"/>
  <c r="BK158" i="2"/>
  <c r="BN157" i="2"/>
  <c r="BM157" i="2"/>
  <c r="BM156" i="2"/>
  <c r="BL157" i="2"/>
  <c r="BK157" i="2"/>
  <c r="BN156" i="2"/>
  <c r="BL156" i="2"/>
  <c r="BK156" i="2"/>
  <c r="BH158" i="2"/>
  <c r="BG158" i="2"/>
  <c r="BF158" i="2"/>
  <c r="BE158" i="2"/>
  <c r="BH157" i="2"/>
  <c r="BG157" i="2"/>
  <c r="BG156" i="2"/>
  <c r="BG148" i="2"/>
  <c r="BG149" i="2"/>
  <c r="BG150" i="2"/>
  <c r="BG151" i="2"/>
  <c r="BG152" i="2"/>
  <c r="BG153" i="2"/>
  <c r="BF157" i="2"/>
  <c r="BF156" i="2"/>
  <c r="BF148" i="2"/>
  <c r="BF149" i="2"/>
  <c r="BF150" i="2"/>
  <c r="BF151" i="2"/>
  <c r="BF152" i="2"/>
  <c r="BF153" i="2"/>
  <c r="BE157" i="2"/>
  <c r="BH156" i="2"/>
  <c r="BE156" i="2"/>
  <c r="BB158" i="2"/>
  <c r="BA158" i="2"/>
  <c r="AZ158" i="2"/>
  <c r="AY158" i="2"/>
  <c r="BB157" i="2"/>
  <c r="BA157" i="2"/>
  <c r="BB156" i="2"/>
  <c r="BA156" i="2"/>
  <c r="AZ156" i="2"/>
  <c r="AY156" i="2"/>
  <c r="AV158" i="2"/>
  <c r="AU158" i="2"/>
  <c r="AT158" i="2"/>
  <c r="AS158" i="2"/>
  <c r="AU157" i="2"/>
  <c r="AT157" i="2"/>
  <c r="AS157" i="2"/>
  <c r="AV156" i="2"/>
  <c r="AU156" i="2"/>
  <c r="AU148" i="2"/>
  <c r="AU149" i="2"/>
  <c r="AU150" i="2"/>
  <c r="AU151" i="2"/>
  <c r="AU152" i="2"/>
  <c r="AU153" i="2"/>
  <c r="AT156" i="2"/>
  <c r="AS156" i="2"/>
  <c r="AP158" i="2"/>
  <c r="AP157" i="2"/>
  <c r="AP156" i="2"/>
  <c r="AP148" i="2"/>
  <c r="AP149" i="2"/>
  <c r="AP150" i="2"/>
  <c r="AP151" i="2"/>
  <c r="AP152" i="2"/>
  <c r="AP153" i="2"/>
  <c r="AO156" i="2"/>
  <c r="AN156" i="2"/>
  <c r="AM156" i="2"/>
  <c r="AJ156" i="2"/>
  <c r="AI156" i="2"/>
  <c r="AH156" i="2"/>
  <c r="AG156" i="2"/>
  <c r="AD156" i="2"/>
  <c r="AC156" i="2"/>
  <c r="AB156" i="2"/>
  <c r="AA156" i="2"/>
  <c r="X156" i="2"/>
  <c r="W156" i="2"/>
  <c r="V156" i="2"/>
  <c r="U156" i="2"/>
  <c r="R156" i="2"/>
  <c r="Q156" i="2"/>
  <c r="P156" i="2"/>
  <c r="O156" i="2"/>
  <c r="L156" i="2"/>
  <c r="K156" i="2"/>
  <c r="J156" i="2"/>
  <c r="I156" i="2"/>
  <c r="G153" i="2"/>
  <c r="G152" i="2"/>
  <c r="G151" i="2"/>
  <c r="G149" i="2"/>
  <c r="G148" i="2"/>
  <c r="G144" i="2"/>
  <c r="BX153" i="2"/>
  <c r="BW153" i="2"/>
  <c r="BX152" i="2"/>
  <c r="BW152" i="2"/>
  <c r="BX151" i="2"/>
  <c r="BW151" i="2"/>
  <c r="BX150" i="2"/>
  <c r="BX148" i="2"/>
  <c r="BX149" i="2"/>
  <c r="BW150" i="2"/>
  <c r="BW149" i="2"/>
  <c r="BW148" i="2"/>
  <c r="BY142" i="2"/>
  <c r="BX142" i="2"/>
  <c r="BW142" i="2"/>
  <c r="BS153" i="2"/>
  <c r="BR153" i="2"/>
  <c r="BQ153" i="2"/>
  <c r="BS152" i="2"/>
  <c r="BR152" i="2"/>
  <c r="BQ152" i="2"/>
  <c r="BS151" i="2"/>
  <c r="BR151" i="2"/>
  <c r="BQ151" i="2"/>
  <c r="BS150" i="2"/>
  <c r="BR150" i="2"/>
  <c r="BQ150" i="2"/>
  <c r="BS149" i="2"/>
  <c r="BR149" i="2"/>
  <c r="BQ149" i="2"/>
  <c r="BR148" i="2"/>
  <c r="BQ148" i="2"/>
  <c r="BT142" i="2"/>
  <c r="BS142" i="2"/>
  <c r="BR142" i="2"/>
  <c r="BN153" i="2"/>
  <c r="BM153" i="2"/>
  <c r="BL153" i="2"/>
  <c r="BK153" i="2"/>
  <c r="BN152" i="2"/>
  <c r="BM152" i="2"/>
  <c r="BL152" i="2"/>
  <c r="BK152" i="2"/>
  <c r="BN151" i="2"/>
  <c r="BM151" i="2"/>
  <c r="BL151" i="2"/>
  <c r="BK151" i="2"/>
  <c r="BN150" i="2"/>
  <c r="BM150" i="2"/>
  <c r="BL150" i="2"/>
  <c r="BK150" i="2"/>
  <c r="BN149" i="2"/>
  <c r="BM149" i="2"/>
  <c r="BL149" i="2"/>
  <c r="BL148" i="2"/>
  <c r="BK149" i="2"/>
  <c r="BN148" i="2"/>
  <c r="BM148" i="2"/>
  <c r="BK148" i="2"/>
  <c r="BH153" i="2"/>
  <c r="BE153" i="2"/>
  <c r="BH152" i="2"/>
  <c r="BE152" i="2"/>
  <c r="BH151" i="2"/>
  <c r="BE151" i="2"/>
  <c r="BH150" i="2"/>
  <c r="BE150" i="2"/>
  <c r="BE148" i="2"/>
  <c r="BE149" i="2"/>
  <c r="BH149" i="2"/>
  <c r="BH148" i="2"/>
  <c r="BE142" i="2"/>
  <c r="BB153" i="2"/>
  <c r="BA153" i="2"/>
  <c r="AZ153" i="2"/>
  <c r="AY153" i="2"/>
  <c r="BB152" i="2"/>
  <c r="BA152" i="2"/>
  <c r="AZ152" i="2"/>
  <c r="AY152" i="2"/>
  <c r="BB151" i="2"/>
  <c r="BA151" i="2"/>
  <c r="AZ151" i="2"/>
  <c r="AY151" i="2"/>
  <c r="BB150" i="2"/>
  <c r="BA150" i="2"/>
  <c r="AZ150" i="2"/>
  <c r="AY150" i="2"/>
  <c r="BB149" i="2"/>
  <c r="BB148" i="2"/>
  <c r="BA149" i="2"/>
  <c r="AZ149" i="2"/>
  <c r="AY149" i="2"/>
  <c r="BA148" i="2"/>
  <c r="AZ148" i="2"/>
  <c r="AY148" i="2"/>
  <c r="BA142" i="2"/>
  <c r="AZ142" i="2"/>
  <c r="AY142" i="2"/>
  <c r="AV153" i="2"/>
  <c r="AT153" i="2"/>
  <c r="AS153" i="2"/>
  <c r="AV152" i="2"/>
  <c r="AT152" i="2"/>
  <c r="AS152" i="2"/>
  <c r="AV151" i="2"/>
  <c r="AT151" i="2"/>
  <c r="AS151" i="2"/>
  <c r="AV150" i="2"/>
  <c r="AT150" i="2"/>
  <c r="AS150" i="2"/>
  <c r="AV149" i="2"/>
  <c r="AT149" i="2"/>
  <c r="AS149" i="2"/>
  <c r="AV148" i="2"/>
  <c r="AT148" i="2"/>
  <c r="AS148" i="2"/>
  <c r="AW144" i="2"/>
  <c r="AU142" i="2"/>
  <c r="AT142" i="2"/>
  <c r="AS142" i="2"/>
  <c r="AO153" i="2"/>
  <c r="AN153" i="2"/>
  <c r="AM153" i="2"/>
  <c r="AO152" i="2"/>
  <c r="AN152" i="2"/>
  <c r="AM152" i="2"/>
  <c r="AO151" i="2"/>
  <c r="AN151" i="2"/>
  <c r="AM151" i="2"/>
  <c r="AO150" i="2"/>
  <c r="AN150" i="2"/>
  <c r="AM150" i="2"/>
  <c r="AO149" i="2"/>
  <c r="AN149" i="2"/>
  <c r="AN148" i="2"/>
  <c r="AM149" i="2"/>
  <c r="AO148" i="2"/>
  <c r="AM148" i="2"/>
  <c r="AQ144" i="2"/>
  <c r="AO142" i="2"/>
  <c r="AN142" i="2"/>
  <c r="AM142" i="2"/>
  <c r="AJ153" i="2"/>
  <c r="AI153" i="2"/>
  <c r="AH153" i="2"/>
  <c r="AG153" i="2"/>
  <c r="AJ152" i="2"/>
  <c r="AI152" i="2"/>
  <c r="AH152" i="2"/>
  <c r="AG152" i="2"/>
  <c r="AJ151" i="2"/>
  <c r="AI151" i="2"/>
  <c r="AH151" i="2"/>
  <c r="AG151" i="2"/>
  <c r="AJ150" i="2"/>
  <c r="AJ148" i="2"/>
  <c r="AJ149" i="2"/>
  <c r="AI150" i="2"/>
  <c r="AH150" i="2"/>
  <c r="AG150" i="2"/>
  <c r="AI149" i="2"/>
  <c r="AH149" i="2"/>
  <c r="AG149" i="2"/>
  <c r="AG148" i="2"/>
  <c r="AI148" i="2"/>
  <c r="AH148" i="2"/>
  <c r="AK144" i="2"/>
  <c r="AI142" i="2"/>
  <c r="AH142" i="2"/>
  <c r="AG142" i="2"/>
  <c r="AD153" i="2"/>
  <c r="AC153" i="2"/>
  <c r="AB153" i="2"/>
  <c r="AA153" i="2"/>
  <c r="AD152" i="2"/>
  <c r="AC152" i="2"/>
  <c r="AB152" i="2"/>
  <c r="AA152" i="2"/>
  <c r="AD151" i="2"/>
  <c r="AC151" i="2"/>
  <c r="AB151" i="2"/>
  <c r="AA151" i="2"/>
  <c r="AD150" i="2"/>
  <c r="AD149" i="2"/>
  <c r="AD148" i="2"/>
  <c r="AC149" i="2"/>
  <c r="AB149" i="2"/>
  <c r="AA149" i="2"/>
  <c r="AC148" i="2"/>
  <c r="AB148" i="2"/>
  <c r="AA148" i="2"/>
  <c r="AE144" i="2"/>
  <c r="AC142" i="2"/>
  <c r="AB142" i="2"/>
  <c r="AA142" i="2"/>
  <c r="X153" i="2"/>
  <c r="W153" i="2"/>
  <c r="V153" i="2"/>
  <c r="U153" i="2"/>
  <c r="X152" i="2"/>
  <c r="W152" i="2"/>
  <c r="V152" i="2"/>
  <c r="U152" i="2"/>
  <c r="X151" i="2"/>
  <c r="W151" i="2"/>
  <c r="V151" i="2"/>
  <c r="U151" i="2"/>
  <c r="X149" i="2"/>
  <c r="W149" i="2"/>
  <c r="V149" i="2"/>
  <c r="U149" i="2"/>
  <c r="X148" i="2"/>
  <c r="W148" i="2"/>
  <c r="V148" i="2"/>
  <c r="U148" i="2"/>
  <c r="Y144" i="2"/>
  <c r="W142" i="2"/>
  <c r="V142" i="2"/>
  <c r="U142" i="2"/>
  <c r="R153" i="2"/>
  <c r="Q153" i="2"/>
  <c r="P153" i="2"/>
  <c r="O153" i="2"/>
  <c r="R152" i="2"/>
  <c r="Q152" i="2"/>
  <c r="P152" i="2"/>
  <c r="O152" i="2"/>
  <c r="R151" i="2"/>
  <c r="Q151" i="2"/>
  <c r="P151" i="2"/>
  <c r="O151" i="2"/>
  <c r="R149" i="2"/>
  <c r="Q149" i="2"/>
  <c r="P149" i="2"/>
  <c r="O149" i="2"/>
  <c r="R148" i="2"/>
  <c r="Q148" i="2"/>
  <c r="P148" i="2"/>
  <c r="O148" i="2"/>
  <c r="S144" i="2"/>
  <c r="Q142" i="2"/>
  <c r="P142" i="2"/>
  <c r="O142" i="2"/>
  <c r="L153" i="2"/>
  <c r="K153" i="2"/>
  <c r="J153" i="2"/>
  <c r="I153" i="2"/>
  <c r="L152" i="2"/>
  <c r="K152" i="2"/>
  <c r="J152" i="2"/>
  <c r="I152" i="2"/>
  <c r="L151" i="2"/>
  <c r="K151" i="2"/>
  <c r="J151" i="2"/>
  <c r="I151" i="2"/>
  <c r="L149" i="2"/>
  <c r="K149" i="2"/>
  <c r="J149" i="2"/>
  <c r="I149" i="2"/>
  <c r="L148" i="2"/>
  <c r="K148" i="2"/>
  <c r="J148" i="2"/>
  <c r="I148" i="2"/>
  <c r="M144" i="2"/>
  <c r="K142" i="2"/>
  <c r="J142" i="2"/>
  <c r="I142" i="2"/>
  <c r="BX133" i="2"/>
  <c r="BY130" i="2" s="1"/>
  <c r="BW133" i="2"/>
  <c r="BX130" i="2" s="1"/>
  <c r="CY132" i="2"/>
  <c r="CS132" i="2"/>
  <c r="CM132" i="2"/>
  <c r="G131" i="2"/>
  <c r="G132" i="2" s="1"/>
  <c r="CX131" i="2"/>
  <c r="CW131" i="2"/>
  <c r="CV131" i="2"/>
  <c r="CU131" i="2"/>
  <c r="CR131" i="2"/>
  <c r="CQ131" i="2"/>
  <c r="CP131" i="2"/>
  <c r="CO131" i="2"/>
  <c r="CL131" i="2"/>
  <c r="CK131" i="2"/>
  <c r="CJ131" i="2"/>
  <c r="CI131" i="2"/>
  <c r="BW131" i="2"/>
  <c r="BT133" i="2"/>
  <c r="BS133" i="2"/>
  <c r="BT130" i="2" s="1"/>
  <c r="BR133" i="2"/>
  <c r="BS130" i="2" s="1"/>
  <c r="BQ133" i="2"/>
  <c r="BR130" i="2" s="1"/>
  <c r="BQ131" i="2"/>
  <c r="BN133" i="2"/>
  <c r="BM133" i="2"/>
  <c r="BN130" i="2" s="1"/>
  <c r="BL133" i="2"/>
  <c r="BM130" i="2" s="1"/>
  <c r="BK133" i="2"/>
  <c r="BL130" i="2" s="1"/>
  <c r="BK131" i="2"/>
  <c r="BH133" i="2"/>
  <c r="BG133" i="2"/>
  <c r="BH130" i="2" s="1"/>
  <c r="BF133" i="2"/>
  <c r="BG130" i="2" s="1"/>
  <c r="BE133" i="2"/>
  <c r="BF130" i="2" s="1"/>
  <c r="BE131" i="2"/>
  <c r="BB133" i="2"/>
  <c r="BA133" i="2"/>
  <c r="BB130" i="2" s="1"/>
  <c r="AZ133" i="2"/>
  <c r="BA130" i="2" s="1"/>
  <c r="AY133" i="2"/>
  <c r="AZ130" i="2" s="1"/>
  <c r="AY131" i="2"/>
  <c r="AV133" i="2"/>
  <c r="AU133" i="2"/>
  <c r="AV130" i="2" s="1"/>
  <c r="AT133" i="2"/>
  <c r="AU130" i="2" s="1"/>
  <c r="AS133" i="2"/>
  <c r="AT130" i="2" s="1"/>
  <c r="AS131" i="2"/>
  <c r="AP133" i="2"/>
  <c r="AO133" i="2"/>
  <c r="AP130" i="2" s="1"/>
  <c r="AN133" i="2"/>
  <c r="AO130" i="2" s="1"/>
  <c r="AM133" i="2"/>
  <c r="AN130" i="2" s="1"/>
  <c r="AM131" i="2"/>
  <c r="AJ133" i="2"/>
  <c r="AI133" i="2"/>
  <c r="AJ130" i="2" s="1"/>
  <c r="AH133" i="2"/>
  <c r="AI130" i="2" s="1"/>
  <c r="AG133" i="2"/>
  <c r="AH130" i="2" s="1"/>
  <c r="AG131" i="2"/>
  <c r="AD133" i="2"/>
  <c r="AC133" i="2"/>
  <c r="AD130" i="2" s="1"/>
  <c r="AB133" i="2"/>
  <c r="AC130" i="2" s="1"/>
  <c r="AA133" i="2"/>
  <c r="AB130" i="2" s="1"/>
  <c r="AA131" i="2"/>
  <c r="X133" i="2"/>
  <c r="W133" i="2"/>
  <c r="X130" i="2" s="1"/>
  <c r="V133" i="2"/>
  <c r="W130" i="2" s="1"/>
  <c r="U133" i="2"/>
  <c r="V130" i="2" s="1"/>
  <c r="U131" i="2"/>
  <c r="R133" i="2"/>
  <c r="Q133" i="2"/>
  <c r="P133" i="2"/>
  <c r="Q130" i="2" s="1"/>
  <c r="O133" i="2"/>
  <c r="P130" i="2" s="1"/>
  <c r="O131" i="2"/>
  <c r="L133" i="2"/>
  <c r="K133" i="2"/>
  <c r="L130" i="2" s="1"/>
  <c r="J133" i="2"/>
  <c r="K130" i="2" s="1"/>
  <c r="I133" i="2"/>
  <c r="I131" i="2"/>
  <c r="M130" i="2"/>
  <c r="I130" i="2"/>
  <c r="G128" i="2"/>
  <c r="I123" i="2" s="1"/>
  <c r="I126" i="2" s="1"/>
  <c r="CX127" i="2"/>
  <c r="CW127" i="2"/>
  <c r="CU127" i="2"/>
  <c r="CV127" i="2"/>
  <c r="CR127" i="2"/>
  <c r="CQ127" i="2"/>
  <c r="CP127" i="2"/>
  <c r="CO127" i="2"/>
  <c r="CL127" i="2"/>
  <c r="CK127" i="2"/>
  <c r="CJ127" i="2"/>
  <c r="CI127" i="2"/>
  <c r="BX128" i="2"/>
  <c r="BY123" i="2" s="1"/>
  <c r="BW128" i="2"/>
  <c r="BT128" i="2"/>
  <c r="BS128" i="2"/>
  <c r="BT123" i="2" s="1"/>
  <c r="BR128" i="2"/>
  <c r="BQ128" i="2"/>
  <c r="BR123" i="2" s="1"/>
  <c r="BN128" i="2"/>
  <c r="BM128" i="2"/>
  <c r="BL128" i="2"/>
  <c r="BM123" i="2" s="1"/>
  <c r="BK128" i="2"/>
  <c r="BL123" i="2" s="1"/>
  <c r="BH128" i="2"/>
  <c r="BG128" i="2"/>
  <c r="BH123" i="2" s="1"/>
  <c r="BF128" i="2"/>
  <c r="BE128" i="2"/>
  <c r="BF123" i="2" s="1"/>
  <c r="BB128" i="2"/>
  <c r="BA128" i="2"/>
  <c r="BB123" i="2" s="1"/>
  <c r="AZ128" i="2"/>
  <c r="BA123" i="2" s="1"/>
  <c r="AY128" i="2"/>
  <c r="AZ123" i="2" s="1"/>
  <c r="AV128" i="2"/>
  <c r="AU128" i="2"/>
  <c r="AV123" i="2" s="1"/>
  <c r="AT128" i="2"/>
  <c r="AU123" i="2" s="1"/>
  <c r="AS128" i="2"/>
  <c r="AT123" i="2" s="1"/>
  <c r="AT126" i="2" s="1"/>
  <c r="AP128" i="2"/>
  <c r="AO128" i="2"/>
  <c r="AP123" i="2" s="1"/>
  <c r="AP125" i="2"/>
  <c r="AP19" i="1" s="1"/>
  <c r="AQ19" i="1" s="1"/>
  <c r="AN128" i="2"/>
  <c r="AM128" i="2"/>
  <c r="AN123" i="2" s="1"/>
  <c r="AN126" i="2" s="1"/>
  <c r="AJ128" i="2"/>
  <c r="AI128" i="2"/>
  <c r="AJ123" i="2" s="1"/>
  <c r="AH128" i="2"/>
  <c r="AG128" i="2"/>
  <c r="AH123" i="2" s="1"/>
  <c r="AH126" i="2" s="1"/>
  <c r="AD128" i="2"/>
  <c r="AC128" i="2"/>
  <c r="AD123" i="2" s="1"/>
  <c r="AB128" i="2"/>
  <c r="AC123" i="2" s="1"/>
  <c r="AA128" i="2"/>
  <c r="AB123" i="2" s="1"/>
  <c r="AB126" i="2" s="1"/>
  <c r="X128" i="2"/>
  <c r="W128" i="2"/>
  <c r="X123" i="2" s="1"/>
  <c r="V128" i="2"/>
  <c r="W123" i="2" s="1"/>
  <c r="U128" i="2"/>
  <c r="V123" i="2" s="1"/>
  <c r="R128" i="2"/>
  <c r="Q128" i="2"/>
  <c r="R123" i="2" s="1"/>
  <c r="R124" i="2"/>
  <c r="R125" i="2"/>
  <c r="R19" i="1" s="1"/>
  <c r="S19" i="1" s="1"/>
  <c r="P128" i="2"/>
  <c r="Q123" i="2" s="1"/>
  <c r="Q126" i="2" s="1"/>
  <c r="O128" i="2"/>
  <c r="P123" i="2" s="1"/>
  <c r="L128" i="2"/>
  <c r="K128" i="2"/>
  <c r="L123" i="2" s="1"/>
  <c r="J128" i="2"/>
  <c r="I128" i="2"/>
  <c r="J123" i="2" s="1"/>
  <c r="CU125" i="2"/>
  <c r="CO125" i="2"/>
  <c r="CP125" i="2" s="1"/>
  <c r="CQ125" i="2" s="1"/>
  <c r="CI125" i="2"/>
  <c r="BX124" i="2"/>
  <c r="BB125" i="2"/>
  <c r="AV125" i="2"/>
  <c r="AV19" i="1" s="1"/>
  <c r="AW19" i="1" s="1"/>
  <c r="AD125" i="2"/>
  <c r="X125" i="2"/>
  <c r="X19" i="1" s="1"/>
  <c r="Y19" i="1" s="1"/>
  <c r="L125" i="2"/>
  <c r="BA124" i="2"/>
  <c r="AZ124" i="2"/>
  <c r="BC124" i="2"/>
  <c r="AU124" i="2"/>
  <c r="AW124" i="2"/>
  <c r="AQ124" i="2"/>
  <c r="AI124" i="2"/>
  <c r="AC124" i="2"/>
  <c r="W124" i="2"/>
  <c r="Y124" i="2"/>
  <c r="M124" i="2"/>
  <c r="CX124" i="2"/>
  <c r="CU124" i="2"/>
  <c r="CV124" i="2"/>
  <c r="CW124" i="2"/>
  <c r="CR124" i="2"/>
  <c r="CQ124" i="2"/>
  <c r="CP124" i="2"/>
  <c r="CO124" i="2"/>
  <c r="CL124" i="2"/>
  <c r="CK124" i="2"/>
  <c r="CJ124" i="2"/>
  <c r="CI124" i="2"/>
  <c r="BR125" i="2"/>
  <c r="BR19" i="1" s="1"/>
  <c r="BR124" i="2"/>
  <c r="BS124" i="2" s="1"/>
  <c r="BT124" i="2" s="1"/>
  <c r="BL125" i="2"/>
  <c r="BL19" i="1" s="1"/>
  <c r="BL124" i="2"/>
  <c r="BM124" i="2" s="1"/>
  <c r="BN124" i="2" s="1"/>
  <c r="BF125" i="2"/>
  <c r="BF19" i="1" s="1"/>
  <c r="BF124" i="2"/>
  <c r="AJ125" i="2"/>
  <c r="AK125" i="2" s="1"/>
  <c r="AJ124" i="2"/>
  <c r="AK124" i="2"/>
  <c r="BX118" i="2"/>
  <c r="BW118" i="2"/>
  <c r="BT118" i="2"/>
  <c r="BS118" i="2"/>
  <c r="BR118" i="2"/>
  <c r="BQ118" i="2"/>
  <c r="BN118" i="2"/>
  <c r="BM118" i="2"/>
  <c r="BL118" i="2"/>
  <c r="BK118" i="2"/>
  <c r="BH118" i="2"/>
  <c r="BG118" i="2"/>
  <c r="BF118" i="2"/>
  <c r="BE118" i="2"/>
  <c r="BB118" i="2"/>
  <c r="BA118" i="2"/>
  <c r="AZ118" i="2"/>
  <c r="AY118" i="2"/>
  <c r="AV118" i="2"/>
  <c r="AU118" i="2"/>
  <c r="AT118" i="2"/>
  <c r="AS118" i="2"/>
  <c r="AP118" i="2"/>
  <c r="AO118" i="2"/>
  <c r="AN118" i="2"/>
  <c r="AM118" i="2"/>
  <c r="AJ118" i="2"/>
  <c r="AI118" i="2"/>
  <c r="AH118" i="2"/>
  <c r="AG118" i="2"/>
  <c r="AD118" i="2"/>
  <c r="AC118" i="2"/>
  <c r="AB118" i="2"/>
  <c r="AA118" i="2"/>
  <c r="X118" i="2"/>
  <c r="W118" i="2"/>
  <c r="V118" i="2"/>
  <c r="U118" i="2"/>
  <c r="R118" i="2"/>
  <c r="Q118" i="2"/>
  <c r="P118" i="2"/>
  <c r="O118" i="2"/>
  <c r="L118" i="2"/>
  <c r="K118" i="2"/>
  <c r="J118" i="2"/>
  <c r="I118" i="2"/>
  <c r="G118" i="2"/>
  <c r="BW113" i="2"/>
  <c r="M112" i="2"/>
  <c r="CY115" i="2"/>
  <c r="CS115" i="2"/>
  <c r="CM115" i="2"/>
  <c r="BQ113" i="2"/>
  <c r="BQ18" i="1" s="1"/>
  <c r="CJ114" i="2"/>
  <c r="CK114" i="2" s="1"/>
  <c r="CL114" i="2" s="1"/>
  <c r="CP114" i="2" s="1"/>
  <c r="CQ114" i="2" s="1"/>
  <c r="CR114" i="2" s="1"/>
  <c r="CU114" i="2" s="1"/>
  <c r="CV114" i="2" s="1"/>
  <c r="CW114" i="2" s="1"/>
  <c r="CX114" i="2" s="1"/>
  <c r="BR112" i="2"/>
  <c r="BK113" i="2"/>
  <c r="BK18" i="1" s="1"/>
  <c r="BK20" i="1" s="1"/>
  <c r="BE113" i="2"/>
  <c r="BE18" i="1" s="1"/>
  <c r="AY113" i="2"/>
  <c r="AS113" i="2"/>
  <c r="AM113" i="2"/>
  <c r="AM18" i="1" s="1"/>
  <c r="AG113" i="2"/>
  <c r="AG18" i="1" s="1"/>
  <c r="U113" i="2"/>
  <c r="I113" i="2"/>
  <c r="I18" i="1" s="1"/>
  <c r="I20" i="1" s="1"/>
  <c r="I112" i="2"/>
  <c r="BN110" i="2"/>
  <c r="AQ108" i="2"/>
  <c r="AK108" i="2"/>
  <c r="AE108" i="2"/>
  <c r="M108" i="2"/>
  <c r="M105" i="2"/>
  <c r="BO109" i="2"/>
  <c r="BO108" i="2"/>
  <c r="BI109" i="2"/>
  <c r="BI108" i="2"/>
  <c r="R108" i="2"/>
  <c r="S108" i="2" s="1"/>
  <c r="CL109" i="2"/>
  <c r="CK109" i="2"/>
  <c r="CJ109" i="2"/>
  <c r="CI109" i="2"/>
  <c r="CL108" i="2"/>
  <c r="CK108" i="2"/>
  <c r="CJ108" i="2"/>
  <c r="CI108" i="2"/>
  <c r="BU108" i="2"/>
  <c r="BU105" i="2"/>
  <c r="BA108" i="2"/>
  <c r="AU108" i="2"/>
  <c r="AW108" i="2" s="1"/>
  <c r="W108" i="2"/>
  <c r="CX109" i="2"/>
  <c r="CU109" i="2"/>
  <c r="CV109" i="2"/>
  <c r="CW109" i="2"/>
  <c r="CX108" i="2"/>
  <c r="CW108" i="2"/>
  <c r="CV108" i="2"/>
  <c r="CU108" i="2"/>
  <c r="CR109" i="2"/>
  <c r="CQ109" i="2"/>
  <c r="CP109" i="2"/>
  <c r="CO109" i="2"/>
  <c r="CR108" i="2"/>
  <c r="CQ108" i="2"/>
  <c r="CP108" i="2"/>
  <c r="CO108" i="2"/>
  <c r="CJ107" i="2"/>
  <c r="CK107" i="2" s="1"/>
  <c r="CL107" i="2" s="1"/>
  <c r="BQ106" i="2"/>
  <c r="BQ105" i="2"/>
  <c r="BK106" i="2"/>
  <c r="BK107" i="2" s="1"/>
  <c r="BE106" i="2"/>
  <c r="AY106" i="2"/>
  <c r="AY107" i="2" s="1"/>
  <c r="AS106" i="2"/>
  <c r="AS107" i="2" s="1"/>
  <c r="AM106" i="2"/>
  <c r="AM107" i="2" s="1"/>
  <c r="AG106" i="2"/>
  <c r="AG107" i="2" s="1"/>
  <c r="AA106" i="2"/>
  <c r="U106" i="2"/>
  <c r="U107" i="2" s="1"/>
  <c r="O106" i="2"/>
  <c r="O107" i="2" s="1"/>
  <c r="I106" i="2"/>
  <c r="I107" i="2" s="1"/>
  <c r="I105" i="2"/>
  <c r="CY100" i="2"/>
  <c r="CY98" i="2"/>
  <c r="CS100" i="2"/>
  <c r="CS98" i="2"/>
  <c r="CM100" i="2"/>
  <c r="CM98" i="2"/>
  <c r="BL99" i="2"/>
  <c r="BB99" i="2"/>
  <c r="BA99" i="2"/>
  <c r="AZ99" i="2"/>
  <c r="AV99" i="2"/>
  <c r="AU99" i="2"/>
  <c r="AT99" i="2"/>
  <c r="AP99" i="2"/>
  <c r="AO99" i="2"/>
  <c r="AN99" i="2"/>
  <c r="AJ99" i="2"/>
  <c r="AI99" i="2"/>
  <c r="AH99" i="2"/>
  <c r="AD99" i="2"/>
  <c r="AC99" i="2"/>
  <c r="AB99" i="2"/>
  <c r="X99" i="2"/>
  <c r="W99" i="2"/>
  <c r="V99" i="2"/>
  <c r="R99" i="2"/>
  <c r="Q99" i="2"/>
  <c r="P99" i="2"/>
  <c r="L99" i="2"/>
  <c r="K99" i="2"/>
  <c r="J99" i="2"/>
  <c r="I99" i="2"/>
  <c r="BU98" i="2"/>
  <c r="BO98" i="2"/>
  <c r="BI98" i="2"/>
  <c r="BC98" i="2"/>
  <c r="AW98" i="2"/>
  <c r="AQ98" i="2"/>
  <c r="AK98" i="2"/>
  <c r="AE98" i="2"/>
  <c r="Y98" i="2"/>
  <c r="S98" i="2"/>
  <c r="M98" i="2"/>
  <c r="BX96" i="2"/>
  <c r="BT96" i="2"/>
  <c r="BS96" i="2"/>
  <c r="BG96" i="2"/>
  <c r="BA96" i="2"/>
  <c r="AZ96" i="2"/>
  <c r="AV96" i="2"/>
  <c r="AU96" i="2"/>
  <c r="AT96" i="2"/>
  <c r="AP96" i="2"/>
  <c r="AO96" i="2"/>
  <c r="AN96" i="2"/>
  <c r="AJ96" i="2"/>
  <c r="AI96" i="2"/>
  <c r="AH96" i="2"/>
  <c r="AD96" i="2"/>
  <c r="AC96" i="2"/>
  <c r="AB96" i="2"/>
  <c r="X96" i="2"/>
  <c r="W96" i="2"/>
  <c r="V96" i="2"/>
  <c r="R96" i="2"/>
  <c r="Q96" i="2"/>
  <c r="P96" i="2"/>
  <c r="L96" i="2"/>
  <c r="K96" i="2"/>
  <c r="J96" i="2"/>
  <c r="I96" i="2"/>
  <c r="CL92" i="2"/>
  <c r="CR92" i="2" s="1"/>
  <c r="CX92" i="2" s="1"/>
  <c r="CR89" i="2"/>
  <c r="CX89" i="2" s="1"/>
  <c r="BX91" i="2"/>
  <c r="BW91" i="2"/>
  <c r="BX90" i="2"/>
  <c r="BW90" i="2"/>
  <c r="BX89" i="2"/>
  <c r="BW89" i="2"/>
  <c r="BT91" i="2"/>
  <c r="BS91" i="2"/>
  <c r="BR91" i="2"/>
  <c r="BS90" i="2"/>
  <c r="BR90" i="2"/>
  <c r="BT89" i="2"/>
  <c r="BS89" i="2"/>
  <c r="BR89" i="2"/>
  <c r="BE91" i="2"/>
  <c r="BE90" i="2"/>
  <c r="BE89" i="2"/>
  <c r="BA91" i="2"/>
  <c r="AZ91" i="2"/>
  <c r="AY91" i="2"/>
  <c r="BA90" i="2"/>
  <c r="AZ90" i="2"/>
  <c r="AY90" i="2"/>
  <c r="BA89" i="2"/>
  <c r="AZ89" i="2"/>
  <c r="AY89" i="2"/>
  <c r="AU91" i="2"/>
  <c r="AT91" i="2"/>
  <c r="AS91" i="2"/>
  <c r="AU90" i="2"/>
  <c r="AT90" i="2"/>
  <c r="AS90" i="2"/>
  <c r="AU89" i="2"/>
  <c r="AT89" i="2"/>
  <c r="AS89" i="2"/>
  <c r="AO91" i="2"/>
  <c r="AN91" i="2"/>
  <c r="AM91" i="2"/>
  <c r="AO90" i="2"/>
  <c r="AN90" i="2"/>
  <c r="AM90" i="2"/>
  <c r="AO89" i="2"/>
  <c r="AN89" i="2"/>
  <c r="AM89" i="2"/>
  <c r="AI91" i="2"/>
  <c r="AH91" i="2"/>
  <c r="AG91" i="2"/>
  <c r="AI90" i="2"/>
  <c r="AH90" i="2"/>
  <c r="AG90" i="2"/>
  <c r="AI89" i="2"/>
  <c r="AH89" i="2"/>
  <c r="AG89" i="2"/>
  <c r="AC91" i="2"/>
  <c r="AB91" i="2"/>
  <c r="AA91" i="2"/>
  <c r="AC90" i="2"/>
  <c r="AB90" i="2"/>
  <c r="AA90" i="2"/>
  <c r="W91" i="2"/>
  <c r="V91" i="2"/>
  <c r="U91" i="2"/>
  <c r="W90" i="2"/>
  <c r="V90" i="2"/>
  <c r="U90" i="2"/>
  <c r="Q91" i="2"/>
  <c r="P91" i="2"/>
  <c r="O91" i="2"/>
  <c r="Q90" i="2"/>
  <c r="P90" i="2"/>
  <c r="O90" i="2"/>
  <c r="K91" i="2"/>
  <c r="J91" i="2"/>
  <c r="I91" i="2"/>
  <c r="K90" i="2"/>
  <c r="J90" i="2"/>
  <c r="I90" i="2"/>
  <c r="BX79" i="2"/>
  <c r="BX78" i="2"/>
  <c r="BW77" i="2"/>
  <c r="BT77" i="2"/>
  <c r="BR77" i="2"/>
  <c r="BE77" i="2"/>
  <c r="BA77" i="2"/>
  <c r="AZ77" i="2"/>
  <c r="AY77" i="2"/>
  <c r="AU77" i="2"/>
  <c r="AT77" i="2"/>
  <c r="AS77" i="2"/>
  <c r="AO77" i="2"/>
  <c r="AN77" i="2"/>
  <c r="AM77" i="2"/>
  <c r="AI77" i="2"/>
  <c r="AH77" i="2"/>
  <c r="AG77" i="2"/>
  <c r="AC77" i="2"/>
  <c r="AB77" i="2"/>
  <c r="AA77" i="2"/>
  <c r="W77" i="2"/>
  <c r="V77" i="2"/>
  <c r="U77" i="2"/>
  <c r="Q77" i="2"/>
  <c r="P77" i="2"/>
  <c r="O77" i="2"/>
  <c r="K79" i="2"/>
  <c r="I79" i="2"/>
  <c r="K78" i="2"/>
  <c r="I78" i="2"/>
  <c r="K77" i="2"/>
  <c r="J77" i="2"/>
  <c r="I77" i="2"/>
  <c r="G55" i="2"/>
  <c r="BX55" i="2"/>
  <c r="BW55" i="2"/>
  <c r="BT55" i="2"/>
  <c r="BS55" i="2"/>
  <c r="BQ55" i="2"/>
  <c r="BN55" i="2"/>
  <c r="BM55" i="2"/>
  <c r="BL55" i="2"/>
  <c r="BK55" i="2"/>
  <c r="BH55" i="2"/>
  <c r="BG55" i="2"/>
  <c r="BF55" i="2"/>
  <c r="BB55" i="2"/>
  <c r="BA55" i="2"/>
  <c r="AZ55" i="2"/>
  <c r="AY55" i="2"/>
  <c r="AV55" i="2"/>
  <c r="AU55" i="2"/>
  <c r="AT55" i="2"/>
  <c r="AS55" i="2"/>
  <c r="AP55" i="2"/>
  <c r="AO55" i="2"/>
  <c r="AN55" i="2"/>
  <c r="AM55" i="2"/>
  <c r="AJ55" i="2"/>
  <c r="AI55" i="2"/>
  <c r="AH55" i="2"/>
  <c r="AG55" i="2"/>
  <c r="AD55" i="2"/>
  <c r="AC55" i="2"/>
  <c r="AB55" i="2"/>
  <c r="AA55" i="2"/>
  <c r="X55" i="2"/>
  <c r="W55" i="2"/>
  <c r="V55" i="2"/>
  <c r="U55" i="2"/>
  <c r="R55" i="2"/>
  <c r="Q55" i="2"/>
  <c r="P55" i="2"/>
  <c r="O55" i="2"/>
  <c r="L55" i="2"/>
  <c r="K55" i="2"/>
  <c r="J55" i="2"/>
  <c r="I55" i="2"/>
  <c r="BA49" i="2"/>
  <c r="BA195" i="2" s="1"/>
  <c r="AZ49" i="2"/>
  <c r="AZ68" i="2" s="1"/>
  <c r="AY49" i="2"/>
  <c r="AV49" i="2"/>
  <c r="AU49" i="2"/>
  <c r="AU195" i="2" s="1"/>
  <c r="AT49" i="2"/>
  <c r="AS49" i="2"/>
  <c r="AP49" i="2"/>
  <c r="AO49" i="2"/>
  <c r="AN49" i="2"/>
  <c r="AM49" i="2"/>
  <c r="AJ49" i="2"/>
  <c r="AI49" i="2"/>
  <c r="AH49" i="2"/>
  <c r="AG49" i="2"/>
  <c r="AD49" i="2"/>
  <c r="AC49" i="2"/>
  <c r="AB49" i="2"/>
  <c r="AB195" i="2" s="1"/>
  <c r="AA49" i="2"/>
  <c r="AA195" i="2" s="1"/>
  <c r="X49" i="2"/>
  <c r="W49" i="2"/>
  <c r="V49" i="2"/>
  <c r="V195" i="2" s="1"/>
  <c r="U49" i="2"/>
  <c r="U68" i="2" s="1"/>
  <c r="R49" i="2"/>
  <c r="Q49" i="2"/>
  <c r="Q195" i="2" s="1"/>
  <c r="P49" i="2"/>
  <c r="O49" i="2"/>
  <c r="O195" i="2" s="1"/>
  <c r="L49" i="2"/>
  <c r="K49" i="2"/>
  <c r="J49" i="2"/>
  <c r="I49" i="2"/>
  <c r="G49" i="2"/>
  <c r="BX48" i="2"/>
  <c r="BW48" i="2"/>
  <c r="BT48" i="2"/>
  <c r="BT49" i="2"/>
  <c r="BT195" i="2" s="1"/>
  <c r="BS48" i="2"/>
  <c r="BS49" i="2"/>
  <c r="BS195" i="2" s="1"/>
  <c r="BR48" i="2"/>
  <c r="BR99" i="2"/>
  <c r="BO48" i="2"/>
  <c r="BQ99" i="2" s="1"/>
  <c r="BO47" i="2"/>
  <c r="BO45" i="2"/>
  <c r="BM48" i="2"/>
  <c r="BM49" i="2"/>
  <c r="BM195" i="2" s="1"/>
  <c r="BI48" i="2"/>
  <c r="BK99" i="2" s="1"/>
  <c r="BI47" i="2"/>
  <c r="BI45" i="2"/>
  <c r="BG48" i="2"/>
  <c r="BF48" i="2"/>
  <c r="BC48" i="2"/>
  <c r="BE99" i="2" s="1"/>
  <c r="BC47" i="2"/>
  <c r="BC45" i="2"/>
  <c r="AW48" i="2"/>
  <c r="AY99" i="2" s="1"/>
  <c r="AW47" i="2"/>
  <c r="AW46" i="2"/>
  <c r="AW45" i="2"/>
  <c r="AQ48" i="2"/>
  <c r="AS99" i="2" s="1"/>
  <c r="AQ47" i="2"/>
  <c r="AQ46" i="2"/>
  <c r="AQ45" i="2"/>
  <c r="AK48" i="2"/>
  <c r="AM99" i="2" s="1"/>
  <c r="AK47" i="2"/>
  <c r="AK46" i="2"/>
  <c r="AK45" i="2"/>
  <c r="AE48" i="2"/>
  <c r="AG99" i="2" s="1"/>
  <c r="AE47" i="2"/>
  <c r="AE46" i="2"/>
  <c r="AE45" i="2"/>
  <c r="Y48" i="2"/>
  <c r="AA99" i="2" s="1"/>
  <c r="Y47" i="2"/>
  <c r="Y46" i="2"/>
  <c r="Y45" i="2"/>
  <c r="S48" i="2"/>
  <c r="U99" i="2" s="1"/>
  <c r="S47" i="2"/>
  <c r="S46" i="2"/>
  <c r="S45" i="2"/>
  <c r="M48" i="2"/>
  <c r="O99" i="2" s="1"/>
  <c r="M47" i="2"/>
  <c r="M46" i="2"/>
  <c r="M45" i="2"/>
  <c r="BU47" i="2"/>
  <c r="BU46" i="2"/>
  <c r="BU45" i="2"/>
  <c r="BQ46" i="2"/>
  <c r="BN46" i="2"/>
  <c r="BO46" i="2"/>
  <c r="BQ96" i="2" s="1"/>
  <c r="BL46" i="2"/>
  <c r="BL49" i="2"/>
  <c r="BK46" i="2"/>
  <c r="BK49" i="2"/>
  <c r="BK195" i="2" s="1"/>
  <c r="BH46" i="2"/>
  <c r="BE46" i="2"/>
  <c r="BB46" i="2"/>
  <c r="BB49" i="2"/>
  <c r="CA43" i="2"/>
  <c r="CA193" i="2" s="1"/>
  <c r="BU43" i="2"/>
  <c r="BU193" i="2" s="1"/>
  <c r="BO43" i="2"/>
  <c r="BO193" i="2" s="1"/>
  <c r="BI43" i="2"/>
  <c r="BI193" i="2" s="1"/>
  <c r="BC43" i="2"/>
  <c r="BC193" i="2" s="1"/>
  <c r="AW43" i="2"/>
  <c r="AW193" i="2" s="1"/>
  <c r="AQ43" i="2"/>
  <c r="AQ193" i="2" s="1"/>
  <c r="AJ43" i="2"/>
  <c r="AE43" i="2"/>
  <c r="AE193" i="2" s="1"/>
  <c r="Y43" i="2"/>
  <c r="Y193" i="2" s="1"/>
  <c r="S43" i="2"/>
  <c r="S193" i="2" s="1"/>
  <c r="M43" i="2"/>
  <c r="M193" i="2" s="1"/>
  <c r="G40" i="2"/>
  <c r="G158" i="2"/>
  <c r="G157" i="2"/>
  <c r="BU40" i="2"/>
  <c r="BU190" i="2" s="1"/>
  <c r="BU39" i="2"/>
  <c r="BU38" i="2"/>
  <c r="BO40" i="2"/>
  <c r="BO190" i="2" s="1"/>
  <c r="BO39" i="2"/>
  <c r="BO38" i="2"/>
  <c r="BI40" i="2"/>
  <c r="BI190" i="2" s="1"/>
  <c r="BI39" i="2"/>
  <c r="BI38" i="2"/>
  <c r="BC40" i="2"/>
  <c r="BC39" i="2"/>
  <c r="BC38" i="2"/>
  <c r="AW40" i="2"/>
  <c r="AW190" i="2" s="1"/>
  <c r="AW39" i="2"/>
  <c r="AW38" i="2"/>
  <c r="AQ40" i="2"/>
  <c r="AQ190" i="2" s="1"/>
  <c r="AQ39" i="2"/>
  <c r="AQ38" i="2"/>
  <c r="AO40" i="2"/>
  <c r="AN40" i="2"/>
  <c r="AM40" i="2"/>
  <c r="AJ40" i="2"/>
  <c r="AI40" i="2"/>
  <c r="AH40" i="2"/>
  <c r="AG40" i="2"/>
  <c r="AD40" i="2"/>
  <c r="AC40" i="2"/>
  <c r="AB40" i="2"/>
  <c r="AA40" i="2"/>
  <c r="X40" i="2"/>
  <c r="W40" i="2"/>
  <c r="V40" i="2"/>
  <c r="U40" i="2"/>
  <c r="R40" i="2"/>
  <c r="Q40" i="2"/>
  <c r="P40" i="2"/>
  <c r="O40" i="2"/>
  <c r="O158" i="2"/>
  <c r="L40" i="2"/>
  <c r="K40" i="2"/>
  <c r="J40" i="2"/>
  <c r="I40" i="2"/>
  <c r="AK39" i="2"/>
  <c r="AK38" i="2"/>
  <c r="AE39" i="2"/>
  <c r="AE38" i="2"/>
  <c r="Y39" i="2"/>
  <c r="Y38" i="2"/>
  <c r="S39" i="2"/>
  <c r="S38" i="2"/>
  <c r="S33" i="2"/>
  <c r="S31" i="2"/>
  <c r="M39" i="2"/>
  <c r="M38" i="2"/>
  <c r="BX35" i="2"/>
  <c r="BX41" i="2" s="1"/>
  <c r="BW35" i="2"/>
  <c r="BT35" i="2"/>
  <c r="BT41" i="2" s="1"/>
  <c r="BS35" i="2"/>
  <c r="BQ35" i="2"/>
  <c r="BN35" i="2"/>
  <c r="BM35" i="2"/>
  <c r="BM41" i="2" s="1"/>
  <c r="BL35" i="2"/>
  <c r="BK35" i="2"/>
  <c r="BK41" i="2" s="1"/>
  <c r="BK51" i="2" s="1"/>
  <c r="BH35" i="2"/>
  <c r="BG35" i="2"/>
  <c r="BF35" i="2"/>
  <c r="BB35" i="2"/>
  <c r="BA35" i="2"/>
  <c r="AX35" i="2"/>
  <c r="AU35" i="2"/>
  <c r="AU41" i="2" s="1"/>
  <c r="AT35" i="2"/>
  <c r="AS35" i="2"/>
  <c r="AP35" i="2"/>
  <c r="BU34" i="2"/>
  <c r="BU33" i="2"/>
  <c r="BU32" i="2"/>
  <c r="BU31" i="2"/>
  <c r="BU30" i="2"/>
  <c r="BU29" i="2"/>
  <c r="BO34" i="2"/>
  <c r="BO33" i="2"/>
  <c r="BO32" i="2"/>
  <c r="BO31" i="2"/>
  <c r="BO30" i="2"/>
  <c r="BO29" i="2"/>
  <c r="BO79" i="2" s="1"/>
  <c r="BI34" i="2"/>
  <c r="BI91" i="2" s="1"/>
  <c r="BI33" i="2"/>
  <c r="BI32" i="2"/>
  <c r="BI31" i="2"/>
  <c r="BI30" i="2"/>
  <c r="BI29" i="2"/>
  <c r="BC34" i="2"/>
  <c r="BC33" i="2"/>
  <c r="BC32" i="2"/>
  <c r="BC31" i="2"/>
  <c r="BE31" i="2" s="1"/>
  <c r="BE188" i="2" s="1"/>
  <c r="BC30" i="2"/>
  <c r="BC29" i="2"/>
  <c r="BC79" i="2" s="1"/>
  <c r="AW34" i="2"/>
  <c r="AW91" i="2" s="1"/>
  <c r="AW33" i="2"/>
  <c r="AW32" i="2"/>
  <c r="AW31" i="2"/>
  <c r="AW29" i="2"/>
  <c r="AQ34" i="2"/>
  <c r="AQ33" i="2"/>
  <c r="AQ32" i="2"/>
  <c r="AQ30" i="2"/>
  <c r="AQ31" i="2"/>
  <c r="AQ29" i="2"/>
  <c r="AK34" i="2"/>
  <c r="AK33" i="2"/>
  <c r="AK32" i="2"/>
  <c r="AK31" i="2"/>
  <c r="AK29" i="2"/>
  <c r="AK156" i="2" s="1"/>
  <c r="AE34" i="2"/>
  <c r="AE33" i="2"/>
  <c r="AE32" i="2"/>
  <c r="AE31" i="2"/>
  <c r="AE29" i="2"/>
  <c r="AE156" i="2" s="1"/>
  <c r="Y34" i="2"/>
  <c r="Y33" i="2"/>
  <c r="Y32" i="2"/>
  <c r="Y31" i="2"/>
  <c r="Y29" i="2"/>
  <c r="S34" i="2"/>
  <c r="S32" i="2"/>
  <c r="S29" i="2"/>
  <c r="S156" i="2" s="1"/>
  <c r="M34" i="2"/>
  <c r="M33" i="2"/>
  <c r="M32" i="2"/>
  <c r="M31" i="2"/>
  <c r="M29" i="2"/>
  <c r="M156" i="2" s="1"/>
  <c r="BR33" i="2"/>
  <c r="BR55" i="2" s="1"/>
  <c r="AZ30" i="2"/>
  <c r="AY30" i="2"/>
  <c r="AV30" i="2"/>
  <c r="AO30" i="2"/>
  <c r="AN30" i="2"/>
  <c r="AM30" i="2"/>
  <c r="AJ30" i="2"/>
  <c r="AK30" i="2"/>
  <c r="AI30" i="2"/>
  <c r="AH30" i="2"/>
  <c r="AG30" i="2"/>
  <c r="AD30" i="2"/>
  <c r="AC30" i="2"/>
  <c r="AB30" i="2"/>
  <c r="AA30" i="2"/>
  <c r="X30" i="2"/>
  <c r="W30" i="2"/>
  <c r="W35" i="2"/>
  <c r="W41" i="2" s="1"/>
  <c r="V30" i="2"/>
  <c r="U30" i="2"/>
  <c r="R30" i="2"/>
  <c r="Q30" i="2"/>
  <c r="P30" i="2"/>
  <c r="O30" i="2"/>
  <c r="L30" i="2"/>
  <c r="K30" i="2"/>
  <c r="J30" i="2"/>
  <c r="I30" i="2"/>
  <c r="G30" i="2"/>
  <c r="G25" i="2"/>
  <c r="BX25" i="2"/>
  <c r="BW25" i="2"/>
  <c r="BT25" i="2"/>
  <c r="BS25" i="2"/>
  <c r="BR25" i="2"/>
  <c r="BQ25" i="2"/>
  <c r="BN25" i="2"/>
  <c r="BM25" i="2"/>
  <c r="BL25" i="2"/>
  <c r="BK25" i="2"/>
  <c r="BH25" i="2"/>
  <c r="BG25" i="2"/>
  <c r="BF25" i="2"/>
  <c r="BE25" i="2"/>
  <c r="BB25" i="2"/>
  <c r="BA25" i="2"/>
  <c r="AZ25" i="2"/>
  <c r="AY25" i="2"/>
  <c r="AV25" i="2"/>
  <c r="AU25" i="2"/>
  <c r="AT25" i="2"/>
  <c r="AS25" i="2"/>
  <c r="AP25" i="2"/>
  <c r="AO25" i="2"/>
  <c r="AN25" i="2"/>
  <c r="AM25" i="2"/>
  <c r="AJ25" i="2"/>
  <c r="AI25" i="2"/>
  <c r="AH25" i="2"/>
  <c r="AG25" i="2"/>
  <c r="AD25" i="2"/>
  <c r="AC25" i="2"/>
  <c r="AB25" i="2"/>
  <c r="AA25" i="2"/>
  <c r="X25" i="2"/>
  <c r="W25" i="2"/>
  <c r="V25" i="2"/>
  <c r="U25" i="2"/>
  <c r="R25" i="2"/>
  <c r="Q25" i="2"/>
  <c r="P25" i="2"/>
  <c r="O25" i="2"/>
  <c r="L25" i="2"/>
  <c r="K25" i="2"/>
  <c r="J25" i="2"/>
  <c r="I25" i="2"/>
  <c r="BU24" i="2"/>
  <c r="BU23" i="2"/>
  <c r="BU22" i="2"/>
  <c r="BU21" i="2"/>
  <c r="BU20" i="2"/>
  <c r="BO24" i="2"/>
  <c r="BO23" i="2"/>
  <c r="BO22" i="2"/>
  <c r="BO128" i="2" s="1"/>
  <c r="BO21" i="2"/>
  <c r="BO200" i="2" s="1"/>
  <c r="BO20" i="2"/>
  <c r="BI24" i="2"/>
  <c r="BI23" i="2"/>
  <c r="BI22" i="2"/>
  <c r="BI128" i="2" s="1"/>
  <c r="BI21" i="2"/>
  <c r="BI133" i="2" s="1"/>
  <c r="BI20" i="2"/>
  <c r="BC24" i="2"/>
  <c r="BC23" i="2"/>
  <c r="BC22" i="2"/>
  <c r="BC128" i="2" s="1"/>
  <c r="BE123" i="2" s="1"/>
  <c r="BE126" i="2" s="1"/>
  <c r="BC21" i="2"/>
  <c r="BC200" i="2" s="1"/>
  <c r="BC20" i="2"/>
  <c r="BC118" i="2" s="1"/>
  <c r="AW24" i="2"/>
  <c r="AW23" i="2"/>
  <c r="AW22" i="2"/>
  <c r="AW128" i="2" s="1"/>
  <c r="AW21" i="2"/>
  <c r="AW200" i="2" s="1"/>
  <c r="AW20" i="2"/>
  <c r="AQ24" i="2"/>
  <c r="AQ23" i="2"/>
  <c r="AQ22" i="2"/>
  <c r="AQ128" i="2" s="1"/>
  <c r="AS123" i="2" s="1"/>
  <c r="AQ21" i="2"/>
  <c r="AQ200" i="2" s="1"/>
  <c r="AQ20" i="2"/>
  <c r="AQ151" i="2" s="1"/>
  <c r="AK24" i="2"/>
  <c r="AK23" i="2"/>
  <c r="AK22" i="2"/>
  <c r="AK21" i="2"/>
  <c r="AK20" i="2"/>
  <c r="AK151" i="2" s="1"/>
  <c r="AE24" i="2"/>
  <c r="AE23" i="2"/>
  <c r="AE22" i="2"/>
  <c r="AE21" i="2"/>
  <c r="AE20" i="2"/>
  <c r="Y24" i="2"/>
  <c r="Y23" i="2"/>
  <c r="Y22" i="2"/>
  <c r="Y128" i="2" s="1"/>
  <c r="Y21" i="2"/>
  <c r="Y200" i="2" s="1"/>
  <c r="Y20" i="2"/>
  <c r="Y151" i="2" s="1"/>
  <c r="S24" i="2"/>
  <c r="S23" i="2"/>
  <c r="S22" i="2"/>
  <c r="S128" i="2" s="1"/>
  <c r="S21" i="2"/>
  <c r="S200" i="2" s="1"/>
  <c r="S20" i="2"/>
  <c r="S151" i="2" s="1"/>
  <c r="M24" i="2"/>
  <c r="M23" i="2"/>
  <c r="M22" i="2"/>
  <c r="M128" i="2" s="1"/>
  <c r="M21" i="2"/>
  <c r="M20" i="2"/>
  <c r="M151" i="2" s="1"/>
  <c r="AL17" i="2"/>
  <c r="N17" i="2"/>
  <c r="BU16" i="2"/>
  <c r="BU15" i="2"/>
  <c r="BU89" i="2" s="1"/>
  <c r="BU14" i="2"/>
  <c r="BU13" i="2"/>
  <c r="BU12" i="2"/>
  <c r="BU148" i="2" s="1"/>
  <c r="BU11" i="2"/>
  <c r="BU199" i="2" s="1"/>
  <c r="BO16" i="2"/>
  <c r="BO15" i="2"/>
  <c r="BO89" i="2" s="1"/>
  <c r="BO14" i="2"/>
  <c r="BO149" i="2" s="1"/>
  <c r="BO13" i="2"/>
  <c r="BO12" i="2"/>
  <c r="BO11" i="2"/>
  <c r="BO199" i="2" s="1"/>
  <c r="BI16" i="2"/>
  <c r="BI15" i="2"/>
  <c r="BI89" i="2" s="1"/>
  <c r="BI14" i="2"/>
  <c r="BI13" i="2"/>
  <c r="BI12" i="2"/>
  <c r="BI11" i="2"/>
  <c r="BI199" i="2" s="1"/>
  <c r="BC16" i="2"/>
  <c r="BC15" i="2"/>
  <c r="BC89" i="2" s="1"/>
  <c r="BC13" i="2"/>
  <c r="BC14" i="2"/>
  <c r="BC12" i="2"/>
  <c r="BC11" i="2"/>
  <c r="BC199" i="2" s="1"/>
  <c r="AW16" i="2"/>
  <c r="AW90" i="2" s="1"/>
  <c r="AW15" i="2"/>
  <c r="AW89" i="2" s="1"/>
  <c r="AW13" i="2"/>
  <c r="AW14" i="2"/>
  <c r="AW12" i="2"/>
  <c r="AW148" i="2" s="1"/>
  <c r="AW11" i="2"/>
  <c r="AW199" i="2" s="1"/>
  <c r="AQ16" i="2"/>
  <c r="AQ15" i="2"/>
  <c r="AQ13" i="2"/>
  <c r="AQ14" i="2"/>
  <c r="AQ78" i="2" s="1"/>
  <c r="AQ12" i="2"/>
  <c r="AQ148" i="2" s="1"/>
  <c r="AQ11" i="2"/>
  <c r="AQ199" i="2" s="1"/>
  <c r="AK16" i="2"/>
  <c r="AK15" i="2"/>
  <c r="AK13" i="2"/>
  <c r="AK14" i="2"/>
  <c r="AK12" i="2"/>
  <c r="AK148" i="2" s="1"/>
  <c r="AK11" i="2"/>
  <c r="AK199" i="2" s="1"/>
  <c r="AE16" i="2"/>
  <c r="AE15" i="2"/>
  <c r="AE13" i="2"/>
  <c r="AE14" i="2"/>
  <c r="AE149" i="2" s="1"/>
  <c r="AE12" i="2"/>
  <c r="AE11" i="2"/>
  <c r="AE199" i="2" s="1"/>
  <c r="Y16" i="2"/>
  <c r="Y14" i="2"/>
  <c r="Y149" i="2" s="1"/>
  <c r="Y13" i="2"/>
  <c r="Y12" i="2"/>
  <c r="Y77" i="2" s="1"/>
  <c r="Y11" i="2"/>
  <c r="Y199" i="2" s="1"/>
  <c r="S16" i="2"/>
  <c r="S14" i="2"/>
  <c r="S149" i="2" s="1"/>
  <c r="S13" i="2"/>
  <c r="S12" i="2"/>
  <c r="S148" i="2" s="1"/>
  <c r="S11" i="2"/>
  <c r="S199" i="2" s="1"/>
  <c r="M16" i="2"/>
  <c r="M14" i="2"/>
  <c r="M149" i="2" s="1"/>
  <c r="M13" i="2"/>
  <c r="M12" i="2"/>
  <c r="M148" i="2" s="1"/>
  <c r="M11" i="2"/>
  <c r="M199" i="2" s="1"/>
  <c r="AC15" i="2"/>
  <c r="AB15" i="2"/>
  <c r="AA15" i="2"/>
  <c r="X15" i="2"/>
  <c r="W15" i="2"/>
  <c r="V15" i="2"/>
  <c r="U15" i="2"/>
  <c r="R15" i="2"/>
  <c r="Q15" i="2"/>
  <c r="P15" i="2"/>
  <c r="O15" i="2"/>
  <c r="L15" i="2"/>
  <c r="K15" i="2"/>
  <c r="J15" i="2"/>
  <c r="I15" i="2"/>
  <c r="G15" i="2"/>
  <c r="BS12" i="2"/>
  <c r="BS148" i="2"/>
  <c r="BS11" i="2"/>
  <c r="P11" i="2"/>
  <c r="BR11" i="2"/>
  <c r="BQ11" i="2"/>
  <c r="D7" i="2"/>
  <c r="E7" i="2" s="1"/>
  <c r="F7" i="2" s="1"/>
  <c r="I7" i="2" s="1"/>
  <c r="J7" i="2" s="1"/>
  <c r="K7" i="2" s="1"/>
  <c r="L7" i="2" s="1"/>
  <c r="O7" i="2" s="1"/>
  <c r="P7" i="2" s="1"/>
  <c r="Q7" i="2" s="1"/>
  <c r="R7" i="2" s="1"/>
  <c r="U7" i="2" s="1"/>
  <c r="V7" i="2" s="1"/>
  <c r="W7" i="2" s="1"/>
  <c r="X7" i="2" s="1"/>
  <c r="AA7" i="2" s="1"/>
  <c r="AB7" i="2" s="1"/>
  <c r="AC7" i="2" s="1"/>
  <c r="AD7" i="2" s="1"/>
  <c r="AG7" i="2" s="1"/>
  <c r="AH7" i="2" s="1"/>
  <c r="AI7" i="2" s="1"/>
  <c r="AJ7" i="2" s="1"/>
  <c r="AM7" i="2" s="1"/>
  <c r="AN7" i="2" s="1"/>
  <c r="AO7" i="2" s="1"/>
  <c r="AP7" i="2" s="1"/>
  <c r="AS7" i="2" s="1"/>
  <c r="AT7" i="2" s="1"/>
  <c r="AU7" i="2" s="1"/>
  <c r="AV7" i="2" s="1"/>
  <c r="AY7" i="2" s="1"/>
  <c r="AZ7" i="2" s="1"/>
  <c r="BA7" i="2" s="1"/>
  <c r="BB7" i="2" s="1"/>
  <c r="BE7" i="2" s="1"/>
  <c r="BF7" i="2" s="1"/>
  <c r="BG7" i="2" s="1"/>
  <c r="BH7" i="2" s="1"/>
  <c r="BK7" i="2" s="1"/>
  <c r="BL7" i="2" s="1"/>
  <c r="BM7" i="2" s="1"/>
  <c r="BN7" i="2" s="1"/>
  <c r="BQ7" i="2" s="1"/>
  <c r="BR7" i="2" s="1"/>
  <c r="BS7" i="2" s="1"/>
  <c r="BT7" i="2" s="1"/>
  <c r="BW7" i="2" s="1"/>
  <c r="BX7" i="2" s="1"/>
  <c r="BY7" i="2" s="1"/>
  <c r="BZ7" i="2" s="1"/>
  <c r="CC7" i="2" s="1"/>
  <c r="CD7" i="2" s="1"/>
  <c r="CE7" i="2" s="1"/>
  <c r="CF7" i="2" s="1"/>
  <c r="CI7" i="2" s="1"/>
  <c r="CJ7" i="2" s="1"/>
  <c r="CK7" i="2" s="1"/>
  <c r="CL7" i="2" s="1"/>
  <c r="CO7" i="2" s="1"/>
  <c r="CP7" i="2" s="1"/>
  <c r="CQ7" i="2" s="1"/>
  <c r="CR7" i="2" s="1"/>
  <c r="CU7" i="2" s="1"/>
  <c r="CV7" i="2" s="1"/>
  <c r="CW7" i="2" s="1"/>
  <c r="CX7" i="2" s="1"/>
  <c r="AA6" i="2"/>
  <c r="AG6" i="2" s="1"/>
  <c r="AM6" i="2" s="1"/>
  <c r="AS6" i="2" s="1"/>
  <c r="AY6" i="2" s="1"/>
  <c r="BE6" i="2" s="1"/>
  <c r="BK6" i="2" s="1"/>
  <c r="BQ6" i="2" s="1"/>
  <c r="BW6" i="2" s="1"/>
  <c r="CC6" i="2" s="1"/>
  <c r="CI6" i="2" s="1"/>
  <c r="CO6" i="2" s="1"/>
  <c r="CU6" i="2" s="1"/>
  <c r="M6" i="2"/>
  <c r="S6" i="2" s="1"/>
  <c r="Y6" i="2" s="1"/>
  <c r="AE6" i="2" s="1"/>
  <c r="AK6" i="2" s="1"/>
  <c r="AQ6" i="2" s="1"/>
  <c r="AW6" i="2" s="1"/>
  <c r="BC6" i="2" s="1"/>
  <c r="BI6" i="2" s="1"/>
  <c r="BO6" i="2" s="1"/>
  <c r="BU6" i="2" s="1"/>
  <c r="CA6" i="2" s="1"/>
  <c r="CG6" i="2" s="1"/>
  <c r="CM6" i="2" s="1"/>
  <c r="CS6" i="2" s="1"/>
  <c r="CY6" i="2" s="1"/>
  <c r="BS75" i="4"/>
  <c r="BR75" i="4"/>
  <c r="BR98" i="51" s="1"/>
  <c r="AP75" i="4"/>
  <c r="AO75" i="4"/>
  <c r="AO73" i="4" s="1"/>
  <c r="AN75" i="4"/>
  <c r="AN73" i="4"/>
  <c r="AM75" i="4"/>
  <c r="AM73" i="4" s="1"/>
  <c r="AS73" i="4"/>
  <c r="AJ75" i="4"/>
  <c r="AI75" i="4"/>
  <c r="AI73" i="4" s="1"/>
  <c r="AH75" i="4"/>
  <c r="AH73" i="4"/>
  <c r="AG75" i="4"/>
  <c r="AG73" i="4" s="1"/>
  <c r="AD75" i="4"/>
  <c r="AC75" i="4"/>
  <c r="AC73" i="4"/>
  <c r="AB75" i="4"/>
  <c r="AB73" i="4" s="1"/>
  <c r="AA75" i="4"/>
  <c r="AA73" i="4" s="1"/>
  <c r="BW73" i="4"/>
  <c r="CC74" i="4" s="1"/>
  <c r="BY75" i="4"/>
  <c r="BY98" i="51" s="1"/>
  <c r="BX75" i="4"/>
  <c r="BX73" i="4" s="1"/>
  <c r="CD74" i="4" s="1"/>
  <c r="BT73" i="4"/>
  <c r="BZ74" i="4" s="1"/>
  <c r="BI75" i="4"/>
  <c r="BI73" i="4" s="1"/>
  <c r="BE73" i="4"/>
  <c r="AY73" i="4"/>
  <c r="BA73" i="4"/>
  <c r="AZ73" i="4"/>
  <c r="AU73" i="4"/>
  <c r="AT73" i="4"/>
  <c r="BR72" i="4"/>
  <c r="BR99" i="51" s="1"/>
  <c r="BR69" i="4"/>
  <c r="BR100" i="51" s="1"/>
  <c r="BQ69" i="4"/>
  <c r="BQ100" i="51" s="1"/>
  <c r="BY70" i="4"/>
  <c r="CE71" i="4" s="1"/>
  <c r="BX70" i="4"/>
  <c r="CD71" i="4" s="1"/>
  <c r="BW70" i="4"/>
  <c r="CC71" i="4" s="1"/>
  <c r="BT70" i="4"/>
  <c r="BZ71" i="4" s="1"/>
  <c r="BT67" i="4"/>
  <c r="BZ68" i="4" s="1"/>
  <c r="BS70" i="4"/>
  <c r="BE70" i="4"/>
  <c r="BA70" i="4"/>
  <c r="AZ70" i="4"/>
  <c r="AY70" i="4"/>
  <c r="AU70" i="4"/>
  <c r="AT70" i="4"/>
  <c r="AS70" i="4"/>
  <c r="AO70" i="4"/>
  <c r="AN70" i="4"/>
  <c r="AM70" i="4"/>
  <c r="AI70" i="4"/>
  <c r="AH70" i="4"/>
  <c r="AG70" i="4"/>
  <c r="AC70" i="4"/>
  <c r="AB70" i="4"/>
  <c r="AA70" i="4"/>
  <c r="BE69" i="4"/>
  <c r="BE100" i="51" s="1"/>
  <c r="BB69" i="4"/>
  <c r="BB100" i="51" s="1"/>
  <c r="AY69" i="4"/>
  <c r="AY100" i="51" s="1"/>
  <c r="AU69" i="4"/>
  <c r="AU100" i="51" s="1"/>
  <c r="BY67" i="4"/>
  <c r="CE68" i="4" s="1"/>
  <c r="BX67" i="4"/>
  <c r="CD68" i="4" s="1"/>
  <c r="BW67" i="4"/>
  <c r="CC68" i="4" s="1"/>
  <c r="BS67" i="4"/>
  <c r="BM69" i="4"/>
  <c r="BM100" i="51" s="1"/>
  <c r="BL69" i="4"/>
  <c r="BL100" i="51" s="1"/>
  <c r="BK69" i="4"/>
  <c r="BK100" i="51" s="1"/>
  <c r="BA67" i="4"/>
  <c r="AZ67" i="4"/>
  <c r="AT67" i="4"/>
  <c r="AS67" i="4"/>
  <c r="AO67" i="4"/>
  <c r="AN67" i="4"/>
  <c r="AM67" i="4"/>
  <c r="AI67" i="4"/>
  <c r="AH67" i="4"/>
  <c r="AG67" i="4"/>
  <c r="AC67" i="4"/>
  <c r="AB67" i="4"/>
  <c r="AA67" i="4"/>
  <c r="AL62" i="4"/>
  <c r="AL61" i="4"/>
  <c r="AL59" i="4"/>
  <c r="AL60" i="4" s="1"/>
  <c r="CX344" i="73"/>
  <c r="CU250" i="73"/>
  <c r="CU56" i="4"/>
  <c r="CR120" i="73"/>
  <c r="CO344" i="73"/>
  <c r="CO56" i="4"/>
  <c r="CI56" i="4"/>
  <c r="CU52" i="4"/>
  <c r="CO52" i="4"/>
  <c r="CO50" i="4"/>
  <c r="CI50" i="4"/>
  <c r="CV56" i="4"/>
  <c r="BM56" i="4"/>
  <c r="AZ56" i="4"/>
  <c r="AZ19" i="51" s="1"/>
  <c r="AY56" i="4"/>
  <c r="AQ56" i="4"/>
  <c r="AP56" i="4"/>
  <c r="AO56" i="4"/>
  <c r="AN56" i="4"/>
  <c r="AM56" i="4"/>
  <c r="BE50" i="4"/>
  <c r="BE15" i="51" s="1"/>
  <c r="CO46" i="4"/>
  <c r="CO44" i="4"/>
  <c r="CI44" i="4"/>
  <c r="CW35" i="73"/>
  <c r="CP48" i="4"/>
  <c r="CP50" i="4" s="1"/>
  <c r="CR35" i="73"/>
  <c r="CJ50" i="4"/>
  <c r="DZ31" i="51" s="1"/>
  <c r="BN50" i="4"/>
  <c r="BM50" i="4"/>
  <c r="BB50" i="4"/>
  <c r="BA50" i="4"/>
  <c r="BA15" i="51" s="1"/>
  <c r="AV56" i="4"/>
  <c r="AU56" i="4"/>
  <c r="AU19" i="51" s="1"/>
  <c r="AU49" i="51" s="1"/>
  <c r="AQ50" i="4"/>
  <c r="AP50" i="4"/>
  <c r="AO50" i="4"/>
  <c r="AN50" i="4"/>
  <c r="AM50" i="4"/>
  <c r="CO40" i="4"/>
  <c r="AQ44" i="4"/>
  <c r="AP44" i="4"/>
  <c r="AO44" i="4"/>
  <c r="AN44" i="4"/>
  <c r="AM44" i="4"/>
  <c r="CP42" i="4"/>
  <c r="CP44" i="4" s="1"/>
  <c r="BN44" i="4"/>
  <c r="BM44" i="4"/>
  <c r="AO37" i="4"/>
  <c r="AN37" i="4"/>
  <c r="AM37" i="4"/>
  <c r="CX316" i="73"/>
  <c r="CW316" i="73"/>
  <c r="CV316" i="73"/>
  <c r="CU316" i="73"/>
  <c r="CR316" i="73"/>
  <c r="CQ316" i="73"/>
  <c r="CO316" i="73"/>
  <c r="BF44" i="4"/>
  <c r="BE44" i="4"/>
  <c r="AY44" i="4"/>
  <c r="AU44" i="4"/>
  <c r="CY26" i="4"/>
  <c r="CS26" i="4"/>
  <c r="CM26" i="4"/>
  <c r="CG26" i="4"/>
  <c r="BY26" i="4"/>
  <c r="BX26" i="4"/>
  <c r="BW26" i="4"/>
  <c r="BT26" i="4"/>
  <c r="BS26" i="4"/>
  <c r="BA26" i="4"/>
  <c r="AZ26" i="4"/>
  <c r="AY26" i="4"/>
  <c r="AU26" i="4"/>
  <c r="AT26" i="4"/>
  <c r="AS26" i="4"/>
  <c r="AO26" i="4"/>
  <c r="AN26" i="4"/>
  <c r="AM26" i="4"/>
  <c r="AI26" i="4"/>
  <c r="AH26" i="4"/>
  <c r="AG26" i="4"/>
  <c r="AC26" i="4"/>
  <c r="AB26" i="4"/>
  <c r="AA26" i="4"/>
  <c r="BS23" i="4"/>
  <c r="BS354" i="73" s="1"/>
  <c r="BS12" i="73" s="1"/>
  <c r="BS13" i="73" s="1"/>
  <c r="BA23" i="4"/>
  <c r="AZ23" i="4"/>
  <c r="AY23" i="4"/>
  <c r="AY354" i="73" s="1"/>
  <c r="AU23" i="4"/>
  <c r="AU354" i="73" s="1"/>
  <c r="AT23" i="4"/>
  <c r="AS23" i="4"/>
  <c r="AS354" i="73" s="1"/>
  <c r="AS12" i="73" s="1"/>
  <c r="AS13" i="73" s="1"/>
  <c r="AO23" i="4"/>
  <c r="AN23" i="4"/>
  <c r="AM23" i="4"/>
  <c r="AM354" i="73" s="1"/>
  <c r="AM363" i="73" s="1"/>
  <c r="AI23" i="4"/>
  <c r="AI354" i="73" s="1"/>
  <c r="AH23" i="4"/>
  <c r="AC23" i="4"/>
  <c r="AB23" i="4"/>
  <c r="AA23" i="4"/>
  <c r="BS20" i="4"/>
  <c r="BA20" i="4"/>
  <c r="BA331" i="73" s="1"/>
  <c r="AZ20" i="4"/>
  <c r="AZ331" i="73" s="1"/>
  <c r="AZ10" i="73" s="1"/>
  <c r="AZ11" i="73" s="1"/>
  <c r="AY20" i="4"/>
  <c r="AU20" i="4"/>
  <c r="AT20" i="4"/>
  <c r="AS20" i="4"/>
  <c r="AS331" i="73" s="1"/>
  <c r="AO20" i="4"/>
  <c r="AN20" i="4"/>
  <c r="AM20" i="4"/>
  <c r="AM331" i="73" s="1"/>
  <c r="AI20" i="4"/>
  <c r="AH20" i="4"/>
  <c r="AC20" i="4"/>
  <c r="AB20" i="4"/>
  <c r="AA20" i="4"/>
  <c r="AH16" i="4"/>
  <c r="AH15" i="4" s="1"/>
  <c r="AH14" i="4"/>
  <c r="AH13" i="4" s="1"/>
  <c r="AA16" i="4"/>
  <c r="AB16" i="4" s="1"/>
  <c r="BY15" i="4"/>
  <c r="BX15" i="4"/>
  <c r="BW15" i="4"/>
  <c r="BS15" i="4"/>
  <c r="BR15" i="4"/>
  <c r="AI15" i="4"/>
  <c r="AG15" i="4"/>
  <c r="AC15" i="4"/>
  <c r="AA15" i="4"/>
  <c r="AA14" i="4"/>
  <c r="AB14" i="4"/>
  <c r="AB13" i="4" s="1"/>
  <c r="AI13" i="4"/>
  <c r="AG13" i="4"/>
  <c r="AC13" i="4"/>
  <c r="AA12" i="4"/>
  <c r="BY11" i="4"/>
  <c r="BX11" i="4"/>
  <c r="BW11" i="4"/>
  <c r="BS11" i="4"/>
  <c r="BR11" i="4"/>
  <c r="BR39" i="4" s="1"/>
  <c r="AI11" i="4"/>
  <c r="AI39" i="4" s="1"/>
  <c r="AH11" i="4"/>
  <c r="AG11" i="4"/>
  <c r="AG39" i="4" s="1"/>
  <c r="AC11" i="4"/>
  <c r="BQ10" i="4"/>
  <c r="BQ9" i="4" s="1"/>
  <c r="BK10" i="4"/>
  <c r="BK9" i="4" s="1"/>
  <c r="BK32" i="4" s="1"/>
  <c r="BE10" i="4"/>
  <c r="BE9" i="4" s="1"/>
  <c r="BA10" i="4"/>
  <c r="BA9" i="4" s="1"/>
  <c r="AZ10" i="4"/>
  <c r="AZ9" i="4" s="1"/>
  <c r="AA10" i="4"/>
  <c r="AA9" i="4"/>
  <c r="AI9" i="4"/>
  <c r="AH9" i="4"/>
  <c r="AG9" i="4"/>
  <c r="AC9" i="4"/>
  <c r="AA6" i="4"/>
  <c r="AG6" i="4" s="1"/>
  <c r="AM6" i="4" s="1"/>
  <c r="AS6" i="4" s="1"/>
  <c r="AY6" i="4" s="1"/>
  <c r="BE6" i="4" s="1"/>
  <c r="BK6" i="4" s="1"/>
  <c r="BQ6" i="4" s="1"/>
  <c r="BW6" i="4" s="1"/>
  <c r="M6" i="4"/>
  <c r="S6" i="4" s="1"/>
  <c r="Y6" i="4" s="1"/>
  <c r="AE6" i="4" s="1"/>
  <c r="AK6" i="4" s="1"/>
  <c r="AQ6" i="4" s="1"/>
  <c r="AW6" i="4" s="1"/>
  <c r="BC6" i="4" s="1"/>
  <c r="CI144" i="2"/>
  <c r="AM144" i="2"/>
  <c r="AA144" i="2"/>
  <c r="U144" i="2"/>
  <c r="O144" i="2"/>
  <c r="BW454" i="73"/>
  <c r="BW16" i="73" s="1"/>
  <c r="BW17" i="73" s="1"/>
  <c r="BX456" i="73"/>
  <c r="BX20" i="73" s="1"/>
  <c r="BX21" i="73" s="1"/>
  <c r="BW456" i="73"/>
  <c r="BW20" i="73" s="1"/>
  <c r="BW21" i="73" s="1"/>
  <c r="BT455" i="73"/>
  <c r="BT18" i="73" s="1"/>
  <c r="BT19" i="73" s="1"/>
  <c r="AH456" i="73"/>
  <c r="X170" i="2"/>
  <c r="CY170" i="2"/>
  <c r="CS170" i="2"/>
  <c r="CM170" i="2"/>
  <c r="CG170" i="2"/>
  <c r="BR170" i="2"/>
  <c r="BQ170" i="2"/>
  <c r="BA170" i="2"/>
  <c r="AU170" i="2"/>
  <c r="AT170" i="2"/>
  <c r="AS170" i="2"/>
  <c r="AI170" i="2"/>
  <c r="AH170" i="2"/>
  <c r="Q170" i="2"/>
  <c r="K170" i="2"/>
  <c r="I170" i="2"/>
  <c r="BM170" i="2"/>
  <c r="BL170" i="2"/>
  <c r="BK170" i="2"/>
  <c r="AO455" i="73"/>
  <c r="AO18" i="73" s="1"/>
  <c r="AO19" i="73" s="1"/>
  <c r="CU110" i="73"/>
  <c r="CU287" i="73"/>
  <c r="CU236" i="73"/>
  <c r="CR190" i="73"/>
  <c r="CO186" i="73"/>
  <c r="CX250" i="73"/>
  <c r="CX312" i="73"/>
  <c r="CX116" i="73"/>
  <c r="CX190" i="73"/>
  <c r="CQ250" i="73"/>
  <c r="CX287" i="73"/>
  <c r="CO319" i="73"/>
  <c r="CX322" i="73"/>
  <c r="CO116" i="73"/>
  <c r="CO287" i="73"/>
  <c r="DH12" i="51"/>
  <c r="CO239" i="73"/>
  <c r="BY178" i="73"/>
  <c r="BS181" i="73"/>
  <c r="BY59" i="54"/>
  <c r="X14" i="54"/>
  <c r="Y14" i="54" s="1"/>
  <c r="BA58" i="54"/>
  <c r="AZ59" i="54"/>
  <c r="AZ58" i="54"/>
  <c r="O113" i="2"/>
  <c r="O18" i="1" s="1"/>
  <c r="O20" i="1" s="1"/>
  <c r="BQ50" i="3"/>
  <c r="BK50" i="3"/>
  <c r="BQ85" i="3"/>
  <c r="CF74" i="3"/>
  <c r="CL74" i="3" s="1"/>
  <c r="CR74" i="3" s="1"/>
  <c r="CX74" i="3" s="1"/>
  <c r="AA157" i="2"/>
  <c r="AA35" i="2"/>
  <c r="S40" i="2"/>
  <c r="S190" i="2" s="1"/>
  <c r="O150" i="2"/>
  <c r="O89" i="2"/>
  <c r="AA150" i="2"/>
  <c r="AA89" i="2"/>
  <c r="AB157" i="2"/>
  <c r="AB35" i="2"/>
  <c r="AN157" i="2"/>
  <c r="AN35" i="2"/>
  <c r="AN41" i="2" s="1"/>
  <c r="AB150" i="2"/>
  <c r="AB89" i="2"/>
  <c r="O68" i="2"/>
  <c r="BF96" i="2"/>
  <c r="BE49" i="2"/>
  <c r="BH96" i="2"/>
  <c r="BH49" i="2"/>
  <c r="BH195" i="2" s="1"/>
  <c r="BI46" i="2"/>
  <c r="BF99" i="2"/>
  <c r="BF49" i="2"/>
  <c r="BF195" i="2" s="1"/>
  <c r="Q150" i="2"/>
  <c r="Q89" i="2"/>
  <c r="AC150" i="2"/>
  <c r="AC89" i="2"/>
  <c r="BY152" i="2"/>
  <c r="Q157" i="2"/>
  <c r="AO157" i="2"/>
  <c r="AO35" i="2"/>
  <c r="AO41" i="2" s="1"/>
  <c r="BG99" i="2"/>
  <c r="BH99" i="2"/>
  <c r="BG49" i="2"/>
  <c r="G150" i="2"/>
  <c r="R150" i="2"/>
  <c r="I150" i="2"/>
  <c r="I89" i="2"/>
  <c r="U150" i="2"/>
  <c r="U89" i="2"/>
  <c r="BS77" i="2"/>
  <c r="BY150" i="2"/>
  <c r="K150" i="2"/>
  <c r="K89" i="2"/>
  <c r="W150" i="2"/>
  <c r="W89" i="2"/>
  <c r="X158" i="2"/>
  <c r="Y40" i="2"/>
  <c r="Y190" i="2" s="1"/>
  <c r="CA45" i="2"/>
  <c r="L150" i="2"/>
  <c r="X150" i="2"/>
  <c r="S15" i="2"/>
  <c r="BK68" i="2"/>
  <c r="R157" i="2"/>
  <c r="AD157" i="2"/>
  <c r="AV157" i="2"/>
  <c r="AE30" i="2"/>
  <c r="R35" i="2"/>
  <c r="BM96" i="2"/>
  <c r="BL96" i="2"/>
  <c r="U157" i="2"/>
  <c r="AY157" i="2"/>
  <c r="AV35" i="2"/>
  <c r="J157" i="2"/>
  <c r="AH157" i="2"/>
  <c r="AZ157" i="2"/>
  <c r="AW30" i="2"/>
  <c r="U35" i="2"/>
  <c r="AD35" i="2"/>
  <c r="AE124" i="2"/>
  <c r="K157" i="2"/>
  <c r="W157" i="2"/>
  <c r="AI157" i="2"/>
  <c r="BT99" i="2"/>
  <c r="BR49" i="2"/>
  <c r="BR195" i="2" s="1"/>
  <c r="V150" i="2"/>
  <c r="V89" i="2"/>
  <c r="AJ157" i="2"/>
  <c r="S30" i="2"/>
  <c r="AY35" i="2"/>
  <c r="BN99" i="2"/>
  <c r="BM99" i="2"/>
  <c r="BU48" i="2"/>
  <c r="BW99" i="2" s="1"/>
  <c r="BC108" i="2"/>
  <c r="Y108" i="2"/>
  <c r="AZ455" i="73"/>
  <c r="AZ18" i="73" s="1"/>
  <c r="AZ19" i="73" s="1"/>
  <c r="BL455" i="73"/>
  <c r="BL18" i="73" s="1"/>
  <c r="BL19" i="73" s="1"/>
  <c r="BA455" i="73"/>
  <c r="BA18" i="73" s="1"/>
  <c r="BA19" i="73" s="1"/>
  <c r="AK170" i="2"/>
  <c r="AH455" i="73"/>
  <c r="BX455" i="73"/>
  <c r="BX18" i="73" s="1"/>
  <c r="BX19" i="73" s="1"/>
  <c r="BW455" i="73"/>
  <c r="BW18" i="73" s="1"/>
  <c r="BW19" i="73" s="1"/>
  <c r="AI455" i="73"/>
  <c r="BY455" i="73"/>
  <c r="BY18" i="73" s="1"/>
  <c r="BY19" i="73" s="1"/>
  <c r="AS456" i="73"/>
  <c r="AS20" i="73" s="1"/>
  <c r="AS21" i="73" s="1"/>
  <c r="BK455" i="73"/>
  <c r="BK18" i="73" s="1"/>
  <c r="BK19" i="73" s="1"/>
  <c r="BO455" i="73"/>
  <c r="BO18" i="73" s="1"/>
  <c r="BO19" i="73" s="1"/>
  <c r="AS454" i="73"/>
  <c r="AS16" i="73" s="1"/>
  <c r="AS17" i="73" s="1"/>
  <c r="AS455" i="73"/>
  <c r="AS18" i="73" s="1"/>
  <c r="AS19" i="73" s="1"/>
  <c r="BH455" i="73"/>
  <c r="BH18" i="73" s="1"/>
  <c r="BH19" i="73" s="1"/>
  <c r="BN455" i="73"/>
  <c r="BN18" i="73" s="1"/>
  <c r="BN19" i="73" s="1"/>
  <c r="BN92" i="2"/>
  <c r="BG454" i="73"/>
  <c r="BG16" i="73" s="1"/>
  <c r="BG17" i="73" s="1"/>
  <c r="BT456" i="73"/>
  <c r="BT20" i="73" s="1"/>
  <c r="BT21" i="73" s="1"/>
  <c r="AU455" i="73"/>
  <c r="AU18" i="73" s="1"/>
  <c r="AU19" i="73" s="1"/>
  <c r="BE455" i="73"/>
  <c r="BE18" i="73" s="1"/>
  <c r="BE19" i="73" s="1"/>
  <c r="BR455" i="73"/>
  <c r="BR18" i="73" s="1"/>
  <c r="BR19" i="73" s="1"/>
  <c r="BQ455" i="73"/>
  <c r="BQ18" i="73" s="1"/>
  <c r="BQ19" i="73" s="1"/>
  <c r="AM455" i="73"/>
  <c r="AM18" i="73" s="1"/>
  <c r="AM19" i="73" s="1"/>
  <c r="BF455" i="73"/>
  <c r="BF18" i="73" s="1"/>
  <c r="BF19" i="73" s="1"/>
  <c r="BS455" i="73"/>
  <c r="BS18" i="73" s="1"/>
  <c r="BS19" i="73" s="1"/>
  <c r="DF33" i="51"/>
  <c r="BG455" i="73"/>
  <c r="BG18" i="73" s="1"/>
  <c r="BG19" i="73" s="1"/>
  <c r="AU67" i="4"/>
  <c r="BS99" i="2"/>
  <c r="BG82" i="54"/>
  <c r="J35" i="2"/>
  <c r="J41" i="2" s="1"/>
  <c r="K35" i="2"/>
  <c r="L157" i="2"/>
  <c r="L35" i="2"/>
  <c r="BF70" i="4"/>
  <c r="BH454" i="73"/>
  <c r="BH16" i="73" s="1"/>
  <c r="BH17" i="73" s="1"/>
  <c r="BL70" i="4"/>
  <c r="BR70" i="4"/>
  <c r="E172" i="2"/>
  <c r="AH173" i="2"/>
  <c r="AN455" i="73"/>
  <c r="AN18" i="73" s="1"/>
  <c r="AN19" i="73" s="1"/>
  <c r="D170" i="2"/>
  <c r="J170" i="2"/>
  <c r="AG170" i="2"/>
  <c r="AO170" i="2"/>
  <c r="AZ170" i="2"/>
  <c r="BS170" i="2"/>
  <c r="X89" i="2"/>
  <c r="P92" i="2"/>
  <c r="P173" i="2"/>
  <c r="BN170" i="2"/>
  <c r="C170" i="2"/>
  <c r="E170" i="2"/>
  <c r="BY170" i="2"/>
  <c r="BM11" i="4"/>
  <c r="AA13" i="4"/>
  <c r="BG67" i="4"/>
  <c r="BE67" i="4"/>
  <c r="BG70" i="4"/>
  <c r="Y15" i="2"/>
  <c r="X157" i="2"/>
  <c r="AH35" i="2"/>
  <c r="AA158" i="2"/>
  <c r="AB158" i="2"/>
  <c r="AC158" i="2"/>
  <c r="BX49" i="2"/>
  <c r="BX195" i="2" s="1"/>
  <c r="BK85" i="3"/>
  <c r="AY58" i="54"/>
  <c r="U173" i="2"/>
  <c r="BH456" i="73"/>
  <c r="BH20" i="73" s="1"/>
  <c r="BH21" i="73" s="1"/>
  <c r="R79" i="2"/>
  <c r="BA92" i="2"/>
  <c r="D173" i="2"/>
  <c r="K173" i="2"/>
  <c r="K92" i="2"/>
  <c r="CA31" i="2"/>
  <c r="AO173" i="2"/>
  <c r="BM173" i="2"/>
  <c r="BM92" i="2"/>
  <c r="BB172" i="2"/>
  <c r="BB78" i="2"/>
  <c r="X172" i="2"/>
  <c r="X78" i="2"/>
  <c r="BT173" i="2"/>
  <c r="BT92" i="2"/>
  <c r="BW173" i="2"/>
  <c r="BN454" i="73"/>
  <c r="BN16" i="73" s="1"/>
  <c r="BN17" i="73" s="1"/>
  <c r="AC173" i="2"/>
  <c r="BO171" i="2"/>
  <c r="BO180" i="2" s="1"/>
  <c r="BO142" i="2"/>
  <c r="B7" i="52"/>
  <c r="BK456" i="73"/>
  <c r="BK20" i="73" s="1"/>
  <c r="BK21" i="73" s="1"/>
  <c r="V173" i="2"/>
  <c r="V92" i="2"/>
  <c r="CO236" i="73"/>
  <c r="CO322" i="73"/>
  <c r="CQ194" i="73"/>
  <c r="CQ312" i="73"/>
  <c r="CO190" i="73"/>
  <c r="CO110" i="73"/>
  <c r="BG142" i="2"/>
  <c r="BG171" i="2"/>
  <c r="BG180" i="2" s="1"/>
  <c r="BG91" i="2"/>
  <c r="BG90" i="2"/>
  <c r="BG89" i="2"/>
  <c r="BG77" i="2"/>
  <c r="BK171" i="2"/>
  <c r="BK180" i="2" s="1"/>
  <c r="BK142" i="2"/>
  <c r="BK77" i="2"/>
  <c r="BK91" i="2"/>
  <c r="BK90" i="2"/>
  <c r="BK89" i="2"/>
  <c r="BM171" i="2"/>
  <c r="BM180" i="2" s="1"/>
  <c r="BM142" i="2"/>
  <c r="BM91" i="2"/>
  <c r="BM90" i="2"/>
  <c r="BM89" i="2"/>
  <c r="BM77" i="2"/>
  <c r="BK79" i="2"/>
  <c r="BK78" i="2"/>
  <c r="BK172" i="2"/>
  <c r="BM79" i="2"/>
  <c r="BM78" i="2"/>
  <c r="BM172" i="2"/>
  <c r="J172" i="2"/>
  <c r="J79" i="2"/>
  <c r="J78" i="2"/>
  <c r="P172" i="2"/>
  <c r="P79" i="2"/>
  <c r="P78" i="2"/>
  <c r="Q79" i="2"/>
  <c r="Q78" i="2"/>
  <c r="Q172" i="2"/>
  <c r="U172" i="2"/>
  <c r="U79" i="2"/>
  <c r="U78" i="2"/>
  <c r="W172" i="2"/>
  <c r="W79" i="2"/>
  <c r="W78" i="2"/>
  <c r="AA79" i="2"/>
  <c r="AA78" i="2"/>
  <c r="AA172" i="2"/>
  <c r="AG172" i="2"/>
  <c r="AG79" i="2"/>
  <c r="AG78" i="2"/>
  <c r="AI172" i="2"/>
  <c r="AI79" i="2"/>
  <c r="AI78" i="2"/>
  <c r="AN172" i="2"/>
  <c r="AN79" i="2"/>
  <c r="AN78" i="2"/>
  <c r="AT79" i="2"/>
  <c r="AT172" i="2"/>
  <c r="AT78" i="2"/>
  <c r="AY172" i="2"/>
  <c r="AY79" i="2"/>
  <c r="AY78" i="2"/>
  <c r="BA172" i="2"/>
  <c r="BA79" i="2"/>
  <c r="BA78" i="2"/>
  <c r="BE172" i="2"/>
  <c r="BE79" i="2"/>
  <c r="BE78" i="2"/>
  <c r="BG172" i="2"/>
  <c r="BG79" i="2"/>
  <c r="BG78" i="2"/>
  <c r="BQ172" i="2"/>
  <c r="BQ79" i="2"/>
  <c r="BQ78" i="2"/>
  <c r="BS172" i="2"/>
  <c r="BS79" i="2"/>
  <c r="BS78" i="2"/>
  <c r="BW172" i="2"/>
  <c r="BW78" i="2"/>
  <c r="BW79" i="2"/>
  <c r="BT79" i="2"/>
  <c r="BT172" i="2"/>
  <c r="BT78" i="2"/>
  <c r="AY76" i="51"/>
  <c r="AS76" i="51"/>
  <c r="U75" i="51"/>
  <c r="W75" i="51"/>
  <c r="AA75" i="51"/>
  <c r="AC75" i="51"/>
  <c r="AI75" i="51"/>
  <c r="AH75" i="51"/>
  <c r="AM75" i="51"/>
  <c r="AS75" i="51"/>
  <c r="AO75" i="51"/>
  <c r="AU75" i="51"/>
  <c r="AZ75" i="51"/>
  <c r="BF75" i="51"/>
  <c r="BG75" i="51"/>
  <c r="BK75" i="51"/>
  <c r="BL75" i="51"/>
  <c r="BT75" i="51"/>
  <c r="BN75" i="51"/>
  <c r="BS75" i="51"/>
  <c r="BY75" i="51"/>
  <c r="BQ75" i="51"/>
  <c r="BW75" i="51"/>
  <c r="Q158" i="2"/>
  <c r="R90" i="2"/>
  <c r="R171" i="2"/>
  <c r="R180" i="2" s="1"/>
  <c r="R77" i="2"/>
  <c r="AI456" i="73"/>
  <c r="AN456" i="73"/>
  <c r="AN20" i="73" s="1"/>
  <c r="AN21" i="73" s="1"/>
  <c r="AO454" i="73"/>
  <c r="AO16" i="73" s="1"/>
  <c r="AO17" i="73" s="1"/>
  <c r="AZ456" i="73"/>
  <c r="AZ20" i="73" s="1"/>
  <c r="AZ21" i="73" s="1"/>
  <c r="BE456" i="73"/>
  <c r="BE20" i="73" s="1"/>
  <c r="BE21" i="73" s="1"/>
  <c r="BR456" i="73"/>
  <c r="BR20" i="73" s="1"/>
  <c r="BR21" i="73" s="1"/>
  <c r="BR454" i="73"/>
  <c r="BR16" i="73" s="1"/>
  <c r="BR17" i="73" s="1"/>
  <c r="BT454" i="73"/>
  <c r="BT16" i="73" s="1"/>
  <c r="BT17" i="73" s="1"/>
  <c r="P144" i="2"/>
  <c r="AB144" i="2"/>
  <c r="BM15" i="4"/>
  <c r="BM51" i="4" s="1"/>
  <c r="CX35" i="73"/>
  <c r="CW287" i="73"/>
  <c r="CX319" i="73"/>
  <c r="CX246" i="73"/>
  <c r="CX186" i="73"/>
  <c r="CX110" i="73"/>
  <c r="CX194" i="73"/>
  <c r="CX120" i="73"/>
  <c r="BF67" i="4"/>
  <c r="BM67" i="4"/>
  <c r="BK70" i="4"/>
  <c r="BM70" i="4"/>
  <c r="BO67" i="4"/>
  <c r="BR67" i="4"/>
  <c r="BG73" i="4"/>
  <c r="BK73" i="4"/>
  <c r="BM73" i="4"/>
  <c r="BR73" i="4"/>
  <c r="M15" i="2"/>
  <c r="V157" i="2"/>
  <c r="AG157" i="2"/>
  <c r="AG158" i="2"/>
  <c r="AJ35" i="2"/>
  <c r="AZ35" i="2"/>
  <c r="M30" i="2"/>
  <c r="Y30" i="2"/>
  <c r="G35" i="2"/>
  <c r="G41" i="2" s="1"/>
  <c r="Q35" i="2"/>
  <c r="X35" i="2"/>
  <c r="AI35" i="2"/>
  <c r="BF171" i="2"/>
  <c r="BF180" i="2" s="1"/>
  <c r="BF91" i="2"/>
  <c r="BF90" i="2"/>
  <c r="BF89" i="2"/>
  <c r="BF142" i="2"/>
  <c r="BF77" i="2"/>
  <c r="BH171" i="2"/>
  <c r="BH180" i="2" s="1"/>
  <c r="BH91" i="2"/>
  <c r="BH90" i="2"/>
  <c r="BH89" i="2"/>
  <c r="BH77" i="2"/>
  <c r="BH142" i="2"/>
  <c r="BL91" i="2"/>
  <c r="BL90" i="2"/>
  <c r="BL89" i="2"/>
  <c r="BL171" i="2"/>
  <c r="BL180" i="2" s="1"/>
  <c r="BL142" i="2"/>
  <c r="BL77" i="2"/>
  <c r="BN91" i="2"/>
  <c r="BN90" i="2"/>
  <c r="BN89" i="2"/>
  <c r="BN171" i="2"/>
  <c r="BN180" i="2" s="1"/>
  <c r="BN142" i="2"/>
  <c r="BN77" i="2"/>
  <c r="BL172" i="2"/>
  <c r="BL79" i="2"/>
  <c r="BN172" i="2"/>
  <c r="BN79" i="2"/>
  <c r="BN78" i="2"/>
  <c r="BQ91" i="2"/>
  <c r="BQ77" i="2"/>
  <c r="BQ171" i="2"/>
  <c r="BQ180" i="2" s="1"/>
  <c r="BQ142" i="2"/>
  <c r="BQ90" i="2"/>
  <c r="BQ89" i="2"/>
  <c r="O79" i="2"/>
  <c r="O78" i="2"/>
  <c r="O172" i="2"/>
  <c r="V78" i="2"/>
  <c r="V172" i="2"/>
  <c r="V79" i="2"/>
  <c r="AB172" i="2"/>
  <c r="AB79" i="2"/>
  <c r="AB78" i="2"/>
  <c r="AH172" i="2"/>
  <c r="AH79" i="2"/>
  <c r="AH78" i="2"/>
  <c r="AM79" i="2"/>
  <c r="AM78" i="2"/>
  <c r="AM172" i="2"/>
  <c r="AO79" i="2"/>
  <c r="AO78" i="2"/>
  <c r="AO172" i="2"/>
  <c r="AU172" i="2"/>
  <c r="AU78" i="2"/>
  <c r="AU79" i="2"/>
  <c r="AZ172" i="2"/>
  <c r="AZ79" i="2"/>
  <c r="AZ78" i="2"/>
  <c r="BF79" i="2"/>
  <c r="BF78" i="2"/>
  <c r="BF172" i="2"/>
  <c r="BH79" i="2"/>
  <c r="BH78" i="2"/>
  <c r="BR78" i="2"/>
  <c r="BR172" i="2"/>
  <c r="BR79" i="2"/>
  <c r="BY172" i="2"/>
  <c r="AC79" i="2"/>
  <c r="AC78" i="2"/>
  <c r="AC172" i="2"/>
  <c r="AI76" i="51"/>
  <c r="AC76" i="51"/>
  <c r="BT76" i="51"/>
  <c r="AS172" i="2"/>
  <c r="AS78" i="2"/>
  <c r="AS79" i="2"/>
  <c r="V75" i="51"/>
  <c r="AB75" i="51"/>
  <c r="AG75" i="51"/>
  <c r="AN75" i="51"/>
  <c r="AT75" i="51"/>
  <c r="AY75" i="51"/>
  <c r="BA75" i="51"/>
  <c r="BE75" i="51"/>
  <c r="BM75" i="51"/>
  <c r="BR75" i="51"/>
  <c r="BX75" i="51"/>
  <c r="AJ142" i="2"/>
  <c r="AJ91" i="2"/>
  <c r="L142" i="2"/>
  <c r="X171" i="2"/>
  <c r="X180" i="2" s="1"/>
  <c r="X91" i="2"/>
  <c r="X90" i="2"/>
  <c r="X77" i="2"/>
  <c r="X142" i="2"/>
  <c r="AV76" i="51"/>
  <c r="AT454" i="73"/>
  <c r="AT16" i="73" s="1"/>
  <c r="AT17" i="73" s="1"/>
  <c r="BA456" i="73"/>
  <c r="BA20" i="73" s="1"/>
  <c r="BA21" i="73" s="1"/>
  <c r="AY454" i="73"/>
  <c r="AY16" i="73" s="1"/>
  <c r="AY17" i="73" s="1"/>
  <c r="BA454" i="73"/>
  <c r="BA16" i="73" s="1"/>
  <c r="BA17" i="73" s="1"/>
  <c r="BM455" i="73"/>
  <c r="BM18" i="73" s="1"/>
  <c r="BM19" i="73" s="1"/>
  <c r="AJ11" i="4"/>
  <c r="AJ39" i="4" s="1"/>
  <c r="BQ11" i="4"/>
  <c r="AJ15" i="4"/>
  <c r="AJ51" i="4" s="1"/>
  <c r="BQ15" i="4"/>
  <c r="CO312" i="73"/>
  <c r="CO250" i="73"/>
  <c r="CO120" i="73"/>
  <c r="CO246" i="73"/>
  <c r="CO194" i="73"/>
  <c r="CQ287" i="73"/>
  <c r="CQ246" i="73"/>
  <c r="CQ186" i="73"/>
  <c r="CQ116" i="73"/>
  <c r="CQ110" i="73"/>
  <c r="CQ322" i="73"/>
  <c r="BO70" i="4"/>
  <c r="BQ67" i="4"/>
  <c r="BQ70" i="4"/>
  <c r="BF73" i="4"/>
  <c r="BL73" i="4"/>
  <c r="BQ73" i="4"/>
  <c r="BO73" i="4"/>
  <c r="I158" i="2"/>
  <c r="J158" i="2"/>
  <c r="K158" i="2"/>
  <c r="L158" i="2"/>
  <c r="P158" i="2"/>
  <c r="R158" i="2"/>
  <c r="U158" i="2"/>
  <c r="V158" i="2"/>
  <c r="W158" i="2"/>
  <c r="AH158" i="2"/>
  <c r="AI158" i="2"/>
  <c r="AJ158" i="2"/>
  <c r="AN158" i="2"/>
  <c r="AO158" i="2"/>
  <c r="BB96" i="2"/>
  <c r="BN96" i="2"/>
  <c r="BC46" i="2"/>
  <c r="U80" i="54"/>
  <c r="AG80" i="54"/>
  <c r="AM80" i="54"/>
  <c r="AS80" i="54"/>
  <c r="AY80" i="54"/>
  <c r="CG322" i="73"/>
  <c r="AZ235" i="73"/>
  <c r="AH92" i="2"/>
  <c r="AJ78" i="2"/>
  <c r="AJ172" i="2"/>
  <c r="BY158" i="2"/>
  <c r="AU80" i="54"/>
  <c r="BY156" i="2"/>
  <c r="BG169" i="2"/>
  <c r="BG181" i="2" s="1"/>
  <c r="K169" i="2"/>
  <c r="K181" i="2" s="1"/>
  <c r="K143" i="2"/>
  <c r="K66" i="2"/>
  <c r="BA169" i="2"/>
  <c r="BA181" i="2" s="1"/>
  <c r="BA66" i="2"/>
  <c r="R144" i="2"/>
  <c r="BH173" i="2"/>
  <c r="BH92" i="2"/>
  <c r="BY157" i="2"/>
  <c r="BU170" i="2"/>
  <c r="L170" i="2"/>
  <c r="M170" i="2"/>
  <c r="AJ79" i="2"/>
  <c r="BY456" i="73"/>
  <c r="BY20" i="73" s="1"/>
  <c r="BY21" i="73" s="1"/>
  <c r="U92" i="2"/>
  <c r="BB79" i="2"/>
  <c r="AJ170" i="2"/>
  <c r="BY149" i="2"/>
  <c r="BY148" i="2"/>
  <c r="DE33" i="51"/>
  <c r="CU116" i="73"/>
  <c r="CU344" i="73"/>
  <c r="CQ344" i="73"/>
  <c r="CQ319" i="73"/>
  <c r="CQ190" i="73"/>
  <c r="CQ120" i="73"/>
  <c r="CV120" i="73"/>
  <c r="CV194" i="73"/>
  <c r="CW116" i="73"/>
  <c r="CU194" i="73"/>
  <c r="CU312" i="73"/>
  <c r="CU186" i="73"/>
  <c r="CU246" i="73"/>
  <c r="CU322" i="73"/>
  <c r="CU190" i="73"/>
  <c r="CU319" i="73"/>
  <c r="CU239" i="73"/>
  <c r="CU120" i="73"/>
  <c r="BY35" i="2"/>
  <c r="U169" i="2"/>
  <c r="U181" i="2" s="1"/>
  <c r="AH143" i="2"/>
  <c r="AH169" i="2"/>
  <c r="AH181" i="2" s="1"/>
  <c r="BI172" i="2"/>
  <c r="AG173" i="2"/>
  <c r="AA173" i="2"/>
  <c r="AA92" i="2"/>
  <c r="C7" i="52"/>
  <c r="AP91" i="2"/>
  <c r="AP77" i="2"/>
  <c r="BO76" i="51"/>
  <c r="AO456" i="73"/>
  <c r="AO20" i="73" s="1"/>
  <c r="AO21" i="73" s="1"/>
  <c r="AU456" i="73"/>
  <c r="AU20" i="73" s="1"/>
  <c r="AU21" i="73" s="1"/>
  <c r="AU454" i="73"/>
  <c r="AU16" i="73" s="1"/>
  <c r="AU17" i="73" s="1"/>
  <c r="AY456" i="73"/>
  <c r="AY20" i="73" s="1"/>
  <c r="AY21" i="73" s="1"/>
  <c r="BE454" i="73"/>
  <c r="BE16" i="73" s="1"/>
  <c r="BE17" i="73" s="1"/>
  <c r="BS456" i="73"/>
  <c r="BS20" i="73" s="1"/>
  <c r="BS21" i="73" s="1"/>
  <c r="CJ144" i="2"/>
  <c r="BB76" i="51"/>
  <c r="AK172" i="2"/>
  <c r="G79" i="2"/>
  <c r="AN454" i="73"/>
  <c r="AN16" i="73" s="1"/>
  <c r="AN17" i="73" s="1"/>
  <c r="Y171" i="2"/>
  <c r="Y180" i="2" s="1"/>
  <c r="F172" i="2"/>
  <c r="CI86" i="3"/>
  <c r="CO86" i="3" s="1"/>
  <c r="CU86" i="3" s="1"/>
  <c r="AZ81" i="54"/>
  <c r="S125" i="2"/>
  <c r="BY124" i="2"/>
  <c r="BZ124" i="2" s="1"/>
  <c r="BN169" i="2"/>
  <c r="BN181" i="2" s="1"/>
  <c r="AA169" i="2"/>
  <c r="AA181" i="2" s="1"/>
  <c r="U143" i="2"/>
  <c r="BY153" i="2"/>
  <c r="BY151" i="2"/>
  <c r="BY25" i="2"/>
  <c r="BY49" i="2"/>
  <c r="P143" i="2"/>
  <c r="X75" i="51"/>
  <c r="AI92" i="2"/>
  <c r="AI173" i="2"/>
  <c r="BI455" i="73"/>
  <c r="BI18" i="73" s="1"/>
  <c r="BI19" i="73" s="1"/>
  <c r="BI142" i="2"/>
  <c r="BI70" i="4"/>
  <c r="BI67" i="4"/>
  <c r="BQ92" i="2"/>
  <c r="BQ173" i="2"/>
  <c r="V66" i="2"/>
  <c r="V169" i="2"/>
  <c r="V181" i="2" s="1"/>
  <c r="V143" i="2"/>
  <c r="I92" i="2"/>
  <c r="AP67" i="4"/>
  <c r="AP142" i="2"/>
  <c r="AP70" i="4"/>
  <c r="AP171" i="2"/>
  <c r="AP180" i="2" s="1"/>
  <c r="AP90" i="2"/>
  <c r="AP23" i="4"/>
  <c r="AP354" i="73" s="1"/>
  <c r="AP363" i="73" s="1"/>
  <c r="AP20" i="4"/>
  <c r="AP455" i="73"/>
  <c r="AP18" i="73" s="1"/>
  <c r="AP19" i="73" s="1"/>
  <c r="AP26" i="4"/>
  <c r="L171" i="2"/>
  <c r="L180" i="2" s="1"/>
  <c r="L90" i="2"/>
  <c r="L77" i="2"/>
  <c r="L91" i="2"/>
  <c r="L89" i="2"/>
  <c r="X76" i="51"/>
  <c r="AJ75" i="51"/>
  <c r="AV73" i="4"/>
  <c r="AV23" i="4"/>
  <c r="AV142" i="2"/>
  <c r="AV90" i="2"/>
  <c r="AV77" i="2"/>
  <c r="AV67" i="4"/>
  <c r="AV171" i="2"/>
  <c r="AV180" i="2" s="1"/>
  <c r="AV89" i="2"/>
  <c r="AV70" i="4"/>
  <c r="BB70" i="4"/>
  <c r="AV26" i="4"/>
  <c r="AV20" i="4"/>
  <c r="AV91" i="2"/>
  <c r="BB20" i="4"/>
  <c r="BB26" i="4"/>
  <c r="BB142" i="2"/>
  <c r="BB171" i="2"/>
  <c r="BB180" i="2" s="1"/>
  <c r="BB456" i="73"/>
  <c r="BB20" i="73" s="1"/>
  <c r="BB21" i="73" s="1"/>
  <c r="BB77" i="2"/>
  <c r="BB89" i="2"/>
  <c r="BB67" i="4"/>
  <c r="BB91" i="2"/>
  <c r="BB73" i="4"/>
  <c r="BB90" i="2"/>
  <c r="BH75" i="51"/>
  <c r="AP73" i="4"/>
  <c r="AP89" i="2"/>
  <c r="AP76" i="51"/>
  <c r="D169" i="2"/>
  <c r="D181" i="2" s="1"/>
  <c r="BB23" i="4"/>
  <c r="BI171" i="2"/>
  <c r="BI180" i="2" s="1"/>
  <c r="J92" i="2"/>
  <c r="J173" i="2"/>
  <c r="BC172" i="2"/>
  <c r="BC455" i="73"/>
  <c r="BC18" i="73" s="1"/>
  <c r="BC19" i="73" s="1"/>
  <c r="AS173" i="2"/>
  <c r="AG92" i="2"/>
  <c r="L79" i="2"/>
  <c r="L78" i="2"/>
  <c r="BL456" i="73"/>
  <c r="BL20" i="73" s="1"/>
  <c r="BL21" i="73" s="1"/>
  <c r="BM456" i="73"/>
  <c r="BM20" i="73" s="1"/>
  <c r="BM21" i="73" s="1"/>
  <c r="AD76" i="51"/>
  <c r="BN173" i="2"/>
  <c r="AO92" i="2"/>
  <c r="X79" i="2"/>
  <c r="AP454" i="73"/>
  <c r="AP16" i="73" s="1"/>
  <c r="AP17" i="73" s="1"/>
  <c r="AH66" i="2"/>
  <c r="BF456" i="73"/>
  <c r="BF20" i="73" s="1"/>
  <c r="BF21" i="73" s="1"/>
  <c r="BS173" i="2"/>
  <c r="AW77" i="2"/>
  <c r="AI131" i="2"/>
  <c r="AU143" i="2"/>
  <c r="AU66" i="2"/>
  <c r="BC142" i="2"/>
  <c r="BC171" i="2"/>
  <c r="BC180" i="2" s="1"/>
  <c r="AQ76" i="51"/>
  <c r="F173" i="2"/>
  <c r="AO143" i="2"/>
  <c r="AO66" i="2"/>
  <c r="AO169" i="2"/>
  <c r="AO181" i="2" s="1"/>
  <c r="BB454" i="73"/>
  <c r="AV456" i="73"/>
  <c r="AV20" i="73" s="1"/>
  <c r="AV21" i="73" s="1"/>
  <c r="AW171" i="2"/>
  <c r="AW180" i="2" s="1"/>
  <c r="AW142" i="2"/>
  <c r="AW456" i="73"/>
  <c r="AW20" i="73" s="1"/>
  <c r="AW21" i="73" s="1"/>
  <c r="M142" i="2"/>
  <c r="BQ66" i="2"/>
  <c r="BQ169" i="2"/>
  <c r="BQ181" i="2" s="1"/>
  <c r="BI456" i="73"/>
  <c r="BI20" i="73" s="1"/>
  <c r="BI21" i="73" s="1"/>
  <c r="AJ66" i="2"/>
  <c r="AE40" i="2"/>
  <c r="AE190" i="2" s="1"/>
  <c r="J66" i="2"/>
  <c r="AH79" i="54"/>
  <c r="AH167" i="2"/>
  <c r="CQ35" i="73"/>
  <c r="CA73" i="54"/>
  <c r="BH176" i="2"/>
  <c r="BH182" i="2" s="1"/>
  <c r="I144" i="2"/>
  <c r="BH169" i="2"/>
  <c r="BH181" i="2" s="1"/>
  <c r="BH143" i="2"/>
  <c r="BH66" i="2"/>
  <c r="AA143" i="2"/>
  <c r="AA66" i="2"/>
  <c r="AH176" i="2"/>
  <c r="AH182" i="2" s="1"/>
  <c r="BU149" i="2"/>
  <c r="DN33" i="51"/>
  <c r="DI33" i="51"/>
  <c r="AD158" i="2"/>
  <c r="AJ455" i="73"/>
  <c r="AM158" i="2"/>
  <c r="BW170" i="2"/>
  <c r="BL78" i="2"/>
  <c r="BH172" i="2"/>
  <c r="BG41" i="2"/>
  <c r="J150" i="2"/>
  <c r="J89" i="2"/>
  <c r="AA113" i="2"/>
  <c r="AA80" i="54"/>
  <c r="AU92" i="2"/>
  <c r="AI454" i="73"/>
  <c r="AM454" i="73"/>
  <c r="AM16" i="73" s="1"/>
  <c r="AM17" i="73" s="1"/>
  <c r="BS454" i="73"/>
  <c r="BS16" i="73" s="1"/>
  <c r="BS17" i="73" s="1"/>
  <c r="AC92" i="2"/>
  <c r="AC157" i="2"/>
  <c r="AM157" i="2"/>
  <c r="AM35" i="2"/>
  <c r="AT455" i="73"/>
  <c r="AT18" i="73" s="1"/>
  <c r="AT19" i="73" s="1"/>
  <c r="AC35" i="2"/>
  <c r="AC170" i="2"/>
  <c r="BF170" i="2"/>
  <c r="BI170" i="2"/>
  <c r="BN49" i="2"/>
  <c r="O170" i="2"/>
  <c r="I35" i="2"/>
  <c r="I157" i="2"/>
  <c r="M40" i="2"/>
  <c r="M190" i="2" s="1"/>
  <c r="P150" i="2"/>
  <c r="P89" i="2"/>
  <c r="P157" i="2"/>
  <c r="P35" i="2"/>
  <c r="AG35" i="2"/>
  <c r="AK40" i="2"/>
  <c r="AY8" i="54"/>
  <c r="AY59" i="54"/>
  <c r="AY455" i="73"/>
  <c r="AY18" i="73" s="1"/>
  <c r="AY19" i="73" s="1"/>
  <c r="AS40" i="3"/>
  <c r="BM143" i="2"/>
  <c r="P170" i="2"/>
  <c r="AY170" i="2"/>
  <c r="BH170" i="2"/>
  <c r="V35" i="2"/>
  <c r="BR96" i="2"/>
  <c r="BQ49" i="2"/>
  <c r="K123" i="2"/>
  <c r="K126" i="2" s="1"/>
  <c r="AE30" i="54"/>
  <c r="BY79" i="2"/>
  <c r="BY78" i="2"/>
  <c r="O35" i="2"/>
  <c r="O157" i="2"/>
  <c r="BX99" i="2"/>
  <c r="BW49" i="2"/>
  <c r="BY25" i="54"/>
  <c r="BM169" i="2"/>
  <c r="BM181" i="2" s="1"/>
  <c r="J176" i="2"/>
  <c r="J182" i="2" s="1"/>
  <c r="J144" i="2"/>
  <c r="AP172" i="2"/>
  <c r="AP79" i="2"/>
  <c r="AN143" i="2"/>
  <c r="AN169" i="2"/>
  <c r="AN181" i="2" s="1"/>
  <c r="AN66" i="2"/>
  <c r="AT92" i="2"/>
  <c r="AT173" i="2"/>
  <c r="AA176" i="2"/>
  <c r="AA182" i="2" s="1"/>
  <c r="DM33" i="51"/>
  <c r="BB170" i="2"/>
  <c r="AD170" i="2"/>
  <c r="BO456" i="73"/>
  <c r="BO20" i="73" s="1"/>
  <c r="BO21" i="73" s="1"/>
  <c r="W92" i="2"/>
  <c r="BY173" i="2"/>
  <c r="BE173" i="2"/>
  <c r="BE92" i="2"/>
  <c r="X106" i="2"/>
  <c r="X107" i="2" s="1"/>
  <c r="AB143" i="2"/>
  <c r="BY143" i="2"/>
  <c r="AN176" i="2"/>
  <c r="AN182" i="2" s="1"/>
  <c r="AE170" i="2"/>
  <c r="AQ172" i="2"/>
  <c r="BE66" i="2"/>
  <c r="BE169" i="2"/>
  <c r="BE181" i="2" s="1"/>
  <c r="BE143" i="2"/>
  <c r="K144" i="2"/>
  <c r="AM143" i="2"/>
  <c r="AM169" i="2"/>
  <c r="AM181" i="2" s="1"/>
  <c r="AM66" i="2"/>
  <c r="AT143" i="2"/>
  <c r="AT66" i="2"/>
  <c r="AT176" i="2"/>
  <c r="AT182" i="2" s="1"/>
  <c r="AT169" i="2"/>
  <c r="AT181" i="2" s="1"/>
  <c r="AA79" i="54"/>
  <c r="AA167" i="2"/>
  <c r="BE176" i="2"/>
  <c r="BE182" i="2" s="1"/>
  <c r="CI80" i="2"/>
  <c r="AM176" i="2"/>
  <c r="AM182" i="2" s="1"/>
  <c r="BE144" i="2"/>
  <c r="BE79" i="54"/>
  <c r="BE167" i="2"/>
  <c r="AT97" i="2"/>
  <c r="AT100" i="2" s="1"/>
  <c r="AT167" i="2"/>
  <c r="AT79" i="54"/>
  <c r="BE97" i="2"/>
  <c r="BF144" i="2"/>
  <c r="CA15" i="2"/>
  <c r="CA89" i="2" s="1"/>
  <c r="CA34" i="2"/>
  <c r="BZ142" i="2"/>
  <c r="CA446" i="73"/>
  <c r="BZ143" i="2"/>
  <c r="BZ76" i="51"/>
  <c r="BZ75" i="51"/>
  <c r="AN80" i="54" l="1"/>
  <c r="BW74" i="54"/>
  <c r="BW82" i="54" s="1"/>
  <c r="BC58" i="54"/>
  <c r="CK57" i="54"/>
  <c r="CI57" i="54"/>
  <c r="CJ57" i="54"/>
  <c r="CS57" i="54"/>
  <c r="CL57" i="54"/>
  <c r="CC25" i="54"/>
  <c r="CC27" i="54" s="1"/>
  <c r="CF25" i="54"/>
  <c r="CF27" i="54" s="1"/>
  <c r="BI34" i="54"/>
  <c r="BB100" i="1"/>
  <c r="BB102" i="1" s="1"/>
  <c r="BQ100" i="1"/>
  <c r="BQ102" i="1" s="1"/>
  <c r="O18" i="54"/>
  <c r="BE100" i="1"/>
  <c r="BE102" i="1" s="1"/>
  <c r="CM25" i="54"/>
  <c r="CK25" i="54" s="1"/>
  <c r="AY100" i="1"/>
  <c r="AY102" i="1" s="1"/>
  <c r="E74" i="54"/>
  <c r="E82" i="54" s="1"/>
  <c r="W8" i="54"/>
  <c r="AJ74" i="54"/>
  <c r="AJ82" i="54" s="1"/>
  <c r="BM100" i="1"/>
  <c r="BM102" i="1" s="1"/>
  <c r="AZ100" i="1"/>
  <c r="AZ102" i="1" s="1"/>
  <c r="BG100" i="1"/>
  <c r="BG102" i="1" s="1"/>
  <c r="AZ106" i="2"/>
  <c r="AZ107" i="2" s="1"/>
  <c r="V80" i="54"/>
  <c r="BT131" i="2"/>
  <c r="BX113" i="2"/>
  <c r="BX18" i="1" s="1"/>
  <c r="W81" i="54"/>
  <c r="BC230" i="73"/>
  <c r="BC54" i="73"/>
  <c r="BF80" i="54"/>
  <c r="AH131" i="2"/>
  <c r="AH132" i="2" s="1"/>
  <c r="BR81" i="54"/>
  <c r="AC113" i="2"/>
  <c r="AC18" i="1" s="1"/>
  <c r="AC20" i="1" s="1"/>
  <c r="AB113" i="2"/>
  <c r="AB18" i="1" s="1"/>
  <c r="AB20" i="1" s="1"/>
  <c r="AH64" i="1" s="1"/>
  <c r="V81" i="54"/>
  <c r="AN441" i="73"/>
  <c r="BF236" i="73"/>
  <c r="BA36" i="4"/>
  <c r="BL93" i="73"/>
  <c r="BL91" i="73" s="1"/>
  <c r="BL336" i="73" s="1"/>
  <c r="BZ86" i="73"/>
  <c r="BT86" i="73"/>
  <c r="BM93" i="73"/>
  <c r="BM91" i="73" s="1"/>
  <c r="BM336" i="73" s="1"/>
  <c r="BY86" i="73"/>
  <c r="BN93" i="73"/>
  <c r="BO85" i="73"/>
  <c r="BU85" i="73"/>
  <c r="BR86" i="73"/>
  <c r="BX86" i="73"/>
  <c r="BI290" i="73"/>
  <c r="BF85" i="3"/>
  <c r="BF84" i="3" s="1"/>
  <c r="DY31" i="51"/>
  <c r="CI13" i="51"/>
  <c r="DY9" i="51" s="1"/>
  <c r="DY30" i="51"/>
  <c r="CI19" i="51"/>
  <c r="DY11" i="51" s="1"/>
  <c r="DY32" i="51"/>
  <c r="AY159" i="2"/>
  <c r="S152" i="2"/>
  <c r="BX131" i="2"/>
  <c r="X41" i="2"/>
  <c r="AT131" i="2"/>
  <c r="AT132" i="2" s="1"/>
  <c r="BF81" i="54"/>
  <c r="P81" i="54"/>
  <c r="BR80" i="54"/>
  <c r="BR84" i="3"/>
  <c r="BM80" i="54"/>
  <c r="AK25" i="3"/>
  <c r="AZ80" i="54"/>
  <c r="M23" i="3"/>
  <c r="BH106" i="2"/>
  <c r="BH107" i="2" s="1"/>
  <c r="BB131" i="2"/>
  <c r="BB132" i="2" s="1"/>
  <c r="AT80" i="54"/>
  <c r="BL85" i="3"/>
  <c r="BL84" i="3" s="1"/>
  <c r="BO151" i="2"/>
  <c r="AQ125" i="2"/>
  <c r="AE55" i="2"/>
  <c r="BB159" i="2"/>
  <c r="AE148" i="2"/>
  <c r="J154" i="2"/>
  <c r="BQ41" i="2"/>
  <c r="BF41" i="2"/>
  <c r="AW133" i="2"/>
  <c r="BE100" i="2"/>
  <c r="AW153" i="2"/>
  <c r="Q159" i="2"/>
  <c r="BN116" i="2"/>
  <c r="BS49" i="54"/>
  <c r="BS51" i="54" s="1"/>
  <c r="L22" i="54"/>
  <c r="M22" i="54" s="1"/>
  <c r="J74" i="54"/>
  <c r="J82" i="54" s="1"/>
  <c r="AW30" i="54"/>
  <c r="BC30" i="54"/>
  <c r="BC31" i="54"/>
  <c r="BI30" i="54"/>
  <c r="BI31" i="54"/>
  <c r="BU50" i="54"/>
  <c r="CD25" i="54"/>
  <c r="R30" i="54"/>
  <c r="BR113" i="2"/>
  <c r="BR18" i="1" s="1"/>
  <c r="BR20" i="1" s="1"/>
  <c r="BR46" i="1" s="1"/>
  <c r="BS125" i="2"/>
  <c r="BT125" i="2" s="1"/>
  <c r="BT19" i="1" s="1"/>
  <c r="BC156" i="2"/>
  <c r="AH41" i="2"/>
  <c r="AH51" i="2" s="1"/>
  <c r="AE151" i="2"/>
  <c r="R126" i="2"/>
  <c r="BX68" i="2"/>
  <c r="BO77" i="2"/>
  <c r="BO148" i="2"/>
  <c r="BB41" i="2"/>
  <c r="BO91" i="2"/>
  <c r="S188" i="2"/>
  <c r="BW96" i="2"/>
  <c r="CA96" i="2" s="1"/>
  <c r="AC159" i="2"/>
  <c r="BT68" i="2"/>
  <c r="R41" i="2"/>
  <c r="AZ41" i="2"/>
  <c r="BX132" i="2"/>
  <c r="BK154" i="2"/>
  <c r="BQ154" i="2"/>
  <c r="AN183" i="2"/>
  <c r="AN184" i="2" s="1"/>
  <c r="AN185" i="2" s="1"/>
  <c r="BW68" i="2"/>
  <c r="BW195" i="2"/>
  <c r="AK158" i="2"/>
  <c r="AK190" i="2"/>
  <c r="BQ195" i="2"/>
  <c r="BN68" i="2"/>
  <c r="BN195" i="2"/>
  <c r="BY195" i="2"/>
  <c r="BE195" i="2"/>
  <c r="BI78" i="2"/>
  <c r="M133" i="2"/>
  <c r="M200" i="2"/>
  <c r="AK133" i="2"/>
  <c r="AM130" i="2" s="1"/>
  <c r="AM132" i="2" s="1"/>
  <c r="AK200" i="2"/>
  <c r="BC153" i="2"/>
  <c r="BI200" i="2"/>
  <c r="BU133" i="2"/>
  <c r="CA130" i="2" s="1"/>
  <c r="BU200" i="2"/>
  <c r="AE188" i="2"/>
  <c r="AW188" i="2"/>
  <c r="BC188" i="2"/>
  <c r="BI156" i="2"/>
  <c r="BI188" i="2"/>
  <c r="BO188" i="2"/>
  <c r="BU188" i="2"/>
  <c r="AQ189" i="2"/>
  <c r="BC189" i="2"/>
  <c r="BO189" i="2"/>
  <c r="AK43" i="2"/>
  <c r="AK193" i="2" s="1"/>
  <c r="AJ193" i="2"/>
  <c r="BB195" i="2"/>
  <c r="BL195" i="2"/>
  <c r="I68" i="2"/>
  <c r="I195" i="2"/>
  <c r="K68" i="2"/>
  <c r="K195" i="2"/>
  <c r="U195" i="2"/>
  <c r="W68" i="2"/>
  <c r="W195" i="2"/>
  <c r="AC68" i="2"/>
  <c r="AC195" i="2"/>
  <c r="AG195" i="2"/>
  <c r="AI68" i="2"/>
  <c r="AI195" i="2"/>
  <c r="AM68" i="2"/>
  <c r="AM195" i="2"/>
  <c r="AO68" i="2"/>
  <c r="AO195" i="2"/>
  <c r="AS195" i="2"/>
  <c r="AY195" i="2"/>
  <c r="AJ127" i="2"/>
  <c r="BN154" i="2"/>
  <c r="BH60" i="2"/>
  <c r="BG195" i="2"/>
  <c r="AE133" i="2"/>
  <c r="AK130" i="2" s="1"/>
  <c r="AE200" i="2"/>
  <c r="BI151" i="2"/>
  <c r="M188" i="2"/>
  <c r="Y188" i="2"/>
  <c r="AK188" i="2"/>
  <c r="AQ188" i="2"/>
  <c r="BI35" i="2"/>
  <c r="M189" i="2"/>
  <c r="S189" i="2"/>
  <c r="Y189" i="2"/>
  <c r="AE189" i="2"/>
  <c r="AK189" i="2"/>
  <c r="AW189" i="2"/>
  <c r="BC158" i="2"/>
  <c r="BC190" i="2"/>
  <c r="BI189" i="2"/>
  <c r="BU158" i="2"/>
  <c r="BU189" i="2"/>
  <c r="J68" i="2"/>
  <c r="J195" i="2"/>
  <c r="L68" i="2"/>
  <c r="L195" i="2"/>
  <c r="P68" i="2"/>
  <c r="P195" i="2"/>
  <c r="R68" i="2"/>
  <c r="R195" i="2"/>
  <c r="X195" i="2"/>
  <c r="AD195" i="2"/>
  <c r="AH195" i="2"/>
  <c r="AJ195" i="2"/>
  <c r="AN195" i="2"/>
  <c r="AP195" i="2"/>
  <c r="AT68" i="2"/>
  <c r="AT195" i="2"/>
  <c r="AV68" i="2"/>
  <c r="AV195" i="2"/>
  <c r="AZ195" i="2"/>
  <c r="AN127" i="2"/>
  <c r="CE193" i="2"/>
  <c r="V40" i="3"/>
  <c r="BR40" i="3"/>
  <c r="AH50" i="3"/>
  <c r="BA131" i="2"/>
  <c r="BA132" i="2" s="1"/>
  <c r="AT50" i="3"/>
  <c r="BG80" i="54"/>
  <c r="BG81" i="54"/>
  <c r="BH81" i="54"/>
  <c r="BG106" i="2"/>
  <c r="BG107" i="2" s="1"/>
  <c r="AH175" i="2"/>
  <c r="AH177" i="2" s="1"/>
  <c r="P113" i="2"/>
  <c r="P18" i="1" s="1"/>
  <c r="P20" i="1" s="1"/>
  <c r="P64" i="1" s="1"/>
  <c r="J106" i="2"/>
  <c r="J107" i="2" s="1"/>
  <c r="BE183" i="2"/>
  <c r="BE184" i="2" s="1"/>
  <c r="AH183" i="2"/>
  <c r="AH184" i="2" s="1"/>
  <c r="AT183" i="2"/>
  <c r="AT184" i="2" s="1"/>
  <c r="AM183" i="2"/>
  <c r="AM184" i="2" s="1"/>
  <c r="BH183" i="2"/>
  <c r="BH184" i="2" s="1"/>
  <c r="AA183" i="2"/>
  <c r="AA184" i="2" s="1"/>
  <c r="BR188" i="2"/>
  <c r="BO34" i="54"/>
  <c r="BO31" i="54"/>
  <c r="AG20" i="1"/>
  <c r="BQ20" i="1"/>
  <c r="AM20" i="1"/>
  <c r="AM65" i="2" s="1"/>
  <c r="BE20" i="1"/>
  <c r="BE65" i="2" s="1"/>
  <c r="BY331" i="73"/>
  <c r="CE21" i="4"/>
  <c r="BY45" i="4"/>
  <c r="CL79" i="2"/>
  <c r="CR79" i="2" s="1"/>
  <c r="CX79" i="2" s="1"/>
  <c r="CK79" i="2"/>
  <c r="CQ79" i="2" s="1"/>
  <c r="CW79" i="2" s="1"/>
  <c r="BY32" i="4"/>
  <c r="BY33" i="4" s="1"/>
  <c r="BY51" i="4"/>
  <c r="AV295" i="73"/>
  <c r="AV383" i="73" s="1"/>
  <c r="AV412" i="73" s="1"/>
  <c r="AM379" i="73"/>
  <c r="AH411" i="73"/>
  <c r="CV19" i="51"/>
  <c r="CU19" i="51"/>
  <c r="AU50" i="3"/>
  <c r="CO107" i="2"/>
  <c r="CP107" i="2" s="1"/>
  <c r="CQ107" i="2" s="1"/>
  <c r="CR107" i="2" s="1"/>
  <c r="CU107" i="2" s="1"/>
  <c r="CV107" i="2" s="1"/>
  <c r="CW107" i="2" s="1"/>
  <c r="CX107" i="2" s="1"/>
  <c r="AN51" i="2"/>
  <c r="AS68" i="2"/>
  <c r="BU150" i="2"/>
  <c r="BI149" i="2"/>
  <c r="U154" i="2"/>
  <c r="AH68" i="2"/>
  <c r="AT127" i="2"/>
  <c r="BN159" i="2"/>
  <c r="BO157" i="2"/>
  <c r="AT60" i="2"/>
  <c r="K127" i="2"/>
  <c r="BC77" i="2"/>
  <c r="BU124" i="2"/>
  <c r="S49" i="2"/>
  <c r="M153" i="2"/>
  <c r="BB68" i="2"/>
  <c r="BO124" i="2"/>
  <c r="AI159" i="2"/>
  <c r="BH159" i="2"/>
  <c r="BS131" i="2"/>
  <c r="BS132" i="2" s="1"/>
  <c r="BC148" i="2"/>
  <c r="AG68" i="2"/>
  <c r="AV154" i="2"/>
  <c r="BL67" i="4"/>
  <c r="BL76" i="4" s="1"/>
  <c r="BK67" i="4"/>
  <c r="BK68" i="4" s="1"/>
  <c r="AY67" i="4"/>
  <c r="BE68" i="4" s="1"/>
  <c r="M25" i="2"/>
  <c r="M157" i="2"/>
  <c r="AE49" i="2"/>
  <c r="AE68" i="2" s="1"/>
  <c r="AQ49" i="2"/>
  <c r="M96" i="2"/>
  <c r="AZ154" i="2"/>
  <c r="V159" i="2"/>
  <c r="L159" i="2"/>
  <c r="J159" i="2"/>
  <c r="J161" i="2" s="1"/>
  <c r="K162" i="2" s="1"/>
  <c r="M152" i="2"/>
  <c r="S25" i="2"/>
  <c r="BI152" i="2"/>
  <c r="BI49" i="2"/>
  <c r="G154" i="2"/>
  <c r="AZ115" i="73"/>
  <c r="AZ132" i="73" s="1"/>
  <c r="AV253" i="73"/>
  <c r="AZ253" i="73"/>
  <c r="BI35" i="54"/>
  <c r="BO38" i="54"/>
  <c r="BI43" i="54"/>
  <c r="BU42" i="54"/>
  <c r="BU46" i="54"/>
  <c r="AW8" i="54"/>
  <c r="AU74" i="54"/>
  <c r="AU82" i="54" s="1"/>
  <c r="AP74" i="54"/>
  <c r="AP82" i="54" s="1"/>
  <c r="BK15" i="54"/>
  <c r="BK8" i="54"/>
  <c r="AK15" i="54"/>
  <c r="AQ15" i="54"/>
  <c r="AW15" i="54"/>
  <c r="AE15" i="54"/>
  <c r="BI15" i="54"/>
  <c r="G71" i="54"/>
  <c r="CA38" i="54"/>
  <c r="CA50" i="54"/>
  <c r="CE25" i="54"/>
  <c r="AO410" i="73"/>
  <c r="AP412" i="73"/>
  <c r="AN442" i="73"/>
  <c r="X81" i="54"/>
  <c r="AB175" i="2"/>
  <c r="AB177" i="2" s="1"/>
  <c r="AZ40" i="3"/>
  <c r="BR131" i="2"/>
  <c r="BR132" i="2" s="1"/>
  <c r="W113" i="2"/>
  <c r="W18" i="1" s="1"/>
  <c r="W106" i="2"/>
  <c r="W107" i="2" s="1"/>
  <c r="AZ113" i="2"/>
  <c r="AZ18" i="1" s="1"/>
  <c r="AZ20" i="1" s="1"/>
  <c r="V113" i="2"/>
  <c r="V18" i="1" s="1"/>
  <c r="AN81" i="54"/>
  <c r="AZ131" i="2"/>
  <c r="AZ132" i="2" s="1"/>
  <c r="V106" i="2"/>
  <c r="V107" i="2" s="1"/>
  <c r="BL106" i="2"/>
  <c r="BL107" i="2" s="1"/>
  <c r="BT11" i="3"/>
  <c r="BT80" i="54" s="1"/>
  <c r="AA159" i="2"/>
  <c r="M49" i="2"/>
  <c r="Y49" i="2"/>
  <c r="Y68" i="2" s="1"/>
  <c r="AK49" i="2"/>
  <c r="AW49" i="2"/>
  <c r="AQ79" i="2"/>
  <c r="AC41" i="2"/>
  <c r="AC51" i="2" s="1"/>
  <c r="AB41" i="2"/>
  <c r="AI132" i="2"/>
  <c r="AH60" i="2"/>
  <c r="BI77" i="2"/>
  <c r="AI41" i="2"/>
  <c r="AI51" i="2" s="1"/>
  <c r="M150" i="2"/>
  <c r="AJ159" i="2"/>
  <c r="BU156" i="2"/>
  <c r="AM159" i="2"/>
  <c r="AQ99" i="2"/>
  <c r="AK55" i="2"/>
  <c r="BL68" i="2"/>
  <c r="AG41" i="2"/>
  <c r="W51" i="2"/>
  <c r="BQ68" i="2"/>
  <c r="BU96" i="2"/>
  <c r="AD41" i="2"/>
  <c r="AD51" i="2" s="1"/>
  <c r="M90" i="2"/>
  <c r="BE127" i="2"/>
  <c r="BY41" i="2"/>
  <c r="BY51" i="2" s="1"/>
  <c r="AO123" i="2"/>
  <c r="U41" i="2"/>
  <c r="Y133" i="2"/>
  <c r="AA130" i="2" s="1"/>
  <c r="AA132" i="2" s="1"/>
  <c r="AN159" i="2"/>
  <c r="M35" i="2"/>
  <c r="M41" i="2" s="1"/>
  <c r="BU91" i="2"/>
  <c r="U96" i="2"/>
  <c r="Y96" i="2" s="1"/>
  <c r="AS96" i="2"/>
  <c r="AW96" i="2" s="1"/>
  <c r="BQ121" i="2"/>
  <c r="Y157" i="2"/>
  <c r="AT41" i="2"/>
  <c r="M123" i="2"/>
  <c r="AD159" i="2"/>
  <c r="AE158" i="2"/>
  <c r="AG96" i="2"/>
  <c r="AK96" i="2" s="1"/>
  <c r="BI79" i="2"/>
  <c r="O159" i="2"/>
  <c r="BN41" i="2"/>
  <c r="BI148" i="2"/>
  <c r="BE68" i="2"/>
  <c r="K159" i="2"/>
  <c r="AK35" i="2"/>
  <c r="BC35" i="2"/>
  <c r="CP46" i="4"/>
  <c r="AY177" i="73"/>
  <c r="AY181" i="73" s="1"/>
  <c r="BM257" i="73"/>
  <c r="BH162" i="73"/>
  <c r="BH401" i="73" s="1"/>
  <c r="BH410" i="73" s="1"/>
  <c r="BB132" i="73"/>
  <c r="BB399" i="73" s="1"/>
  <c r="BB408" i="73" s="1"/>
  <c r="BK236" i="73"/>
  <c r="AU168" i="73"/>
  <c r="AU431" i="73" s="1"/>
  <c r="AU440" i="73" s="1"/>
  <c r="AY179" i="73"/>
  <c r="BK255" i="73"/>
  <c r="AJ412" i="73"/>
  <c r="AJ442" i="73"/>
  <c r="BB116" i="73"/>
  <c r="AQ166" i="73"/>
  <c r="BX331" i="73"/>
  <c r="CD332" i="73" s="1"/>
  <c r="CD21" i="4"/>
  <c r="P18" i="52"/>
  <c r="CA45" i="54"/>
  <c r="BX45" i="54" s="1"/>
  <c r="BX47" i="54" s="1"/>
  <c r="BR45" i="54"/>
  <c r="BR47" i="54" s="1"/>
  <c r="BS45" i="54"/>
  <c r="BS47" i="54" s="1"/>
  <c r="BC59" i="54"/>
  <c r="BI42" i="54"/>
  <c r="BO43" i="54"/>
  <c r="BR74" i="54"/>
  <c r="BR82" i="54" s="1"/>
  <c r="BO59" i="54"/>
  <c r="G62" i="54"/>
  <c r="BX74" i="54"/>
  <c r="BX82" i="54" s="1"/>
  <c r="BE84" i="3"/>
  <c r="AE153" i="2"/>
  <c r="BC78" i="2"/>
  <c r="M77" i="2"/>
  <c r="S35" i="2"/>
  <c r="S41" i="2" s="1"/>
  <c r="AK157" i="2"/>
  <c r="BS41" i="2"/>
  <c r="S133" i="2"/>
  <c r="Y130" i="2" s="1"/>
  <c r="AK149" i="2"/>
  <c r="K41" i="2"/>
  <c r="AK78" i="2"/>
  <c r="BM125" i="2"/>
  <c r="BM19" i="1" s="1"/>
  <c r="AB159" i="2"/>
  <c r="Y125" i="2"/>
  <c r="AZ255" i="73"/>
  <c r="AZ261" i="73" s="1"/>
  <c r="AJ132" i="73"/>
  <c r="AJ399" i="73" s="1"/>
  <c r="BB134" i="73"/>
  <c r="BB448" i="73" s="1"/>
  <c r="BY182" i="73"/>
  <c r="AZ257" i="73"/>
  <c r="CQ236" i="73"/>
  <c r="AU300" i="73"/>
  <c r="AU403" i="73" s="1"/>
  <c r="AU412" i="73" s="1"/>
  <c r="BF157" i="73"/>
  <c r="BF381" i="73" s="1"/>
  <c r="BE243" i="73"/>
  <c r="BE252" i="73" s="1"/>
  <c r="BE257" i="73" s="1"/>
  <c r="AH408" i="73"/>
  <c r="AO168" i="73"/>
  <c r="AO431" i="73" s="1"/>
  <c r="AO440" i="73" s="1"/>
  <c r="AQ433" i="73"/>
  <c r="BS243" i="73"/>
  <c r="BS252" i="73" s="1"/>
  <c r="BS253" i="73" s="1"/>
  <c r="AT179" i="73"/>
  <c r="AK119" i="73"/>
  <c r="AK127" i="73" s="1"/>
  <c r="BL253" i="73"/>
  <c r="K62" i="52"/>
  <c r="K64" i="52"/>
  <c r="K65" i="52" s="1"/>
  <c r="K78" i="52" s="1"/>
  <c r="E32" i="52" s="1"/>
  <c r="BF126" i="2"/>
  <c r="BR126" i="2"/>
  <c r="AO159" i="2"/>
  <c r="Y91" i="2"/>
  <c r="V154" i="2"/>
  <c r="BR37" i="54"/>
  <c r="BR39" i="54" s="1"/>
  <c r="BS37" i="54"/>
  <c r="BS39" i="54" s="1"/>
  <c r="BT37" i="54"/>
  <c r="BT39" i="54" s="1"/>
  <c r="BT33" i="54"/>
  <c r="BT35" i="54" s="1"/>
  <c r="BS33" i="54"/>
  <c r="BS35" i="54" s="1"/>
  <c r="BR33" i="54"/>
  <c r="BR35" i="54" s="1"/>
  <c r="CA41" i="54"/>
  <c r="BS41" i="54"/>
  <c r="BS43" i="54" s="1"/>
  <c r="BT41" i="54"/>
  <c r="BT43" i="54" s="1"/>
  <c r="BR41" i="54"/>
  <c r="BR43" i="54" s="1"/>
  <c r="BH74" i="54"/>
  <c r="BH82" i="54" s="1"/>
  <c r="BO39" i="54"/>
  <c r="BO35" i="54"/>
  <c r="E80" i="54"/>
  <c r="E18" i="1" s="1"/>
  <c r="D18" i="1"/>
  <c r="CI84" i="3"/>
  <c r="L41" i="2"/>
  <c r="CG45" i="2"/>
  <c r="CI45" i="2" s="1"/>
  <c r="CJ45" i="2" s="1"/>
  <c r="CK45" i="2" s="1"/>
  <c r="CL45" i="2" s="1"/>
  <c r="CM45" i="2" s="1"/>
  <c r="CO45" i="2" s="1"/>
  <c r="CP45" i="2" s="1"/>
  <c r="CQ45" i="2" s="1"/>
  <c r="CR45" i="2" s="1"/>
  <c r="CS45" i="2" s="1"/>
  <c r="CU45" i="2" s="1"/>
  <c r="CV45" i="2" s="1"/>
  <c r="CW45" i="2" s="1"/>
  <c r="CX45" i="2" s="1"/>
  <c r="CY45" i="2" s="1"/>
  <c r="BG68" i="2"/>
  <c r="BH68" i="2"/>
  <c r="AA41" i="2"/>
  <c r="AJ19" i="1"/>
  <c r="AK19" i="1" s="1"/>
  <c r="AV159" i="2"/>
  <c r="Y148" i="2"/>
  <c r="AQ149" i="2"/>
  <c r="S123" i="2"/>
  <c r="S126" i="2" s="1"/>
  <c r="O123" i="2"/>
  <c r="O127" i="2" s="1"/>
  <c r="AE123" i="2"/>
  <c r="AA123" i="2"/>
  <c r="AQ133" i="2"/>
  <c r="AS130" i="2" s="1"/>
  <c r="AS132" i="2" s="1"/>
  <c r="AQ153" i="2"/>
  <c r="BU151" i="2"/>
  <c r="AQ156" i="2"/>
  <c r="BA41" i="2"/>
  <c r="BA51" i="2" s="1"/>
  <c r="BH41" i="2"/>
  <c r="BW41" i="2"/>
  <c r="X68" i="2"/>
  <c r="AD68" i="2"/>
  <c r="AJ68" i="2"/>
  <c r="AN68" i="2"/>
  <c r="AP68" i="2"/>
  <c r="L19" i="1"/>
  <c r="M19" i="1" s="1"/>
  <c r="M125" i="2"/>
  <c r="AD19" i="1"/>
  <c r="AE19" i="1" s="1"/>
  <c r="AE125" i="2"/>
  <c r="AI123" i="2"/>
  <c r="AI126" i="2" s="1"/>
  <c r="AH127" i="2"/>
  <c r="AH159" i="2"/>
  <c r="BU49" i="2"/>
  <c r="S157" i="2"/>
  <c r="Y158" i="2"/>
  <c r="BR159" i="2"/>
  <c r="AG407" i="73"/>
  <c r="AK382" i="73"/>
  <c r="AI442" i="73"/>
  <c r="AT110" i="73"/>
  <c r="AV126" i="73"/>
  <c r="AV119" i="73" s="1"/>
  <c r="AV127" i="73" s="1"/>
  <c r="AK166" i="73"/>
  <c r="AH442" i="73"/>
  <c r="BC149" i="2"/>
  <c r="AW156" i="2"/>
  <c r="W159" i="2"/>
  <c r="U159" i="2"/>
  <c r="AQ25" i="2"/>
  <c r="I41" i="2"/>
  <c r="CA99" i="2"/>
  <c r="BH51" i="2"/>
  <c r="AT159" i="2"/>
  <c r="BU89" i="3"/>
  <c r="BQ114" i="2"/>
  <c r="BF106" i="2"/>
  <c r="BF107" i="2" s="1"/>
  <c r="AN175" i="2"/>
  <c r="AN177" i="2" s="1"/>
  <c r="BR50" i="3"/>
  <c r="M79" i="3"/>
  <c r="M78" i="3"/>
  <c r="M77" i="3"/>
  <c r="M73" i="3"/>
  <c r="S69" i="3" s="1"/>
  <c r="S78" i="3" s="1"/>
  <c r="AD113" i="2"/>
  <c r="AD18" i="1" s="1"/>
  <c r="AT40" i="3"/>
  <c r="BL113" i="2"/>
  <c r="BL18" i="1" s="1"/>
  <c r="BL20" i="1" s="1"/>
  <c r="AB50" i="3"/>
  <c r="BA175" i="2"/>
  <c r="BA177" i="2" s="1"/>
  <c r="BL131" i="2"/>
  <c r="BL132" i="2" s="1"/>
  <c r="P50" i="3"/>
  <c r="AU106" i="2"/>
  <c r="AU107" i="2" s="1"/>
  <c r="AC80" i="54"/>
  <c r="BL80" i="54"/>
  <c r="AB80" i="54"/>
  <c r="BL81" i="54"/>
  <c r="AT81" i="54"/>
  <c r="AH81" i="54"/>
  <c r="AB81" i="54"/>
  <c r="BL40" i="3"/>
  <c r="AT113" i="2"/>
  <c r="AT18" i="1" s="1"/>
  <c r="AH80" i="54"/>
  <c r="BR175" i="2"/>
  <c r="BR177" i="2" s="1"/>
  <c r="AZ175" i="2"/>
  <c r="AZ177" i="2" s="1"/>
  <c r="AT106" i="2"/>
  <c r="AT107" i="2" s="1"/>
  <c r="AB131" i="2"/>
  <c r="AB132" i="2" s="1"/>
  <c r="AN50" i="3"/>
  <c r="M86" i="3"/>
  <c r="L35" i="3"/>
  <c r="M35" i="3" s="1"/>
  <c r="AJ12" i="3"/>
  <c r="S24" i="3"/>
  <c r="BE29" i="3"/>
  <c r="CC86" i="73"/>
  <c r="CE86" i="73"/>
  <c r="CQ48" i="4"/>
  <c r="CQ46" i="4" s="1"/>
  <c r="AH410" i="73"/>
  <c r="AU126" i="73"/>
  <c r="AU119" i="73" s="1"/>
  <c r="AU127" i="73" s="1"/>
  <c r="AZ156" i="73"/>
  <c r="AZ157" i="73" s="1"/>
  <c r="AZ381" i="73" s="1"/>
  <c r="AZ410" i="73" s="1"/>
  <c r="AV379" i="73"/>
  <c r="AU379" i="73"/>
  <c r="AU408" i="73" s="1"/>
  <c r="BK134" i="73"/>
  <c r="BK448" i="73" s="1"/>
  <c r="AV255" i="73"/>
  <c r="BK179" i="73"/>
  <c r="AU134" i="73"/>
  <c r="AW453" i="73"/>
  <c r="AW452" i="73" s="1"/>
  <c r="CY453" i="73"/>
  <c r="BH128" i="73"/>
  <c r="BH115" i="73" s="1"/>
  <c r="BH337" i="73" s="1"/>
  <c r="BS141" i="73"/>
  <c r="BS142" i="73" s="1"/>
  <c r="BF255" i="73"/>
  <c r="BF261" i="73" s="1"/>
  <c r="AV125" i="73"/>
  <c r="AV132" i="73"/>
  <c r="AV399" i="73" s="1"/>
  <c r="BK156" i="73"/>
  <c r="BK157" i="73" s="1"/>
  <c r="BK381" i="73" s="1"/>
  <c r="BK410" i="73" s="1"/>
  <c r="AH176" i="73"/>
  <c r="AH177" i="73" s="1"/>
  <c r="AH184" i="73" s="1"/>
  <c r="AH136" i="73"/>
  <c r="AH429" i="73" s="1"/>
  <c r="AH438" i="73" s="1"/>
  <c r="AJ168" i="73"/>
  <c r="AJ431" i="73" s="1"/>
  <c r="AJ440" i="73" s="1"/>
  <c r="BS179" i="73"/>
  <c r="AV134" i="73"/>
  <c r="AV448" i="73" s="1"/>
  <c r="AU199" i="73"/>
  <c r="AU116" i="73"/>
  <c r="AG178" i="73"/>
  <c r="BK74" i="4"/>
  <c r="BL55" i="4"/>
  <c r="BL56" i="4" s="1"/>
  <c r="AY156" i="73"/>
  <c r="AY157" i="73" s="1"/>
  <c r="AU410" i="73"/>
  <c r="AS410" i="73"/>
  <c r="BY73" i="4"/>
  <c r="AP62" i="51"/>
  <c r="BX98" i="51"/>
  <c r="BX102" i="51" s="1"/>
  <c r="AA145" i="2"/>
  <c r="AA146" i="2" s="1"/>
  <c r="AA147" i="2" s="1"/>
  <c r="AH32" i="4"/>
  <c r="AJ407" i="73"/>
  <c r="AS407" i="73"/>
  <c r="AU407" i="73"/>
  <c r="AK381" i="73"/>
  <c r="AN168" i="73"/>
  <c r="AN431" i="73" s="1"/>
  <c r="AN440" i="73" s="1"/>
  <c r="AN412" i="73"/>
  <c r="AH441" i="73"/>
  <c r="AJ441" i="73"/>
  <c r="BG49" i="4"/>
  <c r="BG50" i="4" s="1"/>
  <c r="BG15" i="51" s="1"/>
  <c r="AI407" i="73"/>
  <c r="AS116" i="73"/>
  <c r="AW115" i="73"/>
  <c r="AW379" i="73" s="1"/>
  <c r="AG168" i="73"/>
  <c r="AG431" i="73" s="1"/>
  <c r="AG440" i="73" s="1"/>
  <c r="AI168" i="73"/>
  <c r="AI431" i="73" s="1"/>
  <c r="AI440" i="73" s="1"/>
  <c r="AW166" i="73"/>
  <c r="BF253" i="73"/>
  <c r="BH253" i="73"/>
  <c r="BN20" i="51" s="1"/>
  <c r="BR253" i="73"/>
  <c r="AW248" i="73"/>
  <c r="BI248" i="73"/>
  <c r="BU248" i="73"/>
  <c r="AQ382" i="73"/>
  <c r="AK402" i="73"/>
  <c r="AM441" i="73"/>
  <c r="CP236" i="73"/>
  <c r="BL176" i="73"/>
  <c r="BL177" i="73" s="1"/>
  <c r="BS68" i="2"/>
  <c r="AW149" i="2"/>
  <c r="Y152" i="2"/>
  <c r="M99" i="2"/>
  <c r="BF113" i="2"/>
  <c r="BF18" i="1" s="1"/>
  <c r="Q127" i="2"/>
  <c r="AC127" i="2"/>
  <c r="BA113" i="2"/>
  <c r="BA80" i="54"/>
  <c r="BN38" i="3"/>
  <c r="BM131" i="2"/>
  <c r="BM132" i="2" s="1"/>
  <c r="BS175" i="2"/>
  <c r="BS177" i="2" s="1"/>
  <c r="BH48" i="3"/>
  <c r="BG85" i="3"/>
  <c r="BW109" i="2"/>
  <c r="BW110" i="2" s="1"/>
  <c r="BW116" i="2" s="1"/>
  <c r="BX112" i="2" s="1"/>
  <c r="P12" i="3"/>
  <c r="BH16" i="3"/>
  <c r="BI16" i="3" s="1"/>
  <c r="BN52" i="3"/>
  <c r="BO52" i="3" s="1"/>
  <c r="AU131" i="2"/>
  <c r="AU132" i="2" s="1"/>
  <c r="AU40" i="3"/>
  <c r="I114" i="2"/>
  <c r="I110" i="2"/>
  <c r="J105" i="2" s="1"/>
  <c r="I127" i="2"/>
  <c r="AW123" i="2"/>
  <c r="AW150" i="2"/>
  <c r="AQ157" i="2"/>
  <c r="AG159" i="2"/>
  <c r="AK152" i="2"/>
  <c r="BQ61" i="3"/>
  <c r="Q15" i="3"/>
  <c r="Q175" i="2" s="1"/>
  <c r="Q177" i="2" s="1"/>
  <c r="P175" i="2"/>
  <c r="P177" i="2" s="1"/>
  <c r="W38" i="3"/>
  <c r="V175" i="2"/>
  <c r="V177" i="2" s="1"/>
  <c r="AC131" i="2"/>
  <c r="AC132" i="2" s="1"/>
  <c r="AH40" i="3"/>
  <c r="AN131" i="2"/>
  <c r="AN132" i="2" s="1"/>
  <c r="AO32" i="3"/>
  <c r="AO106" i="2" s="1"/>
  <c r="AO107" i="2" s="1"/>
  <c r="AN40" i="3"/>
  <c r="BG39" i="3"/>
  <c r="BH39" i="3" s="1"/>
  <c r="BM32" i="3"/>
  <c r="BX89" i="3"/>
  <c r="BY89" i="3" s="1"/>
  <c r="BZ89" i="3" s="1"/>
  <c r="CC89" i="3" s="1"/>
  <c r="CD89" i="3" s="1"/>
  <c r="CE89" i="3" s="1"/>
  <c r="CF89" i="3" s="1"/>
  <c r="CA89" i="3"/>
  <c r="CG48" i="3"/>
  <c r="K48" i="3"/>
  <c r="L48" i="3" s="1"/>
  <c r="Q17" i="3"/>
  <c r="R17" i="3" s="1"/>
  <c r="S17" i="3" s="1"/>
  <c r="W48" i="3"/>
  <c r="AO15" i="3"/>
  <c r="AP15" i="3" s="1"/>
  <c r="AQ15" i="3" s="1"/>
  <c r="AU15" i="3"/>
  <c r="AV15" i="3" s="1"/>
  <c r="AW15" i="3" s="1"/>
  <c r="BB175" i="2"/>
  <c r="BB177" i="2" s="1"/>
  <c r="BF50" i="3"/>
  <c r="BL175" i="2"/>
  <c r="BL177" i="2" s="1"/>
  <c r="BS44" i="3"/>
  <c r="BS32" i="3"/>
  <c r="BS106" i="2" s="1"/>
  <c r="BS107" i="2" s="1"/>
  <c r="BX85" i="3"/>
  <c r="BX84" i="3" s="1"/>
  <c r="BK84" i="3"/>
  <c r="CM109" i="2"/>
  <c r="AS29" i="3"/>
  <c r="BW84" i="3"/>
  <c r="AW86" i="3"/>
  <c r="BE55" i="2"/>
  <c r="BE35" i="2"/>
  <c r="BY68" i="2"/>
  <c r="CA124" i="2"/>
  <c r="CP19" i="1"/>
  <c r="CP76" i="1"/>
  <c r="Y153" i="2"/>
  <c r="AQ152" i="2"/>
  <c r="BC25" i="2"/>
  <c r="BC90" i="2"/>
  <c r="BO90" i="2"/>
  <c r="BU153" i="2"/>
  <c r="BU152" i="2"/>
  <c r="AQ158" i="2"/>
  <c r="BO158" i="2"/>
  <c r="G159" i="2"/>
  <c r="O96" i="2"/>
  <c r="S96" i="2" s="1"/>
  <c r="AY96" i="2"/>
  <c r="BC96" i="2" s="1"/>
  <c r="BU99" i="2"/>
  <c r="I64" i="1"/>
  <c r="AS18" i="1"/>
  <c r="AS20" i="1" s="1"/>
  <c r="CO19" i="1"/>
  <c r="CO76" i="1"/>
  <c r="AD127" i="2"/>
  <c r="AI154" i="2"/>
  <c r="AO154" i="2"/>
  <c r="BB154" i="2"/>
  <c r="BF159" i="2"/>
  <c r="BG159" i="2"/>
  <c r="BT159" i="2"/>
  <c r="BW159" i="2"/>
  <c r="AN46" i="1"/>
  <c r="AN64" i="1"/>
  <c r="BX19" i="1"/>
  <c r="AA18" i="1"/>
  <c r="AA20" i="1" s="1"/>
  <c r="AU46" i="1"/>
  <c r="AH46" i="1"/>
  <c r="CQ19" i="1"/>
  <c r="CQ76" i="1"/>
  <c r="U18" i="1"/>
  <c r="AY18" i="1"/>
  <c r="AY20" i="1" s="1"/>
  <c r="BW18" i="1"/>
  <c r="BW20" i="1" s="1"/>
  <c r="BC125" i="2"/>
  <c r="BB19" i="1"/>
  <c r="BC19" i="1" s="1"/>
  <c r="CI76" i="1"/>
  <c r="CI19" i="1"/>
  <c r="CV125" i="2"/>
  <c r="CU19" i="1"/>
  <c r="CU76" i="1"/>
  <c r="R154" i="2"/>
  <c r="BY354" i="73"/>
  <c r="BY29" i="4"/>
  <c r="CP15" i="51"/>
  <c r="CP13" i="51"/>
  <c r="CO13" i="51"/>
  <c r="CO19" i="51"/>
  <c r="CO15" i="51"/>
  <c r="BW45" i="4"/>
  <c r="CC49" i="4" s="1"/>
  <c r="BA71" i="4"/>
  <c r="BR21" i="4"/>
  <c r="BH29" i="4"/>
  <c r="BQ71" i="4"/>
  <c r="BL80" i="2"/>
  <c r="AB145" i="2"/>
  <c r="AB146" i="2" s="1"/>
  <c r="AB147" i="2" s="1"/>
  <c r="BG74" i="4"/>
  <c r="BA76" i="4"/>
  <c r="BR331" i="73"/>
  <c r="BR10" i="73" s="1"/>
  <c r="BR11" i="73" s="1"/>
  <c r="C8" i="52"/>
  <c r="AM145" i="2"/>
  <c r="AM146" i="2" s="1"/>
  <c r="AM147" i="2" s="1"/>
  <c r="AG45" i="4"/>
  <c r="AM63" i="51" s="1"/>
  <c r="AI80" i="2"/>
  <c r="AT51" i="4"/>
  <c r="AZ64" i="51" s="1"/>
  <c r="AA51" i="4"/>
  <c r="BF80" i="2"/>
  <c r="BK71" i="4"/>
  <c r="BO71" i="4"/>
  <c r="U145" i="2"/>
  <c r="U146" i="2" s="1"/>
  <c r="U147" i="2" s="1"/>
  <c r="BH80" i="2"/>
  <c r="AQ13" i="4"/>
  <c r="BT21" i="4"/>
  <c r="BR24" i="4"/>
  <c r="K145" i="2"/>
  <c r="K146" i="2" s="1"/>
  <c r="K147" i="2" s="1"/>
  <c r="BW39" i="4"/>
  <c r="CC43" i="4" s="1"/>
  <c r="CC44" i="4" s="1"/>
  <c r="BL71" i="4"/>
  <c r="BG24" i="4"/>
  <c r="AI76" i="4"/>
  <c r="AT80" i="2"/>
  <c r="BH354" i="73"/>
  <c r="BH12" i="73" s="1"/>
  <c r="BH13" i="73" s="1"/>
  <c r="BY39" i="4"/>
  <c r="J80" i="2"/>
  <c r="AI32" i="4"/>
  <c r="AO61" i="51" s="1"/>
  <c r="AA45" i="4"/>
  <c r="BM68" i="4"/>
  <c r="BY24" i="4"/>
  <c r="BK39" i="4"/>
  <c r="BK80" i="2"/>
  <c r="BW80" i="2"/>
  <c r="U80" i="2"/>
  <c r="BF24" i="4"/>
  <c r="BE80" i="2"/>
  <c r="CR240" i="73"/>
  <c r="CR239" i="73" s="1"/>
  <c r="CQ239" i="73"/>
  <c r="BN253" i="73"/>
  <c r="BN257" i="73"/>
  <c r="AS261" i="73"/>
  <c r="AS263" i="73"/>
  <c r="AT253" i="73"/>
  <c r="AT257" i="73"/>
  <c r="AT255" i="73"/>
  <c r="BI106" i="73"/>
  <c r="BH105" i="73"/>
  <c r="BI105" i="73" s="1"/>
  <c r="BO243" i="73"/>
  <c r="AM411" i="73"/>
  <c r="BF49" i="4"/>
  <c r="BF50" i="4" s="1"/>
  <c r="BF15" i="51" s="1"/>
  <c r="BL236" i="73"/>
  <c r="BA235" i="73"/>
  <c r="BA255" i="73" s="1"/>
  <c r="BA261" i="73" s="1"/>
  <c r="AS179" i="73"/>
  <c r="AN126" i="73"/>
  <c r="AN119" i="73" s="1"/>
  <c r="AN127" i="73" s="1"/>
  <c r="AU179" i="73"/>
  <c r="BG177" i="73"/>
  <c r="BG181" i="73" s="1"/>
  <c r="AG411" i="73"/>
  <c r="AQ432" i="73"/>
  <c r="AQ441" i="73" s="1"/>
  <c r="BA98" i="73"/>
  <c r="BB98" i="73" s="1"/>
  <c r="BE98" i="73" s="1"/>
  <c r="BF98" i="73" s="1"/>
  <c r="BG98" i="73" s="1"/>
  <c r="BH98" i="73" s="1"/>
  <c r="BK98" i="73" s="1"/>
  <c r="BL98" i="73" s="1"/>
  <c r="BM98" i="73" s="1"/>
  <c r="BN98" i="73" s="1"/>
  <c r="BQ98" i="73" s="1"/>
  <c r="BR98" i="73" s="1"/>
  <c r="BS98" i="73" s="1"/>
  <c r="BT98" i="73" s="1"/>
  <c r="BW98" i="73" s="1"/>
  <c r="BX98" i="73" s="1"/>
  <c r="BY98" i="73" s="1"/>
  <c r="BZ98" i="73" s="1"/>
  <c r="CC98" i="73" s="1"/>
  <c r="CD98" i="73" s="1"/>
  <c r="CE98" i="73" s="1"/>
  <c r="CF98" i="73" s="1"/>
  <c r="CJ98" i="73" s="1"/>
  <c r="CK98" i="73" s="1"/>
  <c r="CL98" i="73" s="1"/>
  <c r="CO98" i="73" s="1"/>
  <c r="CP98" i="73" s="1"/>
  <c r="CQ98" i="73" s="1"/>
  <c r="CR98" i="73" s="1"/>
  <c r="CU98" i="73" s="1"/>
  <c r="CV98" i="73" s="1"/>
  <c r="CW98" i="73" s="1"/>
  <c r="CX98" i="73" s="1"/>
  <c r="BE177" i="73"/>
  <c r="BE181" i="73" s="1"/>
  <c r="AI182" i="73"/>
  <c r="AY97" i="73"/>
  <c r="AY398" i="73" s="1"/>
  <c r="BG235" i="73"/>
  <c r="BG255" i="73" s="1"/>
  <c r="BG261" i="73" s="1"/>
  <c r="BF179" i="73"/>
  <c r="AU359" i="73"/>
  <c r="AQ402" i="73"/>
  <c r="AQ411" i="73" s="1"/>
  <c r="AJ379" i="73"/>
  <c r="AO126" i="73"/>
  <c r="AO119" i="73" s="1"/>
  <c r="AO127" i="73" s="1"/>
  <c r="AU110" i="73"/>
  <c r="AJ411" i="73"/>
  <c r="AJ401" i="73"/>
  <c r="AJ410" i="73" s="1"/>
  <c r="BI243" i="73"/>
  <c r="AK115" i="73"/>
  <c r="AK123" i="73" s="1"/>
  <c r="AH168" i="73"/>
  <c r="AH431" i="73" s="1"/>
  <c r="AH440" i="73" s="1"/>
  <c r="AT168" i="73"/>
  <c r="AT431" i="73" s="1"/>
  <c r="CS453" i="73"/>
  <c r="BX182" i="73"/>
  <c r="AT177" i="73"/>
  <c r="AT181" i="73" s="1"/>
  <c r="CL184" i="73"/>
  <c r="BF162" i="73"/>
  <c r="BF401" i="73" s="1"/>
  <c r="BX245" i="73"/>
  <c r="BX248" i="73" s="1"/>
  <c r="R18" i="54"/>
  <c r="S18" i="54" s="1"/>
  <c r="BU38" i="54"/>
  <c r="BO51" i="54"/>
  <c r="AS74" i="54"/>
  <c r="AS82" i="54" s="1"/>
  <c r="AW14" i="54"/>
  <c r="BL12" i="54"/>
  <c r="BL8" i="54" s="1"/>
  <c r="BY49" i="54"/>
  <c r="BY51" i="54" s="1"/>
  <c r="BW49" i="54"/>
  <c r="BW51" i="54" s="1"/>
  <c r="BT45" i="54"/>
  <c r="BT47" i="54" s="1"/>
  <c r="O30" i="54"/>
  <c r="BT49" i="54"/>
  <c r="BT51" i="54" s="1"/>
  <c r="CG45" i="54"/>
  <c r="BO30" i="54"/>
  <c r="X30" i="54"/>
  <c r="Y30" i="54" s="1"/>
  <c r="AE14" i="54"/>
  <c r="R26" i="54"/>
  <c r="AC74" i="54"/>
  <c r="AC82" i="54" s="1"/>
  <c r="AK30" i="54"/>
  <c r="AO74" i="54"/>
  <c r="AO82" i="54" s="1"/>
  <c r="BI38" i="54"/>
  <c r="BI39" i="54"/>
  <c r="BO42" i="54"/>
  <c r="BO50" i="54"/>
  <c r="BR49" i="54"/>
  <c r="BR51" i="54" s="1"/>
  <c r="CA34" i="54"/>
  <c r="CA42" i="54"/>
  <c r="CA29" i="54"/>
  <c r="CG29" i="54" s="1"/>
  <c r="CF29" i="54" s="1"/>
  <c r="CF31" i="54" s="1"/>
  <c r="BR29" i="54"/>
  <c r="BR31" i="54" s="1"/>
  <c r="BR100" i="1" s="1"/>
  <c r="BR102" i="1" s="1"/>
  <c r="BT29" i="54"/>
  <c r="BT31" i="54" s="1"/>
  <c r="BT100" i="1" s="1"/>
  <c r="BT102" i="1" s="1"/>
  <c r="BS29" i="54"/>
  <c r="BS31" i="54" s="1"/>
  <c r="BS100" i="1" s="1"/>
  <c r="BS102" i="1" s="1"/>
  <c r="F74" i="54"/>
  <c r="F82" i="54" s="1"/>
  <c r="G30" i="54"/>
  <c r="AH74" i="54"/>
  <c r="AH82" i="54" s="1"/>
  <c r="AI74" i="54"/>
  <c r="AI82" i="54" s="1"/>
  <c r="AT74" i="54"/>
  <c r="AT82" i="54" s="1"/>
  <c r="AY74" i="54"/>
  <c r="AY82" i="54" s="1"/>
  <c r="AQ14" i="54"/>
  <c r="BO46" i="54"/>
  <c r="BS74" i="54"/>
  <c r="BS82" i="54" s="1"/>
  <c r="BO47" i="54"/>
  <c r="CA59" i="54"/>
  <c r="CA37" i="54"/>
  <c r="CG37" i="54" s="1"/>
  <c r="CA33" i="54"/>
  <c r="CG33" i="54" s="1"/>
  <c r="BC15" i="54"/>
  <c r="X15" i="54"/>
  <c r="Y15" i="54" s="1"/>
  <c r="V74" i="54"/>
  <c r="V82" i="54" s="1"/>
  <c r="Q74" i="54"/>
  <c r="Q82" i="54" s="1"/>
  <c r="BI8" i="54"/>
  <c r="AB74" i="54"/>
  <c r="AB82" i="54" s="1"/>
  <c r="CA46" i="54"/>
  <c r="BO27" i="54"/>
  <c r="BO100" i="1" s="1"/>
  <c r="CA24" i="54"/>
  <c r="BZ27" i="54"/>
  <c r="CJ25" i="54"/>
  <c r="CM28" i="54"/>
  <c r="CO28" i="54" s="1"/>
  <c r="CP40" i="54"/>
  <c r="BL15" i="54"/>
  <c r="L74" i="54"/>
  <c r="L82" i="54" s="1"/>
  <c r="AB6" i="54"/>
  <c r="AC6" i="54" s="1"/>
  <c r="AD6" i="54" s="1"/>
  <c r="AG6" i="54"/>
  <c r="BA74" i="54"/>
  <c r="BA82" i="54" s="1"/>
  <c r="BR59" i="54"/>
  <c r="BS57" i="54"/>
  <c r="CG49" i="54"/>
  <c r="BX49" i="54"/>
  <c r="BX51" i="54" s="1"/>
  <c r="BR35" i="2"/>
  <c r="AE8" i="54"/>
  <c r="AG14" i="54"/>
  <c r="AK14" i="54" s="1"/>
  <c r="K74" i="54"/>
  <c r="K82" i="54" s="1"/>
  <c r="M30" i="54"/>
  <c r="AQ30" i="54"/>
  <c r="BU30" i="54"/>
  <c r="BT74" i="54"/>
  <c r="BT82" i="54" s="1"/>
  <c r="BE56" i="54"/>
  <c r="BC8" i="54"/>
  <c r="BU34" i="54"/>
  <c r="BQ74" i="54"/>
  <c r="BQ82" i="54" s="1"/>
  <c r="AK8" i="54"/>
  <c r="AQ8" i="54"/>
  <c r="AZ74" i="54"/>
  <c r="AZ82" i="54" s="1"/>
  <c r="BI27" i="54"/>
  <c r="BI100" i="1" s="1"/>
  <c r="AN74" i="54"/>
  <c r="AN82" i="54" s="1"/>
  <c r="R8" i="54"/>
  <c r="F81" i="54"/>
  <c r="F80" i="54"/>
  <c r="F18" i="1" s="1"/>
  <c r="F20" i="1" s="1"/>
  <c r="BY74" i="54"/>
  <c r="BY82" i="54" s="1"/>
  <c r="O41" i="2"/>
  <c r="AU51" i="2"/>
  <c r="BO130" i="2"/>
  <c r="BK130" i="2"/>
  <c r="BK132" i="2" s="1"/>
  <c r="P41" i="2"/>
  <c r="P51" i="2" s="1"/>
  <c r="BG51" i="2"/>
  <c r="X51" i="2"/>
  <c r="AY123" i="2"/>
  <c r="BC123" i="2"/>
  <c r="BC126" i="2" s="1"/>
  <c r="CR125" i="2"/>
  <c r="AW151" i="2"/>
  <c r="AW25" i="2"/>
  <c r="R127" i="2"/>
  <c r="S124" i="2"/>
  <c r="L127" i="2"/>
  <c r="P159" i="2"/>
  <c r="P154" i="2"/>
  <c r="I159" i="2"/>
  <c r="AE128" i="2"/>
  <c r="BU25" i="2"/>
  <c r="BC133" i="2"/>
  <c r="AJ126" i="2"/>
  <c r="AK25" i="2"/>
  <c r="AE25" i="2"/>
  <c r="Y25" i="2"/>
  <c r="S153" i="2"/>
  <c r="BI25" i="2"/>
  <c r="BI153" i="2"/>
  <c r="Q41" i="2"/>
  <c r="AY68" i="2"/>
  <c r="AC80" i="2"/>
  <c r="AZ80" i="2"/>
  <c r="S99" i="2"/>
  <c r="AE99" i="2"/>
  <c r="BG125" i="2"/>
  <c r="BG19" i="1" s="1"/>
  <c r="BW154" i="2"/>
  <c r="AP154" i="2"/>
  <c r="BF154" i="2"/>
  <c r="BY125" i="2"/>
  <c r="P127" i="2"/>
  <c r="S150" i="2"/>
  <c r="BC152" i="2"/>
  <c r="BO153" i="2"/>
  <c r="BO55" i="2"/>
  <c r="AW158" i="2"/>
  <c r="AA96" i="2"/>
  <c r="AE96" i="2" s="1"/>
  <c r="AM96" i="2"/>
  <c r="AQ96" i="2" s="1"/>
  <c r="AW99" i="2"/>
  <c r="X126" i="2"/>
  <c r="AB127" i="2"/>
  <c r="AP126" i="2"/>
  <c r="AN154" i="2"/>
  <c r="BH154" i="2"/>
  <c r="BE154" i="2"/>
  <c r="BL154" i="2"/>
  <c r="AP159" i="2"/>
  <c r="Q39" i="3"/>
  <c r="R39" i="3" s="1"/>
  <c r="S39" i="3" s="1"/>
  <c r="AC34" i="3"/>
  <c r="AD34" i="3" s="1"/>
  <c r="AC32" i="3"/>
  <c r="AD32" i="3" s="1"/>
  <c r="AE32" i="3" s="1"/>
  <c r="AB106" i="2"/>
  <c r="AB107" i="2" s="1"/>
  <c r="AI49" i="3"/>
  <c r="AJ49" i="3" s="1"/>
  <c r="AK49" i="3" s="1"/>
  <c r="AJ44" i="3"/>
  <c r="AK44" i="3" s="1"/>
  <c r="AI32" i="3"/>
  <c r="AJ32" i="3" s="1"/>
  <c r="AH106" i="2"/>
  <c r="AH107" i="2" s="1"/>
  <c r="AI11" i="3"/>
  <c r="AJ11" i="3" s="1"/>
  <c r="AO38" i="3"/>
  <c r="AP38" i="3" s="1"/>
  <c r="AQ38" i="3" s="1"/>
  <c r="BC15" i="3"/>
  <c r="BG35" i="3"/>
  <c r="BH35" i="3" s="1"/>
  <c r="BI35" i="3" s="1"/>
  <c r="BG33" i="3"/>
  <c r="BF40" i="3"/>
  <c r="BG15" i="3"/>
  <c r="BH15" i="3" s="1"/>
  <c r="BI15" i="3" s="1"/>
  <c r="BF175" i="2"/>
  <c r="BF177" i="2" s="1"/>
  <c r="BH21" i="3"/>
  <c r="BI21" i="3" s="1"/>
  <c r="BL50" i="3"/>
  <c r="BT33" i="3"/>
  <c r="BU33" i="3" s="1"/>
  <c r="BY52" i="3"/>
  <c r="BZ52" i="3" s="1"/>
  <c r="BY48" i="3"/>
  <c r="BZ48" i="3" s="1"/>
  <c r="BY45" i="3"/>
  <c r="BZ45" i="3" s="1"/>
  <c r="BY43" i="3"/>
  <c r="BZ43" i="3" s="1"/>
  <c r="BY38" i="3"/>
  <c r="BZ38" i="3" s="1"/>
  <c r="BZ131" i="2" s="1"/>
  <c r="BZ132" i="2" s="1"/>
  <c r="BY36" i="3"/>
  <c r="BZ36" i="3" s="1"/>
  <c r="BY34" i="3"/>
  <c r="BZ34" i="3" s="1"/>
  <c r="BZ19" i="3"/>
  <c r="BY11" i="3"/>
  <c r="BZ11" i="3" s="1"/>
  <c r="BZ80" i="54" s="1"/>
  <c r="BY26" i="3"/>
  <c r="BY24" i="3"/>
  <c r="BZ24" i="3" s="1"/>
  <c r="CA24" i="3" s="1"/>
  <c r="BY22" i="3"/>
  <c r="BZ22" i="3" s="1"/>
  <c r="CA22" i="3" s="1"/>
  <c r="AQ86" i="3"/>
  <c r="BX80" i="54"/>
  <c r="K33" i="3"/>
  <c r="L33" i="3" s="1"/>
  <c r="R36" i="3"/>
  <c r="S36" i="3" s="1"/>
  <c r="O29" i="3"/>
  <c r="O61" i="3" s="1"/>
  <c r="O85" i="2" s="1"/>
  <c r="AC46" i="3"/>
  <c r="AC50" i="3" s="1"/>
  <c r="AC18" i="3"/>
  <c r="AD18" i="3" s="1"/>
  <c r="AE18" i="3" s="1"/>
  <c r="AI45" i="3"/>
  <c r="AO34" i="3"/>
  <c r="AP34" i="3" s="1"/>
  <c r="AQ34" i="3" s="1"/>
  <c r="AO16" i="3"/>
  <c r="AP16" i="3" s="1"/>
  <c r="AQ16" i="3" s="1"/>
  <c r="BA46" i="3"/>
  <c r="BB46" i="3" s="1"/>
  <c r="BM17" i="3"/>
  <c r="BN17" i="3" s="1"/>
  <c r="BO17" i="3" s="1"/>
  <c r="BS48" i="3"/>
  <c r="BS85" i="3" s="1"/>
  <c r="BS84" i="3" s="1"/>
  <c r="BY18" i="3"/>
  <c r="BZ18" i="3" s="1"/>
  <c r="BY27" i="3"/>
  <c r="BZ27" i="3" s="1"/>
  <c r="CA27" i="3" s="1"/>
  <c r="BQ84" i="3"/>
  <c r="V132" i="2"/>
  <c r="BT132" i="2"/>
  <c r="CE84" i="3"/>
  <c r="BH47" i="3"/>
  <c r="BI47" i="3" s="1"/>
  <c r="BH18" i="3"/>
  <c r="BI18" i="3" s="1"/>
  <c r="BY49" i="3"/>
  <c r="BZ49" i="3" s="1"/>
  <c r="BY47" i="3"/>
  <c r="BZ46" i="3"/>
  <c r="CA46" i="3" s="1"/>
  <c r="BY44" i="3"/>
  <c r="BY39" i="3"/>
  <c r="BZ39" i="3" s="1"/>
  <c r="BY37" i="3"/>
  <c r="BZ37" i="3" s="1"/>
  <c r="BY35" i="3"/>
  <c r="BZ35" i="3" s="1"/>
  <c r="BY33" i="3"/>
  <c r="BZ33" i="3" s="1"/>
  <c r="BY16" i="3"/>
  <c r="BZ16" i="3" s="1"/>
  <c r="BY14" i="3"/>
  <c r="BZ14" i="3" s="1"/>
  <c r="BY15" i="3"/>
  <c r="BZ15" i="3" s="1"/>
  <c r="BY25" i="3"/>
  <c r="BY23" i="3"/>
  <c r="BY21" i="3"/>
  <c r="BY66" i="2"/>
  <c r="BY169" i="2"/>
  <c r="BY181" i="2" s="1"/>
  <c r="BX21" i="4"/>
  <c r="BK399" i="73"/>
  <c r="BH177" i="73"/>
  <c r="BH179" i="73"/>
  <c r="AP410" i="73"/>
  <c r="BN142" i="73"/>
  <c r="BO142" i="73" s="1"/>
  <c r="BO141" i="73"/>
  <c r="AU253" i="73"/>
  <c r="AU255" i="73"/>
  <c r="AM412" i="73"/>
  <c r="BG128" i="73"/>
  <c r="BA115" i="73"/>
  <c r="AS199" i="73"/>
  <c r="AS180" i="73"/>
  <c r="BT253" i="73"/>
  <c r="BG179" i="73"/>
  <c r="BK379" i="73"/>
  <c r="BF177" i="73"/>
  <c r="AW252" i="73"/>
  <c r="AV257" i="73"/>
  <c r="BN255" i="73"/>
  <c r="BN261" i="73" s="1"/>
  <c r="BL255" i="73"/>
  <c r="BL261" i="73" s="1"/>
  <c r="BE179" i="73"/>
  <c r="AO132" i="73"/>
  <c r="AU125" i="73"/>
  <c r="AH182" i="73"/>
  <c r="AM126" i="73"/>
  <c r="AM119" i="73" s="1"/>
  <c r="AM127" i="73" s="1"/>
  <c r="BE156" i="73"/>
  <c r="BE157" i="73" s="1"/>
  <c r="BE381" i="73" s="1"/>
  <c r="BE410" i="73" s="1"/>
  <c r="AS110" i="73"/>
  <c r="AG179" i="73"/>
  <c r="AG205" i="73" s="1"/>
  <c r="BO252" i="73"/>
  <c r="AO134" i="73"/>
  <c r="AO448" i="73" s="1"/>
  <c r="AY115" i="73"/>
  <c r="AY134" i="73" s="1"/>
  <c r="AM132" i="73"/>
  <c r="AE125" i="73"/>
  <c r="AT134" i="73"/>
  <c r="AT448" i="73" s="1"/>
  <c r="AT379" i="73"/>
  <c r="AT125" i="73"/>
  <c r="AT132" i="73"/>
  <c r="BH142" i="73"/>
  <c r="BI142" i="73" s="1"/>
  <c r="BI141" i="73"/>
  <c r="AP168" i="73"/>
  <c r="AP431" i="73" s="1"/>
  <c r="AP440" i="73" s="1"/>
  <c r="BK257" i="73"/>
  <c r="BK253" i="73"/>
  <c r="AY253" i="73"/>
  <c r="BE17" i="51" s="1"/>
  <c r="AY255" i="73"/>
  <c r="AY261" i="73" s="1"/>
  <c r="BG253" i="73"/>
  <c r="AH412" i="73"/>
  <c r="AP441" i="73"/>
  <c r="AZ177" i="73"/>
  <c r="AZ181" i="73" s="1"/>
  <c r="BA176" i="73"/>
  <c r="BA177" i="73" s="1"/>
  <c r="AS341" i="73"/>
  <c r="AU361" i="73"/>
  <c r="AW97" i="73"/>
  <c r="AW98" i="73" s="1"/>
  <c r="BB105" i="73"/>
  <c r="BC105" i="73" s="1"/>
  <c r="BC106" i="73"/>
  <c r="AM125" i="73"/>
  <c r="BN105" i="73"/>
  <c r="BO105" i="73" s="1"/>
  <c r="BO106" i="73"/>
  <c r="AS168" i="73"/>
  <c r="AS431" i="73" s="1"/>
  <c r="AS440" i="73" s="1"/>
  <c r="BF257" i="73"/>
  <c r="AS253" i="73"/>
  <c r="BA253" i="73"/>
  <c r="BM255" i="73"/>
  <c r="BM261" i="73" s="1"/>
  <c r="BM253" i="73"/>
  <c r="BC248" i="73"/>
  <c r="AO411" i="73"/>
  <c r="AP442" i="73"/>
  <c r="AP411" i="73"/>
  <c r="AI411" i="73"/>
  <c r="AK433" i="73"/>
  <c r="AO441" i="73"/>
  <c r="AM442" i="73"/>
  <c r="CM453" i="73"/>
  <c r="BK49" i="4"/>
  <c r="BK50" i="4" s="1"/>
  <c r="BK15" i="51" s="1"/>
  <c r="BK45" i="51" s="1"/>
  <c r="AT174" i="2"/>
  <c r="BE174" i="2"/>
  <c r="AP78" i="2"/>
  <c r="AP80" i="2" s="1"/>
  <c r="AP51" i="4"/>
  <c r="AV64" i="51" s="1"/>
  <c r="AI169" i="2"/>
  <c r="AI181" i="2" s="1"/>
  <c r="AK79" i="2"/>
  <c r="BR76" i="4"/>
  <c r="BS80" i="2"/>
  <c r="AU68" i="4"/>
  <c r="AO80" i="2"/>
  <c r="BR80" i="2"/>
  <c r="BF21" i="4"/>
  <c r="BT24" i="4"/>
  <c r="AT24" i="4"/>
  <c r="AT71" i="4"/>
  <c r="BX74" i="4"/>
  <c r="AM76" i="4"/>
  <c r="BX29" i="4"/>
  <c r="BM24" i="4"/>
  <c r="BN27" i="3"/>
  <c r="BO27" i="3" s="1"/>
  <c r="X26" i="3"/>
  <c r="Y26" i="3" s="1"/>
  <c r="AJ23" i="3"/>
  <c r="AK23" i="3" s="1"/>
  <c r="AK28" i="3"/>
  <c r="I29" i="3"/>
  <c r="I84" i="2" s="1"/>
  <c r="AA29" i="3"/>
  <c r="AA53" i="3" s="1"/>
  <c r="AC23" i="3"/>
  <c r="AD23" i="3" s="1"/>
  <c r="BU24" i="3"/>
  <c r="BC25" i="3"/>
  <c r="Y27" i="3"/>
  <c r="AQ25" i="3"/>
  <c r="AY29" i="3"/>
  <c r="AY84" i="2" s="1"/>
  <c r="AV23" i="3"/>
  <c r="AW23" i="3" s="1"/>
  <c r="AV12" i="3"/>
  <c r="AQ12" i="3"/>
  <c r="CJ289" i="73"/>
  <c r="BW289" i="73"/>
  <c r="CG143" i="73"/>
  <c r="BE10" i="73"/>
  <c r="BE11" i="73" s="1"/>
  <c r="AS76" i="4"/>
  <c r="BY17" i="4"/>
  <c r="AS359" i="73"/>
  <c r="AS364" i="73"/>
  <c r="BU23" i="4"/>
  <c r="BU25" i="4" s="1"/>
  <c r="AN24" i="4"/>
  <c r="AN17" i="4"/>
  <c r="AO40" i="4"/>
  <c r="AO41" i="4" s="1"/>
  <c r="AH39" i="4"/>
  <c r="AK39" i="4" s="1"/>
  <c r="BK12" i="73"/>
  <c r="BK13" i="73" s="1"/>
  <c r="AH17" i="4"/>
  <c r="AM40" i="4"/>
  <c r="AM41" i="4" s="1"/>
  <c r="BW68" i="4"/>
  <c r="AM21" i="4"/>
  <c r="BB68" i="4"/>
  <c r="BF331" i="73"/>
  <c r="BF366" i="73" s="1"/>
  <c r="BO15" i="4"/>
  <c r="AM62" i="51"/>
  <c r="BQ24" i="4"/>
  <c r="BO76" i="4"/>
  <c r="BE16" i="51"/>
  <c r="DE10" i="51"/>
  <c r="AA79" i="51"/>
  <c r="BW86" i="73"/>
  <c r="AU362" i="73"/>
  <c r="BK93" i="73"/>
  <c r="CA85" i="73"/>
  <c r="AZ80" i="51"/>
  <c r="AU79" i="51"/>
  <c r="BS36" i="4"/>
  <c r="BN15" i="51"/>
  <c r="DH30" i="51"/>
  <c r="BH13" i="51"/>
  <c r="BH43" i="51" s="1"/>
  <c r="AI29" i="4"/>
  <c r="AI43" i="73" s="1"/>
  <c r="AY19" i="51"/>
  <c r="BB19" i="51"/>
  <c r="AB45" i="4"/>
  <c r="BM21" i="4"/>
  <c r="BL21" i="4"/>
  <c r="BO74" i="4"/>
  <c r="AH354" i="73"/>
  <c r="BR51" i="4"/>
  <c r="BK21" i="4"/>
  <c r="AS21" i="4"/>
  <c r="AO17" i="4"/>
  <c r="AU60" i="51" s="1"/>
  <c r="AW67" i="4"/>
  <c r="AW69" i="4" s="1"/>
  <c r="BB71" i="4"/>
  <c r="AV76" i="4"/>
  <c r="AZ21" i="4"/>
  <c r="AH45" i="4"/>
  <c r="CL50" i="4"/>
  <c r="BM19" i="51"/>
  <c r="BA49" i="51"/>
  <c r="AW13" i="4"/>
  <c r="BG21" i="4"/>
  <c r="AZ24" i="4"/>
  <c r="AZ13" i="51"/>
  <c r="BL36" i="4"/>
  <c r="AZ354" i="73"/>
  <c r="AZ359" i="73" s="1"/>
  <c r="AH24" i="4"/>
  <c r="AG51" i="4"/>
  <c r="AV71" i="4"/>
  <c r="BM74" i="4"/>
  <c r="CA26" i="4"/>
  <c r="CA28" i="4" s="1"/>
  <c r="AY13" i="51"/>
  <c r="BN13" i="51"/>
  <c r="BG71" i="4"/>
  <c r="BG13" i="51"/>
  <c r="BF29" i="4"/>
  <c r="BF34" i="73" s="1"/>
  <c r="AY17" i="4"/>
  <c r="AY49" i="4" s="1"/>
  <c r="AU13" i="51"/>
  <c r="DK30" i="51"/>
  <c r="BM13" i="51"/>
  <c r="AV19" i="51"/>
  <c r="AZ71" i="4"/>
  <c r="BA68" i="4"/>
  <c r="BN73" i="4"/>
  <c r="BT74" i="4" s="1"/>
  <c r="BE13" i="51"/>
  <c r="BB15" i="51"/>
  <c r="AQ26" i="4"/>
  <c r="BA29" i="4"/>
  <c r="AK11" i="4"/>
  <c r="BC26" i="4"/>
  <c r="BC28" i="4" s="1"/>
  <c r="BF13" i="51"/>
  <c r="DK31" i="51"/>
  <c r="BM15" i="51"/>
  <c r="DE32" i="51"/>
  <c r="BE19" i="51"/>
  <c r="AV13" i="51"/>
  <c r="AP92" i="2"/>
  <c r="AV170" i="2"/>
  <c r="W173" i="2"/>
  <c r="AS332" i="73"/>
  <c r="AM337" i="73"/>
  <c r="AM340" i="73"/>
  <c r="AM10" i="73"/>
  <c r="AM11" i="73" s="1"/>
  <c r="BG456" i="73"/>
  <c r="BG20" i="73" s="1"/>
  <c r="BG21" i="73" s="1"/>
  <c r="AB169" i="2"/>
  <c r="AB181" i="2" s="1"/>
  <c r="AV75" i="51"/>
  <c r="AV455" i="73"/>
  <c r="AV18" i="73" s="1"/>
  <c r="AV19" i="73" s="1"/>
  <c r="BB75" i="51"/>
  <c r="BH79" i="51" s="1"/>
  <c r="Q173" i="2"/>
  <c r="Q92" i="2"/>
  <c r="BO170" i="2"/>
  <c r="AG144" i="2"/>
  <c r="AB173" i="2"/>
  <c r="BE145" i="2"/>
  <c r="BE146" i="2" s="1"/>
  <c r="BE147" i="2" s="1"/>
  <c r="K176" i="2"/>
  <c r="K182" i="2" s="1"/>
  <c r="K183" i="2" s="1"/>
  <c r="K184" i="2" s="1"/>
  <c r="J60" i="2"/>
  <c r="AB66" i="2"/>
  <c r="BH45" i="4"/>
  <c r="BN63" i="51" s="1"/>
  <c r="BW143" i="2"/>
  <c r="BW169" i="2"/>
  <c r="BW181" i="2" s="1"/>
  <c r="BW66" i="2"/>
  <c r="BO13" i="4"/>
  <c r="J167" i="2"/>
  <c r="Y76" i="51"/>
  <c r="F170" i="2"/>
  <c r="AV78" i="2"/>
  <c r="AV79" i="2"/>
  <c r="AV172" i="2"/>
  <c r="AH97" i="2"/>
  <c r="AH100" i="2" s="1"/>
  <c r="AE77" i="2"/>
  <c r="AE90" i="2"/>
  <c r="AE142" i="2"/>
  <c r="AE171" i="2"/>
  <c r="AE180" i="2" s="1"/>
  <c r="BC76" i="51"/>
  <c r="AM362" i="73"/>
  <c r="AM12" i="73"/>
  <c r="AM13" i="73" s="1"/>
  <c r="AM364" i="73"/>
  <c r="BX45" i="4"/>
  <c r="CD49" i="4" s="1"/>
  <c r="AT39" i="4"/>
  <c r="BG68" i="4"/>
  <c r="BI75" i="51"/>
  <c r="AW76" i="51"/>
  <c r="AW80" i="51" s="1"/>
  <c r="P169" i="2"/>
  <c r="P181" i="2" s="1"/>
  <c r="P66" i="2"/>
  <c r="AM173" i="2"/>
  <c r="AM92" i="2"/>
  <c r="BH144" i="2"/>
  <c r="BH145" i="2" s="1"/>
  <c r="BH146" i="2" s="1"/>
  <c r="BH147" i="2" s="1"/>
  <c r="AQ91" i="2"/>
  <c r="AQ142" i="2"/>
  <c r="AG143" i="2"/>
  <c r="AG169" i="2"/>
  <c r="AG181" i="2" s="1"/>
  <c r="Y90" i="2"/>
  <c r="Y142" i="2"/>
  <c r="BF92" i="2"/>
  <c r="BF173" i="2"/>
  <c r="AK15" i="4"/>
  <c r="AI17" i="4"/>
  <c r="AD67" i="4"/>
  <c r="AE67" i="4" s="1"/>
  <c r="AE69" i="4" s="1"/>
  <c r="AD171" i="2"/>
  <c r="AD180" i="2" s="1"/>
  <c r="AD23" i="4"/>
  <c r="AE23" i="4" s="1"/>
  <c r="AE25" i="4" s="1"/>
  <c r="AD73" i="4"/>
  <c r="AE73" i="4" s="1"/>
  <c r="AE75" i="4" s="1"/>
  <c r="AD142" i="2"/>
  <c r="AD89" i="2"/>
  <c r="AD20" i="4"/>
  <c r="AD91" i="2"/>
  <c r="AD90" i="2"/>
  <c r="AD13" i="4"/>
  <c r="AD45" i="4" s="1"/>
  <c r="AD77" i="2"/>
  <c r="AD26" i="4"/>
  <c r="AE26" i="4" s="1"/>
  <c r="AD70" i="4"/>
  <c r="AE70" i="4" s="1"/>
  <c r="AE72" i="4" s="1"/>
  <c r="AG24" i="4"/>
  <c r="AA29" i="4"/>
  <c r="J143" i="2"/>
  <c r="J145" i="2" s="1"/>
  <c r="J146" i="2" s="1"/>
  <c r="J147" i="2" s="1"/>
  <c r="J169" i="2"/>
  <c r="J181" i="2" s="1"/>
  <c r="BM454" i="73"/>
  <c r="BM16" i="73" s="1"/>
  <c r="BM17" i="73" s="1"/>
  <c r="AY144" i="2"/>
  <c r="AO354" i="73"/>
  <c r="AQ23" i="4"/>
  <c r="AU24" i="4"/>
  <c r="AO24" i="4"/>
  <c r="AV32" i="4"/>
  <c r="AD78" i="2"/>
  <c r="AD172" i="2"/>
  <c r="AD79" i="2"/>
  <c r="BO78" i="2"/>
  <c r="BO172" i="2"/>
  <c r="AY92" i="2"/>
  <c r="AY173" i="2"/>
  <c r="AZ454" i="73"/>
  <c r="AZ16" i="73" s="1"/>
  <c r="AZ17" i="73" s="1"/>
  <c r="BX454" i="73"/>
  <c r="BX16" i="73" s="1"/>
  <c r="BX17" i="73" s="1"/>
  <c r="BT29" i="4"/>
  <c r="BU26" i="4"/>
  <c r="BU28" i="4" s="1"/>
  <c r="BM66" i="2"/>
  <c r="AM355" i="73"/>
  <c r="BR74" i="4"/>
  <c r="I173" i="2"/>
  <c r="AG456" i="73"/>
  <c r="AM456" i="73"/>
  <c r="AM20" i="73" s="1"/>
  <c r="AM21" i="73" s="1"/>
  <c r="BY454" i="73"/>
  <c r="BY16" i="73" s="1"/>
  <c r="BY17" i="73" s="1"/>
  <c r="BQ143" i="2"/>
  <c r="Q144" i="2"/>
  <c r="BF454" i="73"/>
  <c r="AP75" i="51"/>
  <c r="AP79" i="51" s="1"/>
  <c r="BI13" i="4"/>
  <c r="AZ39" i="4"/>
  <c r="BF62" i="51" s="1"/>
  <c r="BL51" i="4"/>
  <c r="BU54" i="4" s="1"/>
  <c r="AU169" i="2"/>
  <c r="AU181" i="2" s="1"/>
  <c r="Y172" i="2"/>
  <c r="Y78" i="2"/>
  <c r="M89" i="2"/>
  <c r="M91" i="2"/>
  <c r="M171" i="2"/>
  <c r="M180" i="2" s="1"/>
  <c r="AZ336" i="73"/>
  <c r="Y170" i="2"/>
  <c r="BT39" i="4"/>
  <c r="BZ40" i="4" s="1"/>
  <c r="BZ41" i="4" s="1"/>
  <c r="BG173" i="2"/>
  <c r="BG92" i="2"/>
  <c r="BU142" i="2"/>
  <c r="BU77" i="2"/>
  <c r="BU171" i="2"/>
  <c r="BU180" i="2" s="1"/>
  <c r="BU90" i="2"/>
  <c r="AO45" i="4"/>
  <c r="AO57" i="4" s="1"/>
  <c r="AY39" i="4"/>
  <c r="AY40" i="4" s="1"/>
  <c r="AY41" i="4" s="1"/>
  <c r="AV454" i="73"/>
  <c r="AV16" i="73" s="1"/>
  <c r="AV17" i="73" s="1"/>
  <c r="L172" i="2"/>
  <c r="BH76" i="51"/>
  <c r="BN80" i="51" s="1"/>
  <c r="AH454" i="73"/>
  <c r="Y89" i="2"/>
  <c r="BS92" i="2"/>
  <c r="C173" i="2"/>
  <c r="BX39" i="4"/>
  <c r="CD43" i="4" s="1"/>
  <c r="AN331" i="73"/>
  <c r="AN336" i="73" s="1"/>
  <c r="AN21" i="4"/>
  <c r="AN51" i="4"/>
  <c r="BM354" i="73"/>
  <c r="BM366" i="73" s="1"/>
  <c r="BS24" i="4"/>
  <c r="AJ70" i="4"/>
  <c r="AK70" i="4" s="1"/>
  <c r="AJ20" i="4"/>
  <c r="AK20" i="4" s="1"/>
  <c r="AJ171" i="2"/>
  <c r="AJ180" i="2" s="1"/>
  <c r="AJ9" i="4"/>
  <c r="AK9" i="4" s="1"/>
  <c r="AJ23" i="4"/>
  <c r="AJ67" i="4"/>
  <c r="AK67" i="4" s="1"/>
  <c r="AJ90" i="2"/>
  <c r="AJ13" i="4"/>
  <c r="AJ73" i="4"/>
  <c r="AK73" i="4" s="1"/>
  <c r="AK75" i="4" s="1"/>
  <c r="AP170" i="2"/>
  <c r="BA354" i="73"/>
  <c r="BA24" i="4"/>
  <c r="BT32" i="4"/>
  <c r="X80" i="2"/>
  <c r="AJ452" i="73"/>
  <c r="AJ26" i="4"/>
  <c r="AK26" i="4" s="1"/>
  <c r="AJ77" i="2"/>
  <c r="AJ80" i="2" s="1"/>
  <c r="BA143" i="2"/>
  <c r="BA21" i="4"/>
  <c r="AU29" i="4"/>
  <c r="AU34" i="73" s="1"/>
  <c r="AB29" i="4"/>
  <c r="AP9" i="4"/>
  <c r="AP11" i="4"/>
  <c r="AQ11" i="4" s="1"/>
  <c r="BE29" i="4"/>
  <c r="BE34" i="73" s="1"/>
  <c r="BQ39" i="4"/>
  <c r="AJ89" i="2"/>
  <c r="BN456" i="73"/>
  <c r="BN20" i="73" s="1"/>
  <c r="BN21" i="73" s="1"/>
  <c r="AU45" i="4"/>
  <c r="AW45" i="4" s="1"/>
  <c r="BE39" i="4"/>
  <c r="BK43" i="4" s="1"/>
  <c r="BK44" i="4" s="1"/>
  <c r="BK13" i="51" s="1"/>
  <c r="BK332" i="73"/>
  <c r="AU64" i="51"/>
  <c r="BF68" i="4"/>
  <c r="BS68" i="4"/>
  <c r="K80" i="2"/>
  <c r="AN80" i="2"/>
  <c r="AV11" i="4"/>
  <c r="AS68" i="4"/>
  <c r="BA80" i="2"/>
  <c r="BF71" i="4"/>
  <c r="AN76" i="4"/>
  <c r="BU70" i="4"/>
  <c r="BU71" i="4" s="1"/>
  <c r="I80" i="2"/>
  <c r="P80" i="2"/>
  <c r="AV15" i="4"/>
  <c r="AW15" i="4" s="1"/>
  <c r="BU290" i="73"/>
  <c r="BX289" i="73"/>
  <c r="CL289" i="73"/>
  <c r="AP359" i="73"/>
  <c r="AP12" i="73"/>
  <c r="AP13" i="73" s="1"/>
  <c r="AP362" i="73"/>
  <c r="AP364" i="73"/>
  <c r="BG32" i="4"/>
  <c r="BM33" i="4" s="1"/>
  <c r="BM10" i="73"/>
  <c r="BM11" i="73" s="1"/>
  <c r="AZ32" i="4"/>
  <c r="BF33" i="4" s="1"/>
  <c r="AZ17" i="4"/>
  <c r="AH76" i="4"/>
  <c r="AO76" i="4"/>
  <c r="AQ70" i="4"/>
  <c r="AQ72" i="4" s="1"/>
  <c r="AY71" i="4"/>
  <c r="BE71" i="4"/>
  <c r="BX76" i="4"/>
  <c r="BX71" i="4"/>
  <c r="BU15" i="4"/>
  <c r="BH39" i="4"/>
  <c r="AU74" i="4"/>
  <c r="BA74" i="4"/>
  <c r="BR32" i="4"/>
  <c r="AZ51" i="4"/>
  <c r="BF52" i="4" s="1"/>
  <c r="BF53" i="4" s="1"/>
  <c r="BB80" i="2"/>
  <c r="AP76" i="4"/>
  <c r="BQ32" i="4"/>
  <c r="BQ33" i="4" s="1"/>
  <c r="AA11" i="4"/>
  <c r="AA39" i="4" s="1"/>
  <c r="AG40" i="4" s="1"/>
  <c r="AB12" i="4"/>
  <c r="AB11" i="4" s="1"/>
  <c r="BS452" i="73"/>
  <c r="BU453" i="73"/>
  <c r="BU452" i="73" s="1"/>
  <c r="AC32" i="4"/>
  <c r="BE32" i="4"/>
  <c r="BK33" i="4" s="1"/>
  <c r="AB15" i="4"/>
  <c r="AD16" i="4"/>
  <c r="AD15" i="4" s="1"/>
  <c r="AD51" i="4" s="1"/>
  <c r="AJ52" i="4" s="1"/>
  <c r="AU33" i="4"/>
  <c r="BT80" i="2"/>
  <c r="AC76" i="4"/>
  <c r="BO453" i="73"/>
  <c r="BO452" i="73" s="1"/>
  <c r="BX24" i="4"/>
  <c r="BG29" i="4"/>
  <c r="BO26" i="4"/>
  <c r="BO28" i="4" s="1"/>
  <c r="V80" i="2"/>
  <c r="BW17" i="4"/>
  <c r="CA70" i="4"/>
  <c r="CG71" i="4" s="1"/>
  <c r="CG453" i="73"/>
  <c r="BT331" i="73"/>
  <c r="BZ21" i="4"/>
  <c r="BQ74" i="4"/>
  <c r="AM29" i="4"/>
  <c r="AA76" i="4"/>
  <c r="CA67" i="4"/>
  <c r="CG68" i="4" s="1"/>
  <c r="AS71" i="4"/>
  <c r="BI453" i="73"/>
  <c r="BI452" i="73" s="1"/>
  <c r="BX354" i="73"/>
  <c r="AY46" i="4"/>
  <c r="AY47" i="4" s="1"/>
  <c r="BT354" i="73"/>
  <c r="BU354" i="73" s="1"/>
  <c r="BU358" i="73" s="1"/>
  <c r="BZ24" i="4"/>
  <c r="J51" i="2"/>
  <c r="BX51" i="2"/>
  <c r="J127" i="2"/>
  <c r="J126" i="2"/>
  <c r="BB126" i="2"/>
  <c r="BB127" i="2"/>
  <c r="BT51" i="2"/>
  <c r="AS127" i="2"/>
  <c r="AS126" i="2"/>
  <c r="AU126" i="2"/>
  <c r="AU127" i="2"/>
  <c r="BA127" i="2"/>
  <c r="BA126" i="2"/>
  <c r="BL127" i="2"/>
  <c r="BL126" i="2"/>
  <c r="L126" i="2"/>
  <c r="AB80" i="2"/>
  <c r="AK150" i="2"/>
  <c r="AE152" i="2"/>
  <c r="BU157" i="2"/>
  <c r="I154" i="2"/>
  <c r="O154" i="2"/>
  <c r="BM154" i="2"/>
  <c r="AU154" i="2"/>
  <c r="AZ159" i="2"/>
  <c r="M55" i="2"/>
  <c r="BI55" i="2"/>
  <c r="Y99" i="2"/>
  <c r="AK99" i="2"/>
  <c r="BC99" i="2"/>
  <c r="AP127" i="2"/>
  <c r="BO99" i="2"/>
  <c r="AD126" i="2"/>
  <c r="K154" i="2"/>
  <c r="Q154" i="2"/>
  <c r="Q161" i="2" s="1"/>
  <c r="W154" i="2"/>
  <c r="AC154" i="2"/>
  <c r="BG154" i="2"/>
  <c r="BI99" i="2"/>
  <c r="Y150" i="2"/>
  <c r="AQ150" i="2"/>
  <c r="AW152" i="2"/>
  <c r="BO152" i="2"/>
  <c r="V127" i="2"/>
  <c r="X127" i="2"/>
  <c r="L154" i="2"/>
  <c r="L161" i="2" s="1"/>
  <c r="X154" i="2"/>
  <c r="X159" i="2"/>
  <c r="BU27" i="3"/>
  <c r="AD25" i="3"/>
  <c r="AE25" i="3" s="1"/>
  <c r="BN22" i="3"/>
  <c r="BO22" i="3" s="1"/>
  <c r="K22" i="3"/>
  <c r="L22" i="3" s="1"/>
  <c r="BH26" i="3"/>
  <c r="BI26" i="3" s="1"/>
  <c r="BH25" i="3"/>
  <c r="BI25" i="3" s="1"/>
  <c r="CG12" i="3"/>
  <c r="AK86" i="3"/>
  <c r="R21" i="3"/>
  <c r="S21" i="3" s="1"/>
  <c r="X24" i="3"/>
  <c r="Y24" i="3" s="1"/>
  <c r="BO26" i="3"/>
  <c r="BH24" i="3"/>
  <c r="BI24" i="3" s="1"/>
  <c r="BT23" i="3"/>
  <c r="BU23" i="3" s="1"/>
  <c r="AW25" i="3"/>
  <c r="CM127" i="2"/>
  <c r="CS127" i="2"/>
  <c r="BN21" i="3"/>
  <c r="BO21" i="3" s="1"/>
  <c r="CK86" i="3"/>
  <c r="CQ86" i="3" s="1"/>
  <c r="CW86" i="3" s="1"/>
  <c r="AD48" i="3"/>
  <c r="CM108" i="2"/>
  <c r="Y86" i="3"/>
  <c r="R47" i="3"/>
  <c r="S47" i="3" s="1"/>
  <c r="AD38" i="3"/>
  <c r="AE38" i="3" s="1"/>
  <c r="AI18" i="3"/>
  <c r="AJ18" i="3" s="1"/>
  <c r="AP46" i="3"/>
  <c r="AQ46" i="3" s="1"/>
  <c r="AP28" i="3"/>
  <c r="AQ28" i="3" s="1"/>
  <c r="AV36" i="3"/>
  <c r="AW36" i="3" s="1"/>
  <c r="BC19" i="3"/>
  <c r="BB28" i="3"/>
  <c r="BC28" i="3" s="1"/>
  <c r="BH14" i="3"/>
  <c r="BI14" i="3" s="1"/>
  <c r="BN33" i="3"/>
  <c r="BO33" i="3" s="1"/>
  <c r="BN16" i="3"/>
  <c r="BO16" i="3" s="1"/>
  <c r="BT47" i="3"/>
  <c r="BU47" i="3" s="1"/>
  <c r="BT45" i="3"/>
  <c r="BU45" i="3" s="1"/>
  <c r="BT34" i="3"/>
  <c r="BU34" i="3" s="1"/>
  <c r="BT15" i="3"/>
  <c r="BU15" i="3" s="1"/>
  <c r="BT28" i="3"/>
  <c r="BU28" i="3" s="1"/>
  <c r="L9" i="3"/>
  <c r="M9" i="3" s="1"/>
  <c r="S48" i="3"/>
  <c r="X47" i="3"/>
  <c r="Y47" i="3" s="1"/>
  <c r="X45" i="3"/>
  <c r="Y45" i="3" s="1"/>
  <c r="X23" i="3"/>
  <c r="Y23" i="3" s="1"/>
  <c r="AE49" i="3"/>
  <c r="AD39" i="3"/>
  <c r="AE39" i="3" s="1"/>
  <c r="AD19" i="3"/>
  <c r="AE19" i="3" s="1"/>
  <c r="AJ48" i="3"/>
  <c r="AK48" i="3" s="1"/>
  <c r="AP49" i="3"/>
  <c r="AQ49" i="3" s="1"/>
  <c r="AP45" i="3"/>
  <c r="AQ45" i="3" s="1"/>
  <c r="AP37" i="3"/>
  <c r="AQ37" i="3" s="1"/>
  <c r="AV35" i="3"/>
  <c r="AW35" i="3" s="1"/>
  <c r="AV34" i="3"/>
  <c r="AW34" i="3" s="1"/>
  <c r="AV11" i="3"/>
  <c r="AV80" i="54" s="1"/>
  <c r="BC52" i="3"/>
  <c r="BH44" i="3"/>
  <c r="BI44" i="3" s="1"/>
  <c r="BH38" i="3"/>
  <c r="BI38" i="3" s="1"/>
  <c r="BH34" i="3"/>
  <c r="BI34" i="3" s="1"/>
  <c r="BI32" i="3"/>
  <c r="BO35" i="3"/>
  <c r="BN19" i="3"/>
  <c r="BO19" i="3" s="1"/>
  <c r="BT46" i="3"/>
  <c r="BU46" i="3" s="1"/>
  <c r="BT39" i="3"/>
  <c r="BU39" i="3" s="1"/>
  <c r="BU37" i="3"/>
  <c r="BT16" i="3"/>
  <c r="BU16" i="3" s="1"/>
  <c r="CY109" i="2"/>
  <c r="S86" i="3"/>
  <c r="G29" i="3"/>
  <c r="G53" i="3" s="1"/>
  <c r="G56" i="3" s="1"/>
  <c r="L46" i="3"/>
  <c r="M46" i="3" s="1"/>
  <c r="L16" i="3"/>
  <c r="M16" i="3" s="1"/>
  <c r="S46" i="3"/>
  <c r="X11" i="3"/>
  <c r="AO48" i="3"/>
  <c r="AP9" i="3"/>
  <c r="AQ9" i="3" s="1"/>
  <c r="AV48" i="3"/>
  <c r="AW48" i="3" s="1"/>
  <c r="AV37" i="3"/>
  <c r="AW37" i="3" s="1"/>
  <c r="AV33" i="3"/>
  <c r="AW33" i="3" s="1"/>
  <c r="BC44" i="3"/>
  <c r="BA32" i="3"/>
  <c r="BH46" i="3"/>
  <c r="BI46" i="3" s="1"/>
  <c r="BH9" i="3"/>
  <c r="BI9" i="3" s="1"/>
  <c r="BN39" i="3"/>
  <c r="BO39" i="3" s="1"/>
  <c r="BN37" i="3"/>
  <c r="BO37" i="3" s="1"/>
  <c r="AQ26" i="54"/>
  <c r="CS25" i="54"/>
  <c r="CO25" i="54" s="1"/>
  <c r="U22" i="54"/>
  <c r="U74" i="54" s="1"/>
  <c r="L8" i="54"/>
  <c r="W74" i="54"/>
  <c r="W82" i="54" s="1"/>
  <c r="X8" i="54"/>
  <c r="S22" i="54"/>
  <c r="BY27" i="54"/>
  <c r="BI26" i="54"/>
  <c r="S26" i="54"/>
  <c r="AK26" i="54"/>
  <c r="AM74" i="54"/>
  <c r="AM82" i="54" s="1"/>
  <c r="BO74" i="54"/>
  <c r="BO82" i="54" s="1"/>
  <c r="BC26" i="54"/>
  <c r="BC74" i="54" s="1"/>
  <c r="BC82" i="54" s="1"/>
  <c r="AW26" i="54"/>
  <c r="Y26" i="54"/>
  <c r="I74" i="54"/>
  <c r="M18" i="54"/>
  <c r="BU27" i="54"/>
  <c r="AV74" i="54"/>
  <c r="AV82" i="54" s="1"/>
  <c r="BC27" i="54"/>
  <c r="BC100" i="1" s="1"/>
  <c r="Y18" i="54"/>
  <c r="CI25" i="54"/>
  <c r="BX25" i="54"/>
  <c r="BX27" i="54" s="1"/>
  <c r="AA26" i="54"/>
  <c r="CL25" i="54"/>
  <c r="BK82" i="54"/>
  <c r="P74" i="54"/>
  <c r="P82" i="54" s="1"/>
  <c r="AG74" i="54"/>
  <c r="CD144" i="2"/>
  <c r="CV52" i="4"/>
  <c r="CQ42" i="4"/>
  <c r="CQ44" i="4" s="1"/>
  <c r="CP40" i="4"/>
  <c r="CJ56" i="4"/>
  <c r="DZ32" i="51" s="1"/>
  <c r="CJ15" i="51"/>
  <c r="DZ10" i="51" s="1"/>
  <c r="CI15" i="51"/>
  <c r="DY10" i="51" s="1"/>
  <c r="BR13" i="73"/>
  <c r="BS86" i="73"/>
  <c r="BQ86" i="73"/>
  <c r="BK337" i="73"/>
  <c r="AM366" i="73"/>
  <c r="BL10" i="73"/>
  <c r="BL11" i="73" s="1"/>
  <c r="AU12" i="73"/>
  <c r="AU13" i="73" s="1"/>
  <c r="CW289" i="73"/>
  <c r="AM339" i="73"/>
  <c r="AY355" i="73"/>
  <c r="BK366" i="73"/>
  <c r="AU364" i="73"/>
  <c r="BZ289" i="73"/>
  <c r="AM341" i="73"/>
  <c r="BF12" i="73"/>
  <c r="BF13" i="73" s="1"/>
  <c r="AY12" i="73"/>
  <c r="AY13" i="73" s="1"/>
  <c r="CG290" i="73"/>
  <c r="CU289" i="73"/>
  <c r="BK10" i="73"/>
  <c r="BK11" i="73" s="1"/>
  <c r="BK80" i="51"/>
  <c r="CS292" i="73"/>
  <c r="CV35" i="73"/>
  <c r="CP35" i="73"/>
  <c r="CP316" i="73"/>
  <c r="CU35" i="73"/>
  <c r="CO35" i="73"/>
  <c r="AC70" i="51"/>
  <c r="AS53" i="51"/>
  <c r="BW102" i="51"/>
  <c r="AC53" i="51"/>
  <c r="AS102" i="51"/>
  <c r="AM53" i="51"/>
  <c r="BK110" i="51"/>
  <c r="BO110" i="51" s="1"/>
  <c r="BN79" i="51"/>
  <c r="AE60" i="51"/>
  <c r="AE67" i="51" s="1"/>
  <c r="AB79" i="51"/>
  <c r="BA79" i="51"/>
  <c r="BY79" i="51"/>
  <c r="AE68" i="51"/>
  <c r="BR79" i="51"/>
  <c r="DM46" i="51"/>
  <c r="AI79" i="51"/>
  <c r="AN80" i="51"/>
  <c r="BX80" i="51"/>
  <c r="AC79" i="51"/>
  <c r="AA71" i="51"/>
  <c r="AU80" i="51"/>
  <c r="BL79" i="51"/>
  <c r="BU110" i="51"/>
  <c r="AG79" i="51"/>
  <c r="BF102" i="51"/>
  <c r="AD68" i="51"/>
  <c r="BQ79" i="51"/>
  <c r="AB81" i="51"/>
  <c r="CA118" i="51"/>
  <c r="AH79" i="51"/>
  <c r="AE53" i="51"/>
  <c r="AB80" i="51"/>
  <c r="BG80" i="51"/>
  <c r="AD70" i="51"/>
  <c r="BT80" i="51"/>
  <c r="BK79" i="51"/>
  <c r="AK53" i="51"/>
  <c r="BK102" i="51"/>
  <c r="BE102" i="51"/>
  <c r="BR102" i="51"/>
  <c r="BI110" i="51"/>
  <c r="BQ80" i="51"/>
  <c r="BS80" i="51"/>
  <c r="BF80" i="51"/>
  <c r="BE79" i="51"/>
  <c r="BF79" i="51"/>
  <c r="AI53" i="51"/>
  <c r="CA110" i="51"/>
  <c r="BU109" i="51"/>
  <c r="BA53" i="51"/>
  <c r="BM102" i="51"/>
  <c r="BU118" i="51"/>
  <c r="BC110" i="51"/>
  <c r="AE69" i="51"/>
  <c r="AD80" i="51"/>
  <c r="AD71" i="51"/>
  <c r="BB102" i="51"/>
  <c r="AM80" i="51"/>
  <c r="BW80" i="51"/>
  <c r="AC80" i="51"/>
  <c r="BT79" i="51"/>
  <c r="BY80" i="51"/>
  <c r="AO80" i="51"/>
  <c r="AB53" i="51"/>
  <c r="AV102" i="51"/>
  <c r="BO118" i="51"/>
  <c r="AB71" i="51"/>
  <c r="AA80" i="51"/>
  <c r="BM80" i="51"/>
  <c r="AD69" i="51"/>
  <c r="AB68" i="51"/>
  <c r="AO79" i="51"/>
  <c r="AN79" i="51"/>
  <c r="AB60" i="51"/>
  <c r="AE70" i="51"/>
  <c r="BX79" i="51"/>
  <c r="BW79" i="51"/>
  <c r="BG79" i="51"/>
  <c r="AA67" i="51"/>
  <c r="AA53" i="51"/>
  <c r="BA102" i="51"/>
  <c r="AT80" i="51"/>
  <c r="DE12" i="51"/>
  <c r="BL102" i="51"/>
  <c r="AC68" i="51"/>
  <c r="AG70" i="51"/>
  <c r="BI118" i="51"/>
  <c r="BL80" i="51"/>
  <c r="AC67" i="51"/>
  <c r="AE71" i="51"/>
  <c r="BY102" i="51"/>
  <c r="AZ102" i="51"/>
  <c r="AY79" i="51"/>
  <c r="AU53" i="51"/>
  <c r="AC69" i="51"/>
  <c r="AG53" i="51"/>
  <c r="AA70" i="51"/>
  <c r="AG80" i="51"/>
  <c r="BT102" i="51"/>
  <c r="AA69" i="51"/>
  <c r="AI80" i="51"/>
  <c r="AH53" i="51"/>
  <c r="AT102" i="51"/>
  <c r="AS80" i="51"/>
  <c r="AU102" i="51"/>
  <c r="BA80" i="51"/>
  <c r="AA68" i="51"/>
  <c r="AM79" i="51"/>
  <c r="DI12" i="51"/>
  <c r="AH80" i="51"/>
  <c r="DK32" i="51"/>
  <c r="DL31" i="51"/>
  <c r="BB63" i="51"/>
  <c r="CM292" i="73"/>
  <c r="CA290" i="73"/>
  <c r="BO290" i="73"/>
  <c r="CE289" i="73"/>
  <c r="CI289" i="73"/>
  <c r="CF289" i="73"/>
  <c r="BO292" i="73"/>
  <c r="CP289" i="73"/>
  <c r="CM290" i="73"/>
  <c r="CQ289" i="73"/>
  <c r="BU292" i="73"/>
  <c r="CV289" i="73"/>
  <c r="CR289" i="73"/>
  <c r="CG292" i="73"/>
  <c r="CD289" i="73"/>
  <c r="CK289" i="73"/>
  <c r="DE30" i="51"/>
  <c r="DL30" i="51"/>
  <c r="BM62" i="51"/>
  <c r="AU62" i="51"/>
  <c r="AA107" i="2"/>
  <c r="BO90" i="3"/>
  <c r="BQ90" i="3"/>
  <c r="BR90" i="3" s="1"/>
  <c r="BS90" i="3" s="1"/>
  <c r="BT90" i="3" s="1"/>
  <c r="X19" i="3"/>
  <c r="Y19" i="3" s="1"/>
  <c r="L37" i="3"/>
  <c r="M37" i="3" s="1"/>
  <c r="W44" i="3"/>
  <c r="V50" i="3"/>
  <c r="AG29" i="3"/>
  <c r="BY28" i="3"/>
  <c r="BZ28" i="3" s="1"/>
  <c r="BG84" i="3"/>
  <c r="BX40" i="3"/>
  <c r="BY32" i="3"/>
  <c r="BZ32" i="3" s="1"/>
  <c r="BX106" i="2"/>
  <c r="BX107" i="2" s="1"/>
  <c r="BX81" i="54"/>
  <c r="Q34" i="3"/>
  <c r="R34" i="3" s="1"/>
  <c r="P40" i="3"/>
  <c r="X13" i="3"/>
  <c r="X12" i="3" s="1"/>
  <c r="W25" i="3"/>
  <c r="X25" i="3" s="1"/>
  <c r="Y25" i="3" s="1"/>
  <c r="V20" i="3"/>
  <c r="V29" i="3" s="1"/>
  <c r="W12" i="3"/>
  <c r="AC21" i="3"/>
  <c r="AD21" i="3" s="1"/>
  <c r="AB20" i="3"/>
  <c r="AK35" i="3"/>
  <c r="BX20" i="3"/>
  <c r="BQ107" i="2"/>
  <c r="L26" i="3"/>
  <c r="M26" i="3" s="1"/>
  <c r="K24" i="3"/>
  <c r="L24" i="3" s="1"/>
  <c r="J20" i="3"/>
  <c r="R44" i="3"/>
  <c r="Q50" i="3"/>
  <c r="Q38" i="3"/>
  <c r="R38" i="3" s="1"/>
  <c r="R131" i="2" s="1"/>
  <c r="AM29" i="3"/>
  <c r="AD80" i="54"/>
  <c r="K43" i="3"/>
  <c r="L43" i="3" s="1"/>
  <c r="M43" i="3" s="1"/>
  <c r="J50" i="3"/>
  <c r="Q16" i="3"/>
  <c r="R16" i="3" s="1"/>
  <c r="AC9" i="3"/>
  <c r="AD9" i="3" s="1"/>
  <c r="R26" i="3"/>
  <c r="S26" i="3" s="1"/>
  <c r="Y52" i="3"/>
  <c r="W18" i="3"/>
  <c r="X18" i="3" s="1"/>
  <c r="BA45" i="3"/>
  <c r="AZ50" i="3"/>
  <c r="BA33" i="3"/>
  <c r="BB33" i="3" s="1"/>
  <c r="BM28" i="3"/>
  <c r="BN28" i="3" s="1"/>
  <c r="BK29" i="3"/>
  <c r="BR74" i="3"/>
  <c r="CE74" i="3"/>
  <c r="CK74" i="3" s="1"/>
  <c r="CQ74" i="3" s="1"/>
  <c r="CW74" i="3" s="1"/>
  <c r="CJ85" i="3"/>
  <c r="CK48" i="3"/>
  <c r="BC23" i="3"/>
  <c r="P131" i="2"/>
  <c r="P132" i="2" s="1"/>
  <c r="AE86" i="3"/>
  <c r="AE44" i="3"/>
  <c r="AD37" i="3"/>
  <c r="AE37" i="3" s="1"/>
  <c r="AC26" i="3"/>
  <c r="AD26" i="3" s="1"/>
  <c r="AU81" i="54"/>
  <c r="K45" i="3"/>
  <c r="L45" i="3" s="1"/>
  <c r="M45" i="3" s="1"/>
  <c r="AC35" i="3"/>
  <c r="AD35" i="3" s="1"/>
  <c r="AE35" i="3" s="1"/>
  <c r="AB40" i="3"/>
  <c r="BE107" i="2"/>
  <c r="K34" i="3"/>
  <c r="L34" i="3" s="1"/>
  <c r="J40" i="3"/>
  <c r="BM49" i="3"/>
  <c r="BN49" i="3" s="1"/>
  <c r="BO49" i="3" s="1"/>
  <c r="BY17" i="3"/>
  <c r="Y81" i="54"/>
  <c r="AE47" i="3"/>
  <c r="BC84" i="3"/>
  <c r="L44" i="3"/>
  <c r="M44" i="3" s="1"/>
  <c r="K11" i="3"/>
  <c r="L11" i="3" s="1"/>
  <c r="J80" i="54"/>
  <c r="M18" i="3"/>
  <c r="W33" i="3"/>
  <c r="AJ52" i="3"/>
  <c r="AK52" i="3" s="1"/>
  <c r="BA18" i="3"/>
  <c r="BB18" i="3" s="1"/>
  <c r="BG45" i="3"/>
  <c r="BM15" i="3"/>
  <c r="BN15" i="3" s="1"/>
  <c r="BO15" i="3" s="1"/>
  <c r="BS25" i="3"/>
  <c r="K14" i="3"/>
  <c r="K12" i="3" s="1"/>
  <c r="J12" i="3"/>
  <c r="K21" i="3"/>
  <c r="L21" i="3" s="1"/>
  <c r="S18" i="3"/>
  <c r="X37" i="3"/>
  <c r="Y37" i="3" s="1"/>
  <c r="AC28" i="3"/>
  <c r="AD28" i="3" s="1"/>
  <c r="AN20" i="3"/>
  <c r="AO21" i="3"/>
  <c r="AP21" i="3" s="1"/>
  <c r="BA26" i="3"/>
  <c r="BB26" i="3" s="1"/>
  <c r="BM47" i="3"/>
  <c r="BN47" i="3" s="1"/>
  <c r="BO47" i="3" s="1"/>
  <c r="BM34" i="3"/>
  <c r="BN34" i="3" s="1"/>
  <c r="BT9" i="3"/>
  <c r="BU9" i="3" s="1"/>
  <c r="L27" i="3"/>
  <c r="M27" i="3" s="1"/>
  <c r="Q52" i="3"/>
  <c r="R52" i="3" s="1"/>
  <c r="X43" i="3"/>
  <c r="Y43" i="3" s="1"/>
  <c r="AC15" i="3"/>
  <c r="AD15" i="3" s="1"/>
  <c r="AP44" i="3"/>
  <c r="AQ44" i="3" s="1"/>
  <c r="AP18" i="3"/>
  <c r="AQ18" i="3" s="1"/>
  <c r="BA35" i="3"/>
  <c r="BB35" i="3" s="1"/>
  <c r="BC35" i="3" s="1"/>
  <c r="BG43" i="3"/>
  <c r="BH43" i="3" s="1"/>
  <c r="BH36" i="3"/>
  <c r="BI36" i="3" s="1"/>
  <c r="BR20" i="3"/>
  <c r="BR29" i="3" s="1"/>
  <c r="CS109" i="2"/>
  <c r="Q19" i="3"/>
  <c r="R19" i="3" s="1"/>
  <c r="W28" i="3"/>
  <c r="X28" i="3" s="1"/>
  <c r="Y28" i="3" s="1"/>
  <c r="U29" i="3"/>
  <c r="U84" i="2" s="1"/>
  <c r="AD45" i="3"/>
  <c r="AZ20" i="3"/>
  <c r="BA21" i="3"/>
  <c r="BM18" i="3"/>
  <c r="BN18" i="3" s="1"/>
  <c r="BS21" i="3"/>
  <c r="BT21" i="3" s="1"/>
  <c r="CS108" i="2"/>
  <c r="CY108" i="2"/>
  <c r="K19" i="3"/>
  <c r="L19" i="3" s="1"/>
  <c r="P20" i="3"/>
  <c r="Q23" i="3"/>
  <c r="R23" i="3" s="1"/>
  <c r="Y46" i="3"/>
  <c r="X36" i="3"/>
  <c r="Y36" i="3" s="1"/>
  <c r="W9" i="3"/>
  <c r="X9" i="3" s="1"/>
  <c r="W22" i="3"/>
  <c r="X22" i="3" s="1"/>
  <c r="AC16" i="3"/>
  <c r="AD16" i="3" s="1"/>
  <c r="AK16" i="3"/>
  <c r="AV16" i="3"/>
  <c r="AW16" i="3" s="1"/>
  <c r="BI11" i="3"/>
  <c r="BI80" i="54" s="1"/>
  <c r="BN45" i="3"/>
  <c r="BO45" i="3" s="1"/>
  <c r="BM25" i="3"/>
  <c r="BN25" i="3" s="1"/>
  <c r="BT35" i="3"/>
  <c r="BU17" i="3"/>
  <c r="BQ109" i="2"/>
  <c r="BQ110" i="2" s="1"/>
  <c r="CS12" i="3"/>
  <c r="K36" i="3"/>
  <c r="R33" i="3"/>
  <c r="S33" i="3" s="1"/>
  <c r="R9" i="3"/>
  <c r="S9" i="3" s="1"/>
  <c r="R22" i="3"/>
  <c r="S22" i="3" s="1"/>
  <c r="Y39" i="3"/>
  <c r="W15" i="3"/>
  <c r="X15" i="3" s="1"/>
  <c r="X21" i="3"/>
  <c r="AK12" i="3"/>
  <c r="AO11" i="3"/>
  <c r="AP11" i="3" s="1"/>
  <c r="BN9" i="3"/>
  <c r="BO9" i="3" s="1"/>
  <c r="BX50" i="3"/>
  <c r="CY124" i="2"/>
  <c r="CM12" i="3"/>
  <c r="K32" i="3"/>
  <c r="L32" i="3" s="1"/>
  <c r="K17" i="3"/>
  <c r="L17" i="3" s="1"/>
  <c r="Q32" i="3"/>
  <c r="R32" i="3" s="1"/>
  <c r="Q11" i="3"/>
  <c r="R11" i="3" s="1"/>
  <c r="Q28" i="3"/>
  <c r="R28" i="3" s="1"/>
  <c r="W16" i="3"/>
  <c r="X17" i="3"/>
  <c r="Y17" i="3" s="1"/>
  <c r="AC33" i="3"/>
  <c r="AD33" i="3" s="1"/>
  <c r="AJ38" i="3"/>
  <c r="AK38" i="3" s="1"/>
  <c r="AI26" i="3"/>
  <c r="AV45" i="3"/>
  <c r="AW45" i="3" s="1"/>
  <c r="AU18" i="3"/>
  <c r="AV18" i="3" s="1"/>
  <c r="BF20" i="3"/>
  <c r="BG23" i="3"/>
  <c r="BH23" i="3" s="1"/>
  <c r="BM43" i="3"/>
  <c r="BM36" i="3"/>
  <c r="BN36" i="3" s="1"/>
  <c r="BO36" i="3" s="1"/>
  <c r="CM124" i="2"/>
  <c r="CS131" i="2"/>
  <c r="K38" i="3"/>
  <c r="L38" i="3" s="1"/>
  <c r="L131" i="2" s="1"/>
  <c r="L132" i="2" s="1"/>
  <c r="K28" i="3"/>
  <c r="R27" i="3"/>
  <c r="S27" i="3" s="1"/>
  <c r="AD52" i="3"/>
  <c r="AE52" i="3" s="1"/>
  <c r="AV44" i="3"/>
  <c r="AW44" i="3" s="1"/>
  <c r="AV21" i="3"/>
  <c r="BC36" i="3"/>
  <c r="BH22" i="3"/>
  <c r="AO19" i="3"/>
  <c r="AP19" i="3" s="1"/>
  <c r="AV43" i="3"/>
  <c r="AW43" i="3" s="1"/>
  <c r="AV19" i="3"/>
  <c r="AW19" i="3" s="1"/>
  <c r="AT20" i="3"/>
  <c r="BC38" i="3"/>
  <c r="BG52" i="3"/>
  <c r="BH52" i="3" s="1"/>
  <c r="BG28" i="3"/>
  <c r="BM48" i="3"/>
  <c r="BN48" i="3" s="1"/>
  <c r="BM44" i="3"/>
  <c r="BN44" i="3" s="1"/>
  <c r="BO38" i="3"/>
  <c r="CD84" i="3"/>
  <c r="CG84" i="3" s="1"/>
  <c r="CG86" i="3" s="1"/>
  <c r="M52" i="3"/>
  <c r="S45" i="3"/>
  <c r="S43" i="3"/>
  <c r="AK47" i="3"/>
  <c r="AH20" i="3"/>
  <c r="AU52" i="3"/>
  <c r="AV52" i="3" s="1"/>
  <c r="AW47" i="3"/>
  <c r="AU28" i="3"/>
  <c r="AV28" i="3" s="1"/>
  <c r="BA47" i="3"/>
  <c r="BB47" i="3" s="1"/>
  <c r="BC9" i="3"/>
  <c r="BH27" i="3"/>
  <c r="BI27" i="3" s="1"/>
  <c r="BO11" i="3"/>
  <c r="BO80" i="54" s="1"/>
  <c r="BT52" i="3"/>
  <c r="BU52" i="3" s="1"/>
  <c r="BS18" i="3"/>
  <c r="AO26" i="3"/>
  <c r="AP26" i="3" s="1"/>
  <c r="AV46" i="3"/>
  <c r="AW46" i="3" s="1"/>
  <c r="AV32" i="3"/>
  <c r="AW32" i="3" s="1"/>
  <c r="AW9" i="3"/>
  <c r="BA43" i="3"/>
  <c r="BB43" i="3" s="1"/>
  <c r="BB34" i="3"/>
  <c r="BC34" i="3" s="1"/>
  <c r="BB11" i="3"/>
  <c r="BI49" i="3"/>
  <c r="BN24" i="3"/>
  <c r="BO24" i="3" s="1"/>
  <c r="BT49" i="3"/>
  <c r="BU49" i="3" s="1"/>
  <c r="BT43" i="3"/>
  <c r="BU43" i="3" s="1"/>
  <c r="AJ15" i="3"/>
  <c r="AI21" i="3"/>
  <c r="AO52" i="3"/>
  <c r="AP52" i="3" s="1"/>
  <c r="AQ47" i="3"/>
  <c r="AP43" i="3"/>
  <c r="AQ43" i="3" s="1"/>
  <c r="AW49" i="3"/>
  <c r="AV38" i="3"/>
  <c r="AW38" i="3" s="1"/>
  <c r="BA49" i="3"/>
  <c r="BB49" i="3" s="1"/>
  <c r="BC49" i="3" s="1"/>
  <c r="BC16" i="3"/>
  <c r="BM46" i="3"/>
  <c r="BN46" i="3" s="1"/>
  <c r="BL20" i="3"/>
  <c r="AK34" i="3"/>
  <c r="AK19" i="3"/>
  <c r="AQ36" i="3"/>
  <c r="BI37" i="3"/>
  <c r="BI17" i="3"/>
  <c r="BU38" i="3"/>
  <c r="BU36" i="3"/>
  <c r="BU19" i="3"/>
  <c r="BW29" i="3"/>
  <c r="AW12" i="3"/>
  <c r="BY9" i="3"/>
  <c r="BZ9" i="3" s="1"/>
  <c r="AO62" i="51"/>
  <c r="BI292" i="73"/>
  <c r="CX289" i="73"/>
  <c r="BY289" i="73"/>
  <c r="CA292" i="73"/>
  <c r="BT289" i="73"/>
  <c r="CO289" i="73"/>
  <c r="CS290" i="73"/>
  <c r="CY290" i="73"/>
  <c r="CY292" i="73"/>
  <c r="CC289" i="73"/>
  <c r="DL32" i="51"/>
  <c r="BN64" i="51"/>
  <c r="AD67" i="51"/>
  <c r="CW312" i="73"/>
  <c r="DK12" i="51"/>
  <c r="CV319" i="73"/>
  <c r="CV312" i="73"/>
  <c r="CV250" i="73"/>
  <c r="CV322" i="73"/>
  <c r="CV287" i="73"/>
  <c r="CV246" i="73"/>
  <c r="CV344" i="73"/>
  <c r="CV116" i="73"/>
  <c r="CV110" i="73"/>
  <c r="AY53" i="51"/>
  <c r="AW53" i="51"/>
  <c r="AQ53" i="51"/>
  <c r="CV190" i="73"/>
  <c r="AT53" i="51"/>
  <c r="AZ53" i="51"/>
  <c r="DL12" i="51"/>
  <c r="DL20" i="51" s="1"/>
  <c r="CR116" i="73"/>
  <c r="CV236" i="73"/>
  <c r="BC117" i="51"/>
  <c r="CR250" i="73"/>
  <c r="CR319" i="73"/>
  <c r="CR186" i="73"/>
  <c r="CR287" i="73"/>
  <c r="CR110" i="73"/>
  <c r="CR246" i="73"/>
  <c r="CR322" i="73"/>
  <c r="CR194" i="73"/>
  <c r="CR312" i="73"/>
  <c r="CP322" i="73"/>
  <c r="CP120" i="73"/>
  <c r="CP312" i="73"/>
  <c r="CP116" i="73"/>
  <c r="CP194" i="73"/>
  <c r="CP250" i="73"/>
  <c r="CP246" i="73"/>
  <c r="CP110" i="73"/>
  <c r="CP319" i="73"/>
  <c r="CP344" i="73"/>
  <c r="CP239" i="73"/>
  <c r="CP186" i="73"/>
  <c r="CP287" i="73"/>
  <c r="CR236" i="73"/>
  <c r="CW186" i="73"/>
  <c r="CW110" i="73"/>
  <c r="CW322" i="73"/>
  <c r="CW246" i="73"/>
  <c r="CW319" i="73"/>
  <c r="CW344" i="73"/>
  <c r="CW120" i="73"/>
  <c r="CW194" i="73"/>
  <c r="CW250" i="73"/>
  <c r="CR344" i="73"/>
  <c r="CP190" i="73"/>
  <c r="CV186" i="73"/>
  <c r="DI46" i="51"/>
  <c r="AQ37" i="4"/>
  <c r="BC118" i="51"/>
  <c r="AW378" i="73"/>
  <c r="AV407" i="73"/>
  <c r="CQ155" i="73"/>
  <c r="CP154" i="73"/>
  <c r="CJ244" i="73"/>
  <c r="CK244" i="73" s="1"/>
  <c r="CL244" i="73" s="1"/>
  <c r="CO244" i="73" s="1"/>
  <c r="AD92" i="73"/>
  <c r="AE91" i="73"/>
  <c r="AO378" i="73"/>
  <c r="AZ378" i="73"/>
  <c r="AZ407" i="73" s="1"/>
  <c r="AM336" i="73"/>
  <c r="AW91" i="73"/>
  <c r="AW92" i="73" s="1"/>
  <c r="CG244" i="73"/>
  <c r="AM378" i="73"/>
  <c r="AQ91" i="73"/>
  <c r="CO154" i="73"/>
  <c r="AI136" i="73"/>
  <c r="AI429" i="73" s="1"/>
  <c r="AI438" i="73" s="1"/>
  <c r="AI399" i="73"/>
  <c r="AI408" i="73" s="1"/>
  <c r="AT410" i="73"/>
  <c r="AW381" i="73"/>
  <c r="CW236" i="73"/>
  <c r="CX237" i="73"/>
  <c r="CX236" i="73" s="1"/>
  <c r="AQ453" i="73"/>
  <c r="AQ452" i="73" s="1"/>
  <c r="AO452" i="73"/>
  <c r="AT398" i="73"/>
  <c r="AH452" i="73"/>
  <c r="AK453" i="73"/>
  <c r="CW240" i="73"/>
  <c r="CV239" i="73"/>
  <c r="AQ383" i="73"/>
  <c r="AO442" i="73"/>
  <c r="AQ403" i="73"/>
  <c r="AO412" i="73"/>
  <c r="AK383" i="73"/>
  <c r="AG442" i="73"/>
  <c r="BU241" i="73"/>
  <c r="BU243" i="73" s="1"/>
  <c r="BW241" i="73"/>
  <c r="AS217" i="73"/>
  <c r="AS361" i="73"/>
  <c r="AT440" i="73"/>
  <c r="AG136" i="73"/>
  <c r="AG429" i="73" s="1"/>
  <c r="AG438" i="73" s="1"/>
  <c r="AG399" i="73"/>
  <c r="AG408" i="73" s="1"/>
  <c r="BG162" i="73"/>
  <c r="BG401" i="73" s="1"/>
  <c r="BG156" i="73"/>
  <c r="BG157" i="73" s="1"/>
  <c r="AV168" i="73"/>
  <c r="AV431" i="73" s="1"/>
  <c r="AV440" i="73" s="1"/>
  <c r="AV401" i="73"/>
  <c r="BY452" i="73"/>
  <c r="CA453" i="73"/>
  <c r="CA452" i="73" s="1"/>
  <c r="AK448" i="73"/>
  <c r="AP181" i="73"/>
  <c r="AP183" i="73"/>
  <c r="AQ183" i="73"/>
  <c r="AN410" i="73"/>
  <c r="AQ381" i="73"/>
  <c r="BA156" i="73"/>
  <c r="BA339" i="73" s="1"/>
  <c r="BA162" i="73"/>
  <c r="BC158" i="73"/>
  <c r="AY378" i="73"/>
  <c r="AY359" i="73"/>
  <c r="AK109" i="73"/>
  <c r="AJ125" i="73"/>
  <c r="AK432" i="73"/>
  <c r="AK441" i="73" s="1"/>
  <c r="AI441" i="73"/>
  <c r="BC453" i="73"/>
  <c r="BC452" i="73" s="1"/>
  <c r="AY452" i="73"/>
  <c r="AK91" i="73"/>
  <c r="AH92" i="73"/>
  <c r="AH378" i="73" s="1"/>
  <c r="AK378" i="73" s="1"/>
  <c r="BO248" i="73"/>
  <c r="BL257" i="73"/>
  <c r="CD181" i="73"/>
  <c r="CJ184" i="73"/>
  <c r="CO39" i="73"/>
  <c r="CP40" i="73"/>
  <c r="CO148" i="73"/>
  <c r="CP149" i="73"/>
  <c r="AM359" i="73"/>
  <c r="CO145" i="73"/>
  <c r="CP146" i="73"/>
  <c r="AM177" i="73"/>
  <c r="AM179" i="73"/>
  <c r="AN176" i="73"/>
  <c r="AJ181" i="73"/>
  <c r="AK181" i="73" s="1"/>
  <c r="AK183" i="73"/>
  <c r="BF128" i="73"/>
  <c r="BC128" i="73"/>
  <c r="AH398" i="73"/>
  <c r="AK398" i="73" s="1"/>
  <c r="AK97" i="73"/>
  <c r="AK403" i="73"/>
  <c r="AG412" i="73"/>
  <c r="CA181" i="73"/>
  <c r="CA192" i="73" s="1"/>
  <c r="BZ182" i="73"/>
  <c r="AV176" i="73"/>
  <c r="AN379" i="73"/>
  <c r="AN132" i="73"/>
  <c r="AN125" i="73"/>
  <c r="AT116" i="73"/>
  <c r="AM401" i="73"/>
  <c r="AM168" i="73"/>
  <c r="AM431" i="73" s="1"/>
  <c r="AQ162" i="73"/>
  <c r="BC252" i="73"/>
  <c r="AY257" i="73"/>
  <c r="AS300" i="73"/>
  <c r="AW294" i="73"/>
  <c r="CA188" i="73"/>
  <c r="CC188" i="73"/>
  <c r="AW109" i="73"/>
  <c r="AT126" i="73"/>
  <c r="AT119" i="73" s="1"/>
  <c r="AT295" i="73"/>
  <c r="AT300" i="73"/>
  <c r="AT403" i="73" s="1"/>
  <c r="BY248" i="73"/>
  <c r="CC181" i="73"/>
  <c r="CI184" i="73"/>
  <c r="BT141" i="73"/>
  <c r="BW140" i="73"/>
  <c r="BI158" i="73"/>
  <c r="BB162" i="73"/>
  <c r="BB401" i="73" s="1"/>
  <c r="BB156" i="73"/>
  <c r="BB157" i="73" s="1"/>
  <c r="BB381" i="73" s="1"/>
  <c r="CE181" i="73"/>
  <c r="CK184" i="73"/>
  <c r="BE115" i="73"/>
  <c r="AS379" i="73"/>
  <c r="AS408" i="73" s="1"/>
  <c r="AS134" i="73"/>
  <c r="AS125" i="73"/>
  <c r="AU257" i="73"/>
  <c r="AK134" i="73"/>
  <c r="BG55" i="4"/>
  <c r="BG56" i="4" s="1"/>
  <c r="BG19" i="51" s="1"/>
  <c r="BG49" i="51" s="1"/>
  <c r="BT179" i="73"/>
  <c r="BW176" i="73"/>
  <c r="BU176" i="73"/>
  <c r="AG401" i="73"/>
  <c r="AK162" i="73"/>
  <c r="AK168" i="73" s="1"/>
  <c r="AG206" i="73"/>
  <c r="AG199" i="73"/>
  <c r="AS257" i="73"/>
  <c r="AW162" i="73"/>
  <c r="BC281" i="73"/>
  <c r="BI6" i="4"/>
  <c r="BI54" i="73" s="1"/>
  <c r="BC171" i="73"/>
  <c r="BC104" i="73"/>
  <c r="BC139" i="73"/>
  <c r="BC80" i="73"/>
  <c r="BC29" i="73"/>
  <c r="BR45" i="4"/>
  <c r="BR46" i="4" s="1"/>
  <c r="BR47" i="4" s="1"/>
  <c r="BR17" i="4"/>
  <c r="AW9" i="4"/>
  <c r="AT17" i="4"/>
  <c r="CC7" i="4"/>
  <c r="BF39" i="4"/>
  <c r="BI11" i="4"/>
  <c r="BF17" i="4"/>
  <c r="AM51" i="4"/>
  <c r="AM17" i="4"/>
  <c r="AQ15" i="4"/>
  <c r="AP29" i="4"/>
  <c r="AP34" i="73" s="1"/>
  <c r="AP331" i="73"/>
  <c r="AP339" i="73" s="1"/>
  <c r="BI76" i="4"/>
  <c r="BH67" i="4"/>
  <c r="BH68" i="4" s="1"/>
  <c r="BO68" i="4"/>
  <c r="BI23" i="4"/>
  <c r="BE354" i="73"/>
  <c r="BK355" i="73" s="1"/>
  <c r="BK24" i="4"/>
  <c r="BE24" i="4"/>
  <c r="BT45" i="4"/>
  <c r="BT17" i="4"/>
  <c r="BZ318" i="73" s="1"/>
  <c r="BL354" i="73"/>
  <c r="BL29" i="4"/>
  <c r="BL24" i="4"/>
  <c r="BQ21" i="4"/>
  <c r="BQ331" i="73"/>
  <c r="BU20" i="4"/>
  <c r="AP64" i="51"/>
  <c r="BF74" i="4"/>
  <c r="BL74" i="4"/>
  <c r="BH73" i="4"/>
  <c r="AG32" i="4"/>
  <c r="AG17" i="4"/>
  <c r="AA43" i="73"/>
  <c r="AA32" i="4"/>
  <c r="AC39" i="4"/>
  <c r="AH29" i="4"/>
  <c r="AH43" i="73" s="1"/>
  <c r="AH21" i="4"/>
  <c r="AH331" i="73"/>
  <c r="BC20" i="4"/>
  <c r="BC22" i="4" s="1"/>
  <c r="BE21" i="4"/>
  <c r="AY29" i="4"/>
  <c r="AY21" i="4"/>
  <c r="AY331" i="73"/>
  <c r="AI24" i="4"/>
  <c r="BS73" i="4"/>
  <c r="BU73" i="4" s="1"/>
  <c r="BU74" i="4" s="1"/>
  <c r="BS98" i="51"/>
  <c r="BS102" i="51" s="1"/>
  <c r="AS51" i="4"/>
  <c r="AS57" i="4" s="1"/>
  <c r="AS17" i="4"/>
  <c r="AG331" i="73"/>
  <c r="AG366" i="73" s="1"/>
  <c r="AG21" i="4"/>
  <c r="AG29" i="4"/>
  <c r="AG43" i="73" s="1"/>
  <c r="CJ44" i="4"/>
  <c r="BQ102" i="51"/>
  <c r="AB70" i="51"/>
  <c r="AS355" i="73"/>
  <c r="BO11" i="4"/>
  <c r="BN29" i="4"/>
  <c r="BN354" i="73"/>
  <c r="BN24" i="4"/>
  <c r="BQ29" i="4"/>
  <c r="BQ34" i="73" s="1"/>
  <c r="AS362" i="73"/>
  <c r="AS366" i="73"/>
  <c r="BB354" i="73"/>
  <c r="BH24" i="4"/>
  <c r="CP56" i="4"/>
  <c r="CP52" i="4"/>
  <c r="AG76" i="4"/>
  <c r="AZ68" i="4"/>
  <c r="AZ76" i="4"/>
  <c r="AU71" i="4"/>
  <c r="AU76" i="4"/>
  <c r="AW70" i="4"/>
  <c r="BW71" i="4"/>
  <c r="BW76" i="4"/>
  <c r="AT74" i="4"/>
  <c r="AZ74" i="4"/>
  <c r="AT76" i="4"/>
  <c r="AW73" i="4"/>
  <c r="AW75" i="4" s="1"/>
  <c r="AY102" i="51"/>
  <c r="AC71" i="51"/>
  <c r="BQ17" i="4"/>
  <c r="BQ45" i="4"/>
  <c r="CK56" i="4"/>
  <c r="BF76" i="4"/>
  <c r="AC45" i="4"/>
  <c r="AI51" i="4"/>
  <c r="AO29" i="4"/>
  <c r="AO331" i="73"/>
  <c r="AO10" i="73" s="1"/>
  <c r="BS331" i="73"/>
  <c r="BS29" i="4"/>
  <c r="BS21" i="4"/>
  <c r="BY21" i="4"/>
  <c r="BW354" i="73"/>
  <c r="CC355" i="73" s="1"/>
  <c r="BW24" i="4"/>
  <c r="AS40" i="4"/>
  <c r="AS41" i="4" s="1"/>
  <c r="AY62" i="51"/>
  <c r="BA10" i="73"/>
  <c r="BA11" i="73" s="1"/>
  <c r="AZ29" i="4"/>
  <c r="BC23" i="4"/>
  <c r="BC25" i="4" s="1"/>
  <c r="DE31" i="51"/>
  <c r="BE63" i="51"/>
  <c r="BC70" i="4"/>
  <c r="BI71" i="4" s="1"/>
  <c r="BE51" i="4"/>
  <c r="BI15" i="4"/>
  <c r="BM52" i="4"/>
  <c r="BM53" i="4" s="1"/>
  <c r="BS55" i="4"/>
  <c r="BQ76" i="4"/>
  <c r="AN354" i="73"/>
  <c r="AN29" i="4"/>
  <c r="BG52" i="4"/>
  <c r="BG53" i="4" s="1"/>
  <c r="BM64" i="51"/>
  <c r="BF45" i="4"/>
  <c r="BL46" i="4" s="1"/>
  <c r="BL47" i="4" s="1"/>
  <c r="BL32" i="4"/>
  <c r="BU35" i="4" s="1"/>
  <c r="BO9" i="4"/>
  <c r="BW331" i="73"/>
  <c r="BW29" i="4"/>
  <c r="BW21" i="4"/>
  <c r="BE46" i="4"/>
  <c r="BE47" i="4" s="1"/>
  <c r="AY51" i="4"/>
  <c r="BE64" i="51" s="1"/>
  <c r="AI45" i="4"/>
  <c r="AB69" i="51"/>
  <c r="BE17" i="4"/>
  <c r="BM17" i="4"/>
  <c r="AC29" i="4"/>
  <c r="AU21" i="4"/>
  <c r="AU331" i="73"/>
  <c r="AS24" i="4"/>
  <c r="AS29" i="4"/>
  <c r="AY24" i="4"/>
  <c r="BE74" i="4"/>
  <c r="BE76" i="4"/>
  <c r="BW74" i="4"/>
  <c r="BG102" i="51"/>
  <c r="AN39" i="4"/>
  <c r="BQ355" i="73"/>
  <c r="BM39" i="4"/>
  <c r="BR71" i="4"/>
  <c r="AB76" i="4"/>
  <c r="BS51" i="4"/>
  <c r="AM24" i="4"/>
  <c r="AT354" i="73"/>
  <c r="AT29" i="4"/>
  <c r="BY71" i="4"/>
  <c r="BM45" i="4"/>
  <c r="AS33" i="4"/>
  <c r="AV46" i="4"/>
  <c r="AV47" i="4" s="1"/>
  <c r="AW26" i="4"/>
  <c r="AW28" i="4" s="1"/>
  <c r="AC17" i="4"/>
  <c r="DF30" i="51"/>
  <c r="AH51" i="4"/>
  <c r="DG30" i="51"/>
  <c r="BY68" i="4"/>
  <c r="BS33" i="4"/>
  <c r="BG45" i="4"/>
  <c r="BG17" i="4"/>
  <c r="BN52" i="4"/>
  <c r="BN53" i="4" s="1"/>
  <c r="AY33" i="4"/>
  <c r="AT68" i="4"/>
  <c r="AZ46" i="4"/>
  <c r="AZ47" i="4" s="1"/>
  <c r="CA76" i="51"/>
  <c r="BU76" i="51"/>
  <c r="BU80" i="51" s="1"/>
  <c r="BT143" i="2"/>
  <c r="BU172" i="2"/>
  <c r="BT66" i="2"/>
  <c r="BT169" i="2"/>
  <c r="BT181" i="2" s="1"/>
  <c r="BU79" i="2"/>
  <c r="BZ144" i="2"/>
  <c r="BZ145" i="2" s="1"/>
  <c r="BZ146" i="2" s="1"/>
  <c r="BZ147" i="2" s="1"/>
  <c r="BM79" i="51"/>
  <c r="BS79" i="51"/>
  <c r="BX92" i="2"/>
  <c r="CJ92" i="2" s="1"/>
  <c r="CP92" i="2" s="1"/>
  <c r="CV92" i="2" s="1"/>
  <c r="BX173" i="2"/>
  <c r="BZ80" i="51"/>
  <c r="CA29" i="2"/>
  <c r="CA79" i="2" s="1"/>
  <c r="BZ156" i="2"/>
  <c r="AB176" i="2"/>
  <c r="AB182" i="2" s="1"/>
  <c r="BY176" i="2"/>
  <c r="BY182" i="2" s="1"/>
  <c r="BC170" i="2"/>
  <c r="AH71" i="51"/>
  <c r="L144" i="2"/>
  <c r="BH167" i="2"/>
  <c r="BH79" i="54"/>
  <c r="BB16" i="73"/>
  <c r="BB17" i="73" s="1"/>
  <c r="I143" i="2"/>
  <c r="I145" i="2" s="1"/>
  <c r="I146" i="2" s="1"/>
  <c r="I147" i="2" s="1"/>
  <c r="BA176" i="2"/>
  <c r="BA182" i="2" s="1"/>
  <c r="BA183" i="2" s="1"/>
  <c r="BA184" i="2" s="1"/>
  <c r="BL92" i="2"/>
  <c r="BL173" i="2"/>
  <c r="AU176" i="2"/>
  <c r="AU182" i="2" s="1"/>
  <c r="BG366" i="73"/>
  <c r="BM332" i="73"/>
  <c r="BG332" i="73"/>
  <c r="BO75" i="51"/>
  <c r="BU75" i="51"/>
  <c r="BH32" i="4"/>
  <c r="BH17" i="4"/>
  <c r="BI9" i="4"/>
  <c r="AZ173" i="2"/>
  <c r="AZ92" i="2"/>
  <c r="AQ75" i="51"/>
  <c r="AK75" i="51"/>
  <c r="BC73" i="4"/>
  <c r="BB74" i="4"/>
  <c r="BB76" i="4"/>
  <c r="AP173" i="2"/>
  <c r="AQ73" i="4"/>
  <c r="AV74" i="4"/>
  <c r="AB92" i="2"/>
  <c r="AH174" i="2"/>
  <c r="R170" i="2"/>
  <c r="AV354" i="73"/>
  <c r="BB24" i="4"/>
  <c r="AW23" i="4"/>
  <c r="AV24" i="4"/>
  <c r="BH339" i="73"/>
  <c r="BH10" i="73"/>
  <c r="BH11" i="73" s="1"/>
  <c r="BH70" i="4"/>
  <c r="BG76" i="4"/>
  <c r="BK92" i="2"/>
  <c r="BK173" i="2"/>
  <c r="O173" i="2"/>
  <c r="O92" i="2"/>
  <c r="AS92" i="2"/>
  <c r="E169" i="2"/>
  <c r="E181" i="2" s="1"/>
  <c r="BB331" i="73"/>
  <c r="BB21" i="4"/>
  <c r="BB29" i="4"/>
  <c r="BH315" i="73" s="1"/>
  <c r="BH21" i="4"/>
  <c r="BN21" i="4"/>
  <c r="AV21" i="4"/>
  <c r="AW20" i="4"/>
  <c r="AV29" i="4"/>
  <c r="AV34" i="73" s="1"/>
  <c r="AV331" i="73"/>
  <c r="M78" i="2"/>
  <c r="M79" i="2"/>
  <c r="M172" i="2"/>
  <c r="BB173" i="2"/>
  <c r="AU51" i="4"/>
  <c r="AU17" i="4"/>
  <c r="BA39" i="4"/>
  <c r="BG40" i="4" s="1"/>
  <c r="BG41" i="4" s="1"/>
  <c r="BB80" i="51"/>
  <c r="AV80" i="51"/>
  <c r="AT79" i="51"/>
  <c r="AZ79" i="51"/>
  <c r="AS340" i="73"/>
  <c r="AS337" i="73"/>
  <c r="AS10" i="73"/>
  <c r="AS336" i="73"/>
  <c r="AS339" i="73"/>
  <c r="P145" i="2"/>
  <c r="P146" i="2" s="1"/>
  <c r="P147" i="2" s="1"/>
  <c r="BS143" i="2"/>
  <c r="BS169" i="2"/>
  <c r="BS181" i="2" s="1"/>
  <c r="BS66" i="2"/>
  <c r="BY80" i="2"/>
  <c r="AJ169" i="2"/>
  <c r="AJ181" i="2" s="1"/>
  <c r="AJ143" i="2"/>
  <c r="AQ20" i="4"/>
  <c r="AQ171" i="2"/>
  <c r="AQ180" i="2" s="1"/>
  <c r="AQ90" i="2"/>
  <c r="AQ77" i="2"/>
  <c r="AQ89" i="2"/>
  <c r="AQ455" i="73"/>
  <c r="AQ18" i="73" s="1"/>
  <c r="AQ19" i="73" s="1"/>
  <c r="AJ173" i="2"/>
  <c r="AJ92" i="2"/>
  <c r="BX51" i="4"/>
  <c r="CD55" i="4" s="1"/>
  <c r="BX17" i="4"/>
  <c r="AI331" i="73"/>
  <c r="AO21" i="4"/>
  <c r="AI21" i="4"/>
  <c r="AV68" i="4"/>
  <c r="AQ67" i="4"/>
  <c r="AG66" i="2"/>
  <c r="BX68" i="4"/>
  <c r="BR173" i="2"/>
  <c r="BR92" i="2"/>
  <c r="BQ454" i="73"/>
  <c r="BK454" i="73"/>
  <c r="AI66" i="2"/>
  <c r="AI143" i="2"/>
  <c r="BN10" i="73"/>
  <c r="BN332" i="73"/>
  <c r="BQ51" i="4"/>
  <c r="BS71" i="4"/>
  <c r="BM76" i="4"/>
  <c r="BM71" i="4"/>
  <c r="BN70" i="4"/>
  <c r="BB45" i="4"/>
  <c r="BC13" i="4"/>
  <c r="G78" i="2"/>
  <c r="G172" i="2"/>
  <c r="BG143" i="2"/>
  <c r="BG66" i="2"/>
  <c r="AN92" i="2"/>
  <c r="AN173" i="2"/>
  <c r="AJ76" i="51"/>
  <c r="F171" i="2"/>
  <c r="F180" i="2" s="1"/>
  <c r="F177" i="2"/>
  <c r="AD75" i="51"/>
  <c r="AD79" i="51" s="1"/>
  <c r="BI76" i="51"/>
  <c r="BW32" i="4"/>
  <c r="CC36" i="4" s="1"/>
  <c r="BN66" i="2"/>
  <c r="BN143" i="2"/>
  <c r="BN80" i="2"/>
  <c r="V144" i="2"/>
  <c r="V145" i="2" s="1"/>
  <c r="V146" i="2" s="1"/>
  <c r="V147" i="2" s="1"/>
  <c r="E173" i="2"/>
  <c r="AJ71" i="51"/>
  <c r="BB9" i="4"/>
  <c r="BB11" i="4"/>
  <c r="BB15" i="4"/>
  <c r="BB455" i="73"/>
  <c r="BU67" i="4"/>
  <c r="AS80" i="2"/>
  <c r="S172" i="2"/>
  <c r="AU173" i="2"/>
  <c r="AS144" i="2"/>
  <c r="BX32" i="4"/>
  <c r="CD36" i="4" s="1"/>
  <c r="AS79" i="51"/>
  <c r="U66" i="2"/>
  <c r="BE80" i="51"/>
  <c r="AY80" i="51"/>
  <c r="BQ456" i="73"/>
  <c r="BA32" i="4"/>
  <c r="BA17" i="4"/>
  <c r="AM80" i="2"/>
  <c r="R172" i="2"/>
  <c r="R78" i="2"/>
  <c r="R80" i="2" s="1"/>
  <c r="R89" i="2"/>
  <c r="R142" i="2"/>
  <c r="R91" i="2"/>
  <c r="AT456" i="73"/>
  <c r="BO331" i="73"/>
  <c r="BO335" i="73" s="1"/>
  <c r="AT331" i="73"/>
  <c r="AT21" i="4"/>
  <c r="AU80" i="2"/>
  <c r="AK171" i="2"/>
  <c r="AK180" i="2" s="1"/>
  <c r="AK89" i="2"/>
  <c r="BL454" i="73"/>
  <c r="BS39" i="4"/>
  <c r="BS17" i="4"/>
  <c r="BW51" i="4"/>
  <c r="CC55" i="4" s="1"/>
  <c r="BQ80" i="2"/>
  <c r="W80" i="2"/>
  <c r="BM80" i="2"/>
  <c r="AC51" i="4"/>
  <c r="AG80" i="2"/>
  <c r="AA80" i="2"/>
  <c r="BR80" i="51"/>
  <c r="AN32" i="4"/>
  <c r="AT33" i="4" s="1"/>
  <c r="BK45" i="4"/>
  <c r="BK17" i="4"/>
  <c r="BA173" i="2"/>
  <c r="AS74" i="4"/>
  <c r="AY74" i="4"/>
  <c r="BC91" i="2"/>
  <c r="BI90" i="2"/>
  <c r="BM29" i="4"/>
  <c r="BM34" i="73" s="1"/>
  <c r="BO20" i="4"/>
  <c r="BT76" i="4"/>
  <c r="AU39" i="4"/>
  <c r="BL39" i="4"/>
  <c r="BL17" i="4"/>
  <c r="BI26" i="4"/>
  <c r="BI28" i="4" s="1"/>
  <c r="BI20" i="4"/>
  <c r="BO23" i="4"/>
  <c r="BK29" i="4"/>
  <c r="BK43" i="73" s="1"/>
  <c r="AT46" i="4"/>
  <c r="AT47" i="4" s="1"/>
  <c r="BT51" i="4"/>
  <c r="BZ52" i="4" s="1"/>
  <c r="AS46" i="4"/>
  <c r="AS47" i="4" s="1"/>
  <c r="Q80" i="2"/>
  <c r="AH80" i="2"/>
  <c r="AY80" i="2"/>
  <c r="BX80" i="2"/>
  <c r="BR29" i="4"/>
  <c r="BR34" i="73" s="1"/>
  <c r="BN45" i="4"/>
  <c r="BN17" i="4"/>
  <c r="BZ79" i="51"/>
  <c r="D7" i="52"/>
  <c r="CA142" i="2"/>
  <c r="CA75" i="51"/>
  <c r="CA13" i="2"/>
  <c r="CA39" i="2"/>
  <c r="BZ157" i="2"/>
  <c r="BZ35" i="2"/>
  <c r="CA30" i="2"/>
  <c r="CA92" i="2" s="1"/>
  <c r="CA16" i="2"/>
  <c r="AE150" i="2"/>
  <c r="AE89" i="2"/>
  <c r="J130" i="2"/>
  <c r="J132" i="2" s="1"/>
  <c r="I132" i="2"/>
  <c r="CA23" i="2"/>
  <c r="AN168" i="2"/>
  <c r="AV127" i="2"/>
  <c r="AW125" i="2"/>
  <c r="AV126" i="2"/>
  <c r="BG123" i="2"/>
  <c r="BF127" i="2"/>
  <c r="CA14" i="2"/>
  <c r="CA78" i="2" s="1"/>
  <c r="BZ149" i="2"/>
  <c r="AZ126" i="2"/>
  <c r="AZ127" i="2"/>
  <c r="BZ148" i="2"/>
  <c r="CA12" i="2"/>
  <c r="CA77" i="2" s="1"/>
  <c r="AN65" i="2"/>
  <c r="AJ41" i="2"/>
  <c r="M158" i="2"/>
  <c r="BZ150" i="2"/>
  <c r="V41" i="2"/>
  <c r="BM51" i="2"/>
  <c r="BU123" i="2"/>
  <c r="BQ123" i="2"/>
  <c r="AY130" i="2"/>
  <c r="AY132" i="2" s="1"/>
  <c r="BC130" i="2"/>
  <c r="BE96" i="2"/>
  <c r="BI96" i="2" s="1"/>
  <c r="BC49" i="2"/>
  <c r="BC195" i="2" s="1"/>
  <c r="BM68" i="2"/>
  <c r="G101" i="2"/>
  <c r="G68" i="2"/>
  <c r="G51" i="2"/>
  <c r="Q68" i="2"/>
  <c r="AA68" i="2"/>
  <c r="AA60" i="2"/>
  <c r="AB60" i="2"/>
  <c r="BA68" i="2"/>
  <c r="BA60" i="2"/>
  <c r="BF131" i="2"/>
  <c r="BF132" i="2" s="1"/>
  <c r="BG124" i="2"/>
  <c r="AM41" i="2"/>
  <c r="BY154" i="2"/>
  <c r="BN123" i="2"/>
  <c r="BX123" i="2"/>
  <c r="BL41" i="2"/>
  <c r="AY41" i="2"/>
  <c r="BR68" i="2"/>
  <c r="AO51" i="2"/>
  <c r="Y55" i="2"/>
  <c r="AE35" i="2"/>
  <c r="AE91" i="2"/>
  <c r="AE157" i="2"/>
  <c r="S158" i="2"/>
  <c r="BU128" i="2"/>
  <c r="CA123" i="2" s="1"/>
  <c r="Y156" i="2"/>
  <c r="Y35" i="2"/>
  <c r="Y79" i="2"/>
  <c r="AQ35" i="2"/>
  <c r="AQ55" i="2"/>
  <c r="AW157" i="2"/>
  <c r="AW35" i="2"/>
  <c r="BC55" i="2"/>
  <c r="BO156" i="2"/>
  <c r="BO35" i="2"/>
  <c r="BU55" i="2"/>
  <c r="BU35" i="2"/>
  <c r="BR127" i="2"/>
  <c r="BS123" i="2"/>
  <c r="R159" i="2"/>
  <c r="L80" i="2"/>
  <c r="BY159" i="2"/>
  <c r="AD154" i="2"/>
  <c r="AM154" i="2"/>
  <c r="AM161" i="2" s="1"/>
  <c r="AN162" i="2" s="1"/>
  <c r="AS154" i="2"/>
  <c r="R130" i="2"/>
  <c r="CY131" i="2"/>
  <c r="AT154" i="2"/>
  <c r="BO133" i="2"/>
  <c r="BO25" i="2"/>
  <c r="AU68" i="2"/>
  <c r="AH154" i="2"/>
  <c r="AS159" i="2"/>
  <c r="BI123" i="2"/>
  <c r="AP41" i="2"/>
  <c r="V126" i="2"/>
  <c r="BF68" i="2"/>
  <c r="BU78" i="2"/>
  <c r="BM159" i="2"/>
  <c r="BG80" i="2"/>
  <c r="BI150" i="2"/>
  <c r="AK153" i="2"/>
  <c r="AK128" i="2"/>
  <c r="BC151" i="2"/>
  <c r="BO123" i="2"/>
  <c r="BK123" i="2"/>
  <c r="BA154" i="2"/>
  <c r="BE159" i="2"/>
  <c r="O80" i="2"/>
  <c r="AV41" i="2"/>
  <c r="Y123" i="2"/>
  <c r="U123" i="2"/>
  <c r="AB68" i="2"/>
  <c r="AA154" i="2"/>
  <c r="BX154" i="2"/>
  <c r="BK159" i="2"/>
  <c r="BS159" i="2"/>
  <c r="AS41" i="2"/>
  <c r="AW55" i="2"/>
  <c r="BI158" i="2"/>
  <c r="W127" i="2"/>
  <c r="W126" i="2"/>
  <c r="AY154" i="2"/>
  <c r="AY161" i="2" s="1"/>
  <c r="AZ162" i="2" s="1"/>
  <c r="BR154" i="2"/>
  <c r="BR161" i="2" s="1"/>
  <c r="BS162" i="2" s="1"/>
  <c r="BT154" i="2"/>
  <c r="V68" i="2"/>
  <c r="BS154" i="2"/>
  <c r="S55" i="2"/>
  <c r="CS124" i="2"/>
  <c r="AU159" i="2"/>
  <c r="BL159" i="2"/>
  <c r="BQ159" i="2"/>
  <c r="BX159" i="2"/>
  <c r="CA38" i="2"/>
  <c r="CA188" i="2" s="1"/>
  <c r="P126" i="2"/>
  <c r="AB154" i="2"/>
  <c r="BC150" i="2"/>
  <c r="BK96" i="2"/>
  <c r="BO96" i="2" s="1"/>
  <c r="AC126" i="2"/>
  <c r="BA159" i="2"/>
  <c r="BI157" i="2"/>
  <c r="BO49" i="2"/>
  <c r="BO195" i="2" s="1"/>
  <c r="CJ125" i="2"/>
  <c r="AG154" i="2"/>
  <c r="AJ154" i="2"/>
  <c r="BO150" i="2"/>
  <c r="BC157" i="2"/>
  <c r="BW114" i="2"/>
  <c r="CM131" i="2"/>
  <c r="BY13" i="3"/>
  <c r="BX12" i="3"/>
  <c r="BM14" i="3"/>
  <c r="BN14" i="3" s="1"/>
  <c r="BL12" i="3"/>
  <c r="L13" i="3"/>
  <c r="M13" i="3" s="1"/>
  <c r="Q14" i="3"/>
  <c r="R14" i="3" s="1"/>
  <c r="BQ84" i="2"/>
  <c r="BQ53" i="3"/>
  <c r="BB12" i="3"/>
  <c r="BC13" i="3"/>
  <c r="BC12" i="3" s="1"/>
  <c r="BF12" i="3"/>
  <c r="BG13" i="3"/>
  <c r="BG12" i="3" s="1"/>
  <c r="AE13" i="3"/>
  <c r="AE12" i="3" s="1"/>
  <c r="AD12" i="3"/>
  <c r="CY12" i="3"/>
  <c r="BM13" i="3"/>
  <c r="BS12" i="3"/>
  <c r="BT13" i="3"/>
  <c r="Q13" i="3"/>
  <c r="R13" i="3" s="1"/>
  <c r="CY127" i="2"/>
  <c r="BU14" i="3"/>
  <c r="J110" i="2" l="1"/>
  <c r="J120" i="2" s="1"/>
  <c r="CD45" i="54"/>
  <c r="CD47" i="54" s="1"/>
  <c r="CE45" i="54"/>
  <c r="CE47" i="54" s="1"/>
  <c r="CD33" i="54"/>
  <c r="CD35" i="54" s="1"/>
  <c r="CF33" i="54"/>
  <c r="CF35" i="54" s="1"/>
  <c r="CE33" i="54"/>
  <c r="CE35" i="54" s="1"/>
  <c r="CY57" i="54"/>
  <c r="CQ57" i="54"/>
  <c r="CP57" i="54"/>
  <c r="CO57" i="54"/>
  <c r="CR57" i="54"/>
  <c r="CD49" i="54"/>
  <c r="CD51" i="54" s="1"/>
  <c r="CE49" i="54"/>
  <c r="CE51" i="54" s="1"/>
  <c r="CD37" i="54"/>
  <c r="CD39" i="54" s="1"/>
  <c r="CE37" i="54"/>
  <c r="CE39" i="54" s="1"/>
  <c r="S30" i="54"/>
  <c r="G74" i="54"/>
  <c r="G82" i="54" s="1"/>
  <c r="CD86" i="73"/>
  <c r="BU86" i="73"/>
  <c r="AQ442" i="73"/>
  <c r="AK411" i="73"/>
  <c r="AW253" i="73"/>
  <c r="BK256" i="73"/>
  <c r="BK267" i="73" s="1"/>
  <c r="BN91" i="73"/>
  <c r="BN336" i="73" s="1"/>
  <c r="CA86" i="73"/>
  <c r="AM260" i="73"/>
  <c r="BF161" i="73"/>
  <c r="CO43" i="51"/>
  <c r="BR68" i="4"/>
  <c r="BL68" i="4"/>
  <c r="CL15" i="51"/>
  <c r="EB10" i="51" s="1"/>
  <c r="EB31" i="51"/>
  <c r="CK19" i="51"/>
  <c r="EA11" i="51" s="1"/>
  <c r="EA32" i="51"/>
  <c r="CJ13" i="51"/>
  <c r="DZ9" i="51" s="1"/>
  <c r="DZ30" i="51"/>
  <c r="AY76" i="4"/>
  <c r="CF13" i="51"/>
  <c r="DX9" i="51" s="1"/>
  <c r="BQ85" i="2"/>
  <c r="AI40" i="3"/>
  <c r="BQ51" i="2"/>
  <c r="BI41" i="2"/>
  <c r="BF51" i="2"/>
  <c r="S51" i="2"/>
  <c r="BT48" i="3"/>
  <c r="BU48" i="3" s="1"/>
  <c r="BU11" i="3"/>
  <c r="BU80" i="54" s="1"/>
  <c r="O53" i="3"/>
  <c r="O62" i="3"/>
  <c r="O86" i="2" s="1"/>
  <c r="S77" i="3"/>
  <c r="BS81" i="54"/>
  <c r="P29" i="3"/>
  <c r="P53" i="3" s="1"/>
  <c r="P83" i="2" s="1"/>
  <c r="X48" i="3"/>
  <c r="Y48" i="3" s="1"/>
  <c r="S73" i="3"/>
  <c r="Y69" i="3" s="1"/>
  <c r="BC131" i="2"/>
  <c r="AC161" i="2"/>
  <c r="AA161" i="2"/>
  <c r="AB162" i="2" s="1"/>
  <c r="K51" i="2"/>
  <c r="BE41" i="2"/>
  <c r="U161" i="2"/>
  <c r="V162" i="2" s="1"/>
  <c r="BQ161" i="2"/>
  <c r="BR162" i="2" s="1"/>
  <c r="BB161" i="2"/>
  <c r="R51" i="2"/>
  <c r="U130" i="2"/>
  <c r="U132" i="2" s="1"/>
  <c r="BU159" i="2"/>
  <c r="M159" i="2"/>
  <c r="Y126" i="2"/>
  <c r="AA51" i="2"/>
  <c r="BO80" i="2"/>
  <c r="BF161" i="2"/>
  <c r="BG162" i="2" s="1"/>
  <c r="AQ130" i="2"/>
  <c r="W161" i="2"/>
  <c r="X162" i="2" s="1"/>
  <c r="AZ51" i="2"/>
  <c r="S79" i="3"/>
  <c r="K105" i="2"/>
  <c r="BS19" i="1"/>
  <c r="BU19" i="1" s="1"/>
  <c r="BL161" i="2"/>
  <c r="BM162" i="2" s="1"/>
  <c r="BK161" i="2"/>
  <c r="BL162" i="2" s="1"/>
  <c r="AQ154" i="2"/>
  <c r="S154" i="2"/>
  <c r="AG130" i="2"/>
  <c r="AG132" i="2" s="1"/>
  <c r="BB51" i="2"/>
  <c r="BS113" i="2"/>
  <c r="BS18" i="1" s="1"/>
  <c r="BN161" i="2"/>
  <c r="AB161" i="2"/>
  <c r="AC162" i="2" s="1"/>
  <c r="BT161" i="2"/>
  <c r="BE161" i="2"/>
  <c r="BF162" i="2" s="1"/>
  <c r="AD161" i="2"/>
  <c r="BM126" i="2"/>
  <c r="S159" i="2"/>
  <c r="S161" i="2" s="1"/>
  <c r="Y162" i="2" s="1"/>
  <c r="BC41" i="2"/>
  <c r="AG51" i="2"/>
  <c r="BW130" i="2"/>
  <c r="BW132" i="2" s="1"/>
  <c r="I116" i="2"/>
  <c r="I121" i="2" s="1"/>
  <c r="Y154" i="2"/>
  <c r="O161" i="2"/>
  <c r="P162" i="2" s="1"/>
  <c r="P141" i="2" s="1"/>
  <c r="BH161" i="2"/>
  <c r="AK159" i="2"/>
  <c r="CA91" i="2"/>
  <c r="CA189" i="2"/>
  <c r="AW195" i="2"/>
  <c r="Y195" i="2"/>
  <c r="BI195" i="2"/>
  <c r="AQ68" i="2"/>
  <c r="AQ195" i="2"/>
  <c r="S130" i="2"/>
  <c r="O130" i="2"/>
  <c r="O132" i="2" s="1"/>
  <c r="BC159" i="2"/>
  <c r="AJ161" i="2"/>
  <c r="BY183" i="2"/>
  <c r="BY184" i="2" s="1"/>
  <c r="AZ161" i="2"/>
  <c r="BA162" i="2" s="1"/>
  <c r="BU68" i="2"/>
  <c r="BU195" i="2"/>
  <c r="V161" i="2"/>
  <c r="W162" i="2" s="1"/>
  <c r="AK195" i="2"/>
  <c r="M68" i="2"/>
  <c r="M195" i="2"/>
  <c r="M154" i="2"/>
  <c r="AE195" i="2"/>
  <c r="S68" i="2"/>
  <c r="S195" i="2"/>
  <c r="CG43" i="2"/>
  <c r="CF193" i="2"/>
  <c r="BA185" i="2"/>
  <c r="K185" i="2"/>
  <c r="AB183" i="2"/>
  <c r="AB184" i="2" s="1"/>
  <c r="AA185" i="2"/>
  <c r="BH185" i="2"/>
  <c r="AT185" i="2"/>
  <c r="BE185" i="2"/>
  <c r="AU183" i="2"/>
  <c r="AU184" i="2" s="1"/>
  <c r="J183" i="2"/>
  <c r="J184" i="2" s="1"/>
  <c r="BC80" i="2"/>
  <c r="AM185" i="2"/>
  <c r="AH185" i="2"/>
  <c r="D20" i="1"/>
  <c r="D168" i="2" s="1"/>
  <c r="BU39" i="54"/>
  <c r="E20" i="1"/>
  <c r="E168" i="2" s="1"/>
  <c r="J116" i="2"/>
  <c r="K112" i="2" s="1"/>
  <c r="I120" i="2"/>
  <c r="J114" i="2"/>
  <c r="BX20" i="1"/>
  <c r="AT20" i="1"/>
  <c r="AT64" i="1" s="1"/>
  <c r="BF20" i="1"/>
  <c r="BF46" i="1" s="1"/>
  <c r="U20" i="1"/>
  <c r="U64" i="1" s="1"/>
  <c r="W20" i="1"/>
  <c r="AC64" i="1" s="1"/>
  <c r="BI106" i="2"/>
  <c r="BI107" i="2" s="1"/>
  <c r="AD20" i="1"/>
  <c r="Y106" i="2"/>
  <c r="Y107" i="2" s="1"/>
  <c r="V20" i="1"/>
  <c r="CE52" i="4"/>
  <c r="CE53" i="4" s="1"/>
  <c r="CE55" i="4"/>
  <c r="CE40" i="4"/>
  <c r="CE41" i="4" s="1"/>
  <c r="CE43" i="4"/>
  <c r="CE33" i="4"/>
  <c r="CE34" i="4" s="1"/>
  <c r="CE36" i="4"/>
  <c r="BY355" i="73"/>
  <c r="CE355" i="73"/>
  <c r="CE46" i="4"/>
  <c r="CE47" i="4" s="1"/>
  <c r="CE49" i="4"/>
  <c r="BY10" i="73"/>
  <c r="BY11" i="73" s="1"/>
  <c r="CE332" i="73"/>
  <c r="CA73" i="4"/>
  <c r="CE74" i="4"/>
  <c r="BY46" i="4"/>
  <c r="BY47" i="4" s="1"/>
  <c r="AO64" i="4"/>
  <c r="BK76" i="4"/>
  <c r="BQ68" i="4"/>
  <c r="AQ80" i="2"/>
  <c r="BY57" i="4"/>
  <c r="CE58" i="4" s="1"/>
  <c r="CE59" i="4" s="1"/>
  <c r="AY68" i="4"/>
  <c r="K66" i="52"/>
  <c r="K67" i="52" s="1"/>
  <c r="K80" i="52" s="1"/>
  <c r="E34" i="52" s="1"/>
  <c r="CU49" i="51"/>
  <c r="BG340" i="73"/>
  <c r="BK340" i="73"/>
  <c r="AZ116" i="73"/>
  <c r="AJ408" i="73"/>
  <c r="AY407" i="73"/>
  <c r="BK261" i="73"/>
  <c r="AZ134" i="73"/>
  <c r="AZ448" i="73" s="1"/>
  <c r="AV136" i="73"/>
  <c r="AV137" i="73" s="1"/>
  <c r="CW125" i="2"/>
  <c r="BU131" i="2"/>
  <c r="BN67" i="4"/>
  <c r="BT68" i="4" s="1"/>
  <c r="BS51" i="2"/>
  <c r="O51" i="2"/>
  <c r="AH161" i="2"/>
  <c r="AI162" i="2" s="1"/>
  <c r="O126" i="2"/>
  <c r="BO159" i="2"/>
  <c r="Q51" i="2"/>
  <c r="G161" i="2"/>
  <c r="I162" i="2" s="1"/>
  <c r="I141" i="2" s="1"/>
  <c r="AV161" i="2"/>
  <c r="BS161" i="2"/>
  <c r="BT162" i="2" s="1"/>
  <c r="AB51" i="2"/>
  <c r="BW51" i="2"/>
  <c r="AI161" i="2"/>
  <c r="AJ162" i="2" s="1"/>
  <c r="K161" i="2"/>
  <c r="L162" i="2" s="1"/>
  <c r="AN161" i="2"/>
  <c r="AO162" i="2" s="1"/>
  <c r="BW161" i="2"/>
  <c r="BX162" i="2" s="1"/>
  <c r="M126" i="2"/>
  <c r="BI80" i="2"/>
  <c r="BC67" i="4"/>
  <c r="BC69" i="4" s="1"/>
  <c r="AP161" i="2"/>
  <c r="AO161" i="2"/>
  <c r="AP162" i="2" s="1"/>
  <c r="BI68" i="2"/>
  <c r="AQ168" i="73"/>
  <c r="AZ379" i="73"/>
  <c r="AZ337" i="73"/>
  <c r="BK362" i="73"/>
  <c r="AS265" i="73"/>
  <c r="O74" i="54"/>
  <c r="X74" i="54"/>
  <c r="X82" i="54" s="1"/>
  <c r="R74" i="54"/>
  <c r="R82" i="54" s="1"/>
  <c r="CA51" i="54"/>
  <c r="BU31" i="54"/>
  <c r="BU100" i="1" s="1"/>
  <c r="BM12" i="54"/>
  <c r="BN12" i="54" s="1"/>
  <c r="CM45" i="54"/>
  <c r="CI45" i="54" s="1"/>
  <c r="CF45" i="54"/>
  <c r="CF47" i="54" s="1"/>
  <c r="BU47" i="54"/>
  <c r="BU35" i="54"/>
  <c r="CA74" i="54"/>
  <c r="CA82" i="54" s="1"/>
  <c r="BU74" i="54"/>
  <c r="BU82" i="54" s="1"/>
  <c r="Y159" i="2"/>
  <c r="BM127" i="2"/>
  <c r="AE154" i="2"/>
  <c r="AE130" i="2"/>
  <c r="AW68" i="2"/>
  <c r="U51" i="2"/>
  <c r="BN125" i="2"/>
  <c r="BN19" i="1" s="1"/>
  <c r="BO19" i="1" s="1"/>
  <c r="BU125" i="2"/>
  <c r="BM113" i="2"/>
  <c r="I51" i="2"/>
  <c r="AK154" i="2"/>
  <c r="BM161" i="2"/>
  <c r="BN162" i="2" s="1"/>
  <c r="R161" i="2"/>
  <c r="AM60" i="2"/>
  <c r="AD121" i="2"/>
  <c r="I161" i="2"/>
  <c r="J162" i="2" s="1"/>
  <c r="J141" i="2" s="1"/>
  <c r="AI127" i="2"/>
  <c r="AW130" i="2"/>
  <c r="AT51" i="2"/>
  <c r="AE159" i="2"/>
  <c r="AK68" i="2"/>
  <c r="M127" i="2"/>
  <c r="AK41" i="2"/>
  <c r="BN51" i="2"/>
  <c r="AO126" i="2"/>
  <c r="AO127" i="2"/>
  <c r="M51" i="2"/>
  <c r="AE113" i="2"/>
  <c r="BX10" i="73"/>
  <c r="BX11" i="73" s="1"/>
  <c r="CD33" i="4"/>
  <c r="CD34" i="4" s="1"/>
  <c r="CD89" i="73" s="1"/>
  <c r="CD52" i="4"/>
  <c r="CD53" i="4" s="1"/>
  <c r="BX366" i="73"/>
  <c r="CD355" i="73"/>
  <c r="CD46" i="4"/>
  <c r="CD47" i="4" s="1"/>
  <c r="CD40" i="4"/>
  <c r="CD41" i="4" s="1"/>
  <c r="BK339" i="73"/>
  <c r="BI252" i="73"/>
  <c r="BI253" i="73" s="1"/>
  <c r="K77" i="52"/>
  <c r="E31" i="52" s="1"/>
  <c r="AZ340" i="73"/>
  <c r="AW123" i="73"/>
  <c r="BK136" i="73"/>
  <c r="BK429" i="73" s="1"/>
  <c r="BK438" i="73" s="1"/>
  <c r="AJ136" i="73"/>
  <c r="AJ137" i="73" s="1"/>
  <c r="BO93" i="73"/>
  <c r="BE255" i="73"/>
  <c r="BE261" i="73" s="1"/>
  <c r="BE253" i="73"/>
  <c r="BK17" i="51" s="1"/>
  <c r="BK47" i="51" s="1"/>
  <c r="AK132" i="73"/>
  <c r="AK133" i="73" s="1"/>
  <c r="AZ256" i="73"/>
  <c r="AZ269" i="73" s="1"/>
  <c r="BF362" i="73"/>
  <c r="BB136" i="73"/>
  <c r="CR48" i="4"/>
  <c r="CQ50" i="4"/>
  <c r="BZ45" i="54"/>
  <c r="BZ47" i="54" s="1"/>
  <c r="BW45" i="54"/>
  <c r="BW47" i="54" s="1"/>
  <c r="BY45" i="54"/>
  <c r="BY47" i="54" s="1"/>
  <c r="BN128" i="73"/>
  <c r="BN115" i="73" s="1"/>
  <c r="BN134" i="73" s="1"/>
  <c r="BN448" i="73" s="1"/>
  <c r="AW168" i="73"/>
  <c r="DJ32" i="51"/>
  <c r="AK442" i="73"/>
  <c r="BM236" i="73"/>
  <c r="AI176" i="73"/>
  <c r="AJ176" i="73" s="1"/>
  <c r="BU252" i="73"/>
  <c r="BU253" i="73" s="1"/>
  <c r="AY116" i="73"/>
  <c r="BG236" i="73"/>
  <c r="AK124" i="73"/>
  <c r="AU256" i="73"/>
  <c r="AU269" i="73" s="1"/>
  <c r="AS120" i="73"/>
  <c r="BG257" i="73"/>
  <c r="BG264" i="73" s="1"/>
  <c r="BG263" i="73" s="1"/>
  <c r="BG265" i="73" s="1"/>
  <c r="BH235" i="73"/>
  <c r="BN236" i="73" s="1"/>
  <c r="BK373" i="73"/>
  <c r="K61" i="52"/>
  <c r="K75" i="52"/>
  <c r="E29" i="52" s="1"/>
  <c r="BY76" i="4"/>
  <c r="BU43" i="54"/>
  <c r="BU51" i="54"/>
  <c r="BZ41" i="54"/>
  <c r="BZ43" i="54" s="1"/>
  <c r="CG41" i="54"/>
  <c r="BX41" i="54"/>
  <c r="BX43" i="54" s="1"/>
  <c r="BW41" i="54"/>
  <c r="BW43" i="54" s="1"/>
  <c r="BY41" i="54"/>
  <c r="BY43" i="54" s="1"/>
  <c r="AA126" i="2"/>
  <c r="AA127" i="2"/>
  <c r="AE127" i="2" s="1"/>
  <c r="L51" i="2"/>
  <c r="BG161" i="2"/>
  <c r="BH162" i="2" s="1"/>
  <c r="AE126" i="2"/>
  <c r="BI162" i="73"/>
  <c r="BI163" i="73" s="1"/>
  <c r="AN182" i="73"/>
  <c r="BF256" i="73"/>
  <c r="BF363" i="73" s="1"/>
  <c r="AV256" i="73"/>
  <c r="AV269" i="73" s="1"/>
  <c r="AG161" i="2"/>
  <c r="AH162" i="2" s="1"/>
  <c r="AT161" i="2"/>
  <c r="AU162" i="2" s="1"/>
  <c r="BT127" i="2"/>
  <c r="BT126" i="2"/>
  <c r="AQ159" i="2"/>
  <c r="BT113" i="2"/>
  <c r="BG40" i="3"/>
  <c r="AS61" i="3"/>
  <c r="AS62" i="3" s="1"/>
  <c r="BE84" i="2"/>
  <c r="BE61" i="3"/>
  <c r="BE85" i="2" s="1"/>
  <c r="R132" i="2"/>
  <c r="AS84" i="2"/>
  <c r="AD120" i="2"/>
  <c r="BH33" i="3"/>
  <c r="BI33" i="3" s="1"/>
  <c r="BT44" i="3"/>
  <c r="BU44" i="3" s="1"/>
  <c r="R15" i="3"/>
  <c r="R175" i="2" s="1"/>
  <c r="R177" i="2" s="1"/>
  <c r="CO49" i="51"/>
  <c r="BE53" i="3"/>
  <c r="BE83" i="2" s="1"/>
  <c r="L14" i="3"/>
  <c r="M14" i="3" s="1"/>
  <c r="M12" i="3" s="1"/>
  <c r="BM12" i="3"/>
  <c r="BY12" i="3"/>
  <c r="CA331" i="73"/>
  <c r="CA335" i="73" s="1"/>
  <c r="CC332" i="73"/>
  <c r="AY381" i="73"/>
  <c r="AY410" i="73" s="1"/>
  <c r="AY362" i="73"/>
  <c r="BL64" i="51"/>
  <c r="BL19" i="51"/>
  <c r="DJ11" i="51" s="1"/>
  <c r="AH179" i="73"/>
  <c r="AH205" i="73" s="1"/>
  <c r="AH211" i="73" s="1"/>
  <c r="AK135" i="73"/>
  <c r="AH206" i="73"/>
  <c r="AH217" i="73" s="1"/>
  <c r="BB176" i="73"/>
  <c r="BB177" i="73" s="1"/>
  <c r="BC177" i="73" s="1"/>
  <c r="BC188" i="73" s="1"/>
  <c r="BL179" i="73"/>
  <c r="AV408" i="73"/>
  <c r="AU136" i="73"/>
  <c r="AU448" i="73"/>
  <c r="AU120" i="73"/>
  <c r="AK379" i="73"/>
  <c r="AH199" i="73"/>
  <c r="BM176" i="73"/>
  <c r="BM177" i="73" s="1"/>
  <c r="AV263" i="73"/>
  <c r="AV261" i="73"/>
  <c r="BI128" i="73"/>
  <c r="BI129" i="73" s="1"/>
  <c r="AH178" i="73"/>
  <c r="BA157" i="73"/>
  <c r="BA362" i="73" s="1"/>
  <c r="AQ412" i="73"/>
  <c r="BM97" i="73"/>
  <c r="BM398" i="73" s="1"/>
  <c r="AZ339" i="73"/>
  <c r="CP45" i="51"/>
  <c r="AG65" i="2"/>
  <c r="AN11" i="51"/>
  <c r="CO45" i="51"/>
  <c r="BY366" i="73"/>
  <c r="AN10" i="51"/>
  <c r="AN61" i="51"/>
  <c r="BY12" i="73"/>
  <c r="BY13" i="73" s="1"/>
  <c r="AN38" i="4"/>
  <c r="AN9" i="51" s="1"/>
  <c r="AQ378" i="73"/>
  <c r="BO253" i="73"/>
  <c r="AW127" i="2"/>
  <c r="BU154" i="2"/>
  <c r="BC154" i="2"/>
  <c r="BC132" i="2"/>
  <c r="CA80" i="2"/>
  <c r="BH85" i="3"/>
  <c r="AS53" i="3"/>
  <c r="AS83" i="2" s="1"/>
  <c r="BQ62" i="3"/>
  <c r="BQ86" i="2" s="1"/>
  <c r="BQ168" i="2"/>
  <c r="BM81" i="54"/>
  <c r="AO81" i="54"/>
  <c r="BI48" i="3"/>
  <c r="AO175" i="2"/>
  <c r="AO177" i="2" s="1"/>
  <c r="BN131" i="2"/>
  <c r="BA18" i="1"/>
  <c r="BA20" i="1" s="1"/>
  <c r="I53" i="3"/>
  <c r="I83" i="2" s="1"/>
  <c r="AM53" i="3"/>
  <c r="AG53" i="3"/>
  <c r="AG83" i="2" s="1"/>
  <c r="AG84" i="2"/>
  <c r="AM168" i="2"/>
  <c r="M48" i="3"/>
  <c r="M50" i="3" s="1"/>
  <c r="X38" i="3"/>
  <c r="Y38" i="3" s="1"/>
  <c r="AC106" i="2"/>
  <c r="AC107" i="2" s="1"/>
  <c r="W131" i="2"/>
  <c r="W132" i="2" s="1"/>
  <c r="BX105" i="2"/>
  <c r="BX114" i="2" s="1"/>
  <c r="AO40" i="3"/>
  <c r="AP32" i="3"/>
  <c r="AQ32" i="3" s="1"/>
  <c r="BN32" i="3"/>
  <c r="BN106" i="2" s="1"/>
  <c r="BN107" i="2" s="1"/>
  <c r="BY20" i="3"/>
  <c r="AK32" i="3"/>
  <c r="BO154" i="2"/>
  <c r="AU161" i="2"/>
  <c r="AV162" i="2" s="1"/>
  <c r="BI154" i="2"/>
  <c r="AW159" i="2"/>
  <c r="CJ80" i="2"/>
  <c r="CA90" i="2"/>
  <c r="R162" i="2"/>
  <c r="AW154" i="2"/>
  <c r="BE168" i="2"/>
  <c r="CO80" i="2"/>
  <c r="BZ81" i="54"/>
  <c r="BZ106" i="2"/>
  <c r="AA83" i="2"/>
  <c r="BZ175" i="2"/>
  <c r="BZ177" i="2" s="1"/>
  <c r="CA15" i="3"/>
  <c r="CA175" i="2" s="1"/>
  <c r="CA177" i="2" s="1"/>
  <c r="BZ21" i="3"/>
  <c r="CA21" i="3" s="1"/>
  <c r="BZ25" i="3"/>
  <c r="CA25" i="3" s="1"/>
  <c r="BZ47" i="3"/>
  <c r="CA47" i="3" s="1"/>
  <c r="BZ26" i="3"/>
  <c r="CA26" i="3" s="1"/>
  <c r="BS40" i="3"/>
  <c r="AA61" i="3"/>
  <c r="AA64" i="3" s="1"/>
  <c r="AY53" i="3"/>
  <c r="AY83" i="2" s="1"/>
  <c r="O84" i="2"/>
  <c r="AM61" i="3"/>
  <c r="BX29" i="3"/>
  <c r="AV113" i="2"/>
  <c r="AV18" i="1" s="1"/>
  <c r="AK11" i="3"/>
  <c r="AK80" i="54" s="1"/>
  <c r="AW11" i="3"/>
  <c r="AW80" i="54" s="1"/>
  <c r="BI39" i="3"/>
  <c r="BG20" i="3"/>
  <c r="BM106" i="2"/>
  <c r="BW121" i="2"/>
  <c r="R50" i="3"/>
  <c r="BW120" i="2"/>
  <c r="BT32" i="3"/>
  <c r="BU32" i="3" s="1"/>
  <c r="BY50" i="3"/>
  <c r="AA84" i="2"/>
  <c r="CA18" i="3"/>
  <c r="AI50" i="3"/>
  <c r="AD46" i="3"/>
  <c r="AE46" i="3" s="1"/>
  <c r="M33" i="3"/>
  <c r="AE34" i="3"/>
  <c r="G18" i="1"/>
  <c r="G20" i="1" s="1"/>
  <c r="BZ23" i="3"/>
  <c r="CA23" i="3" s="1"/>
  <c r="BZ44" i="3"/>
  <c r="AU175" i="2"/>
  <c r="AU177" i="2" s="1"/>
  <c r="CA55" i="2"/>
  <c r="CR19" i="1"/>
  <c r="CR76" i="1"/>
  <c r="CS76" i="1" s="1"/>
  <c r="CV19" i="1"/>
  <c r="CV76" i="1"/>
  <c r="BE64" i="1"/>
  <c r="BE46" i="1"/>
  <c r="AY64" i="1"/>
  <c r="AG46" i="1"/>
  <c r="AG168" i="2"/>
  <c r="CJ19" i="1"/>
  <c r="CJ76" i="1"/>
  <c r="X161" i="2"/>
  <c r="BY19" i="1"/>
  <c r="BZ125" i="2"/>
  <c r="P161" i="2"/>
  <c r="Q162" i="2" s="1"/>
  <c r="BQ64" i="1"/>
  <c r="BQ46" i="1"/>
  <c r="BQ65" i="2"/>
  <c r="AY46" i="1"/>
  <c r="AM46" i="1"/>
  <c r="AM64" i="1"/>
  <c r="AZ46" i="1"/>
  <c r="AE18" i="1"/>
  <c r="AE20" i="1" s="1"/>
  <c r="BK46" i="1"/>
  <c r="BK64" i="1"/>
  <c r="O64" i="1"/>
  <c r="CP19" i="51"/>
  <c r="CV49" i="51" s="1"/>
  <c r="CD7" i="4"/>
  <c r="CQ13" i="51"/>
  <c r="BW34" i="73"/>
  <c r="BF10" i="73"/>
  <c r="BF11" i="73" s="1"/>
  <c r="BH362" i="73"/>
  <c r="BF332" i="73"/>
  <c r="AG52" i="4"/>
  <c r="BM264" i="73"/>
  <c r="BM263" i="73" s="1"/>
  <c r="BM265" i="73" s="1"/>
  <c r="BR366" i="73"/>
  <c r="AZ52" i="4"/>
  <c r="AZ53" i="4" s="1"/>
  <c r="AT52" i="4"/>
  <c r="AT53" i="4" s="1"/>
  <c r="BX332" i="73"/>
  <c r="AN62" i="51"/>
  <c r="AJ331" i="73"/>
  <c r="AP332" i="73" s="1"/>
  <c r="AZ40" i="4"/>
  <c r="AZ41" i="4" s="1"/>
  <c r="AM46" i="4"/>
  <c r="AM47" i="4" s="1"/>
  <c r="BZ33" i="4"/>
  <c r="BN74" i="4"/>
  <c r="AM64" i="51"/>
  <c r="BT33" i="4"/>
  <c r="AD80" i="2"/>
  <c r="AD76" i="4"/>
  <c r="AG46" i="4"/>
  <c r="BE43" i="73"/>
  <c r="BK44" i="73" s="1"/>
  <c r="AN40" i="4"/>
  <c r="AN41" i="4" s="1"/>
  <c r="BR332" i="73"/>
  <c r="BC21" i="4"/>
  <c r="BK81" i="51"/>
  <c r="BF339" i="73"/>
  <c r="BF340" i="73"/>
  <c r="AO11" i="51"/>
  <c r="AP21" i="4"/>
  <c r="BI331" i="73"/>
  <c r="BI335" i="73" s="1"/>
  <c r="AJ29" i="4"/>
  <c r="AJ43" i="73" s="1"/>
  <c r="AK43" i="73" s="1"/>
  <c r="BL332" i="73"/>
  <c r="BS74" i="4"/>
  <c r="AQ45" i="4"/>
  <c r="AW46" i="4" s="1"/>
  <c r="AW47" i="4" s="1"/>
  <c r="AO38" i="4"/>
  <c r="AO9" i="51" s="1"/>
  <c r="K141" i="2"/>
  <c r="CA39" i="4"/>
  <c r="CA11" i="4" s="1"/>
  <c r="BF46" i="4"/>
  <c r="BF47" i="4" s="1"/>
  <c r="BF43" i="73"/>
  <c r="BF41" i="73" s="1"/>
  <c r="BF334" i="73" s="1"/>
  <c r="AP336" i="73"/>
  <c r="AP52" i="4"/>
  <c r="AP53" i="4" s="1"/>
  <c r="AH366" i="73"/>
  <c r="BE33" i="4"/>
  <c r="BS76" i="4"/>
  <c r="BY74" i="4"/>
  <c r="DI30" i="51"/>
  <c r="DI43" i="51" s="1"/>
  <c r="AZ62" i="51"/>
  <c r="BH366" i="73"/>
  <c r="AA17" i="4"/>
  <c r="AG145" i="2"/>
  <c r="AG146" i="2" s="1"/>
  <c r="AG147" i="2" s="1"/>
  <c r="AO10" i="51"/>
  <c r="AZ33" i="4"/>
  <c r="AN60" i="51"/>
  <c r="AV80" i="2"/>
  <c r="K79" i="52"/>
  <c r="E33" i="52" s="1"/>
  <c r="BK161" i="73"/>
  <c r="BC253" i="73"/>
  <c r="BA340" i="73"/>
  <c r="AK431" i="73"/>
  <c r="AK440" i="73" s="1"/>
  <c r="BN256" i="73"/>
  <c r="BN269" i="73" s="1"/>
  <c r="BA257" i="73"/>
  <c r="BA256" i="73" s="1"/>
  <c r="BA382" i="73" s="1"/>
  <c r="BL97" i="73"/>
  <c r="BL398" i="73" s="1"/>
  <c r="BK137" i="73"/>
  <c r="BN97" i="73"/>
  <c r="BN398" i="73" s="1"/>
  <c r="AW431" i="73"/>
  <c r="AW440" i="73" s="1"/>
  <c r="AT199" i="73"/>
  <c r="AT206" i="73"/>
  <c r="AT217" i="73" s="1"/>
  <c r="BA179" i="73"/>
  <c r="AT261" i="73"/>
  <c r="AT263" i="73"/>
  <c r="CL181" i="73"/>
  <c r="CR184" i="73"/>
  <c r="BK131" i="73"/>
  <c r="BO257" i="73"/>
  <c r="BB235" i="73"/>
  <c r="AT256" i="73"/>
  <c r="AT363" i="73" s="1"/>
  <c r="CM29" i="54"/>
  <c r="CE29" i="54"/>
  <c r="CE31" i="54" s="1"/>
  <c r="CC29" i="54"/>
  <c r="CC31" i="54" s="1"/>
  <c r="CD29" i="54"/>
  <c r="CD31" i="54" s="1"/>
  <c r="CC45" i="54"/>
  <c r="CC47" i="54" s="1"/>
  <c r="CM37" i="54"/>
  <c r="CF37" i="54"/>
  <c r="CF39" i="54" s="1"/>
  <c r="CC37" i="54"/>
  <c r="CC39" i="54" s="1"/>
  <c r="CM33" i="54"/>
  <c r="CC33" i="54"/>
  <c r="BZ29" i="54"/>
  <c r="BZ31" i="54" s="1"/>
  <c r="BZ100" i="1" s="1"/>
  <c r="BZ102" i="1" s="1"/>
  <c r="BX29" i="54"/>
  <c r="BX31" i="54" s="1"/>
  <c r="BX100" i="1" s="1"/>
  <c r="BX102" i="1" s="1"/>
  <c r="BW29" i="54"/>
  <c r="BW31" i="54" s="1"/>
  <c r="BW100" i="1" s="1"/>
  <c r="BW102" i="1" s="1"/>
  <c r="BY29" i="54"/>
  <c r="BY31" i="54" s="1"/>
  <c r="BY100" i="1" s="1"/>
  <c r="BY102" i="1" s="1"/>
  <c r="BZ33" i="54"/>
  <c r="BZ35" i="54" s="1"/>
  <c r="BX33" i="54"/>
  <c r="BX35" i="54" s="1"/>
  <c r="BY33" i="54"/>
  <c r="BY35" i="54" s="1"/>
  <c r="BW33" i="54"/>
  <c r="BW35" i="54" s="1"/>
  <c r="BZ37" i="54"/>
  <c r="BZ39" i="54" s="1"/>
  <c r="BY37" i="54"/>
  <c r="BY39" i="54" s="1"/>
  <c r="BW37" i="54"/>
  <c r="BW39" i="54" s="1"/>
  <c r="BX37" i="54"/>
  <c r="BX39" i="54" s="1"/>
  <c r="CA27" i="54"/>
  <c r="CD59" i="54"/>
  <c r="CM50" i="54"/>
  <c r="CP28" i="54"/>
  <c r="BR41" i="2"/>
  <c r="CE73" i="54"/>
  <c r="CF73" i="54" s="1"/>
  <c r="CG73" i="54" s="1"/>
  <c r="CR25" i="54"/>
  <c r="AQ74" i="54"/>
  <c r="AQ82" i="54" s="1"/>
  <c r="BE59" i="54"/>
  <c r="BI59" i="54" s="1"/>
  <c r="BF58" i="54"/>
  <c r="BF74" i="54" s="1"/>
  <c r="BF82" i="54" s="1"/>
  <c r="BE8" i="54"/>
  <c r="BE58" i="54"/>
  <c r="BE74" i="54" s="1"/>
  <c r="CC49" i="54"/>
  <c r="CC51" i="54" s="1"/>
  <c r="CF49" i="54"/>
  <c r="CF51" i="54" s="1"/>
  <c r="BT57" i="54"/>
  <c r="BS59" i="54"/>
  <c r="AH6" i="54"/>
  <c r="AI6" i="54" s="1"/>
  <c r="AJ6" i="54" s="1"/>
  <c r="AM6" i="54"/>
  <c r="CQ40" i="54"/>
  <c r="BG113" i="2"/>
  <c r="BG18" i="1" s="1"/>
  <c r="BG20" i="1" s="1"/>
  <c r="BH125" i="2"/>
  <c r="BH19" i="1" s="1"/>
  <c r="BI19" i="1" s="1"/>
  <c r="BE130" i="2"/>
  <c r="BE132" i="2" s="1"/>
  <c r="BI130" i="2"/>
  <c r="AY127" i="2"/>
  <c r="BC127" i="2" s="1"/>
  <c r="AY126" i="2"/>
  <c r="BI51" i="2"/>
  <c r="BY126" i="2"/>
  <c r="BY127" i="2"/>
  <c r="AG123" i="2"/>
  <c r="AK123" i="2"/>
  <c r="AK126" i="2" s="1"/>
  <c r="S127" i="2"/>
  <c r="CA52" i="3"/>
  <c r="CA35" i="3"/>
  <c r="CA36" i="3"/>
  <c r="CA43" i="3"/>
  <c r="BZ85" i="3"/>
  <c r="CA48" i="3"/>
  <c r="CA28" i="3"/>
  <c r="BY175" i="2"/>
  <c r="BY177" i="2" s="1"/>
  <c r="CA14" i="3"/>
  <c r="CA49" i="3"/>
  <c r="BC46" i="3"/>
  <c r="AJ45" i="3"/>
  <c r="BZ13" i="3"/>
  <c r="CA13" i="3" s="1"/>
  <c r="BY80" i="54"/>
  <c r="BY113" i="2"/>
  <c r="BY18" i="1" s="1"/>
  <c r="CA19" i="3"/>
  <c r="BG175" i="2"/>
  <c r="BG177" i="2" s="1"/>
  <c r="BC175" i="2"/>
  <c r="BC177" i="2" s="1"/>
  <c r="AO131" i="2"/>
  <c r="AI113" i="2"/>
  <c r="AI18" i="1" s="1"/>
  <c r="AI20" i="1" s="1"/>
  <c r="AI80" i="54"/>
  <c r="AI81" i="54"/>
  <c r="AI106" i="2"/>
  <c r="AI107" i="2" s="1"/>
  <c r="AC81" i="54"/>
  <c r="CA33" i="3"/>
  <c r="CA37" i="3"/>
  <c r="CA39" i="3"/>
  <c r="BS50" i="3"/>
  <c r="AP175" i="2"/>
  <c r="AP177" i="2" s="1"/>
  <c r="BZ17" i="3"/>
  <c r="CA17" i="3" s="1"/>
  <c r="CA34" i="3"/>
  <c r="CA38" i="3"/>
  <c r="CA45" i="3"/>
  <c r="BY85" i="3"/>
  <c r="AP131" i="2"/>
  <c r="AP132" i="2" s="1"/>
  <c r="AJ80" i="54"/>
  <c r="AJ113" i="2"/>
  <c r="AJ18" i="1" s="1"/>
  <c r="AJ20" i="1" s="1"/>
  <c r="BY131" i="2"/>
  <c r="CA131" i="2" s="1"/>
  <c r="CF62" i="51"/>
  <c r="AT399" i="73"/>
  <c r="AT408" i="73" s="1"/>
  <c r="AT136" i="73"/>
  <c r="AM399" i="73"/>
  <c r="AM408" i="73" s="1"/>
  <c r="AM136" i="73"/>
  <c r="AY379" i="73"/>
  <c r="AY132" i="73"/>
  <c r="AY399" i="73" s="1"/>
  <c r="AW132" i="73"/>
  <c r="BM128" i="73"/>
  <c r="BM115" i="73" s="1"/>
  <c r="BM118" i="73" s="1"/>
  <c r="BG115" i="73"/>
  <c r="AU261" i="73"/>
  <c r="AU263" i="73"/>
  <c r="AW255" i="73"/>
  <c r="BH181" i="73"/>
  <c r="BH178" i="73"/>
  <c r="BK178" i="73"/>
  <c r="BK408" i="73"/>
  <c r="BN340" i="73"/>
  <c r="BG339" i="73"/>
  <c r="AU340" i="73"/>
  <c r="BB362" i="73"/>
  <c r="BK96" i="73"/>
  <c r="BT142" i="73"/>
  <c r="BU142" i="73" s="1"/>
  <c r="BU141" i="73"/>
  <c r="BC115" i="73"/>
  <c r="BC116" i="73" s="1"/>
  <c r="AK412" i="73"/>
  <c r="BN264" i="73"/>
  <c r="BN263" i="73" s="1"/>
  <c r="BO255" i="73"/>
  <c r="BO340" i="73" s="1"/>
  <c r="BK91" i="73"/>
  <c r="BK336" i="73" s="1"/>
  <c r="BK97" i="73"/>
  <c r="BK398" i="73" s="1"/>
  <c r="BM92" i="73"/>
  <c r="BM378" i="73" s="1"/>
  <c r="BM340" i="73"/>
  <c r="BE339" i="73"/>
  <c r="AG211" i="73"/>
  <c r="AG202" i="73"/>
  <c r="AO136" i="73"/>
  <c r="AO399" i="73"/>
  <c r="AO408" i="73" s="1"/>
  <c r="BL340" i="73"/>
  <c r="BF181" i="73"/>
  <c r="BI177" i="73"/>
  <c r="BI188" i="73" s="1"/>
  <c r="AT180" i="73"/>
  <c r="AS183" i="73"/>
  <c r="BA116" i="73"/>
  <c r="BA379" i="73"/>
  <c r="BA134" i="73"/>
  <c r="BA448" i="73" s="1"/>
  <c r="BA132" i="73"/>
  <c r="BA337" i="73"/>
  <c r="BM256" i="73"/>
  <c r="AI52" i="4"/>
  <c r="AM38" i="4"/>
  <c r="AM10" i="51"/>
  <c r="AM11" i="51"/>
  <c r="AW454" i="73"/>
  <c r="AW16" i="73" s="1"/>
  <c r="AW17" i="73" s="1"/>
  <c r="AI176" i="2"/>
  <c r="AI182" i="2" s="1"/>
  <c r="AI183" i="2" s="1"/>
  <c r="AI184" i="2" s="1"/>
  <c r="CA150" i="2"/>
  <c r="AM60" i="51"/>
  <c r="AS60" i="51"/>
  <c r="AV17" i="4"/>
  <c r="AK72" i="4"/>
  <c r="BX40" i="4"/>
  <c r="BX41" i="4" s="1"/>
  <c r="AU81" i="51"/>
  <c r="AT60" i="51"/>
  <c r="AT81" i="51"/>
  <c r="AE23" i="3"/>
  <c r="U61" i="3"/>
  <c r="BW61" i="3"/>
  <c r="BW62" i="3" s="1"/>
  <c r="I61" i="3"/>
  <c r="I85" i="2" s="1"/>
  <c r="AM84" i="2"/>
  <c r="AY61" i="3"/>
  <c r="M55" i="3"/>
  <c r="I55" i="3"/>
  <c r="G10" i="2"/>
  <c r="BW84" i="2"/>
  <c r="AG61" i="3"/>
  <c r="AG62" i="3" s="1"/>
  <c r="BW53" i="3"/>
  <c r="DX30" i="51"/>
  <c r="AU10" i="73"/>
  <c r="AU11" i="73" s="1"/>
  <c r="BK60" i="51"/>
  <c r="BR57" i="4"/>
  <c r="BF40" i="4"/>
  <c r="BF41" i="4" s="1"/>
  <c r="BE24" i="51"/>
  <c r="BE23" i="51"/>
  <c r="BG60" i="51"/>
  <c r="BG24" i="51"/>
  <c r="AW68" i="4"/>
  <c r="BE62" i="51"/>
  <c r="AD29" i="4"/>
  <c r="BF24" i="51"/>
  <c r="BF23" i="51"/>
  <c r="BN60" i="51"/>
  <c r="BN24" i="51"/>
  <c r="BQ60" i="51"/>
  <c r="BQ24" i="51"/>
  <c r="BM60" i="51"/>
  <c r="BM24" i="51"/>
  <c r="BE60" i="51"/>
  <c r="BK40" i="4"/>
  <c r="BK41" i="4" s="1"/>
  <c r="BR60" i="51"/>
  <c r="BR24" i="51"/>
  <c r="BA63" i="51"/>
  <c r="BO17" i="4"/>
  <c r="BA46" i="4"/>
  <c r="BA47" i="4" s="1"/>
  <c r="BM45" i="51"/>
  <c r="CQ40" i="4"/>
  <c r="AM52" i="4"/>
  <c r="AM53" i="4" s="1"/>
  <c r="CK50" i="4"/>
  <c r="AY36" i="4"/>
  <c r="BF43" i="51"/>
  <c r="BE43" i="51"/>
  <c r="BN43" i="51"/>
  <c r="BK43" i="51"/>
  <c r="BM43" i="51"/>
  <c r="BG43" i="51"/>
  <c r="BE46" i="51"/>
  <c r="BG45" i="51"/>
  <c r="BE49" i="51"/>
  <c r="BE47" i="51"/>
  <c r="BG20" i="51"/>
  <c r="BM49" i="51"/>
  <c r="BG14" i="51"/>
  <c r="BF17" i="51"/>
  <c r="BF16" i="51"/>
  <c r="DK11" i="51"/>
  <c r="BM20" i="51"/>
  <c r="BM17" i="51"/>
  <c r="DL10" i="51"/>
  <c r="BN17" i="51"/>
  <c r="BE18" i="51"/>
  <c r="DE11" i="51"/>
  <c r="BE20" i="51"/>
  <c r="BG17" i="51"/>
  <c r="DE9" i="51"/>
  <c r="BE14" i="51"/>
  <c r="DK9" i="51"/>
  <c r="BM14" i="51"/>
  <c r="DL9" i="51"/>
  <c r="BN14" i="51"/>
  <c r="DF9" i="51"/>
  <c r="BF14" i="51"/>
  <c r="BB79" i="51"/>
  <c r="AZ355" i="73"/>
  <c r="AZ362" i="73"/>
  <c r="BF355" i="73"/>
  <c r="BL92" i="73"/>
  <c r="BL378" i="73" s="1"/>
  <c r="BU42" i="4"/>
  <c r="BT40" i="4"/>
  <c r="BT41" i="4" s="1"/>
  <c r="DL43" i="51"/>
  <c r="BH80" i="51"/>
  <c r="AN46" i="4"/>
  <c r="AN47" i="4" s="1"/>
  <c r="AH46" i="4"/>
  <c r="AI44" i="73"/>
  <c r="AI47" i="73"/>
  <c r="AI396" i="73" s="1"/>
  <c r="AI41" i="73"/>
  <c r="AI42" i="73" s="1"/>
  <c r="AI376" i="73" s="1"/>
  <c r="AN63" i="51"/>
  <c r="AV49" i="51"/>
  <c r="BB49" i="51"/>
  <c r="AT40" i="4"/>
  <c r="AT41" i="4" s="1"/>
  <c r="AD12" i="4"/>
  <c r="AD10" i="4" s="1"/>
  <c r="AD9" i="4" s="1"/>
  <c r="CA71" i="4"/>
  <c r="AW11" i="4"/>
  <c r="AZ366" i="73"/>
  <c r="AZ12" i="73"/>
  <c r="AZ13" i="73" s="1"/>
  <c r="DH9" i="51"/>
  <c r="BK34" i="73"/>
  <c r="AU339" i="73"/>
  <c r="DK43" i="51"/>
  <c r="BX355" i="73"/>
  <c r="AD81" i="51"/>
  <c r="AU43" i="51"/>
  <c r="BA43" i="51"/>
  <c r="DK10" i="51"/>
  <c r="BA43" i="73"/>
  <c r="BA34" i="73"/>
  <c r="BG315" i="73"/>
  <c r="BG316" i="73" s="1"/>
  <c r="DG9" i="51"/>
  <c r="AU46" i="4"/>
  <c r="AU47" i="4" s="1"/>
  <c r="CA48" i="4"/>
  <c r="AV43" i="51"/>
  <c r="BB43" i="51"/>
  <c r="AB65" i="2"/>
  <c r="BM260" i="73"/>
  <c r="BM96" i="73"/>
  <c r="G170" i="2"/>
  <c r="BN62" i="51"/>
  <c r="BN40" i="4"/>
  <c r="BN41" i="4" s="1"/>
  <c r="AO60" i="51"/>
  <c r="AG176" i="2"/>
  <c r="AG182" i="2" s="1"/>
  <c r="AG183" i="2" s="1"/>
  <c r="AG184" i="2" s="1"/>
  <c r="BC80" i="51"/>
  <c r="BR33" i="4"/>
  <c r="BG355" i="73"/>
  <c r="BA12" i="73"/>
  <c r="BA13" i="73" s="1"/>
  <c r="BA366" i="73"/>
  <c r="BA355" i="73"/>
  <c r="BW40" i="4"/>
  <c r="BW41" i="4" s="1"/>
  <c r="BQ40" i="4"/>
  <c r="BQ41" i="4" s="1"/>
  <c r="AO12" i="73"/>
  <c r="AO13" i="73" s="1"/>
  <c r="AO355" i="73"/>
  <c r="AO363" i="73"/>
  <c r="AO359" i="73"/>
  <c r="AO362" i="73"/>
  <c r="AO364" i="73"/>
  <c r="AU355" i="73"/>
  <c r="BI39" i="4"/>
  <c r="BF260" i="73"/>
  <c r="BF373" i="73"/>
  <c r="I169" i="2"/>
  <c r="I181" i="2" s="1"/>
  <c r="I66" i="2"/>
  <c r="I176" i="2"/>
  <c r="I182" i="2" s="1"/>
  <c r="I65" i="2"/>
  <c r="I168" i="2"/>
  <c r="AJ45" i="4"/>
  <c r="AJ46" i="4" s="1"/>
  <c r="AK13" i="4"/>
  <c r="BB92" i="2"/>
  <c r="AE81" i="51"/>
  <c r="AE78" i="2"/>
  <c r="AE79" i="2"/>
  <c r="AE172" i="2"/>
  <c r="P176" i="2"/>
  <c r="P182" i="2" s="1"/>
  <c r="P183" i="2" s="1"/>
  <c r="P184" i="2" s="1"/>
  <c r="AQ173" i="2"/>
  <c r="AQ92" i="2"/>
  <c r="AP43" i="73"/>
  <c r="AV79" i="51"/>
  <c r="AJ454" i="73"/>
  <c r="BO51" i="4"/>
  <c r="BR52" i="4"/>
  <c r="BR53" i="4" s="1"/>
  <c r="BA144" i="2"/>
  <c r="BA145" i="2" s="1"/>
  <c r="BA146" i="2" s="1"/>
  <c r="BA147" i="2" s="1"/>
  <c r="AZ144" i="2"/>
  <c r="J174" i="2"/>
  <c r="J97" i="2"/>
  <c r="J100" i="2" s="1"/>
  <c r="J79" i="54"/>
  <c r="AH144" i="2"/>
  <c r="AH145" i="2" s="1"/>
  <c r="AH146" i="2" s="1"/>
  <c r="AH147" i="2" s="1"/>
  <c r="CA42" i="4"/>
  <c r="BG33" i="4"/>
  <c r="BH74" i="4"/>
  <c r="BH57" i="4"/>
  <c r="BO79" i="51"/>
  <c r="AQ51" i="4"/>
  <c r="M173" i="2"/>
  <c r="AK452" i="73"/>
  <c r="AV51" i="4"/>
  <c r="BC55" i="4" s="1"/>
  <c r="BC56" i="4" s="1"/>
  <c r="BC19" i="51" s="1"/>
  <c r="AV39" i="4"/>
  <c r="BC43" i="4" s="1"/>
  <c r="BC44" i="4" s="1"/>
  <c r="BC13" i="51" s="1"/>
  <c r="S78" i="2"/>
  <c r="S79" i="2"/>
  <c r="AN10" i="73"/>
  <c r="AN11" i="73" s="1"/>
  <c r="AN337" i="73"/>
  <c r="AN340" i="73"/>
  <c r="AN339" i="73"/>
  <c r="AN341" i="73"/>
  <c r="L173" i="2"/>
  <c r="L92" i="2"/>
  <c r="AO176" i="2"/>
  <c r="AO182" i="2" s="1"/>
  <c r="AO183" i="2" s="1"/>
  <c r="AO184" i="2" s="1"/>
  <c r="AV92" i="2"/>
  <c r="AV173" i="2"/>
  <c r="BM12" i="73"/>
  <c r="BM13" i="73" s="1"/>
  <c r="BM355" i="73"/>
  <c r="BS355" i="73"/>
  <c r="C169" i="2"/>
  <c r="C181" i="2" s="1"/>
  <c r="C168" i="2"/>
  <c r="AQ454" i="73"/>
  <c r="AQ16" i="73" s="1"/>
  <c r="AQ17" i="73" s="1"/>
  <c r="AE13" i="4"/>
  <c r="BF143" i="2"/>
  <c r="BF145" i="2" s="1"/>
  <c r="BF146" i="2" s="1"/>
  <c r="BF147" i="2" s="1"/>
  <c r="BF169" i="2"/>
  <c r="BF181" i="2" s="1"/>
  <c r="BF66" i="2"/>
  <c r="AD162" i="2"/>
  <c r="CA54" i="4"/>
  <c r="BX46" i="4"/>
  <c r="BX47" i="4" s="1"/>
  <c r="BX12" i="73"/>
  <c r="BX13" i="73" s="1"/>
  <c r="AM371" i="73"/>
  <c r="AP39" i="4"/>
  <c r="AQ39" i="4" s="1"/>
  <c r="AQ40" i="4" s="1"/>
  <c r="AQ41" i="4" s="1"/>
  <c r="AJ76" i="4"/>
  <c r="CG42" i="4"/>
  <c r="BB36" i="4"/>
  <c r="AJ24" i="4"/>
  <c r="P168" i="2"/>
  <c r="P65" i="2"/>
  <c r="AW172" i="2"/>
  <c r="AW78" i="2"/>
  <c r="AW79" i="2"/>
  <c r="Q143" i="2"/>
  <c r="Q145" i="2" s="1"/>
  <c r="Q146" i="2" s="1"/>
  <c r="Q147" i="2" s="1"/>
  <c r="Q66" i="2"/>
  <c r="Q169" i="2"/>
  <c r="Q181" i="2" s="1"/>
  <c r="AW75" i="51"/>
  <c r="AW79" i="51" s="1"/>
  <c r="AW455" i="73"/>
  <c r="AW18" i="73" s="1"/>
  <c r="AW19" i="73" s="1"/>
  <c r="BC75" i="51"/>
  <c r="W169" i="2"/>
  <c r="W181" i="2" s="1"/>
  <c r="W66" i="2"/>
  <c r="W143" i="2"/>
  <c r="AW170" i="2"/>
  <c r="AN144" i="2"/>
  <c r="AN145" i="2" s="1"/>
  <c r="AN146" i="2" s="1"/>
  <c r="AN147" i="2" s="1"/>
  <c r="AN141" i="2" s="1"/>
  <c r="AP456" i="73"/>
  <c r="AP20" i="73" s="1"/>
  <c r="AP21" i="73" s="1"/>
  <c r="K60" i="2"/>
  <c r="K167" i="2"/>
  <c r="AJ17" i="4"/>
  <c r="AW71" i="4"/>
  <c r="AP32" i="4"/>
  <c r="AQ9" i="4"/>
  <c r="AP17" i="4"/>
  <c r="V176" i="2"/>
  <c r="V182" i="2" s="1"/>
  <c r="V183" i="2" s="1"/>
  <c r="V184" i="2" s="1"/>
  <c r="AK23" i="4"/>
  <c r="AK25" i="4" s="1"/>
  <c r="AP24" i="4"/>
  <c r="AJ354" i="73"/>
  <c r="BC454" i="73"/>
  <c r="BC16" i="73" s="1"/>
  <c r="BC17" i="73" s="1"/>
  <c r="AN60" i="2"/>
  <c r="AN167" i="2"/>
  <c r="AN79" i="54"/>
  <c r="AK77" i="2"/>
  <c r="AK80" i="2" s="1"/>
  <c r="AK142" i="2"/>
  <c r="AK91" i="2"/>
  <c r="AK90" i="2"/>
  <c r="AA97" i="2"/>
  <c r="AA100" i="2" s="1"/>
  <c r="AA174" i="2"/>
  <c r="Y80" i="2"/>
  <c r="AE20" i="4"/>
  <c r="AE22" i="4" s="1"/>
  <c r="BQ176" i="2"/>
  <c r="BQ182" i="2" s="1"/>
  <c r="BQ183" i="2" s="1"/>
  <c r="BQ184" i="2" s="1"/>
  <c r="AY169" i="2"/>
  <c r="AY181" i="2" s="1"/>
  <c r="AY66" i="2"/>
  <c r="AY143" i="2"/>
  <c r="AD173" i="2"/>
  <c r="AD92" i="2"/>
  <c r="BU80" i="2"/>
  <c r="BE40" i="4"/>
  <c r="BE41" i="4" s="1"/>
  <c r="BL52" i="4"/>
  <c r="BL53" i="4" s="1"/>
  <c r="AJ176" i="2"/>
  <c r="AJ182" i="2" s="1"/>
  <c r="AJ183" i="2" s="1"/>
  <c r="AJ184" i="2" s="1"/>
  <c r="AK455" i="73"/>
  <c r="BC354" i="73"/>
  <c r="BC358" i="73" s="1"/>
  <c r="AJ21" i="4"/>
  <c r="BK62" i="51"/>
  <c r="AZ264" i="73"/>
  <c r="AZ263" i="73" s="1"/>
  <c r="AZ265" i="73" s="1"/>
  <c r="AM161" i="73"/>
  <c r="DI9" i="51"/>
  <c r="AQ170" i="2"/>
  <c r="AJ456" i="73"/>
  <c r="AJ32" i="4"/>
  <c r="AC169" i="2"/>
  <c r="AC181" i="2" s="1"/>
  <c r="AC143" i="2"/>
  <c r="AC66" i="2"/>
  <c r="BF16" i="73"/>
  <c r="BF17" i="73" s="1"/>
  <c r="BF264" i="73"/>
  <c r="BF263" i="73" s="1"/>
  <c r="AQ25" i="4"/>
  <c r="AC144" i="2"/>
  <c r="AD144" i="2"/>
  <c r="CC13" i="51"/>
  <c r="CI43" i="51" s="1"/>
  <c r="DU30" i="51"/>
  <c r="DY43" i="51" s="1"/>
  <c r="CC62" i="51"/>
  <c r="CA51" i="4"/>
  <c r="CG54" i="4"/>
  <c r="BZ332" i="73"/>
  <c r="BT10" i="73"/>
  <c r="BT11" i="73" s="1"/>
  <c r="AB51" i="4"/>
  <c r="AH52" i="4" s="1"/>
  <c r="AY52" i="4"/>
  <c r="AY53" i="4" s="1"/>
  <c r="BU48" i="4"/>
  <c r="BN33" i="4"/>
  <c r="M80" i="2"/>
  <c r="AG46" i="73"/>
  <c r="BZ55" i="4"/>
  <c r="BZ49" i="4"/>
  <c r="BZ50" i="4" s="1"/>
  <c r="BZ36" i="4"/>
  <c r="BZ37" i="4" s="1"/>
  <c r="BZ8" i="51" s="1"/>
  <c r="BZ11" i="51" s="1"/>
  <c r="AZ60" i="51"/>
  <c r="AT49" i="4"/>
  <c r="AT50" i="4" s="1"/>
  <c r="AT15" i="51" s="1"/>
  <c r="AT43" i="4"/>
  <c r="AT44" i="4" s="1"/>
  <c r="AT55" i="4"/>
  <c r="AT56" i="4" s="1"/>
  <c r="AT19" i="51" s="1"/>
  <c r="AT36" i="4"/>
  <c r="AM374" i="73"/>
  <c r="AM370" i="73"/>
  <c r="BZ43" i="4"/>
  <c r="BT332" i="73"/>
  <c r="BZ355" i="73"/>
  <c r="BT12" i="73"/>
  <c r="BT366" i="73"/>
  <c r="AM43" i="73"/>
  <c r="AM44" i="73" s="1"/>
  <c r="AM34" i="73"/>
  <c r="AM37" i="73" s="1"/>
  <c r="BF60" i="51"/>
  <c r="AZ36" i="4"/>
  <c r="AZ49" i="4"/>
  <c r="AZ50" i="4" s="1"/>
  <c r="BI45" i="4"/>
  <c r="AN57" i="4"/>
  <c r="AE76" i="4"/>
  <c r="AE15" i="4"/>
  <c r="AB10" i="4"/>
  <c r="AB9" i="4" s="1"/>
  <c r="AB43" i="73" s="1"/>
  <c r="AM131" i="73"/>
  <c r="BW332" i="73"/>
  <c r="BT46" i="4"/>
  <c r="BT47" i="4" s="1"/>
  <c r="BZ46" i="4"/>
  <c r="AM118" i="73"/>
  <c r="AM447" i="73"/>
  <c r="BG43" i="73"/>
  <c r="BG46" i="73" s="1"/>
  <c r="BG34" i="73"/>
  <c r="BK36" i="4"/>
  <c r="BF55" i="4"/>
  <c r="BF56" i="4" s="1"/>
  <c r="AZ57" i="4"/>
  <c r="AU49" i="4"/>
  <c r="AU50" i="4" s="1"/>
  <c r="AU15" i="51" s="1"/>
  <c r="BA60" i="51"/>
  <c r="AU36" i="4"/>
  <c r="AS55" i="4"/>
  <c r="AS36" i="4"/>
  <c r="AS37" i="4" s="1"/>
  <c r="AY60" i="51"/>
  <c r="AS49" i="4"/>
  <c r="AS50" i="4" s="1"/>
  <c r="AS15" i="51" s="1"/>
  <c r="AS43" i="4"/>
  <c r="AS44" i="4" s="1"/>
  <c r="AS13" i="51" s="1"/>
  <c r="AM27" i="73"/>
  <c r="CA68" i="4"/>
  <c r="CA35" i="4"/>
  <c r="BU32" i="4"/>
  <c r="BF36" i="4"/>
  <c r="BX161" i="2"/>
  <c r="BY162" i="2" s="1"/>
  <c r="BY161" i="2"/>
  <c r="BZ162" i="2" s="1"/>
  <c r="V141" i="2"/>
  <c r="M22" i="3"/>
  <c r="BR53" i="3"/>
  <c r="BR84" i="2"/>
  <c r="BR61" i="3"/>
  <c r="J29" i="3"/>
  <c r="J53" i="3" s="1"/>
  <c r="J83" i="2" s="1"/>
  <c r="BO46" i="3"/>
  <c r="AW52" i="3"/>
  <c r="M34" i="3"/>
  <c r="AE9" i="3"/>
  <c r="S44" i="3"/>
  <c r="S50" i="3" s="1"/>
  <c r="M24" i="3"/>
  <c r="Y13" i="3"/>
  <c r="Y12" i="3" s="1"/>
  <c r="BT175" i="2"/>
  <c r="BT177" i="2" s="1"/>
  <c r="AQ175" i="2"/>
  <c r="AQ177" i="2" s="1"/>
  <c r="AO50" i="3"/>
  <c r="BH13" i="3"/>
  <c r="BH12" i="3" s="1"/>
  <c r="BT18" i="3"/>
  <c r="BU18" i="3" s="1"/>
  <c r="BH28" i="3"/>
  <c r="BH20" i="3" s="1"/>
  <c r="AE45" i="3"/>
  <c r="AD106" i="2"/>
  <c r="AD107" i="2" s="1"/>
  <c r="AD81" i="54"/>
  <c r="AP48" i="3"/>
  <c r="AP50" i="3" s="1"/>
  <c r="BC47" i="3"/>
  <c r="BA40" i="3"/>
  <c r="S34" i="3"/>
  <c r="BB32" i="3"/>
  <c r="BB40" i="3" s="1"/>
  <c r="BA81" i="54"/>
  <c r="BA106" i="2"/>
  <c r="Y11" i="3"/>
  <c r="Y80" i="54" s="1"/>
  <c r="X113" i="2"/>
  <c r="X18" i="1" s="1"/>
  <c r="X20" i="1" s="1"/>
  <c r="X80" i="54"/>
  <c r="BI81" i="54"/>
  <c r="AJ106" i="2"/>
  <c r="AJ81" i="54"/>
  <c r="AD131" i="2"/>
  <c r="BT85" i="3"/>
  <c r="BT84" i="3" s="1"/>
  <c r="AE48" i="3"/>
  <c r="AK18" i="3"/>
  <c r="U82" i="54"/>
  <c r="Y22" i="54"/>
  <c r="CY25" i="54"/>
  <c r="CP25" i="54"/>
  <c r="CQ25" i="54"/>
  <c r="O82" i="54"/>
  <c r="AA74" i="54"/>
  <c r="AE26" i="54"/>
  <c r="M74" i="54"/>
  <c r="M82" i="54" s="1"/>
  <c r="I82" i="54"/>
  <c r="AK74" i="54"/>
  <c r="AK82" i="54" s="1"/>
  <c r="AG82" i="54"/>
  <c r="AW74" i="54"/>
  <c r="AW82" i="54" s="1"/>
  <c r="CE144" i="2"/>
  <c r="CR42" i="4"/>
  <c r="CR44" i="4" s="1"/>
  <c r="CW52" i="4"/>
  <c r="CW56" i="4"/>
  <c r="CJ19" i="51"/>
  <c r="DZ11" i="51" s="1"/>
  <c r="BH355" i="73"/>
  <c r="BU331" i="73"/>
  <c r="BU335" i="73" s="1"/>
  <c r="CY289" i="73"/>
  <c r="AM373" i="73"/>
  <c r="AM299" i="73"/>
  <c r="AM446" i="73"/>
  <c r="AM375" i="73"/>
  <c r="AM96" i="73"/>
  <c r="AO339" i="73"/>
  <c r="BE355" i="73"/>
  <c r="AN332" i="73"/>
  <c r="BK260" i="73"/>
  <c r="BK118" i="73"/>
  <c r="CS289" i="73"/>
  <c r="CA289" i="73"/>
  <c r="CA80" i="51"/>
  <c r="AA81" i="51"/>
  <c r="AC81" i="51"/>
  <c r="DF10" i="51"/>
  <c r="DI10" i="51"/>
  <c r="DI18" i="51" s="1"/>
  <c r="DG10" i="51"/>
  <c r="DG11" i="51"/>
  <c r="DI20" i="51"/>
  <c r="BB53" i="51"/>
  <c r="CA79" i="51"/>
  <c r="DM20" i="51"/>
  <c r="DG33" i="51"/>
  <c r="AB67" i="51"/>
  <c r="CG289" i="73"/>
  <c r="CM289" i="73"/>
  <c r="R113" i="2"/>
  <c r="R18" i="1" s="1"/>
  <c r="R20" i="1" s="1"/>
  <c r="R80" i="54"/>
  <c r="AW40" i="3"/>
  <c r="AW81" i="54"/>
  <c r="AP113" i="2"/>
  <c r="AP18" i="1" s="1"/>
  <c r="AP20" i="1" s="1"/>
  <c r="AP80" i="54"/>
  <c r="AQ11" i="3"/>
  <c r="AQ80" i="54" s="1"/>
  <c r="V53" i="3"/>
  <c r="V84" i="2"/>
  <c r="V61" i="3"/>
  <c r="V85" i="2" s="1"/>
  <c r="AW175" i="2"/>
  <c r="AW177" i="2" s="1"/>
  <c r="L80" i="54"/>
  <c r="L113" i="2"/>
  <c r="L18" i="1" s="1"/>
  <c r="L20" i="1" s="1"/>
  <c r="AD20" i="3"/>
  <c r="AD29" i="3" s="1"/>
  <c r="BN40" i="3"/>
  <c r="BO34" i="3"/>
  <c r="AW50" i="3"/>
  <c r="BQ120" i="2"/>
  <c r="BR105" i="2"/>
  <c r="AD40" i="3"/>
  <c r="M21" i="3"/>
  <c r="BB80" i="54"/>
  <c r="BB113" i="2"/>
  <c r="BB18" i="1" s="1"/>
  <c r="BB20" i="1" s="1"/>
  <c r="BU90" i="3"/>
  <c r="BW90" i="3"/>
  <c r="BX90" i="3" s="1"/>
  <c r="AQ26" i="3"/>
  <c r="AQ19" i="3"/>
  <c r="AW18" i="3"/>
  <c r="S19" i="3"/>
  <c r="BK61" i="3"/>
  <c r="BI52" i="3"/>
  <c r="BN43" i="3"/>
  <c r="X175" i="2"/>
  <c r="X177" i="2" s="1"/>
  <c r="BI175" i="2"/>
  <c r="BI177" i="2" s="1"/>
  <c r="BN175" i="2"/>
  <c r="BN177" i="2" s="1"/>
  <c r="BC86" i="3"/>
  <c r="AB29" i="3"/>
  <c r="AH29" i="3"/>
  <c r="BM85" i="3"/>
  <c r="BO48" i="3"/>
  <c r="AU20" i="3"/>
  <c r="BM20" i="3"/>
  <c r="W175" i="2"/>
  <c r="W177" i="2" s="1"/>
  <c r="BU35" i="3"/>
  <c r="Y22" i="3"/>
  <c r="W20" i="3"/>
  <c r="BO18" i="3"/>
  <c r="BH175" i="2"/>
  <c r="BH177" i="2" s="1"/>
  <c r="BG50" i="3"/>
  <c r="S52" i="3"/>
  <c r="AO20" i="3"/>
  <c r="AQ21" i="3"/>
  <c r="BM175" i="2"/>
  <c r="BM177" i="2" s="1"/>
  <c r="M11" i="3"/>
  <c r="M80" i="54" s="1"/>
  <c r="BO28" i="3"/>
  <c r="K50" i="3"/>
  <c r="S38" i="3"/>
  <c r="Q131" i="2"/>
  <c r="Q132" i="2" s="1"/>
  <c r="AE21" i="3"/>
  <c r="AI20" i="3"/>
  <c r="CL48" i="3"/>
  <c r="CM48" i="3" s="1"/>
  <c r="CK85" i="3"/>
  <c r="CK84" i="3" s="1"/>
  <c r="BU175" i="2"/>
  <c r="BU177" i="2" s="1"/>
  <c r="AV131" i="2"/>
  <c r="BO44" i="3"/>
  <c r="Q81" i="54"/>
  <c r="S32" i="3"/>
  <c r="Q106" i="2"/>
  <c r="Q40" i="3"/>
  <c r="S23" i="3"/>
  <c r="BC18" i="3"/>
  <c r="BN85" i="3"/>
  <c r="BN84" i="3" s="1"/>
  <c r="AV20" i="3"/>
  <c r="AW21" i="3"/>
  <c r="AJ131" i="2"/>
  <c r="L28" i="3"/>
  <c r="L20" i="3" s="1"/>
  <c r="BU21" i="3"/>
  <c r="BS20" i="3"/>
  <c r="BS29" i="3" s="1"/>
  <c r="BC26" i="3"/>
  <c r="CJ84" i="3"/>
  <c r="BC33" i="3"/>
  <c r="L50" i="3"/>
  <c r="BK84" i="2"/>
  <c r="BC11" i="3"/>
  <c r="BC80" i="54" s="1"/>
  <c r="BC43" i="3"/>
  <c r="BA50" i="3"/>
  <c r="AJ21" i="3"/>
  <c r="AT29" i="3"/>
  <c r="M38" i="3"/>
  <c r="K131" i="2"/>
  <c r="BI23" i="3"/>
  <c r="AE33" i="3"/>
  <c r="AC40" i="3"/>
  <c r="M17" i="3"/>
  <c r="AV175" i="2"/>
  <c r="AV177" i="2" s="1"/>
  <c r="L36" i="3"/>
  <c r="L40" i="3" s="1"/>
  <c r="M19" i="3"/>
  <c r="BA20" i="3"/>
  <c r="U53" i="3"/>
  <c r="BI43" i="3"/>
  <c r="BM40" i="3"/>
  <c r="AN29" i="3"/>
  <c r="BH45" i="3"/>
  <c r="BI45" i="3" s="1"/>
  <c r="Y79" i="3"/>
  <c r="Y77" i="3"/>
  <c r="Y78" i="3"/>
  <c r="Y73" i="3"/>
  <c r="AE69" i="3" s="1"/>
  <c r="BB45" i="3"/>
  <c r="BB50" i="3" s="1"/>
  <c r="R20" i="3"/>
  <c r="W50" i="3"/>
  <c r="AJ175" i="2"/>
  <c r="AJ177" i="2" s="1"/>
  <c r="AE16" i="3"/>
  <c r="S28" i="3"/>
  <c r="AD175" i="2"/>
  <c r="AD177" i="2" s="1"/>
  <c r="AP20" i="3"/>
  <c r="K113" i="2"/>
  <c r="K18" i="1" s="1"/>
  <c r="K20" i="1" s="1"/>
  <c r="K80" i="54"/>
  <c r="AE26" i="3"/>
  <c r="BY40" i="3"/>
  <c r="BY106" i="2"/>
  <c r="BY81" i="54"/>
  <c r="AP81" i="54"/>
  <c r="AP40" i="3"/>
  <c r="R12" i="3"/>
  <c r="BL29" i="3"/>
  <c r="BL61" i="3" s="1"/>
  <c r="AK15" i="3"/>
  <c r="AV106" i="2"/>
  <c r="AV81" i="54"/>
  <c r="AV40" i="3"/>
  <c r="BI22" i="3"/>
  <c r="K106" i="2"/>
  <c r="M32" i="3"/>
  <c r="K81" i="54"/>
  <c r="K40" i="3"/>
  <c r="BB21" i="3"/>
  <c r="BB20" i="3" s="1"/>
  <c r="BB29" i="3" s="1"/>
  <c r="AC175" i="2"/>
  <c r="AC177" i="2" s="1"/>
  <c r="AE81" i="54"/>
  <c r="CD74" i="3"/>
  <c r="CJ74" i="3" s="1"/>
  <c r="CP74" i="3" s="1"/>
  <c r="CV74" i="3" s="1"/>
  <c r="BQ74" i="3"/>
  <c r="Y18" i="3"/>
  <c r="S16" i="3"/>
  <c r="AJ40" i="3"/>
  <c r="Y15" i="3"/>
  <c r="X44" i="3"/>
  <c r="BM50" i="3"/>
  <c r="R106" i="2"/>
  <c r="R107" i="2" s="1"/>
  <c r="R40" i="3"/>
  <c r="R81" i="54"/>
  <c r="W40" i="3"/>
  <c r="X20" i="3"/>
  <c r="Y21" i="3"/>
  <c r="BO175" i="2"/>
  <c r="BO177" i="2" s="1"/>
  <c r="AW28" i="3"/>
  <c r="L81" i="54"/>
  <c r="L106" i="2"/>
  <c r="L107" i="2" s="1"/>
  <c r="Y9" i="3"/>
  <c r="AC20" i="3"/>
  <c r="BK53" i="3"/>
  <c r="BF29" i="3"/>
  <c r="BF61" i="3" s="1"/>
  <c r="AQ52" i="3"/>
  <c r="AV50" i="3"/>
  <c r="AZ29" i="3"/>
  <c r="AJ26" i="3"/>
  <c r="AK26" i="3" s="1"/>
  <c r="X16" i="3"/>
  <c r="Y16" i="3" s="1"/>
  <c r="Q80" i="54"/>
  <c r="S11" i="3"/>
  <c r="S80" i="54" s="1"/>
  <c r="Q113" i="2"/>
  <c r="Q18" i="1" s="1"/>
  <c r="Q20" i="1" s="1"/>
  <c r="AO113" i="2"/>
  <c r="AO18" i="1" s="1"/>
  <c r="AO20" i="1" s="1"/>
  <c r="AO80" i="54"/>
  <c r="Q20" i="3"/>
  <c r="BO25" i="3"/>
  <c r="AE15" i="3"/>
  <c r="AE28" i="3"/>
  <c r="K20" i="3"/>
  <c r="K29" i="3" s="1"/>
  <c r="BT25" i="3"/>
  <c r="BT20" i="3" s="1"/>
  <c r="X33" i="3"/>
  <c r="BN20" i="3"/>
  <c r="AU69" i="51"/>
  <c r="DL33" i="51"/>
  <c r="DK20" i="51"/>
  <c r="DH33" i="51"/>
  <c r="BG362" i="73"/>
  <c r="BG381" i="73"/>
  <c r="BI381" i="73" s="1"/>
  <c r="AS403" i="73"/>
  <c r="AW300" i="73"/>
  <c r="AK407" i="73"/>
  <c r="AV410" i="73"/>
  <c r="AW401" i="73"/>
  <c r="AW410" i="73" s="1"/>
  <c r="CM244" i="73"/>
  <c r="AY256" i="73"/>
  <c r="BW179" i="73"/>
  <c r="BX176" i="73"/>
  <c r="CK181" i="73"/>
  <c r="CQ184" i="73"/>
  <c r="BW141" i="73"/>
  <c r="BW142" i="73" s="1"/>
  <c r="BX140" i="73"/>
  <c r="AQ431" i="73"/>
  <c r="AQ440" i="73" s="1"/>
  <c r="AM440" i="73"/>
  <c r="AY448" i="73"/>
  <c r="AH407" i="73"/>
  <c r="AN177" i="73"/>
  <c r="AN179" i="73"/>
  <c r="AN205" i="73" s="1"/>
  <c r="AO176" i="73"/>
  <c r="CQ40" i="73"/>
  <c r="CP39" i="73"/>
  <c r="CD182" i="73"/>
  <c r="BF410" i="73"/>
  <c r="BI401" i="73"/>
  <c r="BA401" i="73"/>
  <c r="BC162" i="73"/>
  <c r="BC163" i="73" s="1"/>
  <c r="AP182" i="73"/>
  <c r="AQ181" i="73"/>
  <c r="AS182" i="73"/>
  <c r="AU182" i="73"/>
  <c r="AT182" i="73"/>
  <c r="AS448" i="73"/>
  <c r="AS446" i="73" s="1"/>
  <c r="AS136" i="73"/>
  <c r="AW134" i="73"/>
  <c r="AM205" i="73"/>
  <c r="BK269" i="73"/>
  <c r="BK382" i="73"/>
  <c r="AM199" i="73"/>
  <c r="AM206" i="73"/>
  <c r="AM184" i="73"/>
  <c r="CR155" i="73"/>
  <c r="CQ154" i="73"/>
  <c r="DG32" i="51"/>
  <c r="DK45" i="51" s="1"/>
  <c r="BG64" i="51"/>
  <c r="CQ146" i="73"/>
  <c r="CP145" i="73"/>
  <c r="AN136" i="73"/>
  <c r="AN399" i="73"/>
  <c r="AN408" i="73" s="1"/>
  <c r="AT407" i="73"/>
  <c r="AW398" i="73"/>
  <c r="AW407" i="73" s="1"/>
  <c r="BF63" i="51"/>
  <c r="DF31" i="51"/>
  <c r="BH134" i="73"/>
  <c r="BH448" i="73" s="1"/>
  <c r="BH379" i="73"/>
  <c r="BH132" i="73"/>
  <c r="BH116" i="73"/>
  <c r="AY264" i="73"/>
  <c r="AY263" i="73" s="1"/>
  <c r="AT127" i="73"/>
  <c r="AT120" i="73"/>
  <c r="AW119" i="73"/>
  <c r="BL128" i="73"/>
  <c r="BF115" i="73"/>
  <c r="BF131" i="73"/>
  <c r="BA181" i="73"/>
  <c r="BL178" i="73"/>
  <c r="BL181" i="73"/>
  <c r="CF182" i="73"/>
  <c r="CE182" i="73"/>
  <c r="AM410" i="73"/>
  <c r="AQ401" i="73"/>
  <c r="AQ410" i="73" s="1"/>
  <c r="AV177" i="73"/>
  <c r="AW179" i="73"/>
  <c r="AV179" i="73"/>
  <c r="BC129" i="73"/>
  <c r="BL258" i="73"/>
  <c r="BL256" i="73"/>
  <c r="BL363" i="73" s="1"/>
  <c r="AG410" i="73"/>
  <c r="AK401" i="73"/>
  <c r="AK410" i="73" s="1"/>
  <c r="BE337" i="73"/>
  <c r="BE379" i="73"/>
  <c r="BE116" i="73"/>
  <c r="BK116" i="73"/>
  <c r="BE132" i="73"/>
  <c r="BE134" i="73"/>
  <c r="BB410" i="73"/>
  <c r="CI181" i="73"/>
  <c r="CO184" i="73"/>
  <c r="AW122" i="73"/>
  <c r="AW125" i="73"/>
  <c r="AW126" i="73"/>
  <c r="CG188" i="73"/>
  <c r="CI188" i="73"/>
  <c r="CQ149" i="73"/>
  <c r="CP148" i="73"/>
  <c r="CX240" i="73"/>
  <c r="CX239" i="73" s="1"/>
  <c r="CW239" i="73"/>
  <c r="AZ399" i="73"/>
  <c r="BN176" i="73"/>
  <c r="BM179" i="73"/>
  <c r="AW257" i="73"/>
  <c r="AS256" i="73"/>
  <c r="BO261" i="73"/>
  <c r="CP244" i="73"/>
  <c r="CQ244" i="73" s="1"/>
  <c r="CR244" i="73" s="1"/>
  <c r="CU244" i="73" s="1"/>
  <c r="AW295" i="73"/>
  <c r="AT383" i="73"/>
  <c r="AW383" i="73" s="1"/>
  <c r="AK122" i="73"/>
  <c r="AK125" i="73"/>
  <c r="AG217" i="73"/>
  <c r="AG380" i="73"/>
  <c r="AG207" i="73"/>
  <c r="AG210" i="73" s="1"/>
  <c r="BQ176" i="73"/>
  <c r="BU179" i="73"/>
  <c r="BI156" i="73"/>
  <c r="BI157" i="73" s="1"/>
  <c r="CC182" i="73"/>
  <c r="CG181" i="73"/>
  <c r="CG192" i="73" s="1"/>
  <c r="BK258" i="73"/>
  <c r="AJ182" i="73"/>
  <c r="AM182" i="73"/>
  <c r="AO182" i="73"/>
  <c r="CP184" i="73"/>
  <c r="CJ181" i="73"/>
  <c r="BC156" i="73"/>
  <c r="BC157" i="73" s="1"/>
  <c r="AQ196" i="73"/>
  <c r="BX241" i="73"/>
  <c r="BW243" i="73"/>
  <c r="AG44" i="73"/>
  <c r="AG47" i="73"/>
  <c r="AG41" i="73"/>
  <c r="AG311" i="73" s="1"/>
  <c r="AG314" i="73" s="1"/>
  <c r="BQ332" i="73"/>
  <c r="BQ10" i="73"/>
  <c r="BQ366" i="73"/>
  <c r="AP366" i="73"/>
  <c r="AP10" i="73"/>
  <c r="AP11" i="73" s="1"/>
  <c r="BC29" i="4"/>
  <c r="BC43" i="73" s="1"/>
  <c r="AU366" i="73"/>
  <c r="BA332" i="73"/>
  <c r="AU332" i="73"/>
  <c r="AG27" i="73"/>
  <c r="AM367" i="73"/>
  <c r="AG370" i="73"/>
  <c r="AG161" i="73"/>
  <c r="AG118" i="73"/>
  <c r="AG371" i="73"/>
  <c r="AG373" i="73"/>
  <c r="AG375" i="73"/>
  <c r="AG374" i="73"/>
  <c r="AG299" i="73"/>
  <c r="AG37" i="73"/>
  <c r="AG96" i="73"/>
  <c r="AG372" i="73"/>
  <c r="AG260" i="73"/>
  <c r="AG131" i="73"/>
  <c r="BO32" i="4"/>
  <c r="AY50" i="4"/>
  <c r="AY15" i="51" s="1"/>
  <c r="BE45" i="51" s="1"/>
  <c r="BS332" i="73"/>
  <c r="BS10" i="73"/>
  <c r="BS11" i="73" s="1"/>
  <c r="BS366" i="73"/>
  <c r="BY332" i="73"/>
  <c r="BU45" i="4"/>
  <c r="BU13" i="4" s="1"/>
  <c r="CK44" i="4"/>
  <c r="AI68" i="51"/>
  <c r="AO68" i="51"/>
  <c r="AU337" i="73"/>
  <c r="AM70" i="51"/>
  <c r="BL33" i="4"/>
  <c r="AO337" i="73"/>
  <c r="AO336" i="73"/>
  <c r="AO366" i="73"/>
  <c r="AO340" i="73"/>
  <c r="AO341" i="73"/>
  <c r="AQ331" i="73"/>
  <c r="AA57" i="4"/>
  <c r="BW318" i="73"/>
  <c r="BQ296" i="73"/>
  <c r="CQ56" i="4"/>
  <c r="CQ52" i="4"/>
  <c r="AS52" i="4"/>
  <c r="AS53" i="4" s="1"/>
  <c r="AY64" i="51"/>
  <c r="BL43" i="4"/>
  <c r="BF57" i="4"/>
  <c r="BM46" i="4"/>
  <c r="BM47" i="4" s="1"/>
  <c r="BS49" i="4"/>
  <c r="BS50" i="4" s="1"/>
  <c r="AY34" i="73"/>
  <c r="BE315" i="73"/>
  <c r="AY43" i="73"/>
  <c r="BU22" i="4"/>
  <c r="BU29" i="4"/>
  <c r="BW10" i="73"/>
  <c r="BW11" i="73" s="1"/>
  <c r="AZ43" i="73"/>
  <c r="BF315" i="73"/>
  <c r="AZ34" i="73"/>
  <c r="AA41" i="73"/>
  <c r="AA42" i="73" s="1"/>
  <c r="AG71" i="51"/>
  <c r="AG447" i="73"/>
  <c r="BW46" i="4"/>
  <c r="BW47" i="4" s="1"/>
  <c r="AO34" i="73"/>
  <c r="AO43" i="73"/>
  <c r="BQ46" i="4"/>
  <c r="BQ47" i="4" s="1"/>
  <c r="AG446" i="73"/>
  <c r="AU341" i="73"/>
  <c r="BC72" i="4"/>
  <c r="BB366" i="73"/>
  <c r="BS46" i="4"/>
  <c r="BS47" i="4" s="1"/>
  <c r="AT12" i="73"/>
  <c r="AT13" i="73" s="1"/>
  <c r="AT364" i="73"/>
  <c r="AT355" i="73"/>
  <c r="AT359" i="73"/>
  <c r="AT362" i="73"/>
  <c r="BS43" i="4"/>
  <c r="BS44" i="4" s="1"/>
  <c r="BM40" i="4"/>
  <c r="BM41" i="4" s="1"/>
  <c r="BM57" i="4"/>
  <c r="AN362" i="73"/>
  <c r="AN12" i="73"/>
  <c r="AN363" i="73"/>
  <c r="AN364" i="73"/>
  <c r="AN355" i="73"/>
  <c r="AN359" i="73"/>
  <c r="AQ354" i="73"/>
  <c r="AN366" i="73"/>
  <c r="BE52" i="4"/>
  <c r="BE53" i="4" s="1"/>
  <c r="BK52" i="4"/>
  <c r="BK53" i="4" s="1"/>
  <c r="BI51" i="4"/>
  <c r="BE57" i="4"/>
  <c r="BK55" i="4"/>
  <c r="AO64" i="51"/>
  <c r="AO52" i="4"/>
  <c r="AO53" i="4" s="1"/>
  <c r="AH41" i="73"/>
  <c r="AH47" i="73"/>
  <c r="AH396" i="73" s="1"/>
  <c r="AG57" i="4"/>
  <c r="AM61" i="51"/>
  <c r="BL12" i="73"/>
  <c r="BL366" i="73"/>
  <c r="BO354" i="73"/>
  <c r="BL355" i="73"/>
  <c r="BR355" i="73"/>
  <c r="BE362" i="73"/>
  <c r="BE12" i="73"/>
  <c r="BE366" i="73"/>
  <c r="BI354" i="73"/>
  <c r="BI358" i="73" s="1"/>
  <c r="AW32" i="4"/>
  <c r="BN366" i="73"/>
  <c r="BT355" i="73"/>
  <c r="BN12" i="73"/>
  <c r="BN13" i="73" s="1"/>
  <c r="BN355" i="73"/>
  <c r="BS52" i="4"/>
  <c r="BS53" i="4" s="1"/>
  <c r="BY52" i="4"/>
  <c r="BY53" i="4" s="1"/>
  <c r="BO6" i="4"/>
  <c r="BO54" i="73" s="1"/>
  <c r="BI104" i="73"/>
  <c r="BI171" i="73"/>
  <c r="BI139" i="73"/>
  <c r="BI230" i="73"/>
  <c r="BI80" i="73"/>
  <c r="BI29" i="73"/>
  <c r="BI281" i="73"/>
  <c r="AU336" i="73"/>
  <c r="BC71" i="4"/>
  <c r="AP341" i="73"/>
  <c r="BB12" i="73"/>
  <c r="BB13" i="73" s="1"/>
  <c r="AW76" i="4"/>
  <c r="AW99" i="51" s="1"/>
  <c r="AK22" i="4"/>
  <c r="BG46" i="4"/>
  <c r="BG47" i="4" s="1"/>
  <c r="BG57" i="4"/>
  <c r="BM63" i="51"/>
  <c r="AN64" i="51"/>
  <c r="AN52" i="4"/>
  <c r="AN53" i="4" s="1"/>
  <c r="AH57" i="4"/>
  <c r="AK51" i="4"/>
  <c r="AQ64" i="51" s="1"/>
  <c r="AQ71" i="51" s="1"/>
  <c r="BL49" i="4"/>
  <c r="BW366" i="73"/>
  <c r="BW355" i="73"/>
  <c r="BW12" i="73"/>
  <c r="BW13" i="73" s="1"/>
  <c r="AY57" i="4"/>
  <c r="AY337" i="73"/>
  <c r="AY332" i="73"/>
  <c r="AY340" i="73"/>
  <c r="AY339" i="73"/>
  <c r="AY366" i="73"/>
  <c r="AY10" i="73"/>
  <c r="AY11" i="73" s="1"/>
  <c r="AY336" i="73"/>
  <c r="BE332" i="73"/>
  <c r="AI40" i="4"/>
  <c r="BI24" i="4"/>
  <c r="BI25" i="4"/>
  <c r="AT57" i="4"/>
  <c r="BS56" i="4"/>
  <c r="BS19" i="51" s="1"/>
  <c r="BS49" i="51" s="1"/>
  <c r="CL56" i="4"/>
  <c r="AS64" i="4"/>
  <c r="AP71" i="51"/>
  <c r="AN43" i="73"/>
  <c r="AN44" i="73" s="1"/>
  <c r="AN34" i="73"/>
  <c r="AS367" i="73"/>
  <c r="AS260" i="73"/>
  <c r="AS375" i="73"/>
  <c r="AS299" i="73"/>
  <c r="AS118" i="73"/>
  <c r="AS131" i="73"/>
  <c r="AS96" i="73"/>
  <c r="AS27" i="73"/>
  <c r="AS370" i="73"/>
  <c r="AS371" i="73"/>
  <c r="AS373" i="73"/>
  <c r="AS161" i="73"/>
  <c r="AM332" i="73"/>
  <c r="AK32" i="4"/>
  <c r="AP128" i="73"/>
  <c r="AQ128" i="73" s="1"/>
  <c r="AP340" i="73"/>
  <c r="AW72" i="4"/>
  <c r="AI46" i="4"/>
  <c r="AI57" i="4"/>
  <c r="AO63" i="51"/>
  <c r="AO46" i="4"/>
  <c r="AO47" i="4" s="1"/>
  <c r="AI70" i="51"/>
  <c r="AB39" i="4"/>
  <c r="AK69" i="4"/>
  <c r="AK76" i="4"/>
  <c r="AM57" i="4"/>
  <c r="BX318" i="73"/>
  <c r="BR296" i="73"/>
  <c r="BS296" i="73"/>
  <c r="BU92" i="2"/>
  <c r="BU173" i="2"/>
  <c r="S142" i="2"/>
  <c r="S90" i="2"/>
  <c r="S77" i="2"/>
  <c r="S171" i="2"/>
  <c r="S180" i="2" s="1"/>
  <c r="BO92" i="2"/>
  <c r="BO173" i="2"/>
  <c r="G90" i="2"/>
  <c r="G177" i="2"/>
  <c r="G89" i="2"/>
  <c r="G171" i="2"/>
  <c r="G180" i="2" s="1"/>
  <c r="G91" i="2"/>
  <c r="G142" i="2"/>
  <c r="G77" i="2"/>
  <c r="G80" i="2" s="1"/>
  <c r="AQ22" i="4"/>
  <c r="AQ21" i="4"/>
  <c r="AQ29" i="4"/>
  <c r="AG69" i="51"/>
  <c r="AM69" i="51"/>
  <c r="BO454" i="73"/>
  <c r="BW33" i="4"/>
  <c r="BB10" i="73"/>
  <c r="BB332" i="73"/>
  <c r="BC331" i="73"/>
  <c r="BC335" i="73" s="1"/>
  <c r="BB337" i="73"/>
  <c r="BB339" i="73"/>
  <c r="BC74" i="4"/>
  <c r="BC75" i="4"/>
  <c r="BI74" i="4"/>
  <c r="AQ79" i="51"/>
  <c r="AZ169" i="2"/>
  <c r="AZ181" i="2" s="1"/>
  <c r="AZ66" i="2"/>
  <c r="AZ143" i="2"/>
  <c r="AM79" i="54"/>
  <c r="AM167" i="2"/>
  <c r="BY144" i="2"/>
  <c r="BY145" i="2" s="1"/>
  <c r="BY146" i="2" s="1"/>
  <c r="BY147" i="2" s="1"/>
  <c r="AB168" i="2"/>
  <c r="S91" i="2"/>
  <c r="BO29" i="4"/>
  <c r="BO34" i="73" s="1"/>
  <c r="BO21" i="4"/>
  <c r="BU21" i="4"/>
  <c r="BO22" i="4"/>
  <c r="BX33" i="4"/>
  <c r="BN176" i="2"/>
  <c r="BN182" i="2" s="1"/>
  <c r="BN183" i="2" s="1"/>
  <c r="BN184" i="2" s="1"/>
  <c r="BB46" i="4"/>
  <c r="BB47" i="4" s="1"/>
  <c r="BH46" i="4"/>
  <c r="BH47" i="4" s="1"/>
  <c r="BH49" i="4"/>
  <c r="BC45" i="4"/>
  <c r="BQ57" i="4"/>
  <c r="BQ52" i="4"/>
  <c r="BQ53" i="4" s="1"/>
  <c r="BU51" i="4"/>
  <c r="AS11" i="73"/>
  <c r="AU52" i="4"/>
  <c r="AU53" i="4" s="1"/>
  <c r="BA52" i="4"/>
  <c r="BA53" i="4" s="1"/>
  <c r="BA64" i="51"/>
  <c r="AS66" i="2"/>
  <c r="AS169" i="2"/>
  <c r="AS181" i="2" s="1"/>
  <c r="AS143" i="2"/>
  <c r="BH332" i="73"/>
  <c r="S92" i="2"/>
  <c r="S173" i="2"/>
  <c r="AQ62" i="51"/>
  <c r="AU167" i="2"/>
  <c r="AU79" i="54"/>
  <c r="AU60" i="2"/>
  <c r="BY60" i="2"/>
  <c r="BY79" i="54"/>
  <c r="BY167" i="2"/>
  <c r="AT20" i="73"/>
  <c r="AT21" i="73" s="1"/>
  <c r="BU68" i="4"/>
  <c r="BU76" i="4"/>
  <c r="BU69" i="4" s="1"/>
  <c r="BH71" i="4"/>
  <c r="BH72" i="4"/>
  <c r="BH99" i="51" s="1"/>
  <c r="BH76" i="4"/>
  <c r="G92" i="2"/>
  <c r="G173" i="2"/>
  <c r="AV71" i="51"/>
  <c r="BY34" i="4"/>
  <c r="BK63" i="4"/>
  <c r="BO80" i="51"/>
  <c r="BI80" i="51"/>
  <c r="AW29" i="4"/>
  <c r="AW34" i="73" s="1"/>
  <c r="AW21" i="4"/>
  <c r="AW22" i="4"/>
  <c r="AP66" i="2"/>
  <c r="AP143" i="2"/>
  <c r="AP169" i="2"/>
  <c r="AP181" i="2" s="1"/>
  <c r="BH75" i="4"/>
  <c r="BH98" i="51" s="1"/>
  <c r="BN75" i="4"/>
  <c r="BN98" i="51" s="1"/>
  <c r="BH69" i="4"/>
  <c r="BH100" i="51" s="1"/>
  <c r="BG161" i="73"/>
  <c r="BG131" i="73"/>
  <c r="BG373" i="73"/>
  <c r="BG118" i="73"/>
  <c r="BM367" i="73"/>
  <c r="BA167" i="2"/>
  <c r="BA79" i="54"/>
  <c r="S89" i="2"/>
  <c r="AC57" i="4"/>
  <c r="AE45" i="4"/>
  <c r="BA33" i="4"/>
  <c r="BG36" i="4"/>
  <c r="AO11" i="73"/>
  <c r="Y75" i="51"/>
  <c r="AE75" i="51"/>
  <c r="AK79" i="51" s="1"/>
  <c r="BB18" i="73"/>
  <c r="BB19" i="73" s="1"/>
  <c r="BI454" i="73"/>
  <c r="AJ80" i="51"/>
  <c r="AP80" i="51"/>
  <c r="BX57" i="4"/>
  <c r="BX52" i="4"/>
  <c r="BX53" i="4" s="1"/>
  <c r="BQ167" i="2"/>
  <c r="BQ64" i="3"/>
  <c r="BQ79" i="54"/>
  <c r="R92" i="2"/>
  <c r="R173" i="2"/>
  <c r="CA156" i="2"/>
  <c r="BN57" i="4"/>
  <c r="BN46" i="4"/>
  <c r="BN47" i="4" s="1"/>
  <c r="BF37" i="73"/>
  <c r="BK41" i="73"/>
  <c r="BK42" i="73" s="1"/>
  <c r="BK46" i="73"/>
  <c r="BI29" i="4"/>
  <c r="BI22" i="4"/>
  <c r="BI21" i="4"/>
  <c r="BK57" i="4"/>
  <c r="BK46" i="4"/>
  <c r="BK47" i="4" s="1"/>
  <c r="BO45" i="4"/>
  <c r="BW52" i="4"/>
  <c r="BW53" i="4" s="1"/>
  <c r="BW57" i="4"/>
  <c r="CC61" i="4" s="1"/>
  <c r="BL16" i="73"/>
  <c r="BL17" i="73" s="1"/>
  <c r="BL264" i="73"/>
  <c r="BL263" i="73" s="1"/>
  <c r="BB51" i="4"/>
  <c r="BC15" i="4"/>
  <c r="BB17" i="4"/>
  <c r="BH24" i="51" s="1"/>
  <c r="BC92" i="2"/>
  <c r="BC173" i="2"/>
  <c r="BN71" i="4"/>
  <c r="BT71" i="4"/>
  <c r="BN72" i="4"/>
  <c r="BN99" i="51" s="1"/>
  <c r="BK264" i="73"/>
  <c r="BK263" i="73" s="1"/>
  <c r="BK16" i="73"/>
  <c r="BK17" i="73" s="1"/>
  <c r="BK447" i="73"/>
  <c r="BK446" i="73"/>
  <c r="AQ456" i="73"/>
  <c r="DI31" i="51"/>
  <c r="DI44" i="51" s="1"/>
  <c r="BK63" i="51"/>
  <c r="S170" i="2"/>
  <c r="BW176" i="2"/>
  <c r="BW182" i="2" s="1"/>
  <c r="BW183" i="2" s="1"/>
  <c r="BW184" i="2" s="1"/>
  <c r="BX143" i="2"/>
  <c r="BX169" i="2"/>
  <c r="BX181" i="2" s="1"/>
  <c r="BX66" i="2"/>
  <c r="BL40" i="4"/>
  <c r="BL41" i="4" s="1"/>
  <c r="BR40" i="4"/>
  <c r="BR41" i="4" s="1"/>
  <c r="BO39" i="4"/>
  <c r="BL57" i="4"/>
  <c r="BI173" i="2"/>
  <c r="BI92" i="2"/>
  <c r="O66" i="2"/>
  <c r="O143" i="2"/>
  <c r="O145" i="2" s="1"/>
  <c r="O146" i="2" s="1"/>
  <c r="O147" i="2" s="1"/>
  <c r="O169" i="2"/>
  <c r="O181" i="2" s="1"/>
  <c r="AV12" i="73"/>
  <c r="AW354" i="73"/>
  <c r="AV362" i="73"/>
  <c r="AV364" i="73"/>
  <c r="AV359" i="73"/>
  <c r="AV355" i="73"/>
  <c r="AV366" i="73"/>
  <c r="BM176" i="2"/>
  <c r="BM182" i="2" s="1"/>
  <c r="BM183" i="2" s="1"/>
  <c r="BM184" i="2" s="1"/>
  <c r="BI17" i="4"/>
  <c r="BI32" i="4"/>
  <c r="BS57" i="4"/>
  <c r="BY40" i="4"/>
  <c r="BY41" i="4" s="1"/>
  <c r="BS40" i="4"/>
  <c r="BS41" i="4" s="1"/>
  <c r="BU39" i="4"/>
  <c r="BQ20" i="73"/>
  <c r="BQ21" i="73" s="1"/>
  <c r="BT57" i="4"/>
  <c r="BT52" i="4"/>
  <c r="BT53" i="4" s="1"/>
  <c r="AU40" i="4"/>
  <c r="AU41" i="4" s="1"/>
  <c r="BA62" i="51"/>
  <c r="AU57" i="4"/>
  <c r="F169" i="2"/>
  <c r="F181" i="2" s="1"/>
  <c r="BL169" i="2"/>
  <c r="BL181" i="2" s="1"/>
  <c r="BL143" i="2"/>
  <c r="BL66" i="2"/>
  <c r="X92" i="2"/>
  <c r="X173" i="2"/>
  <c r="BL34" i="73"/>
  <c r="BX34" i="73"/>
  <c r="BO24" i="4"/>
  <c r="BO25" i="4"/>
  <c r="BU24" i="4"/>
  <c r="AT337" i="73"/>
  <c r="AZ332" i="73"/>
  <c r="AT336" i="73"/>
  <c r="AT339" i="73"/>
  <c r="AW331" i="73"/>
  <c r="AT332" i="73"/>
  <c r="AT366" i="73"/>
  <c r="AT341" i="73"/>
  <c r="AT10" i="73"/>
  <c r="AT11" i="73" s="1"/>
  <c r="AT340" i="73"/>
  <c r="BB39" i="4"/>
  <c r="BI43" i="4" s="1"/>
  <c r="BI44" i="4" s="1"/>
  <c r="AK76" i="51"/>
  <c r="AE76" i="51"/>
  <c r="AE80" i="51" s="1"/>
  <c r="BG176" i="2"/>
  <c r="BG182" i="2" s="1"/>
  <c r="BG183" i="2" s="1"/>
  <c r="BG184" i="2" s="1"/>
  <c r="AQ76" i="4"/>
  <c r="AQ69" i="4"/>
  <c r="BC11" i="4"/>
  <c r="BB66" i="2"/>
  <c r="BB169" i="2"/>
  <c r="BB181" i="2" s="1"/>
  <c r="AJ167" i="2"/>
  <c r="AJ79" i="54"/>
  <c r="AJ60" i="2"/>
  <c r="BK169" i="2"/>
  <c r="BK181" i="2" s="1"/>
  <c r="BK143" i="2"/>
  <c r="BK66" i="2"/>
  <c r="AW25" i="4"/>
  <c r="BC24" i="4"/>
  <c r="AW24" i="4"/>
  <c r="BB355" i="73"/>
  <c r="BH174" i="2"/>
  <c r="BH97" i="2"/>
  <c r="BH100" i="2" s="1"/>
  <c r="AB79" i="54"/>
  <c r="AB167" i="2"/>
  <c r="DG31" i="51"/>
  <c r="DK44" i="51" s="1"/>
  <c r="BG63" i="51"/>
  <c r="BY318" i="73"/>
  <c r="AT144" i="2"/>
  <c r="AT145" i="2" s="1"/>
  <c r="AT146" i="2" s="1"/>
  <c r="AT147" i="2" s="1"/>
  <c r="X144" i="2"/>
  <c r="W144" i="2"/>
  <c r="BN11" i="73"/>
  <c r="BO10" i="73"/>
  <c r="BO11" i="73" s="1"/>
  <c r="BH316" i="73"/>
  <c r="AQ75" i="4"/>
  <c r="AW74" i="4"/>
  <c r="AO332" i="73"/>
  <c r="AI366" i="73"/>
  <c r="BS176" i="2"/>
  <c r="BS182" i="2" s="1"/>
  <c r="BS183" i="2" s="1"/>
  <c r="BS184" i="2" s="1"/>
  <c r="BT176" i="2"/>
  <c r="BT182" i="2" s="1"/>
  <c r="BT183" i="2" s="1"/>
  <c r="BT184" i="2" s="1"/>
  <c r="BR66" i="2"/>
  <c r="BR143" i="2"/>
  <c r="BR169" i="2"/>
  <c r="BR181" i="2" s="1"/>
  <c r="BT238" i="73"/>
  <c r="BS34" i="73"/>
  <c r="BM37" i="73"/>
  <c r="CK144" i="2"/>
  <c r="U176" i="2"/>
  <c r="U182" i="2" s="1"/>
  <c r="U183" i="2" s="1"/>
  <c r="U184" i="2" s="1"/>
  <c r="BB32" i="4"/>
  <c r="BH33" i="4" s="1"/>
  <c r="BC9" i="4"/>
  <c r="BC456" i="73"/>
  <c r="AJ79" i="51"/>
  <c r="BQ16" i="73"/>
  <c r="BQ17" i="73" s="1"/>
  <c r="BA40" i="4"/>
  <c r="BA41" i="4" s="1"/>
  <c r="BG62" i="51"/>
  <c r="BA57" i="4"/>
  <c r="AV337" i="73"/>
  <c r="AV332" i="73"/>
  <c r="AV341" i="73"/>
  <c r="AV336" i="73"/>
  <c r="AV340" i="73"/>
  <c r="AV339" i="73"/>
  <c r="AV10" i="73"/>
  <c r="AV11" i="73" s="1"/>
  <c r="AK92" i="2"/>
  <c r="AK173" i="2"/>
  <c r="BU79" i="51"/>
  <c r="CA447" i="73"/>
  <c r="CA143" i="2"/>
  <c r="CA16" i="3"/>
  <c r="D8" i="52"/>
  <c r="AE41" i="2"/>
  <c r="CA157" i="2"/>
  <c r="CA35" i="2"/>
  <c r="AY168" i="2"/>
  <c r="AY65" i="2"/>
  <c r="I95" i="2"/>
  <c r="M95" i="2"/>
  <c r="BZ41" i="2"/>
  <c r="BI159" i="2"/>
  <c r="BA161" i="2"/>
  <c r="BB162" i="2" s="1"/>
  <c r="CK80" i="2"/>
  <c r="BG131" i="2"/>
  <c r="BG132" i="2" s="1"/>
  <c r="BH124" i="2"/>
  <c r="BO41" i="2"/>
  <c r="AM123" i="2"/>
  <c r="AQ123" i="2"/>
  <c r="AQ126" i="2" s="1"/>
  <c r="BK126" i="2"/>
  <c r="BK127" i="2"/>
  <c r="BX126" i="2"/>
  <c r="BX127" i="2"/>
  <c r="BU130" i="2"/>
  <c r="BQ130" i="2"/>
  <c r="BQ132" i="2" s="1"/>
  <c r="BU132" i="2" s="1"/>
  <c r="BS126" i="2"/>
  <c r="BS127" i="2"/>
  <c r="BU41" i="2"/>
  <c r="AM51" i="2"/>
  <c r="BQ126" i="2"/>
  <c r="BQ127" i="2"/>
  <c r="CA32" i="3"/>
  <c r="CA81" i="54" s="1"/>
  <c r="BZ40" i="3"/>
  <c r="AQ41" i="2"/>
  <c r="U126" i="2"/>
  <c r="U127" i="2"/>
  <c r="Y127" i="2" s="1"/>
  <c r="AP51" i="2"/>
  <c r="CA149" i="2"/>
  <c r="BG126" i="2"/>
  <c r="BG127" i="2"/>
  <c r="AS51" i="2"/>
  <c r="AS161" i="2"/>
  <c r="AT162" i="2" s="1"/>
  <c r="Y41" i="2"/>
  <c r="BW123" i="2"/>
  <c r="BL51" i="2"/>
  <c r="BC68" i="2"/>
  <c r="BE60" i="2"/>
  <c r="BE51" i="2"/>
  <c r="J65" i="2"/>
  <c r="J168" i="2"/>
  <c r="BO68" i="2"/>
  <c r="BQ60" i="2"/>
  <c r="V51" i="2"/>
  <c r="CK125" i="2"/>
  <c r="AV51" i="2"/>
  <c r="AW41" i="2"/>
  <c r="AY51" i="2"/>
  <c r="AJ51" i="2"/>
  <c r="CA148" i="2"/>
  <c r="AB141" i="2"/>
  <c r="AW126" i="2"/>
  <c r="BQ83" i="2"/>
  <c r="O83" i="2"/>
  <c r="S13" i="3"/>
  <c r="O65" i="3"/>
  <c r="BT12" i="3"/>
  <c r="BU13" i="3"/>
  <c r="BU12" i="3" s="1"/>
  <c r="BO14" i="3"/>
  <c r="Q12" i="3"/>
  <c r="BN13" i="3"/>
  <c r="BN12" i="3" s="1"/>
  <c r="S14" i="3"/>
  <c r="BZ84" i="3" l="1"/>
  <c r="CG51" i="54"/>
  <c r="CJ45" i="54"/>
  <c r="CS45" i="54"/>
  <c r="CO45" i="54" s="1"/>
  <c r="S74" i="54"/>
  <c r="S82" i="54" s="1"/>
  <c r="CG47" i="54"/>
  <c r="CD41" i="54"/>
  <c r="CD43" i="54" s="1"/>
  <c r="CF41" i="54"/>
  <c r="CF43" i="54" s="1"/>
  <c r="CE41" i="54"/>
  <c r="CE43" i="54" s="1"/>
  <c r="CU57" i="54"/>
  <c r="CX57" i="54"/>
  <c r="CW57" i="54"/>
  <c r="CV57" i="54"/>
  <c r="BZ61" i="4"/>
  <c r="CK45" i="54"/>
  <c r="CL45" i="54"/>
  <c r="J64" i="1"/>
  <c r="CD61" i="4"/>
  <c r="BU355" i="73"/>
  <c r="BO358" i="73"/>
  <c r="CE61" i="4"/>
  <c r="BZ56" i="4"/>
  <c r="BM29" i="3"/>
  <c r="BE62" i="3"/>
  <c r="BE86" i="2" s="1"/>
  <c r="J84" i="2"/>
  <c r="BH40" i="3"/>
  <c r="CA74" i="4"/>
  <c r="CG74" i="4"/>
  <c r="CF86" i="73"/>
  <c r="CG85" i="73"/>
  <c r="CG86" i="73" s="1"/>
  <c r="CL86" i="73"/>
  <c r="CJ86" i="73"/>
  <c r="CI86" i="73"/>
  <c r="BK363" i="73"/>
  <c r="BK374" i="73"/>
  <c r="AK399" i="73"/>
  <c r="AK408" i="73" s="1"/>
  <c r="AV267" i="73"/>
  <c r="AV273" i="73" s="1"/>
  <c r="AV402" i="73" s="1"/>
  <c r="AV429" i="73"/>
  <c r="AV438" i="73" s="1"/>
  <c r="AZ363" i="73"/>
  <c r="AZ267" i="73"/>
  <c r="AZ273" i="73" s="1"/>
  <c r="AZ274" i="73" s="1"/>
  <c r="AZ382" i="73"/>
  <c r="BN92" i="73"/>
  <c r="BN378" i="73" s="1"/>
  <c r="BN407" i="73" s="1"/>
  <c r="BB161" i="73"/>
  <c r="AK98" i="73"/>
  <c r="CD367" i="73"/>
  <c r="BQ37" i="73"/>
  <c r="CC367" i="73"/>
  <c r="BA118" i="73"/>
  <c r="BE37" i="73"/>
  <c r="BH131" i="73"/>
  <c r="AP37" i="73"/>
  <c r="AH118" i="73"/>
  <c r="CP43" i="51"/>
  <c r="CK13" i="51"/>
  <c r="EA9" i="51" s="1"/>
  <c r="EA30" i="51"/>
  <c r="CK15" i="51"/>
  <c r="EA10" i="51" s="1"/>
  <c r="EA31" i="51"/>
  <c r="CL19" i="51"/>
  <c r="EB11" i="51" s="1"/>
  <c r="EB32" i="51"/>
  <c r="BE64" i="3"/>
  <c r="AM62" i="3"/>
  <c r="AM65" i="3" s="1"/>
  <c r="V64" i="1"/>
  <c r="Q29" i="3"/>
  <c r="Q84" i="2" s="1"/>
  <c r="BT50" i="3"/>
  <c r="S15" i="3"/>
  <c r="S175" i="2" s="1"/>
  <c r="S177" i="2" s="1"/>
  <c r="BI40" i="3"/>
  <c r="BX53" i="3"/>
  <c r="AM83" i="2"/>
  <c r="AK81" i="54"/>
  <c r="P61" i="3"/>
  <c r="P64" i="3" s="1"/>
  <c r="P84" i="2"/>
  <c r="AS85" i="2"/>
  <c r="AK40" i="3"/>
  <c r="X131" i="2"/>
  <c r="X132" i="2" s="1"/>
  <c r="Y132" i="2" s="1"/>
  <c r="BG29" i="3"/>
  <c r="BG84" i="2" s="1"/>
  <c r="BZ50" i="3"/>
  <c r="BO161" i="2"/>
  <c r="Y161" i="2"/>
  <c r="M161" i="2"/>
  <c r="O162" i="2" s="1"/>
  <c r="O141" i="2" s="1"/>
  <c r="J112" i="2"/>
  <c r="BS20" i="1"/>
  <c r="BA141" i="2"/>
  <c r="BC51" i="2"/>
  <c r="BC161" i="2"/>
  <c r="BE162" i="2" s="1"/>
  <c r="BU113" i="2"/>
  <c r="BU120" i="2" s="1"/>
  <c r="M162" i="2"/>
  <c r="BU161" i="2"/>
  <c r="BW162" i="2" s="1"/>
  <c r="AQ161" i="2"/>
  <c r="AS162" i="2" s="1"/>
  <c r="AW162" i="2"/>
  <c r="U162" i="2"/>
  <c r="U141" i="2" s="1"/>
  <c r="AE161" i="2"/>
  <c r="AG162" i="2" s="1"/>
  <c r="AG141" i="2" s="1"/>
  <c r="BI161" i="2"/>
  <c r="BK162" i="2" s="1"/>
  <c r="BF141" i="2"/>
  <c r="AK161" i="2"/>
  <c r="AM162" i="2" s="1"/>
  <c r="AM141" i="2" s="1"/>
  <c r="CA162" i="2"/>
  <c r="S162" i="2"/>
  <c r="BN113" i="2"/>
  <c r="BN18" i="1" s="1"/>
  <c r="BN20" i="1" s="1"/>
  <c r="CG193" i="2"/>
  <c r="CI43" i="2"/>
  <c r="X40" i="3"/>
  <c r="BO32" i="3"/>
  <c r="BO81" i="54" s="1"/>
  <c r="BF64" i="1"/>
  <c r="BM18" i="1"/>
  <c r="BT185" i="2"/>
  <c r="BW185" i="2"/>
  <c r="P185" i="2"/>
  <c r="AI185" i="2"/>
  <c r="BS185" i="2"/>
  <c r="AJ185" i="2"/>
  <c r="AG185" i="2"/>
  <c r="U185" i="2"/>
  <c r="BG185" i="2"/>
  <c r="BN185" i="2"/>
  <c r="BQ185" i="2"/>
  <c r="BY185" i="2"/>
  <c r="J185" i="2"/>
  <c r="AU185" i="2"/>
  <c r="BM185" i="2"/>
  <c r="V185" i="2"/>
  <c r="AO185" i="2"/>
  <c r="I183" i="2"/>
  <c r="I184" i="2" s="1"/>
  <c r="CE356" i="73"/>
  <c r="AB185" i="2"/>
  <c r="Y74" i="54"/>
  <c r="Y82" i="54" s="1"/>
  <c r="BM15" i="54"/>
  <c r="AT65" i="2"/>
  <c r="AZ64" i="1"/>
  <c r="J121" i="2"/>
  <c r="AV121" i="2"/>
  <c r="BX64" i="1"/>
  <c r="BX46" i="1"/>
  <c r="AT168" i="2"/>
  <c r="V168" i="2"/>
  <c r="AT46" i="1"/>
  <c r="AV20" i="1"/>
  <c r="AV64" i="1" s="1"/>
  <c r="V65" i="2"/>
  <c r="AB64" i="1"/>
  <c r="W65" i="2"/>
  <c r="W168" i="2"/>
  <c r="BY20" i="1"/>
  <c r="BY46" i="1" s="1"/>
  <c r="CE333" i="73"/>
  <c r="CA76" i="4"/>
  <c r="CA72" i="4" s="1"/>
  <c r="CE89" i="73"/>
  <c r="CE316" i="73"/>
  <c r="BN68" i="4"/>
  <c r="CE33" i="51"/>
  <c r="AA64" i="4"/>
  <c r="BS64" i="4"/>
  <c r="AZ64" i="4"/>
  <c r="BY64" i="4"/>
  <c r="BG64" i="4"/>
  <c r="DG35" i="51" s="1"/>
  <c r="BR64" i="4"/>
  <c r="BH64" i="4"/>
  <c r="DH35" i="51" s="1"/>
  <c r="AH64" i="4"/>
  <c r="BW64" i="4"/>
  <c r="AN64" i="4"/>
  <c r="CG34" i="1"/>
  <c r="CW76" i="1"/>
  <c r="CX125" i="2"/>
  <c r="CW19" i="1"/>
  <c r="CS19" i="1"/>
  <c r="BN69" i="4"/>
  <c r="BN100" i="51" s="1"/>
  <c r="BN102" i="51" s="1"/>
  <c r="BI68" i="4"/>
  <c r="BN76" i="4"/>
  <c r="BO98" i="51" s="1"/>
  <c r="BC76" i="4"/>
  <c r="BC100" i="51" s="1"/>
  <c r="BI13" i="51"/>
  <c r="BI43" i="51" s="1"/>
  <c r="BC68" i="4"/>
  <c r="CU80" i="2"/>
  <c r="CP80" i="2"/>
  <c r="CR50" i="4"/>
  <c r="CR15" i="51" s="1"/>
  <c r="CR45" i="51" s="1"/>
  <c r="CU48" i="4"/>
  <c r="AZ136" i="73"/>
  <c r="AZ137" i="73" s="1"/>
  <c r="BN379" i="73"/>
  <c r="BN446" i="73" s="1"/>
  <c r="BE340" i="73"/>
  <c r="AI177" i="73"/>
  <c r="AI178" i="73" s="1"/>
  <c r="BA381" i="73"/>
  <c r="BC381" i="73" s="1"/>
  <c r="BN116" i="73"/>
  <c r="BH255" i="73"/>
  <c r="BH261" i="73" s="1"/>
  <c r="BB179" i="73"/>
  <c r="BA363" i="73"/>
  <c r="CW19" i="51"/>
  <c r="CI34" i="1"/>
  <c r="BN127" i="2"/>
  <c r="BO127" i="2" s="1"/>
  <c r="BO125" i="2"/>
  <c r="BN126" i="2"/>
  <c r="AW161" i="2"/>
  <c r="BC162" i="2" s="1"/>
  <c r="AH311" i="73"/>
  <c r="AH314" i="73" s="1"/>
  <c r="BE256" i="73"/>
  <c r="BE363" i="73" s="1"/>
  <c r="AZ408" i="73"/>
  <c r="BG256" i="73"/>
  <c r="BG374" i="73" s="1"/>
  <c r="AZ447" i="73"/>
  <c r="BM8" i="54"/>
  <c r="CG31" i="54"/>
  <c r="CA47" i="54"/>
  <c r="AV276" i="73"/>
  <c r="AK51" i="2"/>
  <c r="BI162" i="2"/>
  <c r="BX109" i="2"/>
  <c r="BX110" i="2" s="1"/>
  <c r="BX116" i="2" s="1"/>
  <c r="BX115" i="2" s="1"/>
  <c r="BU126" i="2"/>
  <c r="AH141" i="2"/>
  <c r="CD35" i="73"/>
  <c r="BX367" i="73"/>
  <c r="AJ429" i="73"/>
  <c r="AJ438" i="73" s="1"/>
  <c r="BF267" i="73"/>
  <c r="BN132" i="73"/>
  <c r="BN136" i="73" s="1"/>
  <c r="BF269" i="73"/>
  <c r="BF276" i="73" s="1"/>
  <c r="BF277" i="73" s="1"/>
  <c r="BA269" i="73"/>
  <c r="BF382" i="73"/>
  <c r="BN337" i="73"/>
  <c r="AV382" i="73"/>
  <c r="AV363" i="73"/>
  <c r="BF374" i="73"/>
  <c r="CQ15" i="51"/>
  <c r="CR46" i="4"/>
  <c r="BL407" i="73"/>
  <c r="BC379" i="73"/>
  <c r="BO88" i="73"/>
  <c r="BI88" i="73" s="1"/>
  <c r="BM131" i="73"/>
  <c r="AK136" i="73"/>
  <c r="AK137" i="73" s="1"/>
  <c r="BK24" i="51"/>
  <c r="BK30" i="51" s="1"/>
  <c r="AT361" i="73"/>
  <c r="BC123" i="73"/>
  <c r="AU363" i="73"/>
  <c r="BI115" i="73"/>
  <c r="BI123" i="73" s="1"/>
  <c r="BK14" i="51"/>
  <c r="BK44" i="51" s="1"/>
  <c r="BE264" i="73"/>
  <c r="BE263" i="73" s="1"/>
  <c r="BE265" i="73" s="1"/>
  <c r="BN382" i="73"/>
  <c r="AH202" i="73"/>
  <c r="BG260" i="73"/>
  <c r="BN363" i="73"/>
  <c r="BH236" i="73"/>
  <c r="BN267" i="73"/>
  <c r="BN273" i="73" s="1"/>
  <c r="BN402" i="73" s="1"/>
  <c r="AW261" i="73"/>
  <c r="AU276" i="73"/>
  <c r="BB137" i="73"/>
  <c r="BB429" i="73"/>
  <c r="BB438" i="73" s="1"/>
  <c r="BX64" i="4"/>
  <c r="CD58" i="4"/>
  <c r="CA332" i="73"/>
  <c r="BH141" i="2"/>
  <c r="G72" i="2"/>
  <c r="G56" i="2"/>
  <c r="G57" i="2" s="1"/>
  <c r="CE7" i="4"/>
  <c r="CR40" i="4"/>
  <c r="BI235" i="73"/>
  <c r="BI236" i="73" s="1"/>
  <c r="AI199" i="73"/>
  <c r="BH257" i="73"/>
  <c r="BI257" i="73" s="1"/>
  <c r="AU382" i="73"/>
  <c r="BM258" i="73"/>
  <c r="BM359" i="73"/>
  <c r="AK179" i="73"/>
  <c r="AJ179" i="73"/>
  <c r="AJ205" i="73" s="1"/>
  <c r="AU267" i="73"/>
  <c r="AU271" i="73" s="1"/>
  <c r="BO91" i="73"/>
  <c r="AJ177" i="73"/>
  <c r="AW448" i="73"/>
  <c r="AI179" i="73"/>
  <c r="K74" i="52"/>
  <c r="E28" i="52" s="1"/>
  <c r="K60" i="52"/>
  <c r="BZ58" i="4"/>
  <c r="BT64" i="4"/>
  <c r="L12" i="3"/>
  <c r="L29" i="3" s="1"/>
  <c r="L61" i="3" s="1"/>
  <c r="S132" i="2"/>
  <c r="CG39" i="54"/>
  <c r="CA43" i="54"/>
  <c r="CM41" i="54"/>
  <c r="CC41" i="54"/>
  <c r="CC43" i="54" s="1"/>
  <c r="AV265" i="73"/>
  <c r="BT18" i="1"/>
  <c r="BT20" i="1" s="1"/>
  <c r="BU50" i="3"/>
  <c r="BQ65" i="3"/>
  <c r="AM64" i="3"/>
  <c r="I56" i="3"/>
  <c r="J55" i="3" s="1"/>
  <c r="J56" i="3" s="1"/>
  <c r="G73" i="2"/>
  <c r="G17" i="2"/>
  <c r="G74" i="2" s="1"/>
  <c r="CA12" i="3"/>
  <c r="AA85" i="2"/>
  <c r="BY29" i="3"/>
  <c r="BY84" i="2" s="1"/>
  <c r="BF84" i="2"/>
  <c r="P85" i="2"/>
  <c r="P62" i="3"/>
  <c r="P65" i="3" s="1"/>
  <c r="BI28" i="3"/>
  <c r="BW55" i="4"/>
  <c r="CK86" i="73"/>
  <c r="CP49" i="51"/>
  <c r="CS244" i="73"/>
  <c r="AH380" i="73"/>
  <c r="AH207" i="73"/>
  <c r="AH210" i="73" s="1"/>
  <c r="BC134" i="73"/>
  <c r="BC135" i="73" s="1"/>
  <c r="AU137" i="73"/>
  <c r="AU429" i="73"/>
  <c r="AU438" i="73" s="1"/>
  <c r="BL20" i="51"/>
  <c r="AI206" i="73"/>
  <c r="AI217" i="73" s="1"/>
  <c r="BM370" i="73"/>
  <c r="AD11" i="4"/>
  <c r="AD39" i="4" s="1"/>
  <c r="AN12" i="51"/>
  <c r="Q141" i="2"/>
  <c r="BI10" i="73"/>
  <c r="BI11" i="73" s="1"/>
  <c r="BN276" i="73"/>
  <c r="BN277" i="73" s="1"/>
  <c r="BI339" i="73"/>
  <c r="BO106" i="2"/>
  <c r="BO107" i="2" s="1"/>
  <c r="BN132" i="2"/>
  <c r="BO132" i="2" s="1"/>
  <c r="BO131" i="2"/>
  <c r="AG94" i="3"/>
  <c r="BF53" i="3"/>
  <c r="BR62" i="3"/>
  <c r="BR65" i="3" s="1"/>
  <c r="I62" i="3"/>
  <c r="I65" i="3" s="1"/>
  <c r="U62" i="3"/>
  <c r="U65" i="3" s="1"/>
  <c r="I64" i="3"/>
  <c r="AE40" i="3"/>
  <c r="AW18" i="1"/>
  <c r="BN81" i="54"/>
  <c r="CD101" i="1"/>
  <c r="BH84" i="3"/>
  <c r="BH34" i="1" s="1"/>
  <c r="BI85" i="3"/>
  <c r="AQ40" i="3"/>
  <c r="AQ81" i="54"/>
  <c r="AE50" i="3"/>
  <c r="BT40" i="3"/>
  <c r="BX84" i="2"/>
  <c r="BX61" i="3"/>
  <c r="BX62" i="3" s="1"/>
  <c r="AA62" i="3"/>
  <c r="AA86" i="2" s="1"/>
  <c r="AW113" i="2"/>
  <c r="AV120" i="2"/>
  <c r="S20" i="3"/>
  <c r="R29" i="3"/>
  <c r="R53" i="3" s="1"/>
  <c r="R83" i="2" s="1"/>
  <c r="AP106" i="2"/>
  <c r="AP107" i="2" s="1"/>
  <c r="BM107" i="2"/>
  <c r="AE106" i="2"/>
  <c r="AE107" i="2" s="1"/>
  <c r="BT81" i="54"/>
  <c r="BT106" i="2"/>
  <c r="BU106" i="2" s="1"/>
  <c r="BU107" i="2" s="1"/>
  <c r="BZ20" i="3"/>
  <c r="BU40" i="3"/>
  <c r="C15" i="52"/>
  <c r="C16" i="52" s="1"/>
  <c r="BU81" i="54"/>
  <c r="CA44" i="3"/>
  <c r="I78" i="54"/>
  <c r="M78" i="54" s="1"/>
  <c r="BR85" i="2"/>
  <c r="AM85" i="2"/>
  <c r="L64" i="1"/>
  <c r="AD50" i="3"/>
  <c r="AD53" i="3" s="1"/>
  <c r="CA106" i="2"/>
  <c r="CA107" i="2" s="1"/>
  <c r="BZ107" i="2"/>
  <c r="CK76" i="1"/>
  <c r="CK19" i="1"/>
  <c r="CG19" i="1"/>
  <c r="CG76" i="1"/>
  <c r="S18" i="1"/>
  <c r="S20" i="1" s="1"/>
  <c r="BC18" i="1"/>
  <c r="BC20" i="1" s="1"/>
  <c r="R64" i="1"/>
  <c r="AK18" i="1"/>
  <c r="AK20" i="1" s="1"/>
  <c r="BZ19" i="1"/>
  <c r="CA19" i="1" s="1"/>
  <c r="BZ113" i="2"/>
  <c r="BZ126" i="2"/>
  <c r="BZ127" i="2"/>
  <c r="BL46" i="1"/>
  <c r="BL64" i="1"/>
  <c r="BR64" i="1"/>
  <c r="CA125" i="2"/>
  <c r="U65" i="2"/>
  <c r="U168" i="2"/>
  <c r="AQ18" i="1"/>
  <c r="AQ20" i="1" s="1"/>
  <c r="S131" i="2"/>
  <c r="K64" i="1"/>
  <c r="M18" i="1"/>
  <c r="AP46" i="1"/>
  <c r="AP64" i="1"/>
  <c r="X64" i="1"/>
  <c r="AD64" i="1"/>
  <c r="AJ46" i="1"/>
  <c r="AJ64" i="1"/>
  <c r="AA64" i="1"/>
  <c r="Y18" i="1"/>
  <c r="Y20" i="1" s="1"/>
  <c r="BW46" i="1"/>
  <c r="BW64" i="1"/>
  <c r="AG64" i="1"/>
  <c r="AS64" i="1"/>
  <c r="AS46" i="1"/>
  <c r="CQ19" i="51"/>
  <c r="CQ49" i="51" s="1"/>
  <c r="CR13" i="51"/>
  <c r="BZ238" i="73"/>
  <c r="BE35" i="73"/>
  <c r="BM35" i="73"/>
  <c r="AK331" i="73"/>
  <c r="AQ332" i="73" s="1"/>
  <c r="BR37" i="73"/>
  <c r="AH372" i="73"/>
  <c r="CA40" i="4"/>
  <c r="CA41" i="4" s="1"/>
  <c r="AM71" i="51"/>
  <c r="BR367" i="73"/>
  <c r="AH27" i="73"/>
  <c r="AH131" i="73"/>
  <c r="AC145" i="2"/>
  <c r="AC146" i="2" s="1"/>
  <c r="AC147" i="2" s="1"/>
  <c r="AC141" i="2" s="1"/>
  <c r="BL45" i="73"/>
  <c r="BE41" i="73"/>
  <c r="BE42" i="73" s="1"/>
  <c r="BE369" i="73" s="1"/>
  <c r="BF46" i="73"/>
  <c r="BE44" i="73"/>
  <c r="AJ366" i="73"/>
  <c r="BO332" i="73"/>
  <c r="BF38" i="73"/>
  <c r="AZ67" i="51"/>
  <c r="BE38" i="73"/>
  <c r="BH118" i="73"/>
  <c r="AJ47" i="73"/>
  <c r="AJ396" i="73" s="1"/>
  <c r="BF44" i="73"/>
  <c r="BI332" i="73"/>
  <c r="S80" i="2"/>
  <c r="AJ44" i="73"/>
  <c r="AH96" i="73"/>
  <c r="AH373" i="73"/>
  <c r="AH260" i="73"/>
  <c r="AH161" i="73"/>
  <c r="AJ41" i="73"/>
  <c r="AJ42" i="73" s="1"/>
  <c r="BH161" i="73"/>
  <c r="AH371" i="73"/>
  <c r="AH374" i="73"/>
  <c r="AH447" i="73"/>
  <c r="BB60" i="51"/>
  <c r="AV49" i="4"/>
  <c r="AV50" i="4" s="1"/>
  <c r="AV15" i="51" s="1"/>
  <c r="BB45" i="51" s="1"/>
  <c r="AH375" i="73"/>
  <c r="AH37" i="73"/>
  <c r="BF69" i="51"/>
  <c r="BH373" i="73"/>
  <c r="AH446" i="73"/>
  <c r="AH46" i="73"/>
  <c r="BN367" i="73"/>
  <c r="AH370" i="73"/>
  <c r="AN367" i="73"/>
  <c r="AO12" i="51"/>
  <c r="AH299" i="73"/>
  <c r="BH447" i="73"/>
  <c r="AP44" i="73"/>
  <c r="AS67" i="51"/>
  <c r="AE51" i="4"/>
  <c r="AK52" i="4" s="1"/>
  <c r="W145" i="2"/>
  <c r="W146" i="2" s="1"/>
  <c r="W147" i="2" s="1"/>
  <c r="W141" i="2" s="1"/>
  <c r="AT67" i="51"/>
  <c r="AW17" i="4"/>
  <c r="BC60" i="51" s="1"/>
  <c r="BK69" i="51"/>
  <c r="BO12" i="4"/>
  <c r="BY141" i="2"/>
  <c r="BE69" i="51"/>
  <c r="AQ24" i="4"/>
  <c r="AS81" i="51"/>
  <c r="AY408" i="73"/>
  <c r="CR181" i="73"/>
  <c r="CX184" i="73"/>
  <c r="CX181" i="73" s="1"/>
  <c r="BK37" i="73"/>
  <c r="BN265" i="73"/>
  <c r="BN266" i="73" s="1"/>
  <c r="BA264" i="73"/>
  <c r="BA263" i="73" s="1"/>
  <c r="BA265" i="73" s="1"/>
  <c r="BA266" i="73" s="1"/>
  <c r="AH223" i="73"/>
  <c r="AH400" i="73" s="1"/>
  <c r="BC448" i="73"/>
  <c r="BA267" i="73"/>
  <c r="BO97" i="73"/>
  <c r="BO98" i="73" s="1"/>
  <c r="BB257" i="73"/>
  <c r="BC257" i="73" s="1"/>
  <c r="BB255" i="73"/>
  <c r="AT265" i="73"/>
  <c r="AT382" i="73"/>
  <c r="AT267" i="73"/>
  <c r="AT269" i="73"/>
  <c r="AT276" i="73" s="1"/>
  <c r="CA39" i="54"/>
  <c r="CK29" i="54"/>
  <c r="CK31" i="54" s="1"/>
  <c r="CL29" i="54"/>
  <c r="CL31" i="54" s="1"/>
  <c r="CS29" i="54"/>
  <c r="CJ29" i="54"/>
  <c r="CJ31" i="54" s="1"/>
  <c r="CI29" i="54"/>
  <c r="CI31" i="54" s="1"/>
  <c r="CA35" i="54"/>
  <c r="CS33" i="54"/>
  <c r="CJ33" i="54"/>
  <c r="CL33" i="54"/>
  <c r="CI33" i="54"/>
  <c r="CK33" i="54"/>
  <c r="CA31" i="54"/>
  <c r="CA100" i="1" s="1"/>
  <c r="CJ37" i="54"/>
  <c r="CJ39" i="54" s="1"/>
  <c r="CL37" i="54"/>
  <c r="CL39" i="54" s="1"/>
  <c r="CI37" i="54"/>
  <c r="CI39" i="54" s="1"/>
  <c r="CS37" i="54"/>
  <c r="CK37" i="54"/>
  <c r="CK39" i="54" s="1"/>
  <c r="CG48" i="54"/>
  <c r="CI48" i="54"/>
  <c r="CJ48" i="54" s="1"/>
  <c r="CK48" i="54" s="1"/>
  <c r="CL48" i="54" s="1"/>
  <c r="CO48" i="54" s="1"/>
  <c r="CP48" i="54" s="1"/>
  <c r="CQ48" i="54" s="1"/>
  <c r="CR48" i="54" s="1"/>
  <c r="CQ45" i="54"/>
  <c r="CP45" i="54"/>
  <c r="CS50" i="54"/>
  <c r="CQ28" i="54"/>
  <c r="CR40" i="54"/>
  <c r="AS6" i="54"/>
  <c r="AN6" i="54"/>
  <c r="AO6" i="54" s="1"/>
  <c r="AP6" i="54" s="1"/>
  <c r="CS49" i="54"/>
  <c r="CL49" i="54"/>
  <c r="CK49" i="54"/>
  <c r="CJ49" i="54"/>
  <c r="BO12" i="54"/>
  <c r="BN15" i="54"/>
  <c r="BN8" i="54"/>
  <c r="BR51" i="2"/>
  <c r="CE82" i="54"/>
  <c r="BT59" i="54"/>
  <c r="BU59" i="54" s="1"/>
  <c r="BU57" i="54"/>
  <c r="BI74" i="54"/>
  <c r="BI82" i="54" s="1"/>
  <c r="BE82" i="54"/>
  <c r="CD82" i="54"/>
  <c r="AG127" i="2"/>
  <c r="AK127" i="2" s="1"/>
  <c r="AG126" i="2"/>
  <c r="BH113" i="2"/>
  <c r="BH18" i="1" s="1"/>
  <c r="BH20" i="1" s="1"/>
  <c r="BI125" i="2"/>
  <c r="BH126" i="2"/>
  <c r="BY132" i="2"/>
  <c r="CA132" i="2" s="1"/>
  <c r="BY84" i="3"/>
  <c r="CA85" i="3"/>
  <c r="AK113" i="2"/>
  <c r="AO132" i="2"/>
  <c r="AQ132" i="2" s="1"/>
  <c r="AQ131" i="2"/>
  <c r="AJ50" i="3"/>
  <c r="AK45" i="3"/>
  <c r="AK50" i="3" s="1"/>
  <c r="CA11" i="2"/>
  <c r="CA199" i="2" s="1"/>
  <c r="CA24" i="2"/>
  <c r="BZ152" i="2"/>
  <c r="CA48" i="2"/>
  <c r="CC99" i="2" s="1"/>
  <c r="Y44" i="3"/>
  <c r="AJ121" i="2"/>
  <c r="AJ120" i="2"/>
  <c r="CA40" i="2"/>
  <c r="BZ158" i="2"/>
  <c r="BZ159" i="2" s="1"/>
  <c r="BZ12" i="3"/>
  <c r="BZ153" i="2"/>
  <c r="CA21" i="2"/>
  <c r="BM267" i="73"/>
  <c r="BM382" i="73"/>
  <c r="BM269" i="73"/>
  <c r="BM276" i="73" s="1"/>
  <c r="BM277" i="73" s="1"/>
  <c r="BM363" i="73"/>
  <c r="BA399" i="73"/>
  <c r="BA408" i="73" s="1"/>
  <c r="BA136" i="73"/>
  <c r="AV271" i="73"/>
  <c r="BK182" i="73"/>
  <c r="BH182" i="73"/>
  <c r="AU265" i="73"/>
  <c r="AW263" i="73"/>
  <c r="AW265" i="73" s="1"/>
  <c r="BG379" i="73"/>
  <c r="BG116" i="73"/>
  <c r="BG132" i="73"/>
  <c r="BG134" i="73"/>
  <c r="BG448" i="73" s="1"/>
  <c r="BG337" i="73"/>
  <c r="AW133" i="73"/>
  <c r="AW399" i="73"/>
  <c r="AW408" i="73" s="1"/>
  <c r="AM429" i="73"/>
  <c r="AM438" i="73" s="1"/>
  <c r="AM137" i="73"/>
  <c r="AT137" i="73"/>
  <c r="AT429" i="73"/>
  <c r="AT438" i="73" s="1"/>
  <c r="BL359" i="73"/>
  <c r="BG410" i="73"/>
  <c r="BC132" i="73"/>
  <c r="BC399" i="73" s="1"/>
  <c r="BO256" i="73"/>
  <c r="BO363" i="73" s="1"/>
  <c r="BH446" i="73"/>
  <c r="AY136" i="73"/>
  <c r="AY137" i="73" s="1"/>
  <c r="BM374" i="73"/>
  <c r="AU180" i="73"/>
  <c r="AU183" i="73" s="1"/>
  <c r="AT183" i="73"/>
  <c r="BI181" i="73"/>
  <c r="BI192" i="73" s="1"/>
  <c r="AO429" i="73"/>
  <c r="AO438" i="73" s="1"/>
  <c r="AO137" i="73"/>
  <c r="BM134" i="73"/>
  <c r="BM448" i="73" s="1"/>
  <c r="BM379" i="73"/>
  <c r="BM132" i="73"/>
  <c r="BM116" i="73"/>
  <c r="BM337" i="73"/>
  <c r="BK92" i="73"/>
  <c r="AQ38" i="4"/>
  <c r="AQ10" i="51"/>
  <c r="AQ11" i="51"/>
  <c r="AS8" i="51"/>
  <c r="AS38" i="51" s="1"/>
  <c r="AP11" i="51"/>
  <c r="AP10" i="51"/>
  <c r="AP60" i="51"/>
  <c r="AV81" i="51"/>
  <c r="AE80" i="2"/>
  <c r="BO14" i="4"/>
  <c r="M92" i="2"/>
  <c r="BO24" i="51"/>
  <c r="BO30" i="51" s="1"/>
  <c r="AI167" i="2"/>
  <c r="AI60" i="2"/>
  <c r="AI79" i="54"/>
  <c r="AM9" i="51"/>
  <c r="AM12" i="51" s="1"/>
  <c r="AD84" i="2"/>
  <c r="BM53" i="3"/>
  <c r="BM84" i="2"/>
  <c r="BM61" i="3"/>
  <c r="BM62" i="3" s="1"/>
  <c r="U85" i="2"/>
  <c r="BW64" i="3"/>
  <c r="AY62" i="3"/>
  <c r="AY85" i="2"/>
  <c r="BW85" i="2"/>
  <c r="BW83" i="2"/>
  <c r="V64" i="3"/>
  <c r="BI13" i="3"/>
  <c r="BI12" i="3" s="1"/>
  <c r="AD61" i="3"/>
  <c r="J61" i="3"/>
  <c r="J85" i="2" s="1"/>
  <c r="AG64" i="3"/>
  <c r="AG85" i="2"/>
  <c r="BK83" i="2"/>
  <c r="V62" i="3"/>
  <c r="V86" i="2" s="1"/>
  <c r="BL53" i="3"/>
  <c r="BO10" i="4"/>
  <c r="BI355" i="73"/>
  <c r="AZ446" i="73"/>
  <c r="BR30" i="51"/>
  <c r="DN36" i="51"/>
  <c r="DN49" i="51" s="1"/>
  <c r="BN30" i="51"/>
  <c r="BE30" i="51"/>
  <c r="BE56" i="51"/>
  <c r="BA161" i="73"/>
  <c r="BA260" i="73"/>
  <c r="BH30" i="51"/>
  <c r="BN56" i="51"/>
  <c r="BH56" i="51"/>
  <c r="AP41" i="73"/>
  <c r="AP42" i="73" s="1"/>
  <c r="AP357" i="73" s="1"/>
  <c r="BF29" i="51"/>
  <c r="BF55" i="51"/>
  <c r="BG30" i="51"/>
  <c r="BM56" i="51"/>
  <c r="BG56" i="51"/>
  <c r="AP47" i="73"/>
  <c r="AP396" i="73" s="1"/>
  <c r="BO296" i="73"/>
  <c r="BH14" i="51"/>
  <c r="BH44" i="51" s="1"/>
  <c r="BF30" i="51"/>
  <c r="BF56" i="51"/>
  <c r="BQ30" i="51"/>
  <c r="DM36" i="51"/>
  <c r="DM49" i="51" s="1"/>
  <c r="BC362" i="73"/>
  <c r="BO16" i="4"/>
  <c r="AT58" i="4"/>
  <c r="AW55" i="4"/>
  <c r="AW56" i="4" s="1"/>
  <c r="AW19" i="51" s="1"/>
  <c r="AW49" i="51" s="1"/>
  <c r="BM30" i="51"/>
  <c r="BE29" i="51"/>
  <c r="BE55" i="51"/>
  <c r="BM47" i="51"/>
  <c r="BG47" i="51"/>
  <c r="BE44" i="51"/>
  <c r="BE50" i="51"/>
  <c r="BF47" i="51"/>
  <c r="BF46" i="51"/>
  <c r="BM44" i="51"/>
  <c r="BG44" i="51"/>
  <c r="BS20" i="51"/>
  <c r="BS50" i="51" s="1"/>
  <c r="BF44" i="51"/>
  <c r="BE48" i="51"/>
  <c r="BM50" i="51"/>
  <c r="BG50" i="51"/>
  <c r="DK17" i="51"/>
  <c r="DK19" i="51"/>
  <c r="BF18" i="51"/>
  <c r="DI17" i="51"/>
  <c r="DL17" i="51"/>
  <c r="BK35" i="73"/>
  <c r="BQ63" i="4"/>
  <c r="AZ276" i="73"/>
  <c r="AZ277" i="73" s="1"/>
  <c r="BQ35" i="73"/>
  <c r="AW39" i="4"/>
  <c r="BC62" i="51" s="1"/>
  <c r="BK38" i="73"/>
  <c r="BA37" i="73"/>
  <c r="DK18" i="51"/>
  <c r="AZ161" i="73"/>
  <c r="AZ370" i="73"/>
  <c r="BF367" i="73"/>
  <c r="AZ96" i="73"/>
  <c r="AZ260" i="73"/>
  <c r="AZ131" i="73"/>
  <c r="AZ118" i="73"/>
  <c r="AZ373" i="73"/>
  <c r="BU332" i="73"/>
  <c r="BA373" i="73"/>
  <c r="BA35" i="73"/>
  <c r="AQ52" i="4"/>
  <c r="AQ53" i="4" s="1"/>
  <c r="AW100" i="51"/>
  <c r="BA374" i="73"/>
  <c r="AE29" i="4"/>
  <c r="BA131" i="73"/>
  <c r="BA447" i="73"/>
  <c r="BA367" i="73"/>
  <c r="BA46" i="73"/>
  <c r="BA446" i="73"/>
  <c r="BC355" i="73"/>
  <c r="AE16" i="4"/>
  <c r="AU67" i="51"/>
  <c r="AK24" i="4"/>
  <c r="AK29" i="4"/>
  <c r="AU43" i="73"/>
  <c r="BA44" i="73" s="1"/>
  <c r="BA41" i="73"/>
  <c r="BA38" i="73"/>
  <c r="BG367" i="73"/>
  <c r="AZ374" i="73"/>
  <c r="AN70" i="51"/>
  <c r="AI405" i="73"/>
  <c r="BF265" i="73"/>
  <c r="AV33" i="4"/>
  <c r="AJ144" i="2"/>
  <c r="AJ145" i="2" s="1"/>
  <c r="AJ146" i="2" s="1"/>
  <c r="AJ147" i="2" s="1"/>
  <c r="AJ141" i="2" s="1"/>
  <c r="AI144" i="2"/>
  <c r="AI145" i="2" s="1"/>
  <c r="AI146" i="2" s="1"/>
  <c r="AI147" i="2" s="1"/>
  <c r="AI141" i="2" s="1"/>
  <c r="AW98" i="51"/>
  <c r="AD143" i="2"/>
  <c r="AD145" i="2" s="1"/>
  <c r="AD146" i="2" s="1"/>
  <c r="AD147" i="2" s="1"/>
  <c r="AD141" i="2" s="1"/>
  <c r="AD66" i="2"/>
  <c r="AD169" i="2"/>
  <c r="AD181" i="2" s="1"/>
  <c r="Q176" i="2"/>
  <c r="Q182" i="2" s="1"/>
  <c r="Q183" i="2" s="1"/>
  <c r="Q184" i="2" s="1"/>
  <c r="AV57" i="4"/>
  <c r="BB62" i="51"/>
  <c r="AV40" i="4"/>
  <c r="AV41" i="4" s="1"/>
  <c r="AP46" i="4"/>
  <c r="AP47" i="4" s="1"/>
  <c r="AP63" i="51"/>
  <c r="AJ57" i="4"/>
  <c r="AW43" i="4"/>
  <c r="AW44" i="4" s="1"/>
  <c r="AK169" i="73"/>
  <c r="AZ145" i="2"/>
  <c r="AZ146" i="2" s="1"/>
  <c r="AZ147" i="2" s="1"/>
  <c r="AZ141" i="2" s="1"/>
  <c r="BC49" i="4"/>
  <c r="BC50" i="4" s="1"/>
  <c r="BC15" i="51" s="1"/>
  <c r="AN174" i="2"/>
  <c r="AN97" i="2"/>
  <c r="AN100" i="2" s="1"/>
  <c r="V60" i="2"/>
  <c r="V167" i="2"/>
  <c r="AO144" i="2"/>
  <c r="AO145" i="2" s="1"/>
  <c r="AO146" i="2" s="1"/>
  <c r="AO147" i="2" s="1"/>
  <c r="AO141" i="2" s="1"/>
  <c r="AP144" i="2"/>
  <c r="AP145" i="2" s="1"/>
  <c r="AP146" i="2" s="1"/>
  <c r="AP147" i="2" s="1"/>
  <c r="AP141" i="2" s="1"/>
  <c r="W176" i="2"/>
  <c r="W182" i="2" s="1"/>
  <c r="W183" i="2" s="1"/>
  <c r="W184" i="2" s="1"/>
  <c r="AK17" i="4"/>
  <c r="AE14" i="4"/>
  <c r="AQ169" i="2"/>
  <c r="AQ181" i="2" s="1"/>
  <c r="AQ66" i="2"/>
  <c r="AQ143" i="2"/>
  <c r="AQ145" i="2" s="1"/>
  <c r="AQ146" i="2" s="1"/>
  <c r="AQ147" i="2" s="1"/>
  <c r="AV36" i="4"/>
  <c r="AC176" i="2"/>
  <c r="AC182" i="2" s="1"/>
  <c r="AC183" i="2" s="1"/>
  <c r="AC184" i="2" s="1"/>
  <c r="AY145" i="2"/>
  <c r="AY146" i="2" s="1"/>
  <c r="AY147" i="2" s="1"/>
  <c r="AY176" i="2"/>
  <c r="AY182" i="2" s="1"/>
  <c r="AY183" i="2" s="1"/>
  <c r="AY184" i="2" s="1"/>
  <c r="AK456" i="73"/>
  <c r="BB143" i="2"/>
  <c r="BF176" i="2"/>
  <c r="BF182" i="2" s="1"/>
  <c r="BF183" i="2" s="1"/>
  <c r="BF184" i="2" s="1"/>
  <c r="AK354" i="73"/>
  <c r="AP355" i="73"/>
  <c r="BF168" i="2"/>
  <c r="BF65" i="2"/>
  <c r="BB64" i="51"/>
  <c r="AV52" i="4"/>
  <c r="AV53" i="4" s="1"/>
  <c r="AG60" i="2"/>
  <c r="AG167" i="2"/>
  <c r="AG79" i="54"/>
  <c r="BU40" i="4"/>
  <c r="BU41" i="4" s="1"/>
  <c r="AW51" i="4"/>
  <c r="AW52" i="4" s="1"/>
  <c r="AW53" i="4" s="1"/>
  <c r="AV60" i="51"/>
  <c r="BB81" i="51"/>
  <c r="AW80" i="2"/>
  <c r="AP40" i="4"/>
  <c r="AP41" i="4" s="1"/>
  <c r="AV62" i="51"/>
  <c r="AP57" i="4"/>
  <c r="C176" i="2"/>
  <c r="C182" i="2" s="1"/>
  <c r="C183" i="2" s="1"/>
  <c r="C184" i="2" s="1"/>
  <c r="C185" i="2" s="1"/>
  <c r="AV66" i="2"/>
  <c r="AV143" i="2"/>
  <c r="AV169" i="2"/>
  <c r="AV181" i="2" s="1"/>
  <c r="P60" i="2"/>
  <c r="P167" i="2"/>
  <c r="AK167" i="73"/>
  <c r="BQ144" i="2"/>
  <c r="BQ145" i="2" s="1"/>
  <c r="BQ146" i="2" s="1"/>
  <c r="BQ147" i="2" s="1"/>
  <c r="AK454" i="73"/>
  <c r="AS56" i="4"/>
  <c r="AS19" i="51" s="1"/>
  <c r="AQ17" i="4"/>
  <c r="AQ32" i="4"/>
  <c r="BI79" i="51"/>
  <c r="BC79" i="51"/>
  <c r="AW92" i="2"/>
  <c r="AW173" i="2"/>
  <c r="AO79" i="54"/>
  <c r="AO60" i="2"/>
  <c r="AO167" i="2"/>
  <c r="L66" i="2"/>
  <c r="L143" i="2"/>
  <c r="L145" i="2" s="1"/>
  <c r="L146" i="2" s="1"/>
  <c r="L147" i="2" s="1"/>
  <c r="L141" i="2" s="1"/>
  <c r="L169" i="2"/>
  <c r="L181" i="2" s="1"/>
  <c r="D176" i="2"/>
  <c r="D182" i="2" s="1"/>
  <c r="D183" i="2" s="1"/>
  <c r="D184" i="2" s="1"/>
  <c r="D185" i="2" s="1"/>
  <c r="AK21" i="4"/>
  <c r="AK45" i="4"/>
  <c r="AT45" i="51"/>
  <c r="AM47" i="73"/>
  <c r="AM41" i="73"/>
  <c r="AM42" i="73" s="1"/>
  <c r="AM343" i="73" s="1"/>
  <c r="AM46" i="73"/>
  <c r="AV129" i="73"/>
  <c r="BI366" i="73"/>
  <c r="BH60" i="51"/>
  <c r="BN67" i="51" s="1"/>
  <c r="BN81" i="51"/>
  <c r="AN58" i="4"/>
  <c r="AB17" i="4"/>
  <c r="AE9" i="4"/>
  <c r="AE10" i="4" s="1"/>
  <c r="AS45" i="51"/>
  <c r="AY45" i="51"/>
  <c r="AP131" i="73"/>
  <c r="BG41" i="73"/>
  <c r="BG44" i="73"/>
  <c r="BG38" i="73"/>
  <c r="AT62" i="51"/>
  <c r="AT69" i="51" s="1"/>
  <c r="AT13" i="51"/>
  <c r="BG35" i="73"/>
  <c r="AP129" i="73"/>
  <c r="AY43" i="51"/>
  <c r="AS43" i="51"/>
  <c r="BO36" i="4"/>
  <c r="AB32" i="4"/>
  <c r="AB57" i="4" s="1"/>
  <c r="BU33" i="4"/>
  <c r="BU34" i="4" s="1"/>
  <c r="BU9" i="4"/>
  <c r="BF19" i="51"/>
  <c r="DF32" i="51"/>
  <c r="DJ45" i="51" s="1"/>
  <c r="AZ15" i="51"/>
  <c r="BF45" i="51" s="1"/>
  <c r="AZ63" i="51"/>
  <c r="BT13" i="73"/>
  <c r="BU12" i="73"/>
  <c r="BU13" i="73" s="1"/>
  <c r="BZ15" i="51"/>
  <c r="DT31" i="51"/>
  <c r="BF64" i="51"/>
  <c r="DU9" i="51"/>
  <c r="DY17" i="51" s="1"/>
  <c r="BZ141" i="2"/>
  <c r="AP109" i="73"/>
  <c r="AV110" i="73" s="1"/>
  <c r="BA45" i="51"/>
  <c r="AU45" i="51"/>
  <c r="BI10" i="4"/>
  <c r="BO60" i="51"/>
  <c r="BG37" i="73"/>
  <c r="AS58" i="4"/>
  <c r="AM58" i="4"/>
  <c r="AH42" i="73"/>
  <c r="AH369" i="73" s="1"/>
  <c r="BM63" i="4"/>
  <c r="AG164" i="73"/>
  <c r="AG451" i="73" s="1"/>
  <c r="AZ49" i="51"/>
  <c r="AT49" i="51"/>
  <c r="AM164" i="73"/>
  <c r="AM451" i="73" s="1"/>
  <c r="AM450" i="73" s="1"/>
  <c r="AM449" i="73" s="1"/>
  <c r="AM445" i="73" s="1"/>
  <c r="CA52" i="4"/>
  <c r="CA53" i="4" s="1"/>
  <c r="BC20" i="3"/>
  <c r="BC29" i="3" s="1"/>
  <c r="BR83" i="2"/>
  <c r="BB53" i="3"/>
  <c r="X29" i="3"/>
  <c r="M20" i="3"/>
  <c r="M29" i="3" s="1"/>
  <c r="BC45" i="3"/>
  <c r="Y113" i="2"/>
  <c r="X121" i="2"/>
  <c r="X120" i="2"/>
  <c r="BC21" i="3"/>
  <c r="AW20" i="3"/>
  <c r="BU25" i="3"/>
  <c r="BA107" i="2"/>
  <c r="BB106" i="2"/>
  <c r="BB107" i="2" s="1"/>
  <c r="BB81" i="54"/>
  <c r="BC32" i="3"/>
  <c r="AD132" i="2"/>
  <c r="AE132" i="2" s="1"/>
  <c r="AE131" i="2"/>
  <c r="AJ107" i="2"/>
  <c r="AK106" i="2"/>
  <c r="AK107" i="2" s="1"/>
  <c r="AQ48" i="3"/>
  <c r="BU85" i="3"/>
  <c r="BU84" i="3"/>
  <c r="CV25" i="54"/>
  <c r="CU25" i="54"/>
  <c r="CW25" i="54"/>
  <c r="CX25" i="54"/>
  <c r="AA82" i="54"/>
  <c r="AE74" i="54"/>
  <c r="AE82" i="54" s="1"/>
  <c r="CF144" i="2"/>
  <c r="CX56" i="4"/>
  <c r="CX52" i="4"/>
  <c r="BB118" i="73"/>
  <c r="BB131" i="73"/>
  <c r="BY36" i="4"/>
  <c r="BY49" i="4"/>
  <c r="BY43" i="4"/>
  <c r="BY55" i="4"/>
  <c r="AK163" i="73"/>
  <c r="AQ10" i="73"/>
  <c r="AQ11" i="73" s="1"/>
  <c r="BE46" i="73"/>
  <c r="BB446" i="73"/>
  <c r="BB367" i="73"/>
  <c r="AP115" i="73"/>
  <c r="AP118" i="73" s="1"/>
  <c r="AO37" i="73"/>
  <c r="BB373" i="73"/>
  <c r="BB447" i="73"/>
  <c r="BH367" i="73"/>
  <c r="BS63" i="51"/>
  <c r="BS70" i="51" s="1"/>
  <c r="BS15" i="51"/>
  <c r="DO11" i="51"/>
  <c r="DO19" i="51" s="1"/>
  <c r="BS62" i="51"/>
  <c r="BS13" i="51"/>
  <c r="BS61" i="4"/>
  <c r="K61" i="3"/>
  <c r="K85" i="2" s="1"/>
  <c r="K53" i="3"/>
  <c r="K83" i="2" s="1"/>
  <c r="K84" i="2"/>
  <c r="BS84" i="2"/>
  <c r="BS53" i="3"/>
  <c r="BS61" i="3"/>
  <c r="AU168" i="2"/>
  <c r="AU65" i="2"/>
  <c r="AV29" i="3"/>
  <c r="Y20" i="3"/>
  <c r="K107" i="2"/>
  <c r="M106" i="2"/>
  <c r="M107" i="2" s="1"/>
  <c r="AT61" i="3"/>
  <c r="AT84" i="2"/>
  <c r="AT53" i="3"/>
  <c r="W29" i="3"/>
  <c r="AH61" i="3"/>
  <c r="AH53" i="3"/>
  <c r="AH84" i="2"/>
  <c r="BN29" i="3"/>
  <c r="BL84" i="2"/>
  <c r="AV107" i="2"/>
  <c r="AW106" i="2"/>
  <c r="AW107" i="2" s="1"/>
  <c r="BN50" i="3"/>
  <c r="Y33" i="3"/>
  <c r="Y40" i="3" s="1"/>
  <c r="AK175" i="2"/>
  <c r="AK177" i="2" s="1"/>
  <c r="X50" i="3"/>
  <c r="AV132" i="2"/>
  <c r="AW132" i="2" s="1"/>
  <c r="AW131" i="2"/>
  <c r="M28" i="3"/>
  <c r="BY90" i="3"/>
  <c r="BZ90" i="3" s="1"/>
  <c r="BB61" i="3"/>
  <c r="BB62" i="3" s="1"/>
  <c r="U83" i="2"/>
  <c r="BR109" i="2"/>
  <c r="BR110" i="2" s="1"/>
  <c r="BR114" i="2"/>
  <c r="AJ20" i="3"/>
  <c r="BB120" i="2"/>
  <c r="BC113" i="2"/>
  <c r="BB121" i="2"/>
  <c r="BI20" i="3"/>
  <c r="AC29" i="3"/>
  <c r="M81" i="54"/>
  <c r="AU29" i="3"/>
  <c r="M36" i="3"/>
  <c r="M40" i="3" s="1"/>
  <c r="BB84" i="2"/>
  <c r="V83" i="2"/>
  <c r="AN61" i="3"/>
  <c r="AN53" i="3"/>
  <c r="AN84" i="2"/>
  <c r="AE20" i="3"/>
  <c r="BK85" i="2"/>
  <c r="BK62" i="3"/>
  <c r="AQ113" i="2"/>
  <c r="BH29" i="3"/>
  <c r="Y175" i="2"/>
  <c r="Y177" i="2" s="1"/>
  <c r="BY107" i="2"/>
  <c r="K114" i="2"/>
  <c r="AE77" i="3"/>
  <c r="AE73" i="3"/>
  <c r="AK69" i="3" s="1"/>
  <c r="AE79" i="3"/>
  <c r="AE78" i="3"/>
  <c r="BA29" i="3"/>
  <c r="M131" i="2"/>
  <c r="K132" i="2"/>
  <c r="M132" i="2" s="1"/>
  <c r="BH50" i="3"/>
  <c r="AJ132" i="2"/>
  <c r="AK132" i="2" s="1"/>
  <c r="AK131" i="2"/>
  <c r="S106" i="2"/>
  <c r="S107" i="2" s="1"/>
  <c r="Q107" i="2"/>
  <c r="AK21" i="3"/>
  <c r="BM84" i="3"/>
  <c r="BO85" i="3"/>
  <c r="AB53" i="3"/>
  <c r="AB61" i="3"/>
  <c r="AB84" i="2"/>
  <c r="AA168" i="2"/>
  <c r="AA65" i="2"/>
  <c r="M113" i="2"/>
  <c r="M114" i="2" s="1"/>
  <c r="L120" i="2"/>
  <c r="L121" i="2"/>
  <c r="R121" i="2"/>
  <c r="R120" i="2"/>
  <c r="AE175" i="2"/>
  <c r="AE177" i="2" s="1"/>
  <c r="BC50" i="3"/>
  <c r="AO29" i="3"/>
  <c r="AQ20" i="3"/>
  <c r="BU20" i="3"/>
  <c r="BU29" i="3" s="1"/>
  <c r="BT29" i="3"/>
  <c r="K110" i="2"/>
  <c r="AZ84" i="2"/>
  <c r="AZ61" i="3"/>
  <c r="AZ53" i="3"/>
  <c r="CO48" i="3"/>
  <c r="CL85" i="3"/>
  <c r="BO43" i="3"/>
  <c r="S12" i="3"/>
  <c r="S113" i="2"/>
  <c r="CA75" i="3"/>
  <c r="CC74" i="3"/>
  <c r="AP29" i="3"/>
  <c r="BI50" i="3"/>
  <c r="S40" i="3"/>
  <c r="S81" i="54"/>
  <c r="AI29" i="3"/>
  <c r="AP121" i="2"/>
  <c r="AP120" i="2"/>
  <c r="BO20" i="3"/>
  <c r="DK33" i="51"/>
  <c r="DK46" i="51" s="1"/>
  <c r="DL46" i="51"/>
  <c r="CV184" i="73"/>
  <c r="CV181" i="73" s="1"/>
  <c r="CP181" i="73"/>
  <c r="BR179" i="73"/>
  <c r="BQ177" i="73"/>
  <c r="BR177" i="73"/>
  <c r="BQ179" i="73"/>
  <c r="CO188" i="73"/>
  <c r="CM188" i="73"/>
  <c r="BE448" i="73"/>
  <c r="BE446" i="73" s="1"/>
  <c r="BL182" i="73"/>
  <c r="AM217" i="73"/>
  <c r="AM372" i="73"/>
  <c r="AM380" i="73"/>
  <c r="AM361" i="73"/>
  <c r="BC401" i="73"/>
  <c r="AN206" i="73"/>
  <c r="AN372" i="73" s="1"/>
  <c r="AN199" i="73"/>
  <c r="AN184" i="73"/>
  <c r="BM71" i="51"/>
  <c r="AS447" i="73"/>
  <c r="AS164" i="73" s="1"/>
  <c r="AS451" i="73" s="1"/>
  <c r="AS450" i="73" s="1"/>
  <c r="AS449" i="73" s="1"/>
  <c r="CV244" i="73"/>
  <c r="CW244" i="73" s="1"/>
  <c r="CX244" i="73" s="1"/>
  <c r="BE399" i="73"/>
  <c r="BE408" i="73" s="1"/>
  <c r="BE136" i="73"/>
  <c r="BG267" i="73"/>
  <c r="AY265" i="73"/>
  <c r="AN429" i="73"/>
  <c r="AN438" i="73" s="1"/>
  <c r="AN137" i="73"/>
  <c r="BI410" i="73"/>
  <c r="AP176" i="73"/>
  <c r="AO179" i="73"/>
  <c r="AO205" i="73" s="1"/>
  <c r="AO177" i="73"/>
  <c r="AG42" i="73"/>
  <c r="AG369" i="73" s="1"/>
  <c r="CJ182" i="73"/>
  <c r="BM178" i="73"/>
  <c r="BM181" i="73"/>
  <c r="BM182" i="73" s="1"/>
  <c r="BG178" i="73"/>
  <c r="BB178" i="73"/>
  <c r="BB181" i="73"/>
  <c r="BC181" i="73" s="1"/>
  <c r="BC192" i="73" s="1"/>
  <c r="BF178" i="73"/>
  <c r="BE178" i="73"/>
  <c r="BL269" i="73"/>
  <c r="BL267" i="73"/>
  <c r="BL382" i="73"/>
  <c r="BH399" i="73"/>
  <c r="BH408" i="73" s="1"/>
  <c r="BH136" i="73"/>
  <c r="AS200" i="73"/>
  <c r="AM200" i="73"/>
  <c r="CI182" i="73"/>
  <c r="CM181" i="73"/>
  <c r="CM192" i="73" s="1"/>
  <c r="BY176" i="73"/>
  <c r="BX179" i="73"/>
  <c r="AG223" i="73"/>
  <c r="AS269" i="73"/>
  <c r="AS267" i="73"/>
  <c r="AS382" i="73"/>
  <c r="AW256" i="73"/>
  <c r="AW363" i="73" s="1"/>
  <c r="AS363" i="73"/>
  <c r="AN211" i="73"/>
  <c r="AN202" i="73"/>
  <c r="AN338" i="73"/>
  <c r="AZ402" i="73"/>
  <c r="AZ411" i="73" s="1"/>
  <c r="AS374" i="73"/>
  <c r="BO262" i="73"/>
  <c r="BN179" i="73"/>
  <c r="BN177" i="73"/>
  <c r="AV181" i="73"/>
  <c r="BA182" i="73" s="1"/>
  <c r="AW177" i="73"/>
  <c r="AY178" i="73"/>
  <c r="AV178" i="73"/>
  <c r="AZ178" i="73"/>
  <c r="BA178" i="73"/>
  <c r="BF116" i="73"/>
  <c r="BF132" i="73"/>
  <c r="BF379" i="73"/>
  <c r="BF134" i="73"/>
  <c r="BF448" i="73" s="1"/>
  <c r="BF118" i="73"/>
  <c r="BF337" i="73"/>
  <c r="AM202" i="73"/>
  <c r="AM203" i="73" s="1"/>
  <c r="AM338" i="73"/>
  <c r="AM207" i="73"/>
  <c r="AM211" i="73"/>
  <c r="CQ181" i="73"/>
  <c r="CW184" i="73"/>
  <c r="CW181" i="73" s="1"/>
  <c r="AY382" i="73"/>
  <c r="AY267" i="73"/>
  <c r="AY269" i="73"/>
  <c r="AY363" i="73"/>
  <c r="AS412" i="73"/>
  <c r="AW403" i="73"/>
  <c r="AW412" i="73" s="1"/>
  <c r="AW127" i="73"/>
  <c r="AW124" i="73"/>
  <c r="CR146" i="73"/>
  <c r="CQ145" i="73"/>
  <c r="AS137" i="73"/>
  <c r="AS429" i="73"/>
  <c r="AS438" i="73" s="1"/>
  <c r="BX243" i="73"/>
  <c r="BY241" i="73"/>
  <c r="CQ148" i="73"/>
  <c r="CR149" i="73"/>
  <c r="BG266" i="73"/>
  <c r="BK271" i="73"/>
  <c r="CU155" i="73"/>
  <c r="CR154" i="73"/>
  <c r="BX141" i="73"/>
  <c r="BX142" i="73" s="1"/>
  <c r="BY140" i="73"/>
  <c r="AP46" i="73"/>
  <c r="BU366" i="73"/>
  <c r="BK273" i="73"/>
  <c r="CO181" i="73"/>
  <c r="CU184" i="73"/>
  <c r="CU181" i="73" s="1"/>
  <c r="AT412" i="73"/>
  <c r="BL115" i="73"/>
  <c r="BL118" i="73" s="1"/>
  <c r="BO128" i="73"/>
  <c r="BO129" i="73" s="1"/>
  <c r="AW135" i="73"/>
  <c r="AW136" i="73"/>
  <c r="AQ192" i="73"/>
  <c r="AQ189" i="73" s="1"/>
  <c r="CR40" i="73"/>
  <c r="CQ39" i="73"/>
  <c r="CK182" i="73"/>
  <c r="CL182" i="73"/>
  <c r="AZ266" i="73"/>
  <c r="BM407" i="73"/>
  <c r="BO398" i="73"/>
  <c r="BW367" i="73"/>
  <c r="AO67" i="51"/>
  <c r="AU71" i="51"/>
  <c r="DO30" i="51"/>
  <c r="DO43" i="51" s="1"/>
  <c r="AZ37" i="73"/>
  <c r="BL44" i="4"/>
  <c r="BL13" i="51" s="1"/>
  <c r="BO43" i="4"/>
  <c r="BO44" i="4" s="1"/>
  <c r="BO13" i="51" s="1"/>
  <c r="CR56" i="4"/>
  <c r="CR52" i="4"/>
  <c r="BW37" i="73"/>
  <c r="AV37" i="73"/>
  <c r="AI81" i="51"/>
  <c r="AO81" i="51"/>
  <c r="BN260" i="73"/>
  <c r="BN96" i="73"/>
  <c r="BN374" i="73"/>
  <c r="BN118" i="73"/>
  <c r="BN131" i="73"/>
  <c r="BT367" i="73"/>
  <c r="AG64" i="4"/>
  <c r="AG58" i="4"/>
  <c r="AN13" i="73"/>
  <c r="AQ12" i="73"/>
  <c r="AQ13" i="73" s="1"/>
  <c r="AY41" i="73"/>
  <c r="AY334" i="73" s="1"/>
  <c r="AS43" i="73"/>
  <c r="AY44" i="73" s="1"/>
  <c r="AY38" i="73"/>
  <c r="AY46" i="73"/>
  <c r="DO31" i="51"/>
  <c r="DO44" i="51" s="1"/>
  <c r="BQ299" i="73"/>
  <c r="BQ294" i="73"/>
  <c r="BQ112" i="73"/>
  <c r="BN296" i="73"/>
  <c r="AO375" i="73"/>
  <c r="AO260" i="73"/>
  <c r="AO131" i="73"/>
  <c r="AO96" i="73"/>
  <c r="AO446" i="73"/>
  <c r="AO373" i="73"/>
  <c r="AO447" i="73"/>
  <c r="AO374" i="73"/>
  <c r="AO161" i="73"/>
  <c r="AO27" i="73"/>
  <c r="AO371" i="73"/>
  <c r="AO370" i="73"/>
  <c r="AO118" i="73"/>
  <c r="AO299" i="73"/>
  <c r="AY63" i="51"/>
  <c r="BE13" i="73"/>
  <c r="BI12" i="73"/>
  <c r="BI13" i="73" s="1"/>
  <c r="AQ339" i="73"/>
  <c r="AQ341" i="73"/>
  <c r="AQ340" i="73"/>
  <c r="AQ336" i="73"/>
  <c r="AN71" i="51"/>
  <c r="BO52" i="4"/>
  <c r="BO53" i="4" s="1"/>
  <c r="BF58" i="4"/>
  <c r="BF64" i="4"/>
  <c r="DF35" i="51" s="1"/>
  <c r="BQ11" i="73"/>
  <c r="BU10" i="73"/>
  <c r="BU11" i="73" s="1"/>
  <c r="BC12" i="73"/>
  <c r="BC13" i="73" s="1"/>
  <c r="BR294" i="73"/>
  <c r="BR112" i="73"/>
  <c r="BE67" i="51"/>
  <c r="AY67" i="51"/>
  <c r="BR299" i="73"/>
  <c r="BX55" i="4"/>
  <c r="BX36" i="4"/>
  <c r="BX49" i="4"/>
  <c r="BX50" i="4" s="1"/>
  <c r="BX43" i="4"/>
  <c r="BX44" i="4" s="1"/>
  <c r="AH40" i="4"/>
  <c r="AN47" i="73"/>
  <c r="AN41" i="73"/>
  <c r="AN42" i="73" s="1"/>
  <c r="AN46" i="73"/>
  <c r="AM68" i="51"/>
  <c r="AG68" i="51"/>
  <c r="BI362" i="73"/>
  <c r="BO355" i="73"/>
  <c r="AN161" i="73"/>
  <c r="AN96" i="73"/>
  <c r="AN446" i="73"/>
  <c r="AN118" i="73"/>
  <c r="AN447" i="73"/>
  <c r="AN375" i="73"/>
  <c r="AN374" i="73"/>
  <c r="AN370" i="73"/>
  <c r="AN27" i="73"/>
  <c r="AQ366" i="73"/>
  <c r="AN373" i="73"/>
  <c r="AN299" i="73"/>
  <c r="AN371" i="73"/>
  <c r="AN131" i="73"/>
  <c r="AN260" i="73"/>
  <c r="AY37" i="73"/>
  <c r="AZ81" i="51"/>
  <c r="BF81" i="51"/>
  <c r="AM67" i="51"/>
  <c r="AG396" i="73"/>
  <c r="BI99" i="51"/>
  <c r="AO70" i="51"/>
  <c r="AY64" i="4"/>
  <c r="AY58" i="4"/>
  <c r="BE81" i="51"/>
  <c r="BS112" i="73"/>
  <c r="BS294" i="73"/>
  <c r="BS299" i="73"/>
  <c r="AI64" i="4"/>
  <c r="AO58" i="4"/>
  <c r="BS64" i="51"/>
  <c r="DO32" i="51"/>
  <c r="DO45" i="51" s="1"/>
  <c r="AT34" i="73"/>
  <c r="AZ35" i="73" s="1"/>
  <c r="AN37" i="73"/>
  <c r="AQ34" i="73"/>
  <c r="BO230" i="73"/>
  <c r="BO29" i="73"/>
  <c r="BO281" i="73"/>
  <c r="BO104" i="73"/>
  <c r="BO80" i="73"/>
  <c r="BO139" i="73"/>
  <c r="BU6" i="4"/>
  <c r="BU54" i="73" s="1"/>
  <c r="BO171" i="73"/>
  <c r="AZ41" i="73"/>
  <c r="AZ334" i="73" s="1"/>
  <c r="AZ38" i="73"/>
  <c r="AZ46" i="73"/>
  <c r="AT43" i="73"/>
  <c r="AT46" i="73" s="1"/>
  <c r="BY367" i="73"/>
  <c r="BS367" i="73"/>
  <c r="BC34" i="73"/>
  <c r="BK67" i="51"/>
  <c r="AQ61" i="51"/>
  <c r="BE71" i="51"/>
  <c r="AT64" i="4"/>
  <c r="AZ58" i="4"/>
  <c r="AB41" i="73"/>
  <c r="AE41" i="73" s="1"/>
  <c r="BE260" i="73"/>
  <c r="BE131" i="73"/>
  <c r="BE373" i="73"/>
  <c r="BK367" i="73"/>
  <c r="BE161" i="73"/>
  <c r="BE118" i="73"/>
  <c r="BE367" i="73"/>
  <c r="BL260" i="73"/>
  <c r="BL374" i="73"/>
  <c r="BL370" i="73"/>
  <c r="BL96" i="73"/>
  <c r="BL131" i="73"/>
  <c r="BL367" i="73"/>
  <c r="BO366" i="73"/>
  <c r="AH44" i="73"/>
  <c r="AQ359" i="73"/>
  <c r="AQ362" i="73"/>
  <c r="AQ363" i="73"/>
  <c r="AQ364" i="73"/>
  <c r="AE43" i="73"/>
  <c r="AK44" i="73" s="1"/>
  <c r="BF67" i="51"/>
  <c r="AM81" i="51"/>
  <c r="CL44" i="4"/>
  <c r="BQ367" i="73"/>
  <c r="AD32" i="4"/>
  <c r="BE64" i="4"/>
  <c r="DE35" i="51" s="1"/>
  <c r="BE58" i="4"/>
  <c r="AT63" i="51"/>
  <c r="CU40" i="4"/>
  <c r="CU44" i="4"/>
  <c r="CV42" i="4"/>
  <c r="AO41" i="73"/>
  <c r="AO47" i="73"/>
  <c r="AO44" i="73"/>
  <c r="AO46" i="73"/>
  <c r="AU27" i="73"/>
  <c r="AU374" i="73"/>
  <c r="AU299" i="73"/>
  <c r="AU96" i="73"/>
  <c r="AU260" i="73"/>
  <c r="AU375" i="73"/>
  <c r="AU371" i="73"/>
  <c r="AU161" i="73"/>
  <c r="AU131" i="73"/>
  <c r="AU118" i="73"/>
  <c r="AU37" i="73"/>
  <c r="AU367" i="73"/>
  <c r="AU370" i="73"/>
  <c r="AU447" i="73"/>
  <c r="AU446" i="73"/>
  <c r="AU373" i="73"/>
  <c r="AQ43" i="73"/>
  <c r="AY131" i="73"/>
  <c r="AY373" i="73"/>
  <c r="AY260" i="73"/>
  <c r="AY367" i="73"/>
  <c r="AY161" i="73"/>
  <c r="AY374" i="73"/>
  <c r="AY446" i="73"/>
  <c r="AY96" i="73"/>
  <c r="AY118" i="73"/>
  <c r="AY370" i="73"/>
  <c r="AY447" i="73"/>
  <c r="BL50" i="4"/>
  <c r="BL15" i="51" s="1"/>
  <c r="BO49" i="4"/>
  <c r="BO50" i="4" s="1"/>
  <c r="BO15" i="51" s="1"/>
  <c r="BE36" i="4"/>
  <c r="BW49" i="4"/>
  <c r="BW50" i="4" s="1"/>
  <c r="BW15" i="51" s="1"/>
  <c r="BW43" i="4"/>
  <c r="BW44" i="4" s="1"/>
  <c r="BW13" i="51" s="1"/>
  <c r="CC43" i="51" s="1"/>
  <c r="BW36" i="4"/>
  <c r="AP374" i="73"/>
  <c r="AP260" i="73"/>
  <c r="AP299" i="73"/>
  <c r="AP96" i="73"/>
  <c r="AP161" i="73"/>
  <c r="AP27" i="73"/>
  <c r="AP373" i="73"/>
  <c r="AP375" i="73"/>
  <c r="AP370" i="73"/>
  <c r="BF42" i="73"/>
  <c r="BF376" i="73" s="1"/>
  <c r="AY81" i="51"/>
  <c r="BI315" i="73"/>
  <c r="BI316" i="73" s="1"/>
  <c r="BF35" i="73"/>
  <c r="BI100" i="51"/>
  <c r="AM64" i="4"/>
  <c r="BC366" i="73"/>
  <c r="BC36" i="4"/>
  <c r="AI69" i="51"/>
  <c r="AO69" i="51"/>
  <c r="BL13" i="73"/>
  <c r="BO12" i="73"/>
  <c r="BO13" i="73" s="1"/>
  <c r="BK56" i="4"/>
  <c r="BK19" i="51" s="1"/>
  <c r="BO55" i="4"/>
  <c r="BO56" i="4" s="1"/>
  <c r="BM58" i="4"/>
  <c r="BM64" i="4"/>
  <c r="DK35" i="51" s="1"/>
  <c r="AG81" i="51"/>
  <c r="AT64" i="51"/>
  <c r="BU66" i="2"/>
  <c r="C9" i="52"/>
  <c r="C10" i="52" s="1"/>
  <c r="BU169" i="2"/>
  <c r="BU181" i="2" s="1"/>
  <c r="BU143" i="2"/>
  <c r="AW129" i="73"/>
  <c r="AQ129" i="73"/>
  <c r="BS79" i="54"/>
  <c r="BS167" i="2"/>
  <c r="BS60" i="2"/>
  <c r="AU58" i="4"/>
  <c r="AU64" i="4"/>
  <c r="BC169" i="2"/>
  <c r="BC181" i="2" s="1"/>
  <c r="BC66" i="2"/>
  <c r="BC143" i="2"/>
  <c r="S143" i="2"/>
  <c r="S66" i="2"/>
  <c r="S169" i="2"/>
  <c r="S181" i="2" s="1"/>
  <c r="U167" i="2"/>
  <c r="U60" i="2"/>
  <c r="BY34" i="73"/>
  <c r="BS37" i="73"/>
  <c r="BL37" i="73"/>
  <c r="BR63" i="4"/>
  <c r="BL35" i="73"/>
  <c r="AS63" i="51"/>
  <c r="BO33" i="4"/>
  <c r="BO34" i="4" s="1"/>
  <c r="AS176" i="2"/>
  <c r="AS182" i="2" s="1"/>
  <c r="AS183" i="2" s="1"/>
  <c r="AS184" i="2" s="1"/>
  <c r="BM67" i="51"/>
  <c r="BG67" i="51"/>
  <c r="BG70" i="51"/>
  <c r="BM70" i="51"/>
  <c r="BL265" i="73"/>
  <c r="BK64" i="4"/>
  <c r="DI35" i="51" s="1"/>
  <c r="BK58" i="4"/>
  <c r="BI43" i="73"/>
  <c r="BI34" i="73"/>
  <c r="BO35" i="73" s="1"/>
  <c r="BI16" i="73"/>
  <c r="BI17" i="73" s="1"/>
  <c r="AK70" i="51"/>
  <c r="BH102" i="51"/>
  <c r="BI98" i="51"/>
  <c r="BY89" i="73"/>
  <c r="BY316" i="73"/>
  <c r="BY39" i="73"/>
  <c r="BU75" i="4"/>
  <c r="BU100" i="51"/>
  <c r="BU98" i="51"/>
  <c r="BU72" i="4"/>
  <c r="BU99" i="51"/>
  <c r="BO66" i="2"/>
  <c r="BO169" i="2"/>
  <c r="BO181" i="2" s="1"/>
  <c r="BO143" i="2"/>
  <c r="B9" i="52"/>
  <c r="U64" i="3"/>
  <c r="BR65" i="2"/>
  <c r="BR168" i="2"/>
  <c r="AI369" i="73"/>
  <c r="AI447" i="73"/>
  <c r="AI375" i="73"/>
  <c r="AI260" i="73"/>
  <c r="AI118" i="73"/>
  <c r="AI96" i="73"/>
  <c r="AI374" i="73"/>
  <c r="AI299" i="73"/>
  <c r="AI446" i="73"/>
  <c r="AI131" i="73"/>
  <c r="AI373" i="73"/>
  <c r="AI161" i="73"/>
  <c r="AI27" i="73"/>
  <c r="AI371" i="73"/>
  <c r="AI37" i="73"/>
  <c r="AI46" i="73"/>
  <c r="AI370" i="73"/>
  <c r="AO367" i="73"/>
  <c r="AE92" i="2"/>
  <c r="AE173" i="2"/>
  <c r="BQ67" i="51"/>
  <c r="BA69" i="51"/>
  <c r="AQ20" i="73"/>
  <c r="AQ21" i="73" s="1"/>
  <c r="BK164" i="73"/>
  <c r="BK167" i="73" s="1"/>
  <c r="BK166" i="73" s="1"/>
  <c r="AE79" i="51"/>
  <c r="AJ70" i="51"/>
  <c r="AP176" i="2"/>
  <c r="AP182" i="2" s="1"/>
  <c r="AP183" i="2" s="1"/>
  <c r="AP184" i="2" s="1"/>
  <c r="BG71" i="51"/>
  <c r="BA71" i="51"/>
  <c r="BC46" i="4"/>
  <c r="BC47" i="4" s="1"/>
  <c r="BI46" i="4"/>
  <c r="BI47" i="4" s="1"/>
  <c r="BN144" i="2"/>
  <c r="BN145" i="2" s="1"/>
  <c r="BN146" i="2" s="1"/>
  <c r="BN147" i="2" s="1"/>
  <c r="BN141" i="2" s="1"/>
  <c r="BN34" i="73"/>
  <c r="BK176" i="2"/>
  <c r="BK182" i="2" s="1"/>
  <c r="BK183" i="2" s="1"/>
  <c r="BK184" i="2" s="1"/>
  <c r="BN58" i="4"/>
  <c r="BN64" i="4"/>
  <c r="DL35" i="51" s="1"/>
  <c r="AV144" i="2"/>
  <c r="AU144" i="2"/>
  <c r="AU145" i="2" s="1"/>
  <c r="AU146" i="2" s="1"/>
  <c r="AU147" i="2" s="1"/>
  <c r="AU141" i="2" s="1"/>
  <c r="X169" i="2"/>
  <c r="X181" i="2" s="1"/>
  <c r="X66" i="2"/>
  <c r="X143" i="2"/>
  <c r="BO40" i="4"/>
  <c r="BO41" i="4" s="1"/>
  <c r="BO57" i="4"/>
  <c r="BM266" i="73"/>
  <c r="BC20" i="73"/>
  <c r="BC21" i="73" s="1"/>
  <c r="BR176" i="2"/>
  <c r="BR182" i="2" s="1"/>
  <c r="BR183" i="2" s="1"/>
  <c r="BR184" i="2" s="1"/>
  <c r="BK65" i="2"/>
  <c r="BK168" i="2"/>
  <c r="F176" i="2"/>
  <c r="F182" i="2" s="1"/>
  <c r="F183" i="2" s="1"/>
  <c r="F184" i="2" s="1"/>
  <c r="F185" i="2" s="1"/>
  <c r="Y173" i="2"/>
  <c r="Y92" i="2"/>
  <c r="AI71" i="51"/>
  <c r="AO71" i="51"/>
  <c r="I167" i="2"/>
  <c r="I60" i="2"/>
  <c r="AU97" i="2"/>
  <c r="AU100" i="2" s="1"/>
  <c r="AU174" i="2"/>
  <c r="BA64" i="4"/>
  <c r="BG58" i="4"/>
  <c r="BA58" i="4"/>
  <c r="BC32" i="4"/>
  <c r="BC17" i="4"/>
  <c r="BI24" i="51" s="1"/>
  <c r="CL144" i="2"/>
  <c r="BT55" i="4"/>
  <c r="BT49" i="4"/>
  <c r="BT50" i="4" s="1"/>
  <c r="BT15" i="51" s="1"/>
  <c r="BT36" i="4"/>
  <c r="BT43" i="4"/>
  <c r="BT44" i="4" s="1"/>
  <c r="BT13" i="51" s="1"/>
  <c r="BG81" i="51"/>
  <c r="BM81" i="51"/>
  <c r="AT131" i="73"/>
  <c r="AT370" i="73"/>
  <c r="AT371" i="73"/>
  <c r="AT299" i="73"/>
  <c r="AT27" i="73"/>
  <c r="AT375" i="73"/>
  <c r="AT118" i="73"/>
  <c r="AT260" i="73"/>
  <c r="AT446" i="73"/>
  <c r="AT374" i="73"/>
  <c r="AZ367" i="73"/>
  <c r="AT96" i="73"/>
  <c r="AT373" i="73"/>
  <c r="AT367" i="73"/>
  <c r="AT161" i="73"/>
  <c r="AW366" i="73"/>
  <c r="AT447" i="73"/>
  <c r="BR35" i="73"/>
  <c r="BL65" i="2"/>
  <c r="BL168" i="2"/>
  <c r="AU63" i="51"/>
  <c r="AW355" i="73"/>
  <c r="AW364" i="73"/>
  <c r="AW359" i="73"/>
  <c r="AW362" i="73"/>
  <c r="BI66" i="2"/>
  <c r="BI169" i="2"/>
  <c r="BI181" i="2" s="1"/>
  <c r="BI143" i="2"/>
  <c r="BW144" i="2"/>
  <c r="BW145" i="2" s="1"/>
  <c r="BW146" i="2" s="1"/>
  <c r="BW147" i="2" s="1"/>
  <c r="BK70" i="51"/>
  <c r="BK265" i="73"/>
  <c r="BO263" i="73"/>
  <c r="BK276" i="73"/>
  <c r="BK277" i="73" s="1"/>
  <c r="BH52" i="4"/>
  <c r="BH53" i="4" s="1"/>
  <c r="BB52" i="4"/>
  <c r="BB53" i="4" s="1"/>
  <c r="BH55" i="4"/>
  <c r="BC51" i="4"/>
  <c r="BX58" i="4"/>
  <c r="AI58" i="4"/>
  <c r="AC64" i="4"/>
  <c r="BA174" i="2"/>
  <c r="BA97" i="2"/>
  <c r="BA100" i="2" s="1"/>
  <c r="AS65" i="2"/>
  <c r="AS168" i="2"/>
  <c r="BU52" i="4"/>
  <c r="BU53" i="4" s="1"/>
  <c r="BC337" i="73"/>
  <c r="BC339" i="73"/>
  <c r="BC332" i="73"/>
  <c r="BO16" i="73"/>
  <c r="BO17" i="73" s="1"/>
  <c r="BT79" i="54"/>
  <c r="BT60" i="2"/>
  <c r="BT167" i="2"/>
  <c r="BT58" i="4"/>
  <c r="BM144" i="2"/>
  <c r="BM145" i="2" s="1"/>
  <c r="BM146" i="2" s="1"/>
  <c r="BM147" i="2" s="1"/>
  <c r="BM141" i="2" s="1"/>
  <c r="AQ80" i="51"/>
  <c r="AK80" i="51"/>
  <c r="BB40" i="4"/>
  <c r="BB41" i="4" s="1"/>
  <c r="BB57" i="4"/>
  <c r="BH62" i="51"/>
  <c r="BH40" i="4"/>
  <c r="BH41" i="4" s="1"/>
  <c r="BX176" i="2"/>
  <c r="BX182" i="2" s="1"/>
  <c r="BX183" i="2" s="1"/>
  <c r="BX184" i="2" s="1"/>
  <c r="BB176" i="2"/>
  <c r="BB182" i="2" s="1"/>
  <c r="BB183" i="2" s="1"/>
  <c r="BB184" i="2" s="1"/>
  <c r="K97" i="2"/>
  <c r="K100" i="2" s="1"/>
  <c r="K79" i="54"/>
  <c r="K174" i="2"/>
  <c r="BI296" i="73"/>
  <c r="BI14" i="4"/>
  <c r="BI16" i="4"/>
  <c r="BI12" i="4"/>
  <c r="O65" i="2"/>
  <c r="O168" i="2"/>
  <c r="BW167" i="2"/>
  <c r="BW60" i="2"/>
  <c r="BW79" i="54"/>
  <c r="R66" i="2"/>
  <c r="R169" i="2"/>
  <c r="R181" i="2" s="1"/>
  <c r="R143" i="2"/>
  <c r="R145" i="2" s="1"/>
  <c r="R146" i="2" s="1"/>
  <c r="R147" i="2" s="1"/>
  <c r="R141" i="2" s="1"/>
  <c r="DI34" i="51"/>
  <c r="BK22" i="51"/>
  <c r="BH50" i="4"/>
  <c r="BH15" i="51" s="1"/>
  <c r="BI49" i="4"/>
  <c r="BI50" i="4" s="1"/>
  <c r="AK71" i="51"/>
  <c r="BG69" i="51"/>
  <c r="BM69" i="51"/>
  <c r="BB33" i="4"/>
  <c r="BH36" i="4"/>
  <c r="CA318" i="73"/>
  <c r="F168" i="2"/>
  <c r="BM79" i="54"/>
  <c r="BM60" i="2"/>
  <c r="BM167" i="2"/>
  <c r="AV371" i="73"/>
  <c r="AV370" i="73"/>
  <c r="AV118" i="73"/>
  <c r="AV161" i="73"/>
  <c r="AV131" i="73"/>
  <c r="AV260" i="73"/>
  <c r="AV27" i="73"/>
  <c r="AV373" i="73"/>
  <c r="AV96" i="73"/>
  <c r="AV375" i="73"/>
  <c r="AV447" i="73"/>
  <c r="AV299" i="73"/>
  <c r="AV374" i="73"/>
  <c r="AV367" i="73"/>
  <c r="AV446" i="73"/>
  <c r="AV13" i="73"/>
  <c r="AW12" i="73"/>
  <c r="AW13" i="73" s="1"/>
  <c r="O176" i="2"/>
  <c r="O182" i="2" s="1"/>
  <c r="O183" i="2" s="1"/>
  <c r="O184" i="2" s="1"/>
  <c r="BK369" i="73"/>
  <c r="BK376" i="73"/>
  <c r="BK357" i="73"/>
  <c r="BQ174" i="2"/>
  <c r="BQ97" i="2"/>
  <c r="AW10" i="73"/>
  <c r="AW11" i="73" s="1"/>
  <c r="BX34" i="4"/>
  <c r="CA45" i="4"/>
  <c r="CG48" i="4"/>
  <c r="AK169" i="2"/>
  <c r="AK181" i="2" s="1"/>
  <c r="AK143" i="2"/>
  <c r="AK145" i="2" s="1"/>
  <c r="AK146" i="2" s="1"/>
  <c r="AK147" i="2" s="1"/>
  <c r="AK66" i="2"/>
  <c r="BG60" i="2"/>
  <c r="BG167" i="2"/>
  <c r="BG79" i="54"/>
  <c r="BX37" i="73"/>
  <c r="BY174" i="2"/>
  <c r="BY97" i="2"/>
  <c r="BY100" i="2" s="1"/>
  <c r="AZ176" i="2"/>
  <c r="AZ182" i="2" s="1"/>
  <c r="AZ183" i="2" s="1"/>
  <c r="AZ184" i="2" s="1"/>
  <c r="BA67" i="51"/>
  <c r="AS62" i="51"/>
  <c r="BQ64" i="4"/>
  <c r="BQ58" i="4"/>
  <c r="BQ81" i="51"/>
  <c r="BS58" i="4"/>
  <c r="BY58" i="4"/>
  <c r="AM174" i="2"/>
  <c r="AM97" i="2"/>
  <c r="BC39" i="4"/>
  <c r="BT144" i="2"/>
  <c r="BT145" i="2" s="1"/>
  <c r="BT146" i="2" s="1"/>
  <c r="BT147" i="2" s="1"/>
  <c r="BT141" i="2" s="1"/>
  <c r="BS144" i="2"/>
  <c r="BS145" i="2" s="1"/>
  <c r="BS146" i="2" s="1"/>
  <c r="BS147" i="2" s="1"/>
  <c r="BS141" i="2" s="1"/>
  <c r="AB174" i="2"/>
  <c r="AB97" i="2"/>
  <c r="AJ97" i="2"/>
  <c r="AJ100" i="2" s="1"/>
  <c r="AJ174" i="2"/>
  <c r="BG144" i="2"/>
  <c r="BG145" i="2" s="1"/>
  <c r="BG146" i="2" s="1"/>
  <c r="BG147" i="2" s="1"/>
  <c r="BG141" i="2" s="1"/>
  <c r="AW340" i="73"/>
  <c r="AW336" i="73"/>
  <c r="AW337" i="73"/>
  <c r="AW341" i="73"/>
  <c r="AW339" i="73"/>
  <c r="AW332" i="73"/>
  <c r="BL176" i="2"/>
  <c r="BL182" i="2" s="1"/>
  <c r="BL183" i="2" s="1"/>
  <c r="BL184" i="2" s="1"/>
  <c r="BL64" i="3"/>
  <c r="BA81" i="51"/>
  <c r="BU57" i="4"/>
  <c r="BU11" i="4"/>
  <c r="BL64" i="4"/>
  <c r="DJ35" i="51" s="1"/>
  <c r="BR58" i="4"/>
  <c r="BL58" i="4"/>
  <c r="BX168" i="2"/>
  <c r="BX65" i="2"/>
  <c r="BW58" i="4"/>
  <c r="BO46" i="4"/>
  <c r="BO47" i="4" s="1"/>
  <c r="BU46" i="4"/>
  <c r="BU47" i="4" s="1"/>
  <c r="BK334" i="73"/>
  <c r="BB43" i="73"/>
  <c r="BI57" i="4"/>
  <c r="AS145" i="2"/>
  <c r="AS146" i="2" s="1"/>
  <c r="AS147" i="2" s="1"/>
  <c r="BN60" i="2"/>
  <c r="BN79" i="54"/>
  <c r="BN167" i="2"/>
  <c r="AZ168" i="2"/>
  <c r="AZ65" i="2"/>
  <c r="BB11" i="73"/>
  <c r="BC10" i="73"/>
  <c r="BC11" i="73" s="1"/>
  <c r="BW34" i="4"/>
  <c r="G169" i="2"/>
  <c r="G181" i="2" s="1"/>
  <c r="G66" i="2"/>
  <c r="G143" i="2"/>
  <c r="D9" i="52"/>
  <c r="D10" i="52" s="1"/>
  <c r="CA46" i="2"/>
  <c r="CC96" i="2" s="1"/>
  <c r="BO162" i="2"/>
  <c r="AW51" i="2"/>
  <c r="AT141" i="2"/>
  <c r="AE51" i="2"/>
  <c r="AC168" i="2"/>
  <c r="AC65" i="2"/>
  <c r="AA162" i="2"/>
  <c r="AE162" i="2"/>
  <c r="AQ51" i="2"/>
  <c r="BO51" i="2"/>
  <c r="CL125" i="2"/>
  <c r="AH65" i="2"/>
  <c r="AH168" i="2"/>
  <c r="BW126" i="2"/>
  <c r="BW127" i="2"/>
  <c r="BW65" i="2"/>
  <c r="BW168" i="2"/>
  <c r="BN121" i="2"/>
  <c r="BU162" i="2"/>
  <c r="BQ162" i="2"/>
  <c r="BH131" i="2"/>
  <c r="BH127" i="2"/>
  <c r="BI127" i="2" s="1"/>
  <c r="BI124" i="2"/>
  <c r="BO126" i="2"/>
  <c r="Y51" i="2"/>
  <c r="BU127" i="2"/>
  <c r="BU51" i="2"/>
  <c r="CG31" i="2"/>
  <c r="CA40" i="3"/>
  <c r="D15" i="52"/>
  <c r="D16" i="52" s="1"/>
  <c r="CL80" i="2"/>
  <c r="AM126" i="2"/>
  <c r="AM127" i="2"/>
  <c r="AQ127" i="2" s="1"/>
  <c r="CQ80" i="2"/>
  <c r="BW86" i="2"/>
  <c r="BW65" i="3"/>
  <c r="AG65" i="3"/>
  <c r="AG86" i="2"/>
  <c r="AM86" i="2"/>
  <c r="AS65" i="3"/>
  <c r="AS86" i="2"/>
  <c r="Q53" i="3"/>
  <c r="BO13" i="3"/>
  <c r="BO12" i="3" s="1"/>
  <c r="BL62" i="3"/>
  <c r="BL85" i="2"/>
  <c r="BF85" i="2"/>
  <c r="BF62" i="3"/>
  <c r="I10" i="2"/>
  <c r="CY45" i="54" l="1"/>
  <c r="CR45" i="54"/>
  <c r="BO15" i="54"/>
  <c r="BE65" i="3"/>
  <c r="BZ19" i="51"/>
  <c r="BZ20" i="51" s="1"/>
  <c r="BY61" i="4"/>
  <c r="BN359" i="73"/>
  <c r="BX61" i="4"/>
  <c r="BW56" i="4"/>
  <c r="BW19" i="51" s="1"/>
  <c r="DQ11" i="51" s="1"/>
  <c r="BW61" i="4"/>
  <c r="Q61" i="3"/>
  <c r="BX83" i="2"/>
  <c r="BG53" i="3"/>
  <c r="BG61" i="3"/>
  <c r="CO86" i="73"/>
  <c r="CM85" i="73"/>
  <c r="BN447" i="73"/>
  <c r="AZ271" i="73"/>
  <c r="AZ278" i="73" s="1"/>
  <c r="AZ279" i="73" s="1"/>
  <c r="AI343" i="73"/>
  <c r="AI347" i="73" s="1"/>
  <c r="BF271" i="73"/>
  <c r="AH409" i="73"/>
  <c r="BH340" i="73"/>
  <c r="BN274" i="73"/>
  <c r="AI184" i="73"/>
  <c r="AK177" i="73"/>
  <c r="AK184" i="73" s="1"/>
  <c r="BN370" i="73"/>
  <c r="BG382" i="73"/>
  <c r="AZ429" i="73"/>
  <c r="AZ438" i="73" s="1"/>
  <c r="BO236" i="73"/>
  <c r="AJ373" i="73"/>
  <c r="BU454" i="73"/>
  <c r="BU16" i="73" s="1"/>
  <c r="BU17" i="73" s="1"/>
  <c r="AM214" i="73"/>
  <c r="AM213" i="73" s="1"/>
  <c r="AM215" i="73" s="1"/>
  <c r="CQ45" i="51"/>
  <c r="BE141" i="2"/>
  <c r="CQ43" i="51"/>
  <c r="BM20" i="1"/>
  <c r="BS64" i="1" s="1"/>
  <c r="CL13" i="51"/>
  <c r="EB9" i="51" s="1"/>
  <c r="EB17" i="51" s="1"/>
  <c r="EB30" i="51"/>
  <c r="EB43" i="51" s="1"/>
  <c r="Y131" i="2"/>
  <c r="BU114" i="2"/>
  <c r="BO40" i="3"/>
  <c r="CA99" i="51"/>
  <c r="CA69" i="4"/>
  <c r="CA75" i="4"/>
  <c r="CA100" i="51"/>
  <c r="BY53" i="3"/>
  <c r="BY83" i="2" s="1"/>
  <c r="BF83" i="2"/>
  <c r="BW141" i="2"/>
  <c r="CX76" i="1"/>
  <c r="CY76" i="1" s="1"/>
  <c r="BS168" i="2"/>
  <c r="BS65" i="2"/>
  <c r="BS46" i="1"/>
  <c r="CX19" i="1"/>
  <c r="CY19" i="1" s="1"/>
  <c r="BN120" i="2"/>
  <c r="AS141" i="2"/>
  <c r="BO18" i="1"/>
  <c r="BO20" i="1" s="1"/>
  <c r="BO46" i="1" s="1"/>
  <c r="AQ162" i="2"/>
  <c r="BO113" i="2"/>
  <c r="AK162" i="2"/>
  <c r="AY162" i="2"/>
  <c r="CA133" i="2"/>
  <c r="CC130" i="2" s="1"/>
  <c r="CC132" i="2" s="1"/>
  <c r="CG132" i="2" s="1"/>
  <c r="CA200" i="2"/>
  <c r="CA41" i="2"/>
  <c r="CA190" i="2"/>
  <c r="CJ43" i="2"/>
  <c r="CI193" i="2"/>
  <c r="I56" i="2"/>
  <c r="I198" i="2"/>
  <c r="B15" i="52"/>
  <c r="B16" i="52" s="1"/>
  <c r="CA98" i="51"/>
  <c r="BL185" i="2"/>
  <c r="BB185" i="2"/>
  <c r="BR185" i="2"/>
  <c r="AP185" i="2"/>
  <c r="Q185" i="2"/>
  <c r="AZ185" i="2"/>
  <c r="O185" i="2"/>
  <c r="BX185" i="2"/>
  <c r="BK185" i="2"/>
  <c r="AS185" i="2"/>
  <c r="BF185" i="2"/>
  <c r="AY185" i="2"/>
  <c r="AC185" i="2"/>
  <c r="W185" i="2"/>
  <c r="I185" i="2"/>
  <c r="AV46" i="1"/>
  <c r="BY64" i="1"/>
  <c r="BT107" i="2"/>
  <c r="BO99" i="51"/>
  <c r="BO100" i="51"/>
  <c r="BC98" i="51"/>
  <c r="BS34" i="51"/>
  <c r="AS59" i="4"/>
  <c r="BM59" i="4"/>
  <c r="BU64" i="4"/>
  <c r="BT59" i="4"/>
  <c r="BT190" i="73" s="1"/>
  <c r="BA59" i="4"/>
  <c r="BG59" i="4"/>
  <c r="BN59" i="4"/>
  <c r="AU59" i="4"/>
  <c r="AZ59" i="4"/>
  <c r="AY59" i="4"/>
  <c r="BZ34" i="51"/>
  <c r="BL59" i="4"/>
  <c r="BE59" i="4"/>
  <c r="AN59" i="4"/>
  <c r="AJ64" i="4"/>
  <c r="AM59" i="4"/>
  <c r="AM201" i="73" s="1"/>
  <c r="BI14" i="51"/>
  <c r="BI44" i="51" s="1"/>
  <c r="CD59" i="4"/>
  <c r="BK59" i="4"/>
  <c r="BF59" i="4"/>
  <c r="BS59" i="4"/>
  <c r="AT59" i="4"/>
  <c r="BZ59" i="4"/>
  <c r="AW20" i="1"/>
  <c r="AW46" i="1" s="1"/>
  <c r="M20" i="1"/>
  <c r="M64" i="1" s="1"/>
  <c r="CF7" i="4"/>
  <c r="BC99" i="51"/>
  <c r="CV80" i="2"/>
  <c r="BE374" i="73"/>
  <c r="BE267" i="73"/>
  <c r="BE273" i="73" s="1"/>
  <c r="BA410" i="73"/>
  <c r="BE269" i="73"/>
  <c r="BE276" i="73" s="1"/>
  <c r="BE277" i="73" s="1"/>
  <c r="BI255" i="73"/>
  <c r="BF273" i="73"/>
  <c r="BF402" i="73" s="1"/>
  <c r="BF411" i="73" s="1"/>
  <c r="BN399" i="73"/>
  <c r="BN408" i="73" s="1"/>
  <c r="CX19" i="51"/>
  <c r="CW49" i="51"/>
  <c r="CU13" i="51"/>
  <c r="CU43" i="51" s="1"/>
  <c r="CJ34" i="1"/>
  <c r="CI35" i="1"/>
  <c r="AZ164" i="73"/>
  <c r="AZ451" i="73" s="1"/>
  <c r="AZ450" i="73" s="1"/>
  <c r="AZ449" i="73" s="1"/>
  <c r="AZ445" i="73" s="1"/>
  <c r="BE382" i="73"/>
  <c r="BG269" i="73"/>
  <c r="BG276" i="73" s="1"/>
  <c r="BG277" i="73" s="1"/>
  <c r="BG363" i="73"/>
  <c r="G71" i="2"/>
  <c r="BC408" i="73"/>
  <c r="BI337" i="73"/>
  <c r="BI116" i="73"/>
  <c r="BN271" i="73"/>
  <c r="BN278" i="73" s="1"/>
  <c r="BN432" i="73" s="1"/>
  <c r="BN441" i="73" s="1"/>
  <c r="AJ206" i="73"/>
  <c r="AJ380" i="73" s="1"/>
  <c r="BI379" i="73"/>
  <c r="AY429" i="73"/>
  <c r="AY438" i="73" s="1"/>
  <c r="AN203" i="73"/>
  <c r="AV411" i="73"/>
  <c r="BA271" i="73"/>
  <c r="BA278" i="73" s="1"/>
  <c r="BA279" i="73" s="1"/>
  <c r="CU50" i="4"/>
  <c r="CV48" i="4"/>
  <c r="CU46" i="4"/>
  <c r="BK56" i="51"/>
  <c r="AJ199" i="73"/>
  <c r="AU273" i="73"/>
  <c r="AU402" i="73" s="1"/>
  <c r="AU411" i="73" s="1"/>
  <c r="BO267" i="73"/>
  <c r="BO273" i="73" s="1"/>
  <c r="BO274" i="73" s="1"/>
  <c r="AK429" i="73"/>
  <c r="AK438" i="73" s="1"/>
  <c r="BQ56" i="51"/>
  <c r="BN411" i="73"/>
  <c r="BO382" i="73"/>
  <c r="AN178" i="73"/>
  <c r="AM178" i="73"/>
  <c r="AJ178" i="73"/>
  <c r="BI260" i="73"/>
  <c r="AJ184" i="73"/>
  <c r="BN258" i="73"/>
  <c r="BH256" i="73"/>
  <c r="BH269" i="73" s="1"/>
  <c r="BH264" i="73"/>
  <c r="BH263" i="73" s="1"/>
  <c r="BI263" i="73" s="1"/>
  <c r="BI264" i="73" s="1"/>
  <c r="BH260" i="73"/>
  <c r="AQ106" i="2"/>
  <c r="AQ107" i="2" s="1"/>
  <c r="BI29" i="3"/>
  <c r="AU278" i="73"/>
  <c r="AU432" i="73" s="1"/>
  <c r="AU441" i="73" s="1"/>
  <c r="BO92" i="73"/>
  <c r="BO359" i="73" s="1"/>
  <c r="BO336" i="73"/>
  <c r="AV278" i="73"/>
  <c r="AV432" i="73" s="1"/>
  <c r="AV441" i="73" s="1"/>
  <c r="BO258" i="73"/>
  <c r="BC133" i="73"/>
  <c r="AK193" i="73"/>
  <c r="AI205" i="73"/>
  <c r="AH224" i="73"/>
  <c r="AJ202" i="73"/>
  <c r="AJ211" i="73"/>
  <c r="K73" i="52"/>
  <c r="E27" i="52" s="1"/>
  <c r="K59" i="52"/>
  <c r="K72" i="52" s="1"/>
  <c r="E26" i="52" s="1"/>
  <c r="CM31" i="54"/>
  <c r="CC100" i="1"/>
  <c r="CC102" i="1" s="1"/>
  <c r="CG43" i="54"/>
  <c r="CI41" i="54"/>
  <c r="CI43" i="54" s="1"/>
  <c r="CJ41" i="54"/>
  <c r="CJ43" i="54" s="1"/>
  <c r="CK41" i="54"/>
  <c r="CK43" i="54" s="1"/>
  <c r="CL41" i="54"/>
  <c r="CL43" i="54" s="1"/>
  <c r="CS41" i="54"/>
  <c r="BT64" i="1"/>
  <c r="BU18" i="1"/>
  <c r="BU20" i="1" s="1"/>
  <c r="CA90" i="3"/>
  <c r="CC90" i="3"/>
  <c r="CD90" i="3" s="1"/>
  <c r="CE90" i="3" s="1"/>
  <c r="CF90" i="3" s="1"/>
  <c r="BY61" i="3"/>
  <c r="BY62" i="3" s="1"/>
  <c r="G26" i="2"/>
  <c r="G61" i="2" s="1"/>
  <c r="L53" i="3"/>
  <c r="L83" i="2" s="1"/>
  <c r="BG64" i="3"/>
  <c r="X53" i="3"/>
  <c r="P86" i="2"/>
  <c r="BM83" i="2"/>
  <c r="X61" i="3"/>
  <c r="BX85" i="2"/>
  <c r="BT53" i="3"/>
  <c r="S29" i="3"/>
  <c r="S84" i="2" s="1"/>
  <c r="AE11" i="4"/>
  <c r="AE17" i="4" s="1"/>
  <c r="I86" i="2"/>
  <c r="AD17" i="4"/>
  <c r="BR86" i="2"/>
  <c r="CP86" i="73"/>
  <c r="CQ86" i="73"/>
  <c r="CR86" i="73"/>
  <c r="AW382" i="73"/>
  <c r="BC136" i="73"/>
  <c r="BB260" i="73"/>
  <c r="U86" i="2"/>
  <c r="AA65" i="3"/>
  <c r="AT164" i="73"/>
  <c r="AT451" i="73" s="1"/>
  <c r="BB256" i="73"/>
  <c r="BB363" i="73" s="1"/>
  <c r="Y64" i="1"/>
  <c r="BI84" i="3"/>
  <c r="BA64" i="1"/>
  <c r="BA46" i="1"/>
  <c r="BA168" i="2"/>
  <c r="BA65" i="2"/>
  <c r="BT84" i="2"/>
  <c r="CA20" i="3"/>
  <c r="Y50" i="3"/>
  <c r="AW29" i="3"/>
  <c r="R84" i="2"/>
  <c r="R61" i="3"/>
  <c r="BC84" i="2"/>
  <c r="CA50" i="3"/>
  <c r="CL19" i="1"/>
  <c r="CL76" i="1"/>
  <c r="CM76" i="1" s="1"/>
  <c r="BH46" i="1"/>
  <c r="BH64" i="1"/>
  <c r="AO46" i="1"/>
  <c r="AO64" i="1"/>
  <c r="AU64" i="1"/>
  <c r="BI18" i="1"/>
  <c r="BI20" i="1" s="1"/>
  <c r="AK64" i="1"/>
  <c r="AK46" i="1"/>
  <c r="BC46" i="1"/>
  <c r="BX120" i="2"/>
  <c r="BY105" i="2"/>
  <c r="Q64" i="1"/>
  <c r="W64" i="1"/>
  <c r="AQ46" i="1"/>
  <c r="AQ64" i="1"/>
  <c r="BN64" i="1"/>
  <c r="BN46" i="1"/>
  <c r="CA126" i="2"/>
  <c r="CA127" i="2"/>
  <c r="CA113" i="2"/>
  <c r="CA114" i="2" s="1"/>
  <c r="BZ18" i="1"/>
  <c r="BZ20" i="1" s="1"/>
  <c r="AE64" i="1"/>
  <c r="BG46" i="1"/>
  <c r="BG64" i="1"/>
  <c r="AI46" i="1"/>
  <c r="AI64" i="1"/>
  <c r="BB64" i="1"/>
  <c r="BB46" i="1"/>
  <c r="CR19" i="51"/>
  <c r="CR49" i="51" s="1"/>
  <c r="DM34" i="51"/>
  <c r="DM47" i="51" s="1"/>
  <c r="BK39" i="73"/>
  <c r="AJ371" i="73"/>
  <c r="AK366" i="73"/>
  <c r="AW14" i="4"/>
  <c r="AJ447" i="73"/>
  <c r="AP367" i="73"/>
  <c r="AJ446" i="73"/>
  <c r="BE376" i="73"/>
  <c r="AJ27" i="73"/>
  <c r="AJ370" i="73"/>
  <c r="AJ374" i="73"/>
  <c r="AJ369" i="73"/>
  <c r="AJ299" i="73"/>
  <c r="AJ260" i="73"/>
  <c r="AJ131" i="73"/>
  <c r="BF39" i="73"/>
  <c r="AJ161" i="73"/>
  <c r="AJ118" i="73"/>
  <c r="AV63" i="51"/>
  <c r="AJ375" i="73"/>
  <c r="AJ37" i="73"/>
  <c r="AH164" i="73"/>
  <c r="AH451" i="73" s="1"/>
  <c r="AH450" i="73" s="1"/>
  <c r="AH449" i="73" s="1"/>
  <c r="AH445" i="73" s="1"/>
  <c r="AJ46" i="73"/>
  <c r="AJ96" i="73"/>
  <c r="BE334" i="73"/>
  <c r="AK47" i="73"/>
  <c r="AK48" i="73" s="1"/>
  <c r="BE357" i="73"/>
  <c r="BH164" i="73"/>
  <c r="BH451" i="73" s="1"/>
  <c r="BH450" i="73" s="1"/>
  <c r="BH449" i="73" s="1"/>
  <c r="BH445" i="73" s="1"/>
  <c r="AW12" i="4"/>
  <c r="BE39" i="73"/>
  <c r="BC24" i="51"/>
  <c r="BC56" i="51" s="1"/>
  <c r="AP97" i="73"/>
  <c r="AP398" i="73" s="1"/>
  <c r="AP334" i="73"/>
  <c r="BB164" i="73"/>
  <c r="BB451" i="73" s="1"/>
  <c r="BB450" i="73" s="1"/>
  <c r="BB449" i="73" s="1"/>
  <c r="BB445" i="73" s="1"/>
  <c r="AJ376" i="73"/>
  <c r="AW16" i="4"/>
  <c r="BC49" i="51"/>
  <c r="AW49" i="4"/>
  <c r="AW50" i="4" s="1"/>
  <c r="AW63" i="51" s="1"/>
  <c r="AJ311" i="73"/>
  <c r="AJ314" i="73" s="1"/>
  <c r="AW10" i="4"/>
  <c r="AK41" i="73"/>
  <c r="AK42" i="73" s="1"/>
  <c r="AE32" i="4"/>
  <c r="AV45" i="51"/>
  <c r="AW81" i="51"/>
  <c r="BI161" i="73"/>
  <c r="AV145" i="2"/>
  <c r="AV146" i="2" s="1"/>
  <c r="AV147" i="2" s="1"/>
  <c r="AV141" i="2" s="1"/>
  <c r="AW64" i="51"/>
  <c r="AW71" i="51" s="1"/>
  <c r="AV67" i="51"/>
  <c r="BE447" i="73"/>
  <c r="BE164" i="73" s="1"/>
  <c r="BE167" i="73" s="1"/>
  <c r="BE166" i="73" s="1"/>
  <c r="BE168" i="73" s="1"/>
  <c r="AN207" i="73"/>
  <c r="AN210" i="73" s="1"/>
  <c r="BB261" i="73"/>
  <c r="BC255" i="73"/>
  <c r="BC340" i="73" s="1"/>
  <c r="BB264" i="73"/>
  <c r="BB263" i="73" s="1"/>
  <c r="BB340" i="73"/>
  <c r="BA276" i="73"/>
  <c r="BA277" i="73" s="1"/>
  <c r="AU46" i="73"/>
  <c r="AU44" i="73"/>
  <c r="BA273" i="73"/>
  <c r="BA274" i="73" s="1"/>
  <c r="BO269" i="73"/>
  <c r="AT271" i="73"/>
  <c r="AT278" i="73" s="1"/>
  <c r="AT432" i="73" s="1"/>
  <c r="AT441" i="73" s="1"/>
  <c r="AT273" i="73"/>
  <c r="AT402" i="73" s="1"/>
  <c r="AT411" i="73" s="1"/>
  <c r="BQ22" i="51"/>
  <c r="BQ28" i="51" s="1"/>
  <c r="CP29" i="54"/>
  <c r="CP31" i="54" s="1"/>
  <c r="CO29" i="54"/>
  <c r="CO31" i="54" s="1"/>
  <c r="CR29" i="54"/>
  <c r="CY29" i="54"/>
  <c r="CQ29" i="54"/>
  <c r="CQ31" i="54" s="1"/>
  <c r="CM39" i="54"/>
  <c r="CP33" i="54"/>
  <c r="CY33" i="54"/>
  <c r="CR33" i="54"/>
  <c r="CQ33" i="54"/>
  <c r="CO33" i="54"/>
  <c r="CQ37" i="54"/>
  <c r="CQ39" i="54" s="1"/>
  <c r="CR37" i="54"/>
  <c r="CR39" i="54" s="1"/>
  <c r="CY37" i="54"/>
  <c r="CP37" i="54"/>
  <c r="CP39" i="54" s="1"/>
  <c r="CO37" i="54"/>
  <c r="CO39" i="54" s="1"/>
  <c r="CJ51" i="54"/>
  <c r="CI51" i="54"/>
  <c r="CM48" i="54"/>
  <c r="CK51" i="54"/>
  <c r="CL51" i="54"/>
  <c r="CF59" i="54"/>
  <c r="CG59" i="54" s="1"/>
  <c r="CG56" i="54"/>
  <c r="CI56" i="54" s="1"/>
  <c r="CY50" i="54"/>
  <c r="CU45" i="54"/>
  <c r="CV45" i="54"/>
  <c r="CW45" i="54"/>
  <c r="CX45" i="54"/>
  <c r="CR28" i="54"/>
  <c r="BQ12" i="54"/>
  <c r="BO8" i="54"/>
  <c r="CO49" i="54"/>
  <c r="CO51" i="54" s="1"/>
  <c r="CY49" i="54"/>
  <c r="CQ49" i="54"/>
  <c r="CQ51" i="54" s="1"/>
  <c r="CP49" i="54"/>
  <c r="CP51" i="54" s="1"/>
  <c r="CR49" i="54"/>
  <c r="CR51" i="54" s="1"/>
  <c r="AT6" i="54"/>
  <c r="AU6" i="54" s="1"/>
  <c r="AV6" i="54" s="1"/>
  <c r="AY6" i="54"/>
  <c r="CS40" i="54"/>
  <c r="CU40" i="54" s="1"/>
  <c r="CS48" i="54"/>
  <c r="CU48" i="54"/>
  <c r="CV48" i="54" s="1"/>
  <c r="CW48" i="54" s="1"/>
  <c r="CX48" i="54" s="1"/>
  <c r="CY48" i="54" s="1"/>
  <c r="CI73" i="54"/>
  <c r="CG27" i="3"/>
  <c r="CG32" i="2"/>
  <c r="CI32" i="2" s="1"/>
  <c r="BI126" i="2"/>
  <c r="BI113" i="2"/>
  <c r="CA22" i="2"/>
  <c r="BC61" i="3"/>
  <c r="CA158" i="2"/>
  <c r="CA159" i="2" s="1"/>
  <c r="CA152" i="2"/>
  <c r="CA84" i="3"/>
  <c r="CA86" i="3" s="1"/>
  <c r="CG87" i="3" s="1"/>
  <c r="BM136" i="73"/>
  <c r="BM399" i="73"/>
  <c r="BM408" i="73" s="1"/>
  <c r="BM447" i="73"/>
  <c r="BM446" i="73"/>
  <c r="BG447" i="73"/>
  <c r="BG446" i="73"/>
  <c r="BA137" i="73"/>
  <c r="BA429" i="73"/>
  <c r="BA438" i="73" s="1"/>
  <c r="BL276" i="73"/>
  <c r="BL277" i="73" s="1"/>
  <c r="AG343" i="73"/>
  <c r="AG346" i="73" s="1"/>
  <c r="AH343" i="73"/>
  <c r="AH346" i="73" s="1"/>
  <c r="AY276" i="73"/>
  <c r="AY277" i="73" s="1"/>
  <c r="CY244" i="73"/>
  <c r="BK359" i="73"/>
  <c r="BK370" i="73"/>
  <c r="BK378" i="73"/>
  <c r="BG136" i="73"/>
  <c r="BG399" i="73"/>
  <c r="BG408" i="73" s="1"/>
  <c r="BM271" i="73"/>
  <c r="BM278" i="73" s="1"/>
  <c r="BM279" i="73" s="1"/>
  <c r="BM273" i="73"/>
  <c r="BA164" i="73"/>
  <c r="BA167" i="73" s="1"/>
  <c r="BA166" i="73" s="1"/>
  <c r="BA168" i="73" s="1"/>
  <c r="BA169" i="73" s="1"/>
  <c r="AI97" i="2"/>
  <c r="AI100" i="2" s="1"/>
  <c r="AI174" i="2"/>
  <c r="AS10" i="51"/>
  <c r="AS11" i="51"/>
  <c r="M143" i="2"/>
  <c r="M145" i="2" s="1"/>
  <c r="M146" i="2" s="1"/>
  <c r="M147" i="2" s="1"/>
  <c r="M141" i="2" s="1"/>
  <c r="M169" i="2"/>
  <c r="M181" i="2" s="1"/>
  <c r="M66" i="2"/>
  <c r="AQ9" i="51"/>
  <c r="AQ12" i="51" s="1"/>
  <c r="BM85" i="2"/>
  <c r="AD83" i="2"/>
  <c r="AY65" i="3"/>
  <c r="AY86" i="2"/>
  <c r="BM64" i="3"/>
  <c r="AD62" i="3"/>
  <c r="AD86" i="2" s="1"/>
  <c r="BL83" i="2"/>
  <c r="BG62" i="3"/>
  <c r="BG86" i="2" s="1"/>
  <c r="BB85" i="2"/>
  <c r="BS83" i="2"/>
  <c r="J62" i="3"/>
  <c r="J64" i="3"/>
  <c r="AD85" i="2"/>
  <c r="V65" i="3"/>
  <c r="BG85" i="2"/>
  <c r="BT61" i="3"/>
  <c r="BN44" i="51"/>
  <c r="AP337" i="73"/>
  <c r="AP376" i="73"/>
  <c r="AP405" i="73" s="1"/>
  <c r="AW40" i="4"/>
  <c r="AW41" i="4" s="1"/>
  <c r="AW35" i="73"/>
  <c r="AP134" i="73"/>
  <c r="AP448" i="73" s="1"/>
  <c r="AP369" i="73"/>
  <c r="AW36" i="4"/>
  <c r="AP116" i="73"/>
  <c r="BI30" i="51"/>
  <c r="BO56" i="51"/>
  <c r="BC64" i="51"/>
  <c r="AW57" i="4"/>
  <c r="BQ295" i="73"/>
  <c r="BQ383" i="73" s="1"/>
  <c r="AQ115" i="73"/>
  <c r="AQ123" i="73" s="1"/>
  <c r="AS64" i="51"/>
  <c r="AY71" i="51" s="1"/>
  <c r="BM22" i="51"/>
  <c r="BM28" i="51" s="1"/>
  <c r="BL43" i="51"/>
  <c r="BL45" i="51"/>
  <c r="BK20" i="51"/>
  <c r="BK49" i="51"/>
  <c r="BS45" i="51"/>
  <c r="BF48" i="51"/>
  <c r="BS43" i="51"/>
  <c r="BZ45" i="51"/>
  <c r="BT45" i="51"/>
  <c r="BN45" i="51"/>
  <c r="BH45" i="51"/>
  <c r="BT43" i="51"/>
  <c r="BF20" i="51"/>
  <c r="BL49" i="51"/>
  <c r="BF49" i="51"/>
  <c r="BO43" i="51"/>
  <c r="BT14" i="51"/>
  <c r="BS14" i="51"/>
  <c r="BL14" i="51"/>
  <c r="BW14" i="51"/>
  <c r="BS17" i="51"/>
  <c r="BF70" i="51"/>
  <c r="BZ17" i="51"/>
  <c r="BT17" i="51"/>
  <c r="BO17" i="51"/>
  <c r="BH17" i="51"/>
  <c r="BL17" i="51"/>
  <c r="BW17" i="51"/>
  <c r="BO14" i="51"/>
  <c r="BK28" i="51"/>
  <c r="AP379" i="73"/>
  <c r="BG39" i="73"/>
  <c r="AP132" i="73"/>
  <c r="AP399" i="73" s="1"/>
  <c r="AQ41" i="73"/>
  <c r="AQ334" i="73" s="1"/>
  <c r="AV116" i="73"/>
  <c r="AS49" i="51"/>
  <c r="AZ69" i="51"/>
  <c r="AY49" i="51"/>
  <c r="AM50" i="73"/>
  <c r="AM49" i="73" s="1"/>
  <c r="AM51" i="73" s="1"/>
  <c r="BI131" i="73"/>
  <c r="BA42" i="73"/>
  <c r="BA334" i="73"/>
  <c r="BI118" i="73"/>
  <c r="BF357" i="73"/>
  <c r="AU47" i="73"/>
  <c r="AU396" i="73" s="1"/>
  <c r="AU41" i="73"/>
  <c r="AU334" i="73" s="1"/>
  <c r="BI373" i="73"/>
  <c r="DK34" i="51"/>
  <c r="AM100" i="73"/>
  <c r="AM99" i="73" s="1"/>
  <c r="AQ38" i="73"/>
  <c r="BF369" i="73"/>
  <c r="AM376" i="73"/>
  <c r="AM384" i="73" s="1"/>
  <c r="AW102" i="51"/>
  <c r="AH376" i="73"/>
  <c r="BC63" i="51"/>
  <c r="BB71" i="51"/>
  <c r="AV64" i="4"/>
  <c r="AV58" i="4"/>
  <c r="AQ355" i="73"/>
  <c r="AM357" i="73"/>
  <c r="E176" i="2"/>
  <c r="E182" i="2" s="1"/>
  <c r="E183" i="2" s="1"/>
  <c r="E184" i="2" s="1"/>
  <c r="E185" i="2" s="1"/>
  <c r="AP125" i="73"/>
  <c r="BF60" i="2"/>
  <c r="AG97" i="2"/>
  <c r="AG100" i="2" s="1"/>
  <c r="AG174" i="2"/>
  <c r="AC167" i="2"/>
  <c r="AC60" i="2"/>
  <c r="AC79" i="54"/>
  <c r="AW66" i="2"/>
  <c r="AW169" i="2"/>
  <c r="AW181" i="2" s="1"/>
  <c r="AW143" i="2"/>
  <c r="AW145" i="2" s="1"/>
  <c r="AW146" i="2" s="1"/>
  <c r="AW147" i="2" s="1"/>
  <c r="AW141" i="2" s="1"/>
  <c r="AQ176" i="2"/>
  <c r="AQ182" i="2" s="1"/>
  <c r="AQ183" i="2" s="1"/>
  <c r="AQ184" i="2" s="1"/>
  <c r="AD168" i="2"/>
  <c r="AD65" i="2"/>
  <c r="AO97" i="2"/>
  <c r="AO100" i="2" s="1"/>
  <c r="AO174" i="2"/>
  <c r="C167" i="2"/>
  <c r="AP70" i="51"/>
  <c r="AD176" i="2"/>
  <c r="AD182" i="2" s="1"/>
  <c r="AD183" i="2" s="1"/>
  <c r="AD184" i="2" s="1"/>
  <c r="BF64" i="3"/>
  <c r="BF167" i="2"/>
  <c r="AQ46" i="4"/>
  <c r="AQ47" i="4" s="1"/>
  <c r="AK57" i="4"/>
  <c r="AK46" i="4"/>
  <c r="AQ63" i="51"/>
  <c r="AQ57" i="4"/>
  <c r="AP64" i="4"/>
  <c r="AP58" i="4"/>
  <c r="W167" i="2"/>
  <c r="W60" i="2"/>
  <c r="BF266" i="73"/>
  <c r="BF278" i="73"/>
  <c r="AP126" i="73"/>
  <c r="AP119" i="73" s="1"/>
  <c r="AV120" i="73" s="1"/>
  <c r="AQ109" i="73"/>
  <c r="BF79" i="54"/>
  <c r="AM369" i="73"/>
  <c r="D167" i="2"/>
  <c r="AW60" i="51"/>
  <c r="AQ14" i="4"/>
  <c r="AQ10" i="4"/>
  <c r="AQ12" i="4"/>
  <c r="AQ16" i="4"/>
  <c r="AV69" i="51"/>
  <c r="AY167" i="2"/>
  <c r="AY79" i="54"/>
  <c r="AY60" i="2"/>
  <c r="AY64" i="3"/>
  <c r="Q167" i="2"/>
  <c r="Q60" i="2"/>
  <c r="L176" i="2"/>
  <c r="L182" i="2" s="1"/>
  <c r="L183" i="2" s="1"/>
  <c r="L184" i="2" s="1"/>
  <c r="BB67" i="51"/>
  <c r="P174" i="2"/>
  <c r="P79" i="54"/>
  <c r="P97" i="2"/>
  <c r="P100" i="2" s="1"/>
  <c r="AV176" i="2"/>
  <c r="AV182" i="2" s="1"/>
  <c r="AV183" i="2" s="1"/>
  <c r="AV184" i="2" s="1"/>
  <c r="AQ60" i="51"/>
  <c r="AK16" i="4"/>
  <c r="AK10" i="4"/>
  <c r="AK12" i="4"/>
  <c r="AK14" i="4"/>
  <c r="V97" i="2"/>
  <c r="V100" i="2" s="1"/>
  <c r="V174" i="2"/>
  <c r="V79" i="54"/>
  <c r="BB69" i="51"/>
  <c r="AW33" i="4"/>
  <c r="CA46" i="4"/>
  <c r="CA47" i="4" s="1"/>
  <c r="BC12" i="4"/>
  <c r="BI60" i="51"/>
  <c r="AM220" i="73"/>
  <c r="AM219" i="73" s="1"/>
  <c r="AM221" i="73" s="1"/>
  <c r="AM222" i="73" s="1"/>
  <c r="AM97" i="73"/>
  <c r="AM396" i="73"/>
  <c r="DF11" i="51"/>
  <c r="DJ19" i="51" s="1"/>
  <c r="AZ43" i="51"/>
  <c r="AT43" i="51"/>
  <c r="AZ45" i="51"/>
  <c r="AO59" i="4"/>
  <c r="AM350" i="73"/>
  <c r="AM349" i="73" s="1"/>
  <c r="BL71" i="51"/>
  <c r="BF71" i="51"/>
  <c r="BG42" i="73"/>
  <c r="BG334" i="73"/>
  <c r="AM334" i="73"/>
  <c r="AM311" i="73"/>
  <c r="BB83" i="2"/>
  <c r="BN84" i="2"/>
  <c r="M84" i="2"/>
  <c r="M61" i="3"/>
  <c r="M62" i="3" s="1"/>
  <c r="K62" i="3"/>
  <c r="K86" i="2" s="1"/>
  <c r="BU86" i="3"/>
  <c r="X84" i="2"/>
  <c r="BO29" i="3"/>
  <c r="BO61" i="3" s="1"/>
  <c r="BU61" i="3"/>
  <c r="BU84" i="2"/>
  <c r="BC81" i="54"/>
  <c r="BC40" i="3"/>
  <c r="BC53" i="3" s="1"/>
  <c r="AQ50" i="3"/>
  <c r="BC106" i="2"/>
  <c r="BC107" i="2" s="1"/>
  <c r="CD27" i="54"/>
  <c r="BR59" i="4"/>
  <c r="BT333" i="73"/>
  <c r="AS34" i="73"/>
  <c r="AS37" i="73" s="1"/>
  <c r="BQ59" i="4"/>
  <c r="AS445" i="73"/>
  <c r="AQ163" i="73"/>
  <c r="AT37" i="73"/>
  <c r="AQ37" i="73"/>
  <c r="AQ44" i="73"/>
  <c r="BS69" i="51"/>
  <c r="BS62" i="4"/>
  <c r="DR30" i="51"/>
  <c r="BX13" i="51"/>
  <c r="DH10" i="51"/>
  <c r="DL18" i="51" s="1"/>
  <c r="DJ10" i="51"/>
  <c r="DJ18" i="51" s="1"/>
  <c r="DP9" i="51"/>
  <c r="DP17" i="51" s="1"/>
  <c r="DQ10" i="51"/>
  <c r="BX15" i="51"/>
  <c r="AW62" i="51"/>
  <c r="AW13" i="51"/>
  <c r="BO64" i="51"/>
  <c r="BO19" i="51"/>
  <c r="DO10" i="51"/>
  <c r="DO18" i="51" s="1"/>
  <c r="DQ9" i="51"/>
  <c r="DP10" i="51"/>
  <c r="DP18" i="51" s="1"/>
  <c r="DI11" i="51"/>
  <c r="DI19" i="51" s="1"/>
  <c r="DO9" i="51"/>
  <c r="DO17" i="51" s="1"/>
  <c r="BI63" i="51"/>
  <c r="BI15" i="51"/>
  <c r="BO45" i="51" s="1"/>
  <c r="DJ9" i="51"/>
  <c r="DJ17" i="51" s="1"/>
  <c r="BT61" i="4"/>
  <c r="BI102" i="51"/>
  <c r="BI36" i="4"/>
  <c r="BX63" i="51"/>
  <c r="DR31" i="51"/>
  <c r="CO85" i="3"/>
  <c r="CP48" i="3"/>
  <c r="BS62" i="3"/>
  <c r="BS65" i="3" s="1"/>
  <c r="AP53" i="3"/>
  <c r="AP84" i="2"/>
  <c r="AP61" i="3"/>
  <c r="AP64" i="3" s="1"/>
  <c r="AO53" i="3"/>
  <c r="AO61" i="3"/>
  <c r="AO84" i="2"/>
  <c r="AE29" i="3"/>
  <c r="W61" i="3"/>
  <c r="W53" i="3"/>
  <c r="W84" i="2"/>
  <c r="AJ29" i="3"/>
  <c r="AV84" i="2"/>
  <c r="AV53" i="3"/>
  <c r="AV61" i="3"/>
  <c r="BS64" i="3"/>
  <c r="B17" i="52"/>
  <c r="B18" i="52" s="1"/>
  <c r="AK73" i="3"/>
  <c r="AQ69" i="3" s="1"/>
  <c r="AK77" i="3"/>
  <c r="AK78" i="3"/>
  <c r="AK79" i="3"/>
  <c r="BU53" i="3"/>
  <c r="BU83" i="2" s="1"/>
  <c r="L84" i="2"/>
  <c r="BN61" i="3"/>
  <c r="BN85" i="2" s="1"/>
  <c r="M53" i="3"/>
  <c r="M56" i="3" s="1"/>
  <c r="BY112" i="2"/>
  <c r="AK20" i="3"/>
  <c r="S168" i="2"/>
  <c r="K120" i="2"/>
  <c r="K116" i="2"/>
  <c r="L105" i="2"/>
  <c r="BO84" i="3"/>
  <c r="BH53" i="3"/>
  <c r="BH61" i="3"/>
  <c r="BH84" i="2"/>
  <c r="AT83" i="2"/>
  <c r="Y29" i="3"/>
  <c r="AZ62" i="3"/>
  <c r="AZ85" i="2"/>
  <c r="BS85" i="2"/>
  <c r="L65" i="2"/>
  <c r="L168" i="2"/>
  <c r="AN64" i="3"/>
  <c r="AN62" i="3"/>
  <c r="AN85" i="2"/>
  <c r="BR120" i="2"/>
  <c r="BR116" i="2"/>
  <c r="BS105" i="2"/>
  <c r="K64" i="3"/>
  <c r="BN53" i="3"/>
  <c r="BN83" i="2" s="1"/>
  <c r="BX121" i="2"/>
  <c r="BO50" i="3"/>
  <c r="C17" i="52"/>
  <c r="C18" i="52" s="1"/>
  <c r="BA84" i="2"/>
  <c r="BA61" i="3"/>
  <c r="BA53" i="3"/>
  <c r="AC61" i="3"/>
  <c r="AC53" i="3"/>
  <c r="AC84" i="2"/>
  <c r="AH83" i="2"/>
  <c r="AU53" i="3"/>
  <c r="AU84" i="2"/>
  <c r="AU61" i="3"/>
  <c r="AH64" i="3"/>
  <c r="AH62" i="3"/>
  <c r="AH94" i="3"/>
  <c r="AH85" i="2"/>
  <c r="AT85" i="2"/>
  <c r="AT64" i="3"/>
  <c r="AT62" i="3"/>
  <c r="CI74" i="3"/>
  <c r="AQ29" i="3"/>
  <c r="AI53" i="3"/>
  <c r="AI84" i="2"/>
  <c r="AI61" i="3"/>
  <c r="AB64" i="3"/>
  <c r="AB62" i="3"/>
  <c r="AB85" i="2"/>
  <c r="CL84" i="3"/>
  <c r="CM85" i="3"/>
  <c r="AZ83" i="2"/>
  <c r="AB83" i="2"/>
  <c r="BK86" i="2"/>
  <c r="BK65" i="3"/>
  <c r="AN83" i="2"/>
  <c r="CA49" i="4"/>
  <c r="CA43" i="4"/>
  <c r="BU455" i="73"/>
  <c r="BU18" i="73" s="1"/>
  <c r="BU19" i="73" s="1"/>
  <c r="AG376" i="73"/>
  <c r="AG384" i="73" s="1"/>
  <c r="BZ241" i="73"/>
  <c r="BY243" i="73"/>
  <c r="BF399" i="73"/>
  <c r="BF408" i="73" s="1"/>
  <c r="BF136" i="73"/>
  <c r="BN178" i="73"/>
  <c r="BN181" i="73"/>
  <c r="BN182" i="73" s="1"/>
  <c r="BO177" i="73"/>
  <c r="BO188" i="73" s="1"/>
  <c r="AN200" i="73"/>
  <c r="AT200" i="73"/>
  <c r="AY42" i="73"/>
  <c r="AY357" i="73" s="1"/>
  <c r="CV155" i="73"/>
  <c r="CU154" i="73"/>
  <c r="BH137" i="73"/>
  <c r="BH429" i="73"/>
  <c r="BH438" i="73" s="1"/>
  <c r="BI132" i="73"/>
  <c r="BI340" i="73"/>
  <c r="AN217" i="73"/>
  <c r="AN223" i="73" s="1"/>
  <c r="AN380" i="73"/>
  <c r="AN361" i="73"/>
  <c r="CU188" i="73"/>
  <c r="CY188" i="73" s="1"/>
  <c r="CS188" i="73"/>
  <c r="BU456" i="73"/>
  <c r="BU20" i="73" s="1"/>
  <c r="BU21" i="73" s="1"/>
  <c r="AB42" i="73"/>
  <c r="CW182" i="73"/>
  <c r="CX182" i="73"/>
  <c r="AS276" i="73"/>
  <c r="AW269" i="73"/>
  <c r="AW276" i="73" s="1"/>
  <c r="BL271" i="73"/>
  <c r="BL278" i="73" s="1"/>
  <c r="BL273" i="73"/>
  <c r="BF182" i="73"/>
  <c r="BG182" i="73"/>
  <c r="BE182" i="73"/>
  <c r="BB182" i="73"/>
  <c r="BE266" i="73"/>
  <c r="AO178" i="73"/>
  <c r="AO206" i="73"/>
  <c r="AO199" i="73"/>
  <c r="AO184" i="73"/>
  <c r="CU182" i="73"/>
  <c r="CY181" i="73"/>
  <c r="CY192" i="73" s="1"/>
  <c r="AW429" i="73"/>
  <c r="AW438" i="73" s="1"/>
  <c r="AW137" i="73"/>
  <c r="BK402" i="73"/>
  <c r="BK274" i="73"/>
  <c r="BG273" i="73"/>
  <c r="BR181" i="73"/>
  <c r="BT178" i="73"/>
  <c r="BW178" i="73"/>
  <c r="BR178" i="73"/>
  <c r="BS178" i="73"/>
  <c r="CR148" i="73"/>
  <c r="CU149" i="73"/>
  <c r="AE42" i="73"/>
  <c r="BL337" i="73"/>
  <c r="BL116" i="73"/>
  <c r="BL379" i="73"/>
  <c r="BL132" i="73"/>
  <c r="BL134" i="73"/>
  <c r="BO115" i="73"/>
  <c r="BO118" i="73" s="1"/>
  <c r="BZ140" i="73"/>
  <c r="BY141" i="73"/>
  <c r="BY142" i="73" s="1"/>
  <c r="CQ182" i="73"/>
  <c r="CR182" i="73"/>
  <c r="BF446" i="73"/>
  <c r="BF447" i="73"/>
  <c r="AW188" i="73"/>
  <c r="AW185" i="73" s="1"/>
  <c r="AO211" i="73"/>
  <c r="AO202" i="73"/>
  <c r="AO338" i="73"/>
  <c r="BI134" i="73"/>
  <c r="BI135" i="73" s="1"/>
  <c r="CP182" i="73"/>
  <c r="BN137" i="73"/>
  <c r="BN429" i="73"/>
  <c r="BN438" i="73" s="1"/>
  <c r="AM223" i="73"/>
  <c r="BC410" i="73"/>
  <c r="CO182" i="73"/>
  <c r="CS181" i="73"/>
  <c r="CS192" i="73" s="1"/>
  <c r="BI261" i="73"/>
  <c r="AM210" i="73"/>
  <c r="AS271" i="73"/>
  <c r="AS278" i="73" s="1"/>
  <c r="AS432" i="73" s="1"/>
  <c r="AW267" i="73"/>
  <c r="AS273" i="73"/>
  <c r="AS402" i="73" s="1"/>
  <c r="BY179" i="73"/>
  <c r="BZ176" i="73"/>
  <c r="BU177" i="73"/>
  <c r="BU188" i="73" s="1"/>
  <c r="BQ181" i="73"/>
  <c r="BQ178" i="73"/>
  <c r="CU40" i="73"/>
  <c r="CR39" i="73"/>
  <c r="CR145" i="73"/>
  <c r="CU146" i="73"/>
  <c r="AY271" i="73"/>
  <c r="AY278" i="73" s="1"/>
  <c r="AY273" i="73"/>
  <c r="AY182" i="73"/>
  <c r="AV182" i="73"/>
  <c r="AV199" i="73"/>
  <c r="AW181" i="73"/>
  <c r="AV206" i="73"/>
  <c r="AV180" i="73"/>
  <c r="AZ182" i="73"/>
  <c r="AG224" i="73"/>
  <c r="AG400" i="73"/>
  <c r="AP177" i="73"/>
  <c r="AP179" i="73"/>
  <c r="AQ179" i="73"/>
  <c r="AY266" i="73"/>
  <c r="BE137" i="73"/>
  <c r="BE429" i="73"/>
  <c r="BE438" i="73" s="1"/>
  <c r="BI448" i="73"/>
  <c r="CV182" i="73"/>
  <c r="DI32" i="51"/>
  <c r="DI45" i="51" s="1"/>
  <c r="BK64" i="51"/>
  <c r="BC118" i="73"/>
  <c r="BC446" i="73"/>
  <c r="BC161" i="73"/>
  <c r="BC131" i="73"/>
  <c r="BC373" i="73"/>
  <c r="BC447" i="73"/>
  <c r="BC260" i="73"/>
  <c r="BO131" i="73"/>
  <c r="BO299" i="73"/>
  <c r="BO374" i="73"/>
  <c r="BO96" i="73"/>
  <c r="BO260" i="73"/>
  <c r="AK396" i="73"/>
  <c r="AH58" i="4"/>
  <c r="AB64" i="4"/>
  <c r="BR295" i="73"/>
  <c r="BR341" i="73"/>
  <c r="BR300" i="73"/>
  <c r="BR403" i="73" s="1"/>
  <c r="BE70" i="51"/>
  <c r="BO37" i="73"/>
  <c r="BU230" i="73"/>
  <c r="BU171" i="73"/>
  <c r="BU104" i="73"/>
  <c r="BU80" i="73"/>
  <c r="BU139" i="73"/>
  <c r="BU281" i="73"/>
  <c r="BU29" i="73"/>
  <c r="CA6" i="4"/>
  <c r="CA54" i="73" s="1"/>
  <c r="AN357" i="73"/>
  <c r="AN343" i="73"/>
  <c r="AN369" i="73"/>
  <c r="AN376" i="73"/>
  <c r="BC35" i="73"/>
  <c r="AT71" i="51"/>
  <c r="AZ71" i="51"/>
  <c r="BW37" i="4"/>
  <c r="BW8" i="51" s="1"/>
  <c r="BW11" i="51" s="1"/>
  <c r="BO63" i="51"/>
  <c r="AN67" i="51"/>
  <c r="AN68" i="51"/>
  <c r="AH68" i="51"/>
  <c r="BC37" i="73"/>
  <c r="DJ31" i="51"/>
  <c r="DJ44" i="51" s="1"/>
  <c r="BL63" i="51"/>
  <c r="CV40" i="4"/>
  <c r="CW42" i="4"/>
  <c r="CV44" i="4"/>
  <c r="AM346" i="73"/>
  <c r="AM347" i="73"/>
  <c r="AN334" i="73"/>
  <c r="AN311" i="73"/>
  <c r="BS341" i="73"/>
  <c r="BS300" i="73"/>
  <c r="BS403" i="73" s="1"/>
  <c r="AN164" i="73"/>
  <c r="AN451" i="73" s="1"/>
  <c r="AN450" i="73" s="1"/>
  <c r="AN449" i="73" s="1"/>
  <c r="AN445" i="73" s="1"/>
  <c r="AT70" i="51"/>
  <c r="AZ70" i="51"/>
  <c r="AJ40" i="4"/>
  <c r="AE39" i="4"/>
  <c r="AD57" i="4"/>
  <c r="AQ260" i="73"/>
  <c r="AQ370" i="73"/>
  <c r="AQ299" i="73"/>
  <c r="AQ96" i="73"/>
  <c r="AQ161" i="73"/>
  <c r="AQ373" i="73"/>
  <c r="AQ375" i="73"/>
  <c r="AQ27" i="73"/>
  <c r="AQ374" i="73"/>
  <c r="BN112" i="73"/>
  <c r="BN109" i="73" s="1"/>
  <c r="BN299" i="73"/>
  <c r="BN294" i="73"/>
  <c r="AQ167" i="73"/>
  <c r="BW62" i="51"/>
  <c r="DQ30" i="51"/>
  <c r="DU43" i="51" s="1"/>
  <c r="AN97" i="73"/>
  <c r="AN396" i="73"/>
  <c r="BO62" i="51"/>
  <c r="AQ169" i="73"/>
  <c r="AV164" i="73"/>
  <c r="AV451" i="73" s="1"/>
  <c r="AV450" i="73" s="1"/>
  <c r="AV449" i="73" s="1"/>
  <c r="AV445" i="73" s="1"/>
  <c r="BX62" i="51"/>
  <c r="BU367" i="73"/>
  <c r="DQ31" i="51"/>
  <c r="BW63" i="51"/>
  <c r="AO42" i="73"/>
  <c r="AO334" i="73"/>
  <c r="AO311" i="73"/>
  <c r="AT41" i="73"/>
  <c r="AT334" i="73" s="1"/>
  <c r="AT44" i="73"/>
  <c r="AT47" i="73"/>
  <c r="AT396" i="73" s="1"/>
  <c r="BS71" i="51"/>
  <c r="BX56" i="4"/>
  <c r="BX19" i="51" s="1"/>
  <c r="DJ30" i="51"/>
  <c r="DJ43" i="51" s="1"/>
  <c r="BL62" i="51"/>
  <c r="BC46" i="73"/>
  <c r="BB34" i="73"/>
  <c r="AY164" i="73"/>
  <c r="AY451" i="73" s="1"/>
  <c r="AY450" i="73" s="1"/>
  <c r="AY449" i="73" s="1"/>
  <c r="AY445" i="73" s="1"/>
  <c r="AO396" i="73"/>
  <c r="AO97" i="73"/>
  <c r="AO398" i="73" s="1"/>
  <c r="AH81" i="51"/>
  <c r="AN81" i="51"/>
  <c r="BX37" i="4"/>
  <c r="BX8" i="51" s="1"/>
  <c r="BX11" i="51" s="1"/>
  <c r="BM296" i="73"/>
  <c r="BQ341" i="73"/>
  <c r="BQ300" i="73"/>
  <c r="BQ403" i="73" s="1"/>
  <c r="AQ46" i="73"/>
  <c r="BI367" i="73"/>
  <c r="AQ131" i="73"/>
  <c r="AU164" i="73"/>
  <c r="AU451" i="73" s="1"/>
  <c r="AU450" i="73" s="1"/>
  <c r="AU449" i="73" s="1"/>
  <c r="AU445" i="73" s="1"/>
  <c r="AO164" i="73"/>
  <c r="AO451" i="73" s="1"/>
  <c r="AO450" i="73" s="1"/>
  <c r="AO449" i="73" s="1"/>
  <c r="AO445" i="73" s="1"/>
  <c r="AQ47" i="73"/>
  <c r="AQ48" i="73" s="1"/>
  <c r="BC10" i="4"/>
  <c r="AI164" i="73"/>
  <c r="AI451" i="73" s="1"/>
  <c r="AI450" i="73" s="1"/>
  <c r="AI449" i="73" s="1"/>
  <c r="AI445" i="73" s="1"/>
  <c r="BO367" i="73"/>
  <c r="AZ42" i="73"/>
  <c r="BS295" i="73"/>
  <c r="AH69" i="51"/>
  <c r="AN69" i="51"/>
  <c r="AS46" i="73"/>
  <c r="AS47" i="73"/>
  <c r="AS44" i="73"/>
  <c r="AS41" i="73"/>
  <c r="AS334" i="73" s="1"/>
  <c r="AZ44" i="73"/>
  <c r="BU176" i="2"/>
  <c r="BU182" i="2" s="1"/>
  <c r="BU183" i="2" s="1"/>
  <c r="BU184" i="2" s="1"/>
  <c r="R176" i="2"/>
  <c r="R182" i="2" s="1"/>
  <c r="R183" i="2" s="1"/>
  <c r="R184" i="2" s="1"/>
  <c r="AP79" i="54"/>
  <c r="AP167" i="2"/>
  <c r="AP60" i="2"/>
  <c r="BU58" i="4"/>
  <c r="BQ100" i="2"/>
  <c r="BB167" i="2"/>
  <c r="BB79" i="54"/>
  <c r="BB60" i="2"/>
  <c r="BX79" i="54"/>
  <c r="BX167" i="2"/>
  <c r="BX60" i="2"/>
  <c r="BY37" i="73"/>
  <c r="BY44" i="4"/>
  <c r="BH69" i="51"/>
  <c r="BN69" i="51"/>
  <c r="BT174" i="2"/>
  <c r="BT97" i="2"/>
  <c r="BT100" i="2" s="1"/>
  <c r="AW370" i="73"/>
  <c r="AW96" i="73"/>
  <c r="AW373" i="73"/>
  <c r="AW161" i="73"/>
  <c r="AW446" i="73"/>
  <c r="AW375" i="73"/>
  <c r="AW131" i="73"/>
  <c r="AW371" i="73"/>
  <c r="AW260" i="73"/>
  <c r="AW374" i="73"/>
  <c r="AW367" i="73"/>
  <c r="AW118" i="73"/>
  <c r="AW27" i="73"/>
  <c r="AW299" i="73"/>
  <c r="AW447" i="73"/>
  <c r="BC367" i="73"/>
  <c r="I97" i="2"/>
  <c r="I79" i="54"/>
  <c r="I83" i="54" s="1"/>
  <c r="J78" i="54" s="1"/>
  <c r="J83" i="54" s="1"/>
  <c r="K78" i="54" s="1"/>
  <c r="I174" i="2"/>
  <c r="BR79" i="54"/>
  <c r="BR167" i="2"/>
  <c r="BR60" i="2"/>
  <c r="BR64" i="3"/>
  <c r="X145" i="2"/>
  <c r="X146" i="2" s="1"/>
  <c r="X147" i="2" s="1"/>
  <c r="X141" i="2" s="1"/>
  <c r="BL266" i="73"/>
  <c r="BC57" i="4"/>
  <c r="BI62" i="51"/>
  <c r="BC40" i="4"/>
  <c r="BC41" i="4" s="1"/>
  <c r="BI40" i="4"/>
  <c r="BI41" i="4" s="1"/>
  <c r="AS69" i="51"/>
  <c r="AY69" i="51"/>
  <c r="BY50" i="4"/>
  <c r="BW97" i="2"/>
  <c r="BW174" i="2"/>
  <c r="BB58" i="4"/>
  <c r="BB64" i="4"/>
  <c r="BH58" i="4"/>
  <c r="BO265" i="73"/>
  <c r="BO264" i="73"/>
  <c r="BC33" i="4"/>
  <c r="F167" i="2"/>
  <c r="BR144" i="2"/>
  <c r="BR145" i="2" s="1"/>
  <c r="BR146" i="2" s="1"/>
  <c r="BR147" i="2" s="1"/>
  <c r="BR141" i="2" s="1"/>
  <c r="AW37" i="73"/>
  <c r="BI33" i="4"/>
  <c r="DN34" i="51"/>
  <c r="BR22" i="51"/>
  <c r="BW316" i="73"/>
  <c r="BW89" i="73"/>
  <c r="BW39" i="73"/>
  <c r="BG97" i="2"/>
  <c r="BG100" i="2" s="1"/>
  <c r="BG174" i="2"/>
  <c r="AB100" i="2"/>
  <c r="CA13" i="4"/>
  <c r="BM97" i="2"/>
  <c r="BM100" i="2" s="1"/>
  <c r="BM174" i="2"/>
  <c r="R65" i="2"/>
  <c r="R168" i="2"/>
  <c r="BO297" i="73"/>
  <c r="BI299" i="73"/>
  <c r="BX144" i="2"/>
  <c r="BX145" i="2" s="1"/>
  <c r="BX146" i="2" s="1"/>
  <c r="BX147" i="2" s="1"/>
  <c r="BX141" i="2" s="1"/>
  <c r="BI55" i="4"/>
  <c r="BI56" i="4" s="1"/>
  <c r="BH56" i="4"/>
  <c r="BH19" i="51" s="1"/>
  <c r="BK144" i="2"/>
  <c r="BK145" i="2" s="1"/>
  <c r="BK146" i="2" s="1"/>
  <c r="BK147" i="2" s="1"/>
  <c r="BK141" i="2" s="1"/>
  <c r="BK451" i="73"/>
  <c r="BO176" i="2"/>
  <c r="BO182" i="2" s="1"/>
  <c r="BO183" i="2" s="1"/>
  <c r="BO184" i="2" s="1"/>
  <c r="BH34" i="73"/>
  <c r="BI35" i="73"/>
  <c r="BI37" i="73"/>
  <c r="G176" i="2"/>
  <c r="G182" i="2" s="1"/>
  <c r="G183" i="2" s="1"/>
  <c r="G184" i="2" s="1"/>
  <c r="G185" i="2" s="1"/>
  <c r="AM100" i="2"/>
  <c r="O60" i="2"/>
  <c r="O167" i="2"/>
  <c r="O64" i="3"/>
  <c r="BY37" i="4"/>
  <c r="BY8" i="51" s="1"/>
  <c r="BY11" i="51" s="1"/>
  <c r="CA15" i="4"/>
  <c r="BT62" i="51"/>
  <c r="DP30" i="51"/>
  <c r="AG450" i="73"/>
  <c r="AG449" i="73" s="1"/>
  <c r="AG445" i="73" s="1"/>
  <c r="DH31" i="51"/>
  <c r="DL44" i="51" s="1"/>
  <c r="BH63" i="51"/>
  <c r="AU70" i="51"/>
  <c r="BA70" i="51"/>
  <c r="BO58" i="4"/>
  <c r="BO64" i="4"/>
  <c r="AE169" i="2"/>
  <c r="AE181" i="2" s="1"/>
  <c r="AE143" i="2"/>
  <c r="AE145" i="2" s="1"/>
  <c r="AE146" i="2" s="1"/>
  <c r="AE147" i="2" s="1"/>
  <c r="AE141" i="2" s="1"/>
  <c r="AE66" i="2"/>
  <c r="BK266" i="73"/>
  <c r="BK278" i="73"/>
  <c r="B10" i="52"/>
  <c r="BK168" i="73"/>
  <c r="AS79" i="54"/>
  <c r="AS167" i="2"/>
  <c r="AS60" i="2"/>
  <c r="AS64" i="3"/>
  <c r="U97" i="2"/>
  <c r="U79" i="54"/>
  <c r="U174" i="2"/>
  <c r="BX64" i="3"/>
  <c r="BI64" i="4"/>
  <c r="AV43" i="73"/>
  <c r="BB46" i="73"/>
  <c r="BB41" i="73"/>
  <c r="BB42" i="73" s="1"/>
  <c r="AK176" i="2"/>
  <c r="AK182" i="2" s="1"/>
  <c r="AK183" i="2" s="1"/>
  <c r="AK184" i="2" s="1"/>
  <c r="BX89" i="73"/>
  <c r="BX316" i="73"/>
  <c r="BX39" i="73"/>
  <c r="BT56" i="4"/>
  <c r="BT19" i="51" s="1"/>
  <c r="CO144" i="2"/>
  <c r="BH81" i="51"/>
  <c r="X176" i="2"/>
  <c r="X182" i="2" s="1"/>
  <c r="X183" i="2" s="1"/>
  <c r="X184" i="2" s="1"/>
  <c r="BH43" i="73"/>
  <c r="BI46" i="73"/>
  <c r="BI44" i="73"/>
  <c r="S176" i="2"/>
  <c r="S182" i="2" s="1"/>
  <c r="S183" i="2" s="1"/>
  <c r="S184" i="2" s="1"/>
  <c r="BS174" i="2"/>
  <c r="BS97" i="2"/>
  <c r="BS100" i="2" s="1"/>
  <c r="BL144" i="2"/>
  <c r="BL145" i="2" s="1"/>
  <c r="BL146" i="2" s="1"/>
  <c r="BL147" i="2" s="1"/>
  <c r="BL141" i="2" s="1"/>
  <c r="BI176" i="2"/>
  <c r="BI182" i="2" s="1"/>
  <c r="BI183" i="2" s="1"/>
  <c r="BI184" i="2" s="1"/>
  <c r="BC296" i="73"/>
  <c r="BC14" i="4"/>
  <c r="BT34" i="73"/>
  <c r="BN37" i="73"/>
  <c r="G65" i="2"/>
  <c r="G11" i="54"/>
  <c r="G168" i="2"/>
  <c r="BL79" i="54"/>
  <c r="BL60" i="2"/>
  <c r="BL167" i="2"/>
  <c r="BB64" i="3"/>
  <c r="BC16" i="4"/>
  <c r="BY56" i="4"/>
  <c r="BC52" i="4"/>
  <c r="BC53" i="4" s="1"/>
  <c r="BI52" i="4"/>
  <c r="BI53" i="4" s="1"/>
  <c r="DP31" i="51"/>
  <c r="BT63" i="51"/>
  <c r="G67" i="2"/>
  <c r="G145" i="2"/>
  <c r="G146" i="2" s="1"/>
  <c r="G147" i="2" s="1"/>
  <c r="BN174" i="2"/>
  <c r="BN97" i="2"/>
  <c r="BN100" i="2" s="1"/>
  <c r="BU17" i="4"/>
  <c r="BU12" i="4" s="1"/>
  <c r="AZ167" i="2"/>
  <c r="AZ79" i="54"/>
  <c r="AZ60" i="2"/>
  <c r="AZ64" i="3"/>
  <c r="BB144" i="2"/>
  <c r="BB145" i="2" s="1"/>
  <c r="BB146" i="2" s="1"/>
  <c r="BB147" i="2" s="1"/>
  <c r="BB141" i="2" s="1"/>
  <c r="Y66" i="2"/>
  <c r="Y143" i="2"/>
  <c r="Y145" i="2" s="1"/>
  <c r="Y146" i="2" s="1"/>
  <c r="Y147" i="2" s="1"/>
  <c r="Y141" i="2" s="1"/>
  <c r="Y169" i="2"/>
  <c r="Y181" i="2" s="1"/>
  <c r="BH67" i="51"/>
  <c r="X168" i="2"/>
  <c r="X65" i="2"/>
  <c r="BK167" i="2"/>
  <c r="BK60" i="2"/>
  <c r="BK79" i="54"/>
  <c r="BK64" i="3"/>
  <c r="BU102" i="51"/>
  <c r="AY70" i="51"/>
  <c r="AS70" i="51"/>
  <c r="S145" i="2"/>
  <c r="S146" i="2" s="1"/>
  <c r="S147" i="2" s="1"/>
  <c r="S141" i="2" s="1"/>
  <c r="BC176" i="2"/>
  <c r="BC182" i="2" s="1"/>
  <c r="BC183" i="2" s="1"/>
  <c r="BC184" i="2" s="1"/>
  <c r="BQ141" i="2"/>
  <c r="AE11" i="54"/>
  <c r="AE168" i="2"/>
  <c r="AE65" i="2"/>
  <c r="CW80" i="2"/>
  <c r="AV168" i="2"/>
  <c r="AV65" i="2"/>
  <c r="CI31" i="2"/>
  <c r="BH132" i="2"/>
  <c r="BI132" i="2" s="1"/>
  <c r="BI131" i="2"/>
  <c r="CC50" i="3"/>
  <c r="CR80" i="2"/>
  <c r="AA141" i="2"/>
  <c r="CE188" i="2"/>
  <c r="J10" i="2"/>
  <c r="K55" i="3"/>
  <c r="K56" i="3" s="1"/>
  <c r="Q85" i="2"/>
  <c r="Q62" i="3"/>
  <c r="Q64" i="3"/>
  <c r="BX86" i="2"/>
  <c r="BX65" i="3"/>
  <c r="I72" i="2"/>
  <c r="I17" i="2"/>
  <c r="I73" i="2"/>
  <c r="L62" i="3"/>
  <c r="L85" i="2"/>
  <c r="BL65" i="3"/>
  <c r="BL86" i="2"/>
  <c r="BM65" i="3"/>
  <c r="BM86" i="2"/>
  <c r="BB86" i="2"/>
  <c r="BB65" i="3"/>
  <c r="Q83" i="2"/>
  <c r="BF86" i="2"/>
  <c r="BF65" i="3"/>
  <c r="BT62" i="3"/>
  <c r="X62" i="3" l="1"/>
  <c r="BM168" i="2"/>
  <c r="BW20" i="51"/>
  <c r="AZ432" i="73"/>
  <c r="AZ441" i="73" s="1"/>
  <c r="BW64" i="51"/>
  <c r="DQ32" i="51"/>
  <c r="CG66" i="3"/>
  <c r="BG83" i="2"/>
  <c r="D17" i="52"/>
  <c r="D18" i="52" s="1"/>
  <c r="BM65" i="2"/>
  <c r="CM86" i="73"/>
  <c r="AI346" i="73"/>
  <c r="CR43" i="51"/>
  <c r="AJ372" i="73"/>
  <c r="AK188" i="73"/>
  <c r="AK185" i="73" s="1"/>
  <c r="AK199" i="73" s="1"/>
  <c r="BC137" i="73"/>
  <c r="AJ343" i="73"/>
  <c r="AJ346" i="73" s="1"/>
  <c r="AJ217" i="73"/>
  <c r="AK217" i="73" s="1"/>
  <c r="AK218" i="73" s="1"/>
  <c r="BB382" i="73"/>
  <c r="BC382" i="73" s="1"/>
  <c r="BB350" i="73"/>
  <c r="AS303" i="73"/>
  <c r="AS302" i="73" s="1"/>
  <c r="AS304" i="73" s="1"/>
  <c r="AS433" i="73" s="1"/>
  <c r="AS442" i="73" s="1"/>
  <c r="BH100" i="73"/>
  <c r="AK161" i="73"/>
  <c r="AZ100" i="73"/>
  <c r="AZ99" i="73" s="1"/>
  <c r="AZ101" i="73" s="1"/>
  <c r="AZ102" i="73" s="1"/>
  <c r="AY214" i="73"/>
  <c r="AH220" i="73"/>
  <c r="AH219" i="73" s="1"/>
  <c r="AH221" i="73" s="1"/>
  <c r="AH222" i="73" s="1"/>
  <c r="BT154" i="73"/>
  <c r="BT153" i="73" s="1"/>
  <c r="BT145" i="73"/>
  <c r="BT144" i="73" s="1"/>
  <c r="CL43" i="51"/>
  <c r="BM46" i="1"/>
  <c r="BM64" i="1"/>
  <c r="CI7" i="4"/>
  <c r="CJ7" i="4" s="1"/>
  <c r="CK7" i="4" s="1"/>
  <c r="CL7" i="4" s="1"/>
  <c r="CO7" i="4" s="1"/>
  <c r="CP7" i="4" s="1"/>
  <c r="CQ7" i="4" s="1"/>
  <c r="CR7" i="4" s="1"/>
  <c r="CU7" i="4" s="1"/>
  <c r="CV7" i="4" s="1"/>
  <c r="CW7" i="4" s="1"/>
  <c r="CX7" i="4" s="1"/>
  <c r="AM333" i="73"/>
  <c r="BI53" i="3"/>
  <c r="CA102" i="51"/>
  <c r="BO102" i="51"/>
  <c r="CD33" i="51"/>
  <c r="BT246" i="73"/>
  <c r="BT186" i="73"/>
  <c r="BC102" i="51"/>
  <c r="BT368" i="73"/>
  <c r="X85" i="2"/>
  <c r="BY85" i="2"/>
  <c r="AY141" i="2"/>
  <c r="AQ141" i="2"/>
  <c r="BO120" i="2"/>
  <c r="AK141" i="2"/>
  <c r="BT148" i="73"/>
  <c r="BT287" i="73"/>
  <c r="BT116" i="73"/>
  <c r="BT115" i="73" s="1"/>
  <c r="BT337" i="73" s="1"/>
  <c r="CJ193" i="2"/>
  <c r="CK43" i="2"/>
  <c r="BT85" i="2"/>
  <c r="BC85" i="2"/>
  <c r="BC62" i="3"/>
  <c r="BC65" i="3" s="1"/>
  <c r="J56" i="2"/>
  <c r="J198" i="2"/>
  <c r="I202" i="2"/>
  <c r="I205" i="2" s="1"/>
  <c r="I62" i="2" s="1"/>
  <c r="I201" i="2"/>
  <c r="I204" i="2" s="1"/>
  <c r="BI185" i="2"/>
  <c r="BC185" i="2"/>
  <c r="S185" i="2"/>
  <c r="X185" i="2"/>
  <c r="AK185" i="2"/>
  <c r="BO185" i="2"/>
  <c r="BU185" i="2"/>
  <c r="AD185" i="2"/>
  <c r="R185" i="2"/>
  <c r="AV185" i="2"/>
  <c r="L185" i="2"/>
  <c r="AQ185" i="2"/>
  <c r="G52" i="2"/>
  <c r="AW64" i="1"/>
  <c r="BC64" i="1"/>
  <c r="S64" i="1"/>
  <c r="BT250" i="73"/>
  <c r="BT120" i="73"/>
  <c r="BT197" i="73"/>
  <c r="BT110" i="73"/>
  <c r="BT109" i="73" s="1"/>
  <c r="BT194" i="73"/>
  <c r="AM368" i="73"/>
  <c r="BT236" i="73"/>
  <c r="BT235" i="73" s="1"/>
  <c r="BT257" i="73" s="1"/>
  <c r="AM204" i="73"/>
  <c r="BS194" i="73"/>
  <c r="BS333" i="73"/>
  <c r="BS236" i="73"/>
  <c r="BS235" i="73" s="1"/>
  <c r="BS257" i="73" s="1"/>
  <c r="BS148" i="73"/>
  <c r="BS154" i="73"/>
  <c r="BS153" i="73" s="1"/>
  <c r="BS246" i="73"/>
  <c r="BS190" i="73"/>
  <c r="BS250" i="73"/>
  <c r="BS368" i="73"/>
  <c r="BS197" i="73"/>
  <c r="BS110" i="73"/>
  <c r="BS356" i="73"/>
  <c r="BS116" i="73"/>
  <c r="BS115" i="73" s="1"/>
  <c r="BS337" i="73" s="1"/>
  <c r="BS287" i="73"/>
  <c r="BS120" i="73"/>
  <c r="BS186" i="73"/>
  <c r="BS145" i="73"/>
  <c r="AN356" i="73"/>
  <c r="BQ368" i="73"/>
  <c r="CD333" i="73"/>
  <c r="BY34" i="51"/>
  <c r="AW64" i="4"/>
  <c r="BH59" i="4"/>
  <c r="BI58" i="4"/>
  <c r="BO59" i="4"/>
  <c r="BX34" i="51"/>
  <c r="BS57" i="1"/>
  <c r="AO368" i="73"/>
  <c r="AP59" i="4"/>
  <c r="AM356" i="73"/>
  <c r="BU59" i="4"/>
  <c r="BW34" i="51"/>
  <c r="BB59" i="4"/>
  <c r="AN201" i="73"/>
  <c r="AV59" i="4"/>
  <c r="AN368" i="73"/>
  <c r="AN204" i="73"/>
  <c r="CD356" i="73"/>
  <c r="BZ33" i="51"/>
  <c r="AK64" i="4"/>
  <c r="BT34" i="51"/>
  <c r="AN333" i="73"/>
  <c r="CD368" i="73"/>
  <c r="BT356" i="73"/>
  <c r="BS35" i="51"/>
  <c r="BY15" i="51"/>
  <c r="BY45" i="51" s="1"/>
  <c r="BY19" i="51"/>
  <c r="BY49" i="51" s="1"/>
  <c r="BY13" i="51"/>
  <c r="BY14" i="51" s="1"/>
  <c r="CM19" i="1"/>
  <c r="AZ303" i="73"/>
  <c r="BO67" i="51"/>
  <c r="AZ50" i="73"/>
  <c r="AZ49" i="73" s="1"/>
  <c r="AZ350" i="73"/>
  <c r="CU15" i="51"/>
  <c r="CU45" i="51" s="1"/>
  <c r="BI256" i="73"/>
  <c r="BI363" i="73" s="1"/>
  <c r="BF274" i="73"/>
  <c r="BE271" i="73"/>
  <c r="BE278" i="73" s="1"/>
  <c r="BE432" i="73" s="1"/>
  <c r="BB267" i="73"/>
  <c r="BB273" i="73" s="1"/>
  <c r="BB269" i="73"/>
  <c r="BC269" i="73" s="1"/>
  <c r="CV13" i="51"/>
  <c r="CV43" i="51" s="1"/>
  <c r="BI61" i="3"/>
  <c r="BI46" i="1"/>
  <c r="CK34" i="1"/>
  <c r="CK35" i="1" s="1"/>
  <c r="CJ35" i="1"/>
  <c r="AZ220" i="73"/>
  <c r="AZ214" i="73"/>
  <c r="AZ167" i="73"/>
  <c r="AZ166" i="73" s="1"/>
  <c r="AZ168" i="73" s="1"/>
  <c r="AZ169" i="73" s="1"/>
  <c r="BG271" i="73"/>
  <c r="BG278" i="73" s="1"/>
  <c r="BG279" i="73" s="1"/>
  <c r="BH382" i="73"/>
  <c r="BI382" i="73" s="1"/>
  <c r="BH265" i="73"/>
  <c r="BH266" i="73" s="1"/>
  <c r="AJ207" i="73"/>
  <c r="AJ210" i="73" s="1"/>
  <c r="AK206" i="73"/>
  <c r="AK343" i="73" s="1"/>
  <c r="AK346" i="73" s="1"/>
  <c r="AJ384" i="73"/>
  <c r="CV50" i="4"/>
  <c r="CW48" i="4"/>
  <c r="CV46" i="4"/>
  <c r="BC429" i="73"/>
  <c r="BC438" i="73" s="1"/>
  <c r="BO181" i="73"/>
  <c r="BO192" i="73" s="1"/>
  <c r="BO370" i="73"/>
  <c r="BO271" i="73"/>
  <c r="BO278" i="73" s="1"/>
  <c r="BO279" i="73" s="1"/>
  <c r="BI269" i="73"/>
  <c r="BI276" i="73" s="1"/>
  <c r="BI277" i="73" s="1"/>
  <c r="BH276" i="73"/>
  <c r="BH277" i="73" s="1"/>
  <c r="BH267" i="73"/>
  <c r="BH273" i="73" s="1"/>
  <c r="BH363" i="73"/>
  <c r="BH374" i="73"/>
  <c r="BI84" i="2"/>
  <c r="AE12" i="4"/>
  <c r="AI380" i="73"/>
  <c r="AI211" i="73"/>
  <c r="AI311" i="73"/>
  <c r="AI314" i="73" s="1"/>
  <c r="AI372" i="73"/>
  <c r="AI207" i="73"/>
  <c r="AK205" i="73"/>
  <c r="AK202" i="73" s="1"/>
  <c r="AI202" i="73"/>
  <c r="AO203" i="73" s="1"/>
  <c r="AO204" i="73" s="1"/>
  <c r="CD100" i="1"/>
  <c r="CR41" i="54"/>
  <c r="CR43" i="54" s="1"/>
  <c r="CQ41" i="54"/>
  <c r="CQ43" i="54" s="1"/>
  <c r="CO41" i="54"/>
  <c r="CO43" i="54" s="1"/>
  <c r="CP41" i="54"/>
  <c r="CP43" i="54" s="1"/>
  <c r="CY41" i="54"/>
  <c r="CM43" i="54"/>
  <c r="C13" i="52"/>
  <c r="C14" i="52" s="1"/>
  <c r="BT46" i="1"/>
  <c r="BT168" i="2"/>
  <c r="BT65" i="2"/>
  <c r="BY65" i="3"/>
  <c r="BY86" i="2"/>
  <c r="BY64" i="3"/>
  <c r="S61" i="3"/>
  <c r="S62" i="3" s="1"/>
  <c r="S65" i="3" s="1"/>
  <c r="BT83" i="2"/>
  <c r="X83" i="2"/>
  <c r="AW84" i="2"/>
  <c r="AW53" i="3"/>
  <c r="AW61" i="3"/>
  <c r="M85" i="2"/>
  <c r="S53" i="3"/>
  <c r="S83" i="2" s="1"/>
  <c r="CX86" i="73"/>
  <c r="CS85" i="73"/>
  <c r="CS86" i="73" s="1"/>
  <c r="CV86" i="73"/>
  <c r="CW86" i="73"/>
  <c r="CU86" i="73"/>
  <c r="BA402" i="73"/>
  <c r="BA411" i="73" s="1"/>
  <c r="CX49" i="51"/>
  <c r="BC256" i="73"/>
  <c r="BC363" i="73" s="1"/>
  <c r="BB374" i="73"/>
  <c r="BI86" i="3"/>
  <c r="BI87" i="3" s="1"/>
  <c r="BH36" i="1"/>
  <c r="CE101" i="1"/>
  <c r="R85" i="2"/>
  <c r="R62" i="3"/>
  <c r="CM84" i="3"/>
  <c r="CM86" i="3" s="1"/>
  <c r="CM87" i="3" s="1"/>
  <c r="CA87" i="3"/>
  <c r="CA153" i="2"/>
  <c r="CA128" i="2"/>
  <c r="CC123" i="2" s="1"/>
  <c r="CA18" i="1"/>
  <c r="CA20" i="1" s="1"/>
  <c r="BY114" i="2"/>
  <c r="BY109" i="2"/>
  <c r="BO64" i="1"/>
  <c r="BZ38" i="4"/>
  <c r="BN35" i="73"/>
  <c r="AK46" i="73"/>
  <c r="AK96" i="73"/>
  <c r="AK131" i="73"/>
  <c r="AK371" i="73"/>
  <c r="AK260" i="73"/>
  <c r="AQ367" i="73"/>
  <c r="AK446" i="73"/>
  <c r="BB220" i="73"/>
  <c r="AK373" i="73"/>
  <c r="AK299" i="73"/>
  <c r="AK370" i="73"/>
  <c r="AK27" i="73"/>
  <c r="BH220" i="73"/>
  <c r="AK37" i="73"/>
  <c r="AK375" i="73"/>
  <c r="AK118" i="73"/>
  <c r="AK447" i="73"/>
  <c r="AK374" i="73"/>
  <c r="BB100" i="73"/>
  <c r="BB167" i="73"/>
  <c r="BB166" i="73" s="1"/>
  <c r="BB168" i="73" s="1"/>
  <c r="BB431" i="73" s="1"/>
  <c r="AJ164" i="73"/>
  <c r="AJ451" i="73" s="1"/>
  <c r="AJ450" i="73" s="1"/>
  <c r="AJ449" i="73" s="1"/>
  <c r="AJ445" i="73" s="1"/>
  <c r="BB303" i="73"/>
  <c r="BH214" i="73"/>
  <c r="BB70" i="51"/>
  <c r="BH50" i="73"/>
  <c r="BH49" i="73" s="1"/>
  <c r="AH214" i="73"/>
  <c r="AH213" i="73" s="1"/>
  <c r="AH215" i="73" s="1"/>
  <c r="AH100" i="73"/>
  <c r="AH99" i="73" s="1"/>
  <c r="AH101" i="73" s="1"/>
  <c r="AH428" i="73" s="1"/>
  <c r="AH437" i="73" s="1"/>
  <c r="BA432" i="73"/>
  <c r="BA441" i="73" s="1"/>
  <c r="BI81" i="51"/>
  <c r="AH350" i="73"/>
  <c r="AH349" i="73" s="1"/>
  <c r="AH50" i="73"/>
  <c r="AH49" i="73" s="1"/>
  <c r="AH51" i="73" s="1"/>
  <c r="AH52" i="73" s="1"/>
  <c r="BH303" i="73"/>
  <c r="BH350" i="73"/>
  <c r="AV70" i="51"/>
  <c r="BH167" i="73"/>
  <c r="BH166" i="73" s="1"/>
  <c r="BH168" i="73" s="1"/>
  <c r="BH169" i="73" s="1"/>
  <c r="BI56" i="51"/>
  <c r="AM225" i="73"/>
  <c r="AM226" i="73" s="1"/>
  <c r="BB50" i="73"/>
  <c r="BB49" i="73" s="1"/>
  <c r="AK369" i="73"/>
  <c r="AQ116" i="73"/>
  <c r="BB214" i="73"/>
  <c r="AQ379" i="73"/>
  <c r="AQ45" i="73"/>
  <c r="AJ405" i="73"/>
  <c r="AQ118" i="73"/>
  <c r="AH347" i="73"/>
  <c r="AH324" i="73" s="1"/>
  <c r="AH325" i="73" s="1"/>
  <c r="AQ126" i="73"/>
  <c r="AW58" i="4"/>
  <c r="BN279" i="73"/>
  <c r="AW116" i="73"/>
  <c r="AW15" i="51"/>
  <c r="BC45" i="51" s="1"/>
  <c r="BG65" i="3"/>
  <c r="AQ337" i="73"/>
  <c r="AD65" i="3"/>
  <c r="BM432" i="73"/>
  <c r="BM441" i="73" s="1"/>
  <c r="AK100" i="2"/>
  <c r="AK97" i="2"/>
  <c r="BS81" i="51"/>
  <c r="BA431" i="73"/>
  <c r="BA440" i="73" s="1"/>
  <c r="AM344" i="73"/>
  <c r="AM345" i="73" s="1"/>
  <c r="BW100" i="2"/>
  <c r="AG347" i="73"/>
  <c r="AG324" i="73" s="1"/>
  <c r="AG325" i="73" s="1"/>
  <c r="BQ54" i="51"/>
  <c r="BQ375" i="73"/>
  <c r="BB265" i="73"/>
  <c r="BC263" i="73"/>
  <c r="BC261" i="73"/>
  <c r="BO276" i="73"/>
  <c r="BO277" i="73" s="1"/>
  <c r="AN405" i="73"/>
  <c r="AM405" i="73"/>
  <c r="CW29" i="54"/>
  <c r="CX29" i="54"/>
  <c r="CU29" i="54"/>
  <c r="CV29" i="54"/>
  <c r="CM51" i="54"/>
  <c r="CS39" i="54"/>
  <c r="CV37" i="54"/>
  <c r="CV39" i="54" s="1"/>
  <c r="CX37" i="54"/>
  <c r="CX39" i="54" s="1"/>
  <c r="CU37" i="54"/>
  <c r="CU39" i="54" s="1"/>
  <c r="CW37" i="54"/>
  <c r="CW39" i="54" s="1"/>
  <c r="CX33" i="54"/>
  <c r="CV33" i="54"/>
  <c r="CW33" i="54"/>
  <c r="CU33" i="54"/>
  <c r="CI59" i="54"/>
  <c r="CJ56" i="54"/>
  <c r="CS51" i="54"/>
  <c r="CS28" i="54"/>
  <c r="CU28" i="54" s="1"/>
  <c r="CR31" i="54"/>
  <c r="CS31" i="54" s="1"/>
  <c r="CI33" i="2"/>
  <c r="CJ73" i="54"/>
  <c r="CV40" i="54"/>
  <c r="CX49" i="54"/>
  <c r="CX51" i="54" s="1"/>
  <c r="CU49" i="54"/>
  <c r="CU51" i="54" s="1"/>
  <c r="CV49" i="54"/>
  <c r="CV51" i="54" s="1"/>
  <c r="CW49" i="54"/>
  <c r="CW51" i="54" s="1"/>
  <c r="BR12" i="54"/>
  <c r="BQ8" i="54"/>
  <c r="BQ15" i="54"/>
  <c r="CG33" i="2"/>
  <c r="CI74" i="54"/>
  <c r="AZ6" i="54"/>
  <c r="BA6" i="54" s="1"/>
  <c r="BB6" i="54" s="1"/>
  <c r="BE6" i="54"/>
  <c r="CI44" i="54"/>
  <c r="CG44" i="54"/>
  <c r="BG65" i="2"/>
  <c r="BG168" i="2"/>
  <c r="CI27" i="3"/>
  <c r="CJ32" i="2"/>
  <c r="AJ65" i="2"/>
  <c r="AJ168" i="2"/>
  <c r="BT64" i="3"/>
  <c r="S65" i="2"/>
  <c r="AI65" i="2"/>
  <c r="AI168" i="2"/>
  <c r="CE199" i="2"/>
  <c r="BY65" i="2"/>
  <c r="BY168" i="2"/>
  <c r="CC140" i="73"/>
  <c r="CA140" i="73"/>
  <c r="BG429" i="73"/>
  <c r="BG438" i="73" s="1"/>
  <c r="BG137" i="73"/>
  <c r="AY35" i="73"/>
  <c r="BA451" i="73"/>
  <c r="BC451" i="73" s="1"/>
  <c r="BC450" i="73" s="1"/>
  <c r="BC449" i="73" s="1"/>
  <c r="BQ364" i="73"/>
  <c r="BM402" i="73"/>
  <c r="BM411" i="73" s="1"/>
  <c r="BM274" i="73"/>
  <c r="BK407" i="73"/>
  <c r="BO378" i="73"/>
  <c r="BG164" i="73"/>
  <c r="BM137" i="73"/>
  <c r="BM429" i="73"/>
  <c r="BM438" i="73" s="1"/>
  <c r="M176" i="2"/>
  <c r="M182" i="2" s="1"/>
  <c r="M183" i="2" s="1"/>
  <c r="M184" i="2" s="1"/>
  <c r="M83" i="2"/>
  <c r="BO53" i="3"/>
  <c r="BO83" i="2" s="1"/>
  <c r="BN64" i="3"/>
  <c r="J86" i="2"/>
  <c r="J65" i="3"/>
  <c r="BU64" i="3"/>
  <c r="BO84" i="2"/>
  <c r="BU62" i="3"/>
  <c r="BU85" i="2"/>
  <c r="AY350" i="73"/>
  <c r="AP136" i="73"/>
  <c r="AP137" i="73" s="1"/>
  <c r="AY50" i="73"/>
  <c r="AY49" i="73" s="1"/>
  <c r="AQ134" i="73"/>
  <c r="AQ135" i="73" s="1"/>
  <c r="AG405" i="73"/>
  <c r="AS71" i="51"/>
  <c r="BC71" i="51"/>
  <c r="AY369" i="73"/>
  <c r="BL47" i="51"/>
  <c r="BS44" i="51"/>
  <c r="BI45" i="51"/>
  <c r="BL50" i="51"/>
  <c r="BF50" i="51"/>
  <c r="BZ47" i="51"/>
  <c r="BT47" i="51"/>
  <c r="BK50" i="51"/>
  <c r="BX20" i="51"/>
  <c r="BO20" i="51"/>
  <c r="BH47" i="51"/>
  <c r="BN47" i="51"/>
  <c r="BT44" i="51"/>
  <c r="BL44" i="51"/>
  <c r="BO44" i="51"/>
  <c r="BH20" i="51"/>
  <c r="BN49" i="51"/>
  <c r="BH49" i="51"/>
  <c r="BT20" i="51"/>
  <c r="BZ49" i="51"/>
  <c r="BT49" i="51"/>
  <c r="BS47" i="51"/>
  <c r="BX14" i="51"/>
  <c r="BX17" i="51"/>
  <c r="BI17" i="51"/>
  <c r="BR28" i="51"/>
  <c r="DR8" i="51"/>
  <c r="AS350" i="73"/>
  <c r="DQ8" i="51"/>
  <c r="AU42" i="73"/>
  <c r="AU357" i="73" s="1"/>
  <c r="DS8" i="51"/>
  <c r="AQ132" i="73"/>
  <c r="AQ399" i="73" s="1"/>
  <c r="AQ42" i="73"/>
  <c r="AQ357" i="73" s="1"/>
  <c r="AQ125" i="73"/>
  <c r="AH384" i="73"/>
  <c r="AH405" i="73"/>
  <c r="AW110" i="73"/>
  <c r="BA376" i="73"/>
  <c r="BA369" i="73"/>
  <c r="BA357" i="73"/>
  <c r="AQ122" i="73"/>
  <c r="BF164" i="73"/>
  <c r="AQ70" i="51"/>
  <c r="C79" i="54"/>
  <c r="C83" i="54" s="1"/>
  <c r="C84" i="54" s="1"/>
  <c r="C85" i="54" s="1"/>
  <c r="C174" i="2"/>
  <c r="E167" i="2"/>
  <c r="AS214" i="73"/>
  <c r="L60" i="2"/>
  <c r="L167" i="2"/>
  <c r="BF279" i="73"/>
  <c r="BF432" i="73"/>
  <c r="BF441" i="73" s="1"/>
  <c r="AQ119" i="73"/>
  <c r="AW120" i="73" s="1"/>
  <c r="AP127" i="73"/>
  <c r="AP371" i="73" s="1"/>
  <c r="S11" i="54"/>
  <c r="BC164" i="73"/>
  <c r="BC165" i="73" s="1"/>
  <c r="AK376" i="73"/>
  <c r="BE451" i="73"/>
  <c r="BE450" i="73" s="1"/>
  <c r="BE449" i="73" s="1"/>
  <c r="BE445" i="73" s="1"/>
  <c r="AY97" i="2"/>
  <c r="AY100" i="2" s="1"/>
  <c r="AY174" i="2"/>
  <c r="W174" i="2"/>
  <c r="W79" i="54"/>
  <c r="W97" i="2"/>
  <c r="W100" i="2" s="1"/>
  <c r="AW67" i="51"/>
  <c r="BC67" i="51"/>
  <c r="AP120" i="73"/>
  <c r="BF97" i="2"/>
  <c r="BF100" i="2" s="1"/>
  <c r="BI100" i="2" s="1"/>
  <c r="K65" i="3"/>
  <c r="AV60" i="2"/>
  <c r="AV79" i="54"/>
  <c r="AV167" i="2"/>
  <c r="Q79" i="54"/>
  <c r="Q174" i="2"/>
  <c r="Q97" i="2"/>
  <c r="Q100" i="2" s="1"/>
  <c r="AQ58" i="4"/>
  <c r="AQ64" i="4"/>
  <c r="AM52" i="73"/>
  <c r="AM426" i="73"/>
  <c r="AM435" i="73" s="1"/>
  <c r="AC97" i="2"/>
  <c r="AC100" i="2" s="1"/>
  <c r="AC174" i="2"/>
  <c r="BF174" i="2"/>
  <c r="BC81" i="51"/>
  <c r="AD60" i="2"/>
  <c r="AD79" i="54"/>
  <c r="AD167" i="2"/>
  <c r="AD64" i="3"/>
  <c r="AS50" i="73"/>
  <c r="AS49" i="73" s="1"/>
  <c r="AS51" i="73" s="1"/>
  <c r="D174" i="2"/>
  <c r="D79" i="54"/>
  <c r="D83" i="54" s="1"/>
  <c r="D84" i="54" s="1"/>
  <c r="D85" i="54" s="1"/>
  <c r="AW176" i="2"/>
  <c r="AW182" i="2" s="1"/>
  <c r="AW183" i="2" s="1"/>
  <c r="AW184" i="2" s="1"/>
  <c r="L64" i="3"/>
  <c r="AS220" i="73"/>
  <c r="AS219" i="73" s="1"/>
  <c r="AS221" i="73" s="1"/>
  <c r="AS222" i="73" s="1"/>
  <c r="AQ60" i="2"/>
  <c r="AQ79" i="54"/>
  <c r="AQ167" i="2"/>
  <c r="AM398" i="73"/>
  <c r="AM407" i="73" s="1"/>
  <c r="AM101" i="73"/>
  <c r="AM428" i="73" s="1"/>
  <c r="AM437" i="73" s="1"/>
  <c r="BG357" i="73"/>
  <c r="BG376" i="73"/>
  <c r="BG369" i="73"/>
  <c r="AM312" i="73"/>
  <c r="AM313" i="73" s="1"/>
  <c r="AM314" i="73"/>
  <c r="AO356" i="73"/>
  <c r="AO333" i="73"/>
  <c r="BC83" i="2"/>
  <c r="CE27" i="54"/>
  <c r="AY376" i="73"/>
  <c r="AS100" i="73"/>
  <c r="AS99" i="73" s="1"/>
  <c r="AS101" i="73" s="1"/>
  <c r="AS428" i="73" s="1"/>
  <c r="AS437" i="73" s="1"/>
  <c r="BS21" i="51"/>
  <c r="AQ396" i="73"/>
  <c r="BQ236" i="73"/>
  <c r="BQ235" i="73" s="1"/>
  <c r="BQ116" i="73"/>
  <c r="BQ115" i="73" s="1"/>
  <c r="BQ186" i="73"/>
  <c r="BQ197" i="73"/>
  <c r="BQ154" i="73"/>
  <c r="BQ153" i="73" s="1"/>
  <c r="BQ246" i="73"/>
  <c r="BQ250" i="73"/>
  <c r="BQ148" i="73"/>
  <c r="BQ147" i="73" s="1"/>
  <c r="BQ194" i="73"/>
  <c r="BQ120" i="73"/>
  <c r="BQ190" i="73"/>
  <c r="BQ287" i="73"/>
  <c r="BQ110" i="73"/>
  <c r="BQ145" i="73"/>
  <c r="BQ144" i="73" s="1"/>
  <c r="BQ238" i="73"/>
  <c r="BQ356" i="73"/>
  <c r="BQ333" i="73"/>
  <c r="BR120" i="73"/>
  <c r="BR236" i="73"/>
  <c r="BR235" i="73" s="1"/>
  <c r="BR116" i="73"/>
  <c r="BR115" i="73" s="1"/>
  <c r="BR134" i="73" s="1"/>
  <c r="BR246" i="73"/>
  <c r="BR154" i="73"/>
  <c r="BR153" i="73" s="1"/>
  <c r="BR190" i="73"/>
  <c r="BR110" i="73"/>
  <c r="BR333" i="73"/>
  <c r="BR186" i="73"/>
  <c r="BR145" i="73"/>
  <c r="BR144" i="73" s="1"/>
  <c r="BR287" i="73"/>
  <c r="BR197" i="73"/>
  <c r="BR148" i="73"/>
  <c r="BR250" i="73"/>
  <c r="BR194" i="73"/>
  <c r="BR238" i="73"/>
  <c r="BR368" i="73"/>
  <c r="BR356" i="73"/>
  <c r="BC69" i="51"/>
  <c r="BI70" i="51"/>
  <c r="BS60" i="51"/>
  <c r="BS67" i="51" s="1"/>
  <c r="AW69" i="51"/>
  <c r="BT62" i="4"/>
  <c r="AW43" i="51"/>
  <c r="BC43" i="51"/>
  <c r="DR11" i="51"/>
  <c r="DR9" i="51"/>
  <c r="DH11" i="51"/>
  <c r="DL19" i="51" s="1"/>
  <c r="DP11" i="51"/>
  <c r="DP19" i="51" s="1"/>
  <c r="DR10" i="51"/>
  <c r="BI64" i="51"/>
  <c r="BI19" i="51"/>
  <c r="DU17" i="51"/>
  <c r="AW70" i="51"/>
  <c r="BC70" i="51"/>
  <c r="AT86" i="2"/>
  <c r="AT65" i="3"/>
  <c r="Y61" i="3"/>
  <c r="Y53" i="3"/>
  <c r="Y84" i="2"/>
  <c r="K121" i="2"/>
  <c r="L112" i="2"/>
  <c r="L115" i="2" s="1"/>
  <c r="M115" i="2" s="1"/>
  <c r="M116" i="2" s="1"/>
  <c r="AO168" i="2"/>
  <c r="AO65" i="2"/>
  <c r="BS86" i="2"/>
  <c r="AC83" i="2"/>
  <c r="BA64" i="3"/>
  <c r="BA85" i="2"/>
  <c r="BA62" i="3"/>
  <c r="BR121" i="2"/>
  <c r="BR115" i="2"/>
  <c r="BS112" i="2"/>
  <c r="BH83" i="2"/>
  <c r="AV83" i="2"/>
  <c r="AE84" i="2"/>
  <c r="AE61" i="3"/>
  <c r="AE53" i="3"/>
  <c r="AO83" i="2"/>
  <c r="CP85" i="3"/>
  <c r="CP84" i="3" s="1"/>
  <c r="CQ48" i="3"/>
  <c r="BN62" i="3"/>
  <c r="BN86" i="2" s="1"/>
  <c r="AQ61" i="3"/>
  <c r="AQ53" i="3"/>
  <c r="AQ84" i="2"/>
  <c r="Q65" i="2"/>
  <c r="Q168" i="2"/>
  <c r="CO84" i="3"/>
  <c r="AB65" i="3"/>
  <c r="AB86" i="2"/>
  <c r="AO85" i="2"/>
  <c r="AO64" i="3"/>
  <c r="AO62" i="3"/>
  <c r="M11" i="54"/>
  <c r="M65" i="2"/>
  <c r="M168" i="2"/>
  <c r="W83" i="2"/>
  <c r="J84" i="54"/>
  <c r="J85" i="54" s="1"/>
  <c r="AI85" i="2"/>
  <c r="AI62" i="3"/>
  <c r="AI64" i="3"/>
  <c r="AI94" i="3"/>
  <c r="CO74" i="3"/>
  <c r="CM74" i="3"/>
  <c r="CM75" i="3" s="1"/>
  <c r="K65" i="2"/>
  <c r="K168" i="2"/>
  <c r="AN65" i="3"/>
  <c r="AN86" i="2"/>
  <c r="W85" i="2"/>
  <c r="W62" i="3"/>
  <c r="W64" i="3"/>
  <c r="BO86" i="3"/>
  <c r="AU83" i="2"/>
  <c r="BS109" i="2"/>
  <c r="BS110" i="2" s="1"/>
  <c r="BS114" i="2"/>
  <c r="X86" i="2"/>
  <c r="X65" i="3"/>
  <c r="AU62" i="3"/>
  <c r="AU64" i="3"/>
  <c r="AU85" i="2"/>
  <c r="BA83" i="2"/>
  <c r="AP65" i="2"/>
  <c r="AP168" i="2"/>
  <c r="BB65" i="2"/>
  <c r="BB168" i="2"/>
  <c r="AH65" i="3"/>
  <c r="AH86" i="2"/>
  <c r="BH85" i="2"/>
  <c r="BH64" i="3"/>
  <c r="BH62" i="3"/>
  <c r="AP83" i="2"/>
  <c r="AC64" i="3"/>
  <c r="AC62" i="3"/>
  <c r="AC85" i="2"/>
  <c r="AK29" i="3"/>
  <c r="AI83" i="2"/>
  <c r="AZ65" i="3"/>
  <c r="AZ86" i="2"/>
  <c r="L109" i="2"/>
  <c r="M109" i="2" s="1"/>
  <c r="M110" i="2" s="1"/>
  <c r="L114" i="2"/>
  <c r="AQ78" i="3"/>
  <c r="AQ73" i="3"/>
  <c r="AW69" i="3" s="1"/>
  <c r="AQ77" i="3"/>
  <c r="AQ79" i="3"/>
  <c r="AV64" i="3"/>
  <c r="AV85" i="2"/>
  <c r="AV62" i="3"/>
  <c r="AJ84" i="2"/>
  <c r="AJ53" i="3"/>
  <c r="AJ61" i="3"/>
  <c r="AP62" i="3"/>
  <c r="AP85" i="2"/>
  <c r="CD166" i="2"/>
  <c r="CA36" i="4"/>
  <c r="CA55" i="4"/>
  <c r="BO70" i="51"/>
  <c r="CV149" i="73"/>
  <c r="CU148" i="73"/>
  <c r="AQ97" i="73"/>
  <c r="AQ98" i="73" s="1"/>
  <c r="AY402" i="73"/>
  <c r="AY274" i="73"/>
  <c r="AW271" i="73"/>
  <c r="AW278" i="73" s="1"/>
  <c r="AW273" i="73"/>
  <c r="AM227" i="73"/>
  <c r="AY279" i="73"/>
  <c r="AY432" i="73"/>
  <c r="AY441" i="73" s="1"/>
  <c r="AW180" i="73"/>
  <c r="AW183" i="73"/>
  <c r="AV183" i="73"/>
  <c r="AW432" i="73"/>
  <c r="AW441" i="73" s="1"/>
  <c r="AS441" i="73"/>
  <c r="AM224" i="73"/>
  <c r="AM400" i="73"/>
  <c r="BR182" i="73"/>
  <c r="BS182" i="73"/>
  <c r="BT182" i="73"/>
  <c r="BW182" i="73"/>
  <c r="BF429" i="73"/>
  <c r="BF438" i="73" s="1"/>
  <c r="BF137" i="73"/>
  <c r="BE402" i="73"/>
  <c r="BE274" i="73"/>
  <c r="CU145" i="73"/>
  <c r="CV146" i="73"/>
  <c r="AO200" i="73"/>
  <c r="AO201" i="73" s="1"/>
  <c r="AU200" i="73"/>
  <c r="BZ141" i="73"/>
  <c r="BI265" i="73"/>
  <c r="BI262" i="73"/>
  <c r="AS178" i="73"/>
  <c r="AU178" i="73"/>
  <c r="AP178" i="73"/>
  <c r="AT178" i="73"/>
  <c r="AP184" i="73"/>
  <c r="AP206" i="73"/>
  <c r="AQ206" i="73" s="1"/>
  <c r="AP199" i="73"/>
  <c r="AP200" i="73" s="1"/>
  <c r="AQ177" i="73"/>
  <c r="BI374" i="73"/>
  <c r="CC176" i="73"/>
  <c r="CA176" i="73"/>
  <c r="BZ179" i="73"/>
  <c r="BO123" i="73"/>
  <c r="BO116" i="73"/>
  <c r="BO379" i="73"/>
  <c r="BO337" i="73"/>
  <c r="CW155" i="73"/>
  <c r="CV154" i="73"/>
  <c r="AV217" i="73"/>
  <c r="AW217" i="73" s="1"/>
  <c r="AW206" i="73"/>
  <c r="AW361" i="73" s="1"/>
  <c r="AV361" i="73"/>
  <c r="BG274" i="73"/>
  <c r="BG402" i="73"/>
  <c r="BG411" i="73" s="1"/>
  <c r="AW192" i="73"/>
  <c r="AW189" i="73" s="1"/>
  <c r="AW190" i="73" s="1"/>
  <c r="AO361" i="73"/>
  <c r="AO380" i="73"/>
  <c r="AO217" i="73"/>
  <c r="AO223" i="73" s="1"/>
  <c r="AO372" i="73"/>
  <c r="BL402" i="73"/>
  <c r="BL411" i="73" s="1"/>
  <c r="BL274" i="73"/>
  <c r="AN384" i="73"/>
  <c r="BI446" i="73"/>
  <c r="BI447" i="73"/>
  <c r="AG409" i="73"/>
  <c r="AO207" i="73"/>
  <c r="BL448" i="73"/>
  <c r="BO134" i="73"/>
  <c r="BO135" i="73" s="1"/>
  <c r="CC241" i="73"/>
  <c r="BZ243" i="73"/>
  <c r="CA241" i="73"/>
  <c r="CA243" i="73" s="1"/>
  <c r="BQ182" i="73"/>
  <c r="BU181" i="73"/>
  <c r="BU192" i="73" s="1"/>
  <c r="AP205" i="73"/>
  <c r="AQ193" i="73"/>
  <c r="CU39" i="73"/>
  <c r="CV40" i="73"/>
  <c r="AS411" i="73"/>
  <c r="AW402" i="73"/>
  <c r="AW411" i="73" s="1"/>
  <c r="AN400" i="73"/>
  <c r="AN409" i="73" s="1"/>
  <c r="AN224" i="73"/>
  <c r="BL136" i="73"/>
  <c r="BL399" i="73"/>
  <c r="BL408" i="73" s="1"/>
  <c r="BO132" i="73"/>
  <c r="BK411" i="73"/>
  <c r="BI133" i="73"/>
  <c r="BI399" i="73"/>
  <c r="BI408" i="73" s="1"/>
  <c r="BI136" i="73"/>
  <c r="AU350" i="73"/>
  <c r="AU50" i="73"/>
  <c r="AU49" i="73" s="1"/>
  <c r="AU51" i="73" s="1"/>
  <c r="AU220" i="73"/>
  <c r="AU219" i="73" s="1"/>
  <c r="AU221" i="73" s="1"/>
  <c r="AU222" i="73" s="1"/>
  <c r="AU100" i="73"/>
  <c r="AU99" i="73" s="1"/>
  <c r="AU101" i="73" s="1"/>
  <c r="AU303" i="73"/>
  <c r="AU302" i="73" s="1"/>
  <c r="AU304" i="73" s="1"/>
  <c r="AU433" i="73" s="1"/>
  <c r="AU442" i="73" s="1"/>
  <c r="AU214" i="73"/>
  <c r="AD64" i="4"/>
  <c r="AJ58" i="4"/>
  <c r="AN312" i="73"/>
  <c r="AN313" i="73" s="1"/>
  <c r="AN314" i="73"/>
  <c r="BB37" i="73"/>
  <c r="AS396" i="73"/>
  <c r="BN300" i="73"/>
  <c r="BN403" i="73" s="1"/>
  <c r="BN341" i="73"/>
  <c r="AJ81" i="51"/>
  <c r="AP81" i="51"/>
  <c r="AK68" i="51"/>
  <c r="AN347" i="73"/>
  <c r="AN344" i="73"/>
  <c r="AN345" i="73" s="1"/>
  <c r="AN346" i="73"/>
  <c r="BR383" i="73"/>
  <c r="BR412" i="73" s="1"/>
  <c r="BR364" i="73"/>
  <c r="BR375" i="73"/>
  <c r="BK71" i="51"/>
  <c r="AY100" i="73"/>
  <c r="AY99" i="73" s="1"/>
  <c r="AY101" i="73" s="1"/>
  <c r="AW164" i="73"/>
  <c r="AW165" i="73" s="1"/>
  <c r="AJ68" i="51"/>
  <c r="AO314" i="73"/>
  <c r="BN295" i="73"/>
  <c r="BL70" i="51"/>
  <c r="AO376" i="73"/>
  <c r="AO405" i="73" s="1"/>
  <c r="AO343" i="73"/>
  <c r="AO369" i="73"/>
  <c r="AO357" i="73"/>
  <c r="AK40" i="4"/>
  <c r="AE57" i="4"/>
  <c r="BW61" i="51"/>
  <c r="DQ28" i="51"/>
  <c r="BW38" i="4"/>
  <c r="BW9" i="51" s="1"/>
  <c r="AY303" i="73"/>
  <c r="BL69" i="51"/>
  <c r="CC69" i="51"/>
  <c r="CW44" i="4"/>
  <c r="CX42" i="4"/>
  <c r="CW40" i="4"/>
  <c r="CA139" i="73"/>
  <c r="CA80" i="73"/>
  <c r="CA171" i="73"/>
  <c r="CA281" i="73"/>
  <c r="CA104" i="73"/>
  <c r="CA29" i="73"/>
  <c r="CA230" i="73"/>
  <c r="CG6" i="4"/>
  <c r="CG54" i="73" s="1"/>
  <c r="AZ376" i="73"/>
  <c r="AZ369" i="73"/>
  <c r="AZ357" i="73"/>
  <c r="AJ69" i="51"/>
  <c r="AP69" i="51"/>
  <c r="AN350" i="73"/>
  <c r="AN349" i="73" s="1"/>
  <c r="AN214" i="73"/>
  <c r="AN213" i="73" s="1"/>
  <c r="AN50" i="73"/>
  <c r="AN49" i="73" s="1"/>
  <c r="AN51" i="73" s="1"/>
  <c r="AN220" i="73"/>
  <c r="AN219" i="73" s="1"/>
  <c r="AN221" i="73" s="1"/>
  <c r="AN222" i="73" s="1"/>
  <c r="AN100" i="73"/>
  <c r="AN99" i="73" s="1"/>
  <c r="AN101" i="73" s="1"/>
  <c r="AN428" i="73" s="1"/>
  <c r="AN437" i="73" s="1"/>
  <c r="AY220" i="73"/>
  <c r="BB35" i="73"/>
  <c r="AS42" i="73"/>
  <c r="AQ68" i="51"/>
  <c r="BM299" i="73"/>
  <c r="BM294" i="73"/>
  <c r="BM295" i="73" s="1"/>
  <c r="BM112" i="73"/>
  <c r="BL296" i="73"/>
  <c r="BS297" i="73"/>
  <c r="BS298" i="73" s="1"/>
  <c r="AO407" i="73"/>
  <c r="AN398" i="73"/>
  <c r="AY167" i="73"/>
  <c r="AY166" i="73" s="1"/>
  <c r="AM351" i="73"/>
  <c r="BS364" i="73"/>
  <c r="BS383" i="73"/>
  <c r="BS412" i="73" s="1"/>
  <c r="BS375" i="73"/>
  <c r="BN126" i="73"/>
  <c r="BN119" i="73" s="1"/>
  <c r="BN125" i="73"/>
  <c r="BQ412" i="73"/>
  <c r="BB38" i="73"/>
  <c r="BC38" i="73" s="1"/>
  <c r="DR28" i="51"/>
  <c r="BX61" i="51"/>
  <c r="BX38" i="4"/>
  <c r="BX9" i="51" s="1"/>
  <c r="DR32" i="51"/>
  <c r="BX64" i="51"/>
  <c r="AT42" i="73"/>
  <c r="BE431" i="73"/>
  <c r="BE440" i="73" s="1"/>
  <c r="BE169" i="73"/>
  <c r="AP67" i="51"/>
  <c r="BU144" i="2"/>
  <c r="BU145" i="2" s="1"/>
  <c r="BU146" i="2" s="1"/>
  <c r="BU147" i="2" s="1"/>
  <c r="BU141" i="2" s="1"/>
  <c r="C11" i="52"/>
  <c r="C12" i="52" s="1"/>
  <c r="BU60" i="2"/>
  <c r="BU167" i="2"/>
  <c r="BU79" i="54"/>
  <c r="AV44" i="73"/>
  <c r="AV41" i="73"/>
  <c r="AV42" i="73" s="1"/>
  <c r="AV46" i="73"/>
  <c r="AV47" i="73"/>
  <c r="AW43" i="73"/>
  <c r="O174" i="2"/>
  <c r="O97" i="2"/>
  <c r="O79" i="54"/>
  <c r="F174" i="2"/>
  <c r="F79" i="54"/>
  <c r="F83" i="54" s="1"/>
  <c r="F84" i="54" s="1"/>
  <c r="F85" i="54" s="1"/>
  <c r="BX174" i="2"/>
  <c r="BX97" i="2"/>
  <c r="BX100" i="2" s="1"/>
  <c r="AG100" i="73"/>
  <c r="AG99" i="73" s="1"/>
  <c r="AG214" i="73"/>
  <c r="AG213" i="73" s="1"/>
  <c r="AG50" i="73"/>
  <c r="AG49" i="73" s="1"/>
  <c r="AG350" i="73"/>
  <c r="AG349" i="73" s="1"/>
  <c r="AG220" i="73"/>
  <c r="AG219" i="73" s="1"/>
  <c r="BY63" i="51"/>
  <c r="DS31" i="51"/>
  <c r="AP407" i="73"/>
  <c r="BL279" i="73"/>
  <c r="BL432" i="73"/>
  <c r="I100" i="2"/>
  <c r="DS30" i="51"/>
  <c r="BY62" i="51"/>
  <c r="I84" i="54"/>
  <c r="I85" i="54" s="1"/>
  <c r="BC79" i="54"/>
  <c r="BC167" i="2"/>
  <c r="BC60" i="2"/>
  <c r="BC64" i="3"/>
  <c r="BC59" i="3"/>
  <c r="BK174" i="2"/>
  <c r="BK97" i="2"/>
  <c r="DP44" i="51"/>
  <c r="DO33" i="51"/>
  <c r="DO46" i="51" s="1"/>
  <c r="BS63" i="4"/>
  <c r="BI167" i="2"/>
  <c r="BI79" i="54"/>
  <c r="BI60" i="2"/>
  <c r="X64" i="3"/>
  <c r="X167" i="2"/>
  <c r="X60" i="2"/>
  <c r="BT64" i="51"/>
  <c r="DP32" i="51"/>
  <c r="DP45" i="51" s="1"/>
  <c r="AP446" i="73"/>
  <c r="AP447" i="73"/>
  <c r="AQ448" i="73"/>
  <c r="BB334" i="73"/>
  <c r="BC41" i="73"/>
  <c r="BK279" i="73"/>
  <c r="BK432" i="73"/>
  <c r="DP43" i="51"/>
  <c r="AT450" i="73"/>
  <c r="AT449" i="73" s="1"/>
  <c r="AT445" i="73" s="1"/>
  <c r="AW451" i="73"/>
  <c r="AW450" i="73" s="1"/>
  <c r="AW449" i="73" s="1"/>
  <c r="BH38" i="73"/>
  <c r="BH41" i="73"/>
  <c r="BH42" i="73" s="1"/>
  <c r="BH46" i="73"/>
  <c r="BH44" i="73"/>
  <c r="BH35" i="73"/>
  <c r="BH37" i="73"/>
  <c r="BN63" i="4"/>
  <c r="AP97" i="2"/>
  <c r="AP174" i="2"/>
  <c r="BI67" i="51"/>
  <c r="U100" i="2"/>
  <c r="BB97" i="2"/>
  <c r="BB100" i="2" s="1"/>
  <c r="BB174" i="2"/>
  <c r="R167" i="2"/>
  <c r="R60" i="2"/>
  <c r="R64" i="3"/>
  <c r="BT37" i="73"/>
  <c r="BU34" i="73"/>
  <c r="BO81" i="51"/>
  <c r="BB369" i="73"/>
  <c r="BB357" i="73"/>
  <c r="BB376" i="73"/>
  <c r="BK169" i="73"/>
  <c r="BK431" i="73"/>
  <c r="DS28" i="51"/>
  <c r="BY61" i="51"/>
  <c r="BY38" i="4"/>
  <c r="G167" i="2"/>
  <c r="G60" i="2"/>
  <c r="AV50" i="73"/>
  <c r="AV49" i="73" s="1"/>
  <c r="AV350" i="73"/>
  <c r="AV220" i="73"/>
  <c r="AV219" i="73" s="1"/>
  <c r="AV214" i="73"/>
  <c r="AV100" i="73"/>
  <c r="AV99" i="73" s="1"/>
  <c r="AV101" i="73" s="1"/>
  <c r="AV303" i="73"/>
  <c r="AV302" i="73" s="1"/>
  <c r="AV304" i="73" s="1"/>
  <c r="AV433" i="73" s="1"/>
  <c r="BI69" i="51"/>
  <c r="BO69" i="51"/>
  <c r="AI220" i="73"/>
  <c r="AI219" i="73" s="1"/>
  <c r="AI221" i="73" s="1"/>
  <c r="AI222" i="73" s="1"/>
  <c r="AI50" i="73"/>
  <c r="AI49" i="73" s="1"/>
  <c r="AI51" i="73" s="1"/>
  <c r="AI100" i="73"/>
  <c r="AI99" i="73" s="1"/>
  <c r="AI101" i="73" s="1"/>
  <c r="AI428" i="73" s="1"/>
  <c r="AI214" i="73"/>
  <c r="AI213" i="73" s="1"/>
  <c r="AI350" i="73"/>
  <c r="AI349" i="73" s="1"/>
  <c r="AI351" i="73" s="1"/>
  <c r="BY64" i="51"/>
  <c r="DS32" i="51"/>
  <c r="AS174" i="2"/>
  <c r="AS97" i="2"/>
  <c r="BH70" i="51"/>
  <c r="BN70" i="51"/>
  <c r="BT70" i="51"/>
  <c r="BI144" i="2"/>
  <c r="BI145" i="2" s="1"/>
  <c r="BI146" i="2" s="1"/>
  <c r="BI147" i="2" s="1"/>
  <c r="BI141" i="2" s="1"/>
  <c r="Y176" i="2"/>
  <c r="Y182" i="2" s="1"/>
  <c r="Y183" i="2" s="1"/>
  <c r="Y184" i="2" s="1"/>
  <c r="BL97" i="2"/>
  <c r="BL100" i="2" s="1"/>
  <c r="BL174" i="2"/>
  <c r="BU16" i="4"/>
  <c r="BU14" i="4"/>
  <c r="BU10" i="4"/>
  <c r="BC299" i="73"/>
  <c r="BO144" i="2"/>
  <c r="BO145" i="2" s="1"/>
  <c r="BO146" i="2" s="1"/>
  <c r="BO147" i="2" s="1"/>
  <c r="BO141" i="2" s="1"/>
  <c r="B11" i="52"/>
  <c r="B12" i="52" s="1"/>
  <c r="BC64" i="4"/>
  <c r="BC58" i="4"/>
  <c r="BR174" i="2"/>
  <c r="BR97" i="2"/>
  <c r="S167" i="2"/>
  <c r="S60" i="2"/>
  <c r="S79" i="54"/>
  <c r="BC144" i="2"/>
  <c r="BC145" i="2" s="1"/>
  <c r="BC146" i="2" s="1"/>
  <c r="BC147" i="2" s="1"/>
  <c r="BC141" i="2" s="1"/>
  <c r="AZ174" i="2"/>
  <c r="AZ97" i="2"/>
  <c r="CP144" i="2"/>
  <c r="AE176" i="2"/>
  <c r="AE182" i="2" s="1"/>
  <c r="AE183" i="2" s="1"/>
  <c r="AE184" i="2" s="1"/>
  <c r="BT69" i="51"/>
  <c r="DH32" i="51"/>
  <c r="DL45" i="51" s="1"/>
  <c r="BH64" i="51"/>
  <c r="Y168" i="2"/>
  <c r="Y65" i="2"/>
  <c r="Y11" i="54"/>
  <c r="AP408" i="73"/>
  <c r="AO214" i="73"/>
  <c r="AO213" i="73" s="1"/>
  <c r="AO220" i="73"/>
  <c r="AO219" i="73" s="1"/>
  <c r="AO100" i="73"/>
  <c r="AO99" i="73" s="1"/>
  <c r="AO350" i="73"/>
  <c r="AO50" i="73"/>
  <c r="AO49" i="73" s="1"/>
  <c r="AK167" i="2"/>
  <c r="AK79" i="54"/>
  <c r="AK60" i="2"/>
  <c r="BB44" i="73"/>
  <c r="BO167" i="2"/>
  <c r="BO79" i="54"/>
  <c r="BO60" i="2"/>
  <c r="BK450" i="73"/>
  <c r="BK449" i="73" s="1"/>
  <c r="BK445" i="73" s="1"/>
  <c r="BO266" i="73"/>
  <c r="AW65" i="2"/>
  <c r="AW168" i="2"/>
  <c r="AW11" i="54"/>
  <c r="CD50" i="3"/>
  <c r="B13" i="52"/>
  <c r="CF188" i="2"/>
  <c r="BN65" i="2"/>
  <c r="BN168" i="2"/>
  <c r="CX80" i="2"/>
  <c r="CJ31" i="2"/>
  <c r="L86" i="2"/>
  <c r="L65" i="3"/>
  <c r="S55" i="3"/>
  <c r="M10" i="2"/>
  <c r="O55" i="3"/>
  <c r="O56" i="3" s="1"/>
  <c r="M65" i="3"/>
  <c r="M86" i="2"/>
  <c r="I67" i="2"/>
  <c r="I57" i="2"/>
  <c r="L55" i="3"/>
  <c r="L56" i="3" s="1"/>
  <c r="L10" i="2" s="1"/>
  <c r="K10" i="2"/>
  <c r="J17" i="2"/>
  <c r="J72" i="2"/>
  <c r="J73" i="2"/>
  <c r="I71" i="2"/>
  <c r="I26" i="2"/>
  <c r="I74" i="2"/>
  <c r="BO85" i="2"/>
  <c r="BO64" i="3"/>
  <c r="BO62" i="3"/>
  <c r="K83" i="54"/>
  <c r="L78" i="54" s="1"/>
  <c r="BT86" i="2"/>
  <c r="BT65" i="3"/>
  <c r="Q86" i="2"/>
  <c r="Q65" i="3"/>
  <c r="BI83" i="2" l="1"/>
  <c r="BI64" i="3"/>
  <c r="CA61" i="4"/>
  <c r="AJ347" i="73"/>
  <c r="AK347" i="73" s="1"/>
  <c r="BI62" i="3"/>
  <c r="BI65" i="3" s="1"/>
  <c r="BI85" i="2"/>
  <c r="CJ66" i="3"/>
  <c r="CK66" i="3" s="1"/>
  <c r="CL66" i="3" s="1"/>
  <c r="CO66" i="3" s="1"/>
  <c r="BC374" i="73"/>
  <c r="AH227" i="73"/>
  <c r="AH228" i="73" s="1"/>
  <c r="AJ223" i="73"/>
  <c r="AJ224" i="73" s="1"/>
  <c r="BC267" i="73"/>
  <c r="BC271" i="73" s="1"/>
  <c r="AZ428" i="73"/>
  <c r="AZ437" i="73" s="1"/>
  <c r="BE350" i="73"/>
  <c r="AJ350" i="73"/>
  <c r="AJ349" i="73" s="1"/>
  <c r="BE279" i="73"/>
  <c r="BT93" i="73"/>
  <c r="BT255" i="73"/>
  <c r="BT340" i="73" s="1"/>
  <c r="BS118" i="73"/>
  <c r="BC86" i="2"/>
  <c r="BZ9" i="51"/>
  <c r="BU356" i="73"/>
  <c r="BT379" i="73"/>
  <c r="BU333" i="73"/>
  <c r="BT132" i="73"/>
  <c r="BT118" i="73"/>
  <c r="BT134" i="73"/>
  <c r="BT448" i="73" s="1"/>
  <c r="BU368" i="73"/>
  <c r="CL43" i="2"/>
  <c r="CK193" i="2"/>
  <c r="BO87" i="3"/>
  <c r="K56" i="2"/>
  <c r="K198" i="2"/>
  <c r="J201" i="2"/>
  <c r="J204" i="2" s="1"/>
  <c r="J202" i="2"/>
  <c r="J205" i="2" s="1"/>
  <c r="J62" i="2" s="1"/>
  <c r="L56" i="2"/>
  <c r="L198" i="2"/>
  <c r="M56" i="2"/>
  <c r="M198" i="2"/>
  <c r="BS255" i="73"/>
  <c r="BS340" i="73" s="1"/>
  <c r="AE185" i="2"/>
  <c r="AW185" i="2"/>
  <c r="Y185" i="2"/>
  <c r="M185" i="2"/>
  <c r="DS9" i="51"/>
  <c r="DS17" i="51" s="1"/>
  <c r="BS132" i="73"/>
  <c r="BS399" i="73" s="1"/>
  <c r="DS11" i="51"/>
  <c r="DS19" i="51" s="1"/>
  <c r="BS134" i="73"/>
  <c r="BS448" i="73" s="1"/>
  <c r="BS93" i="73"/>
  <c r="BS379" i="73"/>
  <c r="BC59" i="4"/>
  <c r="BG432" i="73"/>
  <c r="BG441" i="73" s="1"/>
  <c r="BZ35" i="51"/>
  <c r="BI59" i="4"/>
  <c r="BT57" i="1"/>
  <c r="BY17" i="51"/>
  <c r="BY47" i="51" s="1"/>
  <c r="BT35" i="51"/>
  <c r="AQ59" i="4"/>
  <c r="AW59" i="4"/>
  <c r="DS10" i="51"/>
  <c r="DS18" i="51" s="1"/>
  <c r="BY20" i="51"/>
  <c r="BY50" i="51" s="1"/>
  <c r="BY43" i="51"/>
  <c r="BY9" i="51"/>
  <c r="BI64" i="1"/>
  <c r="BU86" i="2"/>
  <c r="BU63" i="3"/>
  <c r="CV15" i="51"/>
  <c r="CV45" i="51" s="1"/>
  <c r="BB276" i="73"/>
  <c r="BB277" i="73" s="1"/>
  <c r="BB271" i="73"/>
  <c r="BB278" i="73" s="1"/>
  <c r="BO71" i="51"/>
  <c r="BH271" i="73"/>
  <c r="BH278" i="73" s="1"/>
  <c r="BH432" i="73" s="1"/>
  <c r="BH441" i="73" s="1"/>
  <c r="CW13" i="51"/>
  <c r="CW43" i="51" s="1"/>
  <c r="CL34" i="1"/>
  <c r="S86" i="2"/>
  <c r="AZ431" i="73"/>
  <c r="AZ440" i="73" s="1"/>
  <c r="CW50" i="4"/>
  <c r="CW46" i="4"/>
  <c r="CX48" i="4"/>
  <c r="AK311" i="73"/>
  <c r="AK314" i="73" s="1"/>
  <c r="BI267" i="73"/>
  <c r="BI271" i="73" s="1"/>
  <c r="BI278" i="73" s="1"/>
  <c r="BI279" i="73" s="1"/>
  <c r="CY85" i="73"/>
  <c r="CY86" i="73" s="1"/>
  <c r="AK372" i="73"/>
  <c r="AK211" i="73"/>
  <c r="AI223" i="73"/>
  <c r="AI384" i="73"/>
  <c r="AK380" i="73"/>
  <c r="AK384" i="73" s="1"/>
  <c r="AO312" i="73"/>
  <c r="AO313" i="73" s="1"/>
  <c r="AI210" i="73"/>
  <c r="AK207" i="73"/>
  <c r="AK210" i="73" s="1"/>
  <c r="C19" i="52"/>
  <c r="CE100" i="1"/>
  <c r="CU41" i="54"/>
  <c r="CU43" i="54" s="1"/>
  <c r="CX41" i="54"/>
  <c r="CV41" i="54"/>
  <c r="CW41" i="54"/>
  <c r="CS43" i="54"/>
  <c r="CC127" i="2"/>
  <c r="CC126" i="2"/>
  <c r="BU46" i="1"/>
  <c r="BU65" i="2"/>
  <c r="BU168" i="2"/>
  <c r="BU64" i="1"/>
  <c r="S64" i="3"/>
  <c r="AW83" i="2"/>
  <c r="S85" i="2"/>
  <c r="AW85" i="2"/>
  <c r="AW59" i="3"/>
  <c r="AW64" i="3"/>
  <c r="S56" i="3"/>
  <c r="S10" i="2" s="1"/>
  <c r="AW62" i="3"/>
  <c r="AW65" i="3" s="1"/>
  <c r="BI36" i="1"/>
  <c r="BI88" i="1" s="1"/>
  <c r="BH88" i="1"/>
  <c r="CF101" i="1"/>
  <c r="R86" i="2"/>
  <c r="R65" i="3"/>
  <c r="BU87" i="3"/>
  <c r="BY110" i="2"/>
  <c r="CA46" i="1"/>
  <c r="CA64" i="1"/>
  <c r="CA168" i="2"/>
  <c r="BZ46" i="1"/>
  <c r="BZ64" i="1"/>
  <c r="BZ168" i="2"/>
  <c r="AJ214" i="73"/>
  <c r="AJ213" i="73" s="1"/>
  <c r="AJ215" i="73" s="1"/>
  <c r="AK164" i="73"/>
  <c r="AK165" i="73" s="1"/>
  <c r="AJ100" i="73"/>
  <c r="AJ99" i="73" s="1"/>
  <c r="AJ101" i="73" s="1"/>
  <c r="AJ428" i="73" s="1"/>
  <c r="AJ437" i="73" s="1"/>
  <c r="AK451" i="73"/>
  <c r="AK450" i="73" s="1"/>
  <c r="AK449" i="73" s="1"/>
  <c r="AJ220" i="73"/>
  <c r="AJ219" i="73" s="1"/>
  <c r="AJ221" i="73" s="1"/>
  <c r="AJ222" i="73" s="1"/>
  <c r="AJ50" i="73"/>
  <c r="AJ49" i="73" s="1"/>
  <c r="AJ51" i="73" s="1"/>
  <c r="AH351" i="73"/>
  <c r="AH352" i="73" s="1"/>
  <c r="AH225" i="73"/>
  <c r="AH226" i="73" s="1"/>
  <c r="BB169" i="73"/>
  <c r="AH426" i="73"/>
  <c r="AH435" i="73" s="1"/>
  <c r="BH431" i="73"/>
  <c r="BH440" i="73" s="1"/>
  <c r="AH385" i="73"/>
  <c r="AH393" i="73" s="1"/>
  <c r="BQ257" i="73"/>
  <c r="AW45" i="51"/>
  <c r="AG385" i="73"/>
  <c r="AG388" i="73" s="1"/>
  <c r="AQ133" i="73"/>
  <c r="BA450" i="73"/>
  <c r="BA449" i="73" s="1"/>
  <c r="BA445" i="73" s="1"/>
  <c r="CA97" i="2"/>
  <c r="CA100" i="2"/>
  <c r="AU369" i="73"/>
  <c r="BI164" i="73"/>
  <c r="BI165" i="73" s="1"/>
  <c r="BR132" i="73"/>
  <c r="BR136" i="73" s="1"/>
  <c r="AU343" i="73"/>
  <c r="AU346" i="73" s="1"/>
  <c r="BB266" i="73"/>
  <c r="BC262" i="73"/>
  <c r="BC265" i="73"/>
  <c r="BC266" i="73" s="1"/>
  <c r="BC264" i="73"/>
  <c r="BC276" i="73"/>
  <c r="BC277" i="73" s="1"/>
  <c r="AU376" i="73"/>
  <c r="AU405" i="73" s="1"/>
  <c r="AQ124" i="73"/>
  <c r="AV200" i="73"/>
  <c r="BB402" i="73"/>
  <c r="BB411" i="73" s="1"/>
  <c r="BB274" i="73"/>
  <c r="CY39" i="54"/>
  <c r="CJ59" i="54"/>
  <c r="CK56" i="54"/>
  <c r="CV28" i="54"/>
  <c r="CU31" i="54"/>
  <c r="CI82" i="54"/>
  <c r="BR8" i="54"/>
  <c r="BR15" i="54"/>
  <c r="BS12" i="54"/>
  <c r="CW40" i="54"/>
  <c r="CV43" i="54"/>
  <c r="CI47" i="54"/>
  <c r="CJ44" i="54"/>
  <c r="BF6" i="54"/>
  <c r="BG6" i="54" s="1"/>
  <c r="BH6" i="54" s="1"/>
  <c r="BK6" i="54"/>
  <c r="CJ74" i="54"/>
  <c r="CJ82" i="54" s="1"/>
  <c r="CY51" i="54"/>
  <c r="CK73" i="54"/>
  <c r="CJ33" i="2"/>
  <c r="CK32" i="2"/>
  <c r="CJ27" i="3"/>
  <c r="BH168" i="2"/>
  <c r="BH65" i="2"/>
  <c r="CF199" i="2"/>
  <c r="AK11" i="54"/>
  <c r="AK65" i="2"/>
  <c r="AK168" i="2"/>
  <c r="CE190" i="2"/>
  <c r="CI130" i="2"/>
  <c r="CI133" i="2" s="1"/>
  <c r="CM130" i="2"/>
  <c r="CM133" i="2" s="1"/>
  <c r="BZ142" i="73"/>
  <c r="CA142" i="73" s="1"/>
  <c r="CA141" i="73"/>
  <c r="BO407" i="73"/>
  <c r="AO349" i="73"/>
  <c r="AQ120" i="73"/>
  <c r="AQ136" i="73"/>
  <c r="AQ429" i="73" s="1"/>
  <c r="AM324" i="73"/>
  <c r="AM325" i="73" s="1"/>
  <c r="BG451" i="73"/>
  <c r="BG450" i="73" s="1"/>
  <c r="BG449" i="73" s="1"/>
  <c r="BG445" i="73" s="1"/>
  <c r="BG167" i="73"/>
  <c r="BG166" i="73" s="1"/>
  <c r="BG168" i="73" s="1"/>
  <c r="CD140" i="73"/>
  <c r="CE140" i="73" s="1"/>
  <c r="CF140" i="73" s="1"/>
  <c r="CI140" i="73" s="1"/>
  <c r="CJ140" i="73" s="1"/>
  <c r="CK140" i="73" s="1"/>
  <c r="CL140" i="73" s="1"/>
  <c r="CO140" i="73" s="1"/>
  <c r="CP140" i="73" s="1"/>
  <c r="CQ140" i="73" s="1"/>
  <c r="CR140" i="73" s="1"/>
  <c r="CC141" i="73"/>
  <c r="CC142" i="73" s="1"/>
  <c r="M167" i="2"/>
  <c r="M60" i="2"/>
  <c r="M64" i="3"/>
  <c r="M79" i="54"/>
  <c r="BU65" i="3"/>
  <c r="AQ369" i="73"/>
  <c r="AQ343" i="73"/>
  <c r="AQ344" i="73" s="1"/>
  <c r="AP429" i="73"/>
  <c r="AP438" i="73" s="1"/>
  <c r="BE303" i="73"/>
  <c r="BH50" i="51"/>
  <c r="BN50" i="51"/>
  <c r="BY44" i="51"/>
  <c r="BI20" i="51"/>
  <c r="BO49" i="51"/>
  <c r="BI49" i="51"/>
  <c r="BI47" i="51"/>
  <c r="BO47" i="51"/>
  <c r="BZ50" i="51"/>
  <c r="BT50" i="51"/>
  <c r="BS24" i="51"/>
  <c r="BE220" i="73"/>
  <c r="BE50" i="73"/>
  <c r="BE49" i="73" s="1"/>
  <c r="BE100" i="73"/>
  <c r="BE214" i="73"/>
  <c r="BF451" i="73"/>
  <c r="BR379" i="73"/>
  <c r="BF167" i="73"/>
  <c r="BF166" i="73" s="1"/>
  <c r="BF168" i="73" s="1"/>
  <c r="BF431" i="73" s="1"/>
  <c r="BF440" i="73" s="1"/>
  <c r="AD97" i="2"/>
  <c r="AD174" i="2"/>
  <c r="BN65" i="3"/>
  <c r="AQ127" i="73"/>
  <c r="AQ371" i="73" s="1"/>
  <c r="AV174" i="2"/>
  <c r="AV97" i="2"/>
  <c r="AV100" i="2" s="1"/>
  <c r="BI97" i="2"/>
  <c r="AK405" i="73"/>
  <c r="AQ398" i="73"/>
  <c r="AQ407" i="73" s="1"/>
  <c r="AQ174" i="2"/>
  <c r="E79" i="54"/>
  <c r="E83" i="54" s="1"/>
  <c r="E84" i="54" s="1"/>
  <c r="E85" i="54" s="1"/>
  <c r="E174" i="2"/>
  <c r="AW79" i="54"/>
  <c r="AW167" i="2"/>
  <c r="AW60" i="2"/>
  <c r="L79" i="54"/>
  <c r="L83" i="54" s="1"/>
  <c r="M83" i="54" s="1"/>
  <c r="L174" i="2"/>
  <c r="L97" i="2"/>
  <c r="BU153" i="73"/>
  <c r="BU154" i="73" s="1"/>
  <c r="BU155" i="73" s="1"/>
  <c r="I101" i="2"/>
  <c r="J95" i="2" s="1"/>
  <c r="J101" i="2" s="1"/>
  <c r="K95" i="2" s="1"/>
  <c r="K101" i="2" s="1"/>
  <c r="L95" i="2" s="1"/>
  <c r="CG24" i="54"/>
  <c r="BQ158" i="73"/>
  <c r="BU115" i="73"/>
  <c r="BU379" i="73" s="1"/>
  <c r="BT21" i="51"/>
  <c r="BS258" i="73"/>
  <c r="BS259" i="73" s="1"/>
  <c r="BS260" i="73"/>
  <c r="BU235" i="73"/>
  <c r="BU236" i="73" s="1"/>
  <c r="BU237" i="73" s="1"/>
  <c r="BQ255" i="73"/>
  <c r="BR118" i="73"/>
  <c r="BR257" i="73"/>
  <c r="BR36" i="4"/>
  <c r="BU238" i="73"/>
  <c r="BR55" i="4"/>
  <c r="BR56" i="4" s="1"/>
  <c r="BR43" i="4"/>
  <c r="BR44" i="4" s="1"/>
  <c r="BR49" i="4"/>
  <c r="BR50" i="4" s="1"/>
  <c r="BT258" i="73"/>
  <c r="BT259" i="73" s="1"/>
  <c r="BT260" i="73"/>
  <c r="BR337" i="73"/>
  <c r="BQ36" i="4"/>
  <c r="BQ49" i="4"/>
  <c r="BQ55" i="4"/>
  <c r="BQ43" i="4"/>
  <c r="BR93" i="73"/>
  <c r="BR255" i="73"/>
  <c r="BQ93" i="73"/>
  <c r="BQ379" i="73"/>
  <c r="BQ134" i="73"/>
  <c r="BQ448" i="73" s="1"/>
  <c r="BQ337" i="73"/>
  <c r="BQ132" i="73"/>
  <c r="BQ118" i="73"/>
  <c r="BS53" i="51"/>
  <c r="DO12" i="51"/>
  <c r="DO20" i="51" s="1"/>
  <c r="BT63" i="4"/>
  <c r="BT60" i="51"/>
  <c r="BI71" i="51"/>
  <c r="DP33" i="51"/>
  <c r="DP46" i="51" s="1"/>
  <c r="BS116" i="2"/>
  <c r="BS120" i="2"/>
  <c r="BT105" i="2"/>
  <c r="BC65" i="2"/>
  <c r="BC11" i="54"/>
  <c r="BC168" i="2"/>
  <c r="AP86" i="2"/>
  <c r="AP65" i="3"/>
  <c r="AW79" i="3"/>
  <c r="AW77" i="3"/>
  <c r="AW78" i="3"/>
  <c r="AW73" i="3"/>
  <c r="BC69" i="3" s="1"/>
  <c r="Y83" i="2"/>
  <c r="W65" i="3"/>
  <c r="W86" i="2"/>
  <c r="AI65" i="3"/>
  <c r="AI86" i="2"/>
  <c r="Y85" i="2"/>
  <c r="Y62" i="3"/>
  <c r="AC86" i="2"/>
  <c r="AC65" i="3"/>
  <c r="AO86" i="2"/>
  <c r="AO65" i="3"/>
  <c r="AE83" i="2"/>
  <c r="BA86" i="2"/>
  <c r="BA65" i="3"/>
  <c r="O112" i="2"/>
  <c r="S112" i="2"/>
  <c r="M121" i="2"/>
  <c r="AV65" i="3"/>
  <c r="AV86" i="2"/>
  <c r="AJ83" i="2"/>
  <c r="BH86" i="2"/>
  <c r="BH65" i="3"/>
  <c r="AQ65" i="2"/>
  <c r="AQ11" i="54"/>
  <c r="AQ168" i="2"/>
  <c r="S105" i="2"/>
  <c r="S114" i="2" s="1"/>
  <c r="O105" i="2"/>
  <c r="M120" i="2"/>
  <c r="M118" i="2"/>
  <c r="AU65" i="3"/>
  <c r="AU86" i="2"/>
  <c r="AQ83" i="2"/>
  <c r="CQ85" i="3"/>
  <c r="CR48" i="3"/>
  <c r="AE85" i="2"/>
  <c r="AE62" i="3"/>
  <c r="AJ85" i="2"/>
  <c r="AJ64" i="3"/>
  <c r="AJ62" i="3"/>
  <c r="CS74" i="3"/>
  <c r="CS75" i="3" s="1"/>
  <c r="CU74" i="3"/>
  <c r="CY74" i="3" s="1"/>
  <c r="AK84" i="2"/>
  <c r="AK61" i="3"/>
  <c r="AK53" i="3"/>
  <c r="AQ85" i="2"/>
  <c r="AQ64" i="3"/>
  <c r="AQ62" i="3"/>
  <c r="AQ59" i="3"/>
  <c r="CE166" i="2"/>
  <c r="BH402" i="73"/>
  <c r="BH411" i="73" s="1"/>
  <c r="BH274" i="73"/>
  <c r="AM409" i="73"/>
  <c r="AP211" i="73"/>
  <c r="AP202" i="73"/>
  <c r="AP203" i="73" s="1"/>
  <c r="AP207" i="73"/>
  <c r="AP210" i="73" s="1"/>
  <c r="AP338" i="73"/>
  <c r="AQ205" i="73"/>
  <c r="AQ372" i="73" s="1"/>
  <c r="AP311" i="73"/>
  <c r="AO210" i="73"/>
  <c r="AW218" i="73"/>
  <c r="AV221" i="73"/>
  <c r="AV222" i="73" s="1"/>
  <c r="BO402" i="73"/>
  <c r="CW40" i="73"/>
  <c r="CV39" i="73"/>
  <c r="AQ361" i="73"/>
  <c r="AP217" i="73"/>
  <c r="AQ217" i="73" s="1"/>
  <c r="AQ218" i="73" s="1"/>
  <c r="AP380" i="73"/>
  <c r="AP361" i="73"/>
  <c r="AP372" i="73"/>
  <c r="AP343" i="73"/>
  <c r="BI266" i="73"/>
  <c r="BE411" i="73"/>
  <c r="CW146" i="73"/>
  <c r="CV145" i="73"/>
  <c r="AW199" i="73"/>
  <c r="CW154" i="73"/>
  <c r="CX155" i="73"/>
  <c r="CX154" i="73" s="1"/>
  <c r="AQ184" i="73"/>
  <c r="AQ188" i="73"/>
  <c r="AQ185" i="73" s="1"/>
  <c r="CV148" i="73"/>
  <c r="CW149" i="73"/>
  <c r="BO136" i="73"/>
  <c r="BO399" i="73"/>
  <c r="BO408" i="73" s="1"/>
  <c r="BO133" i="73"/>
  <c r="CA179" i="73"/>
  <c r="AY411" i="73"/>
  <c r="AO400" i="73"/>
  <c r="AO409" i="73" s="1"/>
  <c r="AO224" i="73"/>
  <c r="AY180" i="73"/>
  <c r="AW184" i="73"/>
  <c r="BE441" i="73"/>
  <c r="BI137" i="73"/>
  <c r="BI429" i="73"/>
  <c r="BI438" i="73" s="1"/>
  <c r="BL137" i="73"/>
  <c r="BL429" i="73"/>
  <c r="BL438" i="73" s="1"/>
  <c r="BO448" i="73"/>
  <c r="BL447" i="73"/>
  <c r="BL446" i="73"/>
  <c r="CC179" i="73"/>
  <c r="CD176" i="73"/>
  <c r="BR448" i="73"/>
  <c r="CC243" i="73"/>
  <c r="CD241" i="73"/>
  <c r="AM430" i="73"/>
  <c r="AM439" i="73" s="1"/>
  <c r="AM228" i="73"/>
  <c r="AN426" i="73"/>
  <c r="AN52" i="73"/>
  <c r="AQ69" i="51"/>
  <c r="AK69" i="51"/>
  <c r="BT119" i="73"/>
  <c r="BN127" i="73"/>
  <c r="BN371" i="73" s="1"/>
  <c r="AY168" i="73"/>
  <c r="BC166" i="73"/>
  <c r="BM364" i="73"/>
  <c r="BM375" i="73"/>
  <c r="BM383" i="73"/>
  <c r="AN215" i="73"/>
  <c r="AN227" i="73" s="1"/>
  <c r="AN225" i="73"/>
  <c r="AN226" i="73" s="1"/>
  <c r="AE64" i="4"/>
  <c r="AK58" i="4"/>
  <c r="AN407" i="73"/>
  <c r="BL294" i="73"/>
  <c r="BL295" i="73" s="1"/>
  <c r="BL299" i="73"/>
  <c r="BL112" i="73"/>
  <c r="BR297" i="73"/>
  <c r="BR298" i="73" s="1"/>
  <c r="BK296" i="73"/>
  <c r="DQ29" i="51"/>
  <c r="AS426" i="73"/>
  <c r="AS52" i="73"/>
  <c r="AM352" i="73"/>
  <c r="CX40" i="4"/>
  <c r="CX44" i="4"/>
  <c r="BN364" i="73"/>
  <c r="BN375" i="73"/>
  <c r="BN383" i="73"/>
  <c r="BN412" i="73" s="1"/>
  <c r="AU426" i="73"/>
  <c r="AU52" i="73"/>
  <c r="AT357" i="73"/>
  <c r="AT343" i="73"/>
  <c r="AT369" i="73"/>
  <c r="AT376" i="73"/>
  <c r="AT405" i="73" s="1"/>
  <c r="AQ67" i="51"/>
  <c r="BT125" i="73"/>
  <c r="CG230" i="73"/>
  <c r="CG139" i="73"/>
  <c r="CG80" i="73"/>
  <c r="CG29" i="73"/>
  <c r="CG171" i="73"/>
  <c r="CG104" i="73"/>
  <c r="CG281" i="73"/>
  <c r="CM6" i="4"/>
  <c r="CM54" i="73" s="1"/>
  <c r="DR29" i="51"/>
  <c r="BM341" i="73"/>
  <c r="BM300" i="73"/>
  <c r="BM403" i="73" s="1"/>
  <c r="AO347" i="73"/>
  <c r="AO346" i="73"/>
  <c r="AO344" i="73"/>
  <c r="AO345" i="73" s="1"/>
  <c r="BM109" i="73"/>
  <c r="BM126" i="73" s="1"/>
  <c r="BM119" i="73" s="1"/>
  <c r="BS113" i="73"/>
  <c r="BS114" i="73" s="1"/>
  <c r="AS369" i="73"/>
  <c r="AS357" i="73"/>
  <c r="AS343" i="73"/>
  <c r="AS376" i="73"/>
  <c r="AO384" i="73"/>
  <c r="AQ376" i="73"/>
  <c r="AQ81" i="51"/>
  <c r="AK81" i="51"/>
  <c r="AN351" i="73"/>
  <c r="AN324" i="73"/>
  <c r="AN385" i="73" s="1"/>
  <c r="AU428" i="73"/>
  <c r="AU437" i="73" s="1"/>
  <c r="AU102" i="73"/>
  <c r="BU174" i="2"/>
  <c r="AV357" i="73"/>
  <c r="AV376" i="73"/>
  <c r="AV369" i="73"/>
  <c r="AV343" i="73"/>
  <c r="AV349" i="73" s="1"/>
  <c r="BH357" i="73"/>
  <c r="BH369" i="73"/>
  <c r="BH376" i="73"/>
  <c r="CQ144" i="2"/>
  <c r="BH39" i="73"/>
  <c r="BI38" i="73"/>
  <c r="BY70" i="51"/>
  <c r="O100" i="2"/>
  <c r="BK50" i="73"/>
  <c r="BK49" i="73" s="1"/>
  <c r="BK214" i="73"/>
  <c r="BK350" i="73"/>
  <c r="BK100" i="73"/>
  <c r="BK99" i="73" s="1"/>
  <c r="BK220" i="73"/>
  <c r="BK303" i="73"/>
  <c r="BO174" i="2"/>
  <c r="AK174" i="2"/>
  <c r="BH71" i="51"/>
  <c r="BN71" i="51"/>
  <c r="BY71" i="51"/>
  <c r="AV442" i="73"/>
  <c r="BK440" i="73"/>
  <c r="BU35" i="73"/>
  <c r="BU37" i="73"/>
  <c r="AT303" i="73"/>
  <c r="AT302" i="73" s="1"/>
  <c r="AT50" i="73"/>
  <c r="AT49" i="73" s="1"/>
  <c r="AT220" i="73"/>
  <c r="AT219" i="73" s="1"/>
  <c r="AT100" i="73"/>
  <c r="AT99" i="73" s="1"/>
  <c r="AT350" i="73"/>
  <c r="AT214" i="73"/>
  <c r="AE79" i="54"/>
  <c r="AE167" i="2"/>
  <c r="AE60" i="2"/>
  <c r="AE59" i="3"/>
  <c r="AE64" i="3"/>
  <c r="S174" i="2"/>
  <c r="Y60" i="2"/>
  <c r="Y79" i="54"/>
  <c r="Y167" i="2"/>
  <c r="Y64" i="3"/>
  <c r="AI352" i="73"/>
  <c r="AV428" i="73"/>
  <c r="AV102" i="73"/>
  <c r="R174" i="2"/>
  <c r="R97" i="2"/>
  <c r="R100" i="2" s="1"/>
  <c r="R79" i="54"/>
  <c r="AP100" i="2"/>
  <c r="AQ100" i="2" s="1"/>
  <c r="AQ97" i="2"/>
  <c r="BT71" i="51"/>
  <c r="BK100" i="2"/>
  <c r="BO100" i="2" s="1"/>
  <c r="BO97" i="2"/>
  <c r="AW167" i="73"/>
  <c r="AW163" i="73"/>
  <c r="AW44" i="73"/>
  <c r="AW38" i="73"/>
  <c r="AW46" i="73"/>
  <c r="AW169" i="73"/>
  <c r="BC44" i="73"/>
  <c r="AO51" i="73"/>
  <c r="BR100" i="2"/>
  <c r="BU100" i="2" s="1"/>
  <c r="BU97" i="2"/>
  <c r="AI215" i="73"/>
  <c r="AI227" i="73" s="1"/>
  <c r="AI225" i="73"/>
  <c r="AI226" i="73" s="1"/>
  <c r="BS22" i="51"/>
  <c r="DO34" i="51"/>
  <c r="DO47" i="51" s="1"/>
  <c r="BL441" i="73"/>
  <c r="AG221" i="73"/>
  <c r="AG222" i="73" s="1"/>
  <c r="AV396" i="73"/>
  <c r="AV51" i="73"/>
  <c r="AW47" i="73"/>
  <c r="AS100" i="2"/>
  <c r="G174" i="2"/>
  <c r="BC376" i="73"/>
  <c r="BO432" i="73"/>
  <c r="BK441" i="73"/>
  <c r="BC334" i="73"/>
  <c r="BC42" i="73"/>
  <c r="AG351" i="73"/>
  <c r="AI426" i="73"/>
  <c r="AI52" i="73"/>
  <c r="BB440" i="73"/>
  <c r="AG51" i="73"/>
  <c r="AO221" i="73"/>
  <c r="AO222" i="73" s="1"/>
  <c r="DS45" i="51"/>
  <c r="AQ447" i="73"/>
  <c r="AQ446" i="73"/>
  <c r="DS44" i="51"/>
  <c r="AG225" i="73"/>
  <c r="AG226" i="73" s="1"/>
  <c r="AG215" i="73"/>
  <c r="AI437" i="73"/>
  <c r="AY102" i="73"/>
  <c r="AY428" i="73"/>
  <c r="BI174" i="2"/>
  <c r="AO101" i="73"/>
  <c r="AO428" i="73" s="1"/>
  <c r="DS29" i="51"/>
  <c r="AQ408" i="73"/>
  <c r="BC174" i="2"/>
  <c r="BY69" i="51"/>
  <c r="AV334" i="73"/>
  <c r="AW41" i="73"/>
  <c r="AW334" i="73" s="1"/>
  <c r="AO215" i="73"/>
  <c r="AO225" i="73"/>
  <c r="AO226" i="73" s="1"/>
  <c r="AZ100" i="2"/>
  <c r="BC100" i="2" s="1"/>
  <c r="BC97" i="2"/>
  <c r="DL34" i="51"/>
  <c r="BN22" i="51"/>
  <c r="BH334" i="73"/>
  <c r="BI41" i="73"/>
  <c r="AP164" i="73"/>
  <c r="X79" i="54"/>
  <c r="X174" i="2"/>
  <c r="X97" i="2"/>
  <c r="DS43" i="51"/>
  <c r="AG101" i="73"/>
  <c r="AG428" i="73" s="1"/>
  <c r="CG22" i="3"/>
  <c r="CK31" i="2"/>
  <c r="CG38" i="2"/>
  <c r="CG188" i="2" s="1"/>
  <c r="CG44" i="3"/>
  <c r="CG13" i="2"/>
  <c r="BO11" i="54"/>
  <c r="BO65" i="2"/>
  <c r="BO168" i="2"/>
  <c r="CE50" i="3"/>
  <c r="B19" i="52"/>
  <c r="B14" i="52"/>
  <c r="O78" i="54"/>
  <c r="M73" i="2"/>
  <c r="M17" i="2"/>
  <c r="M72" i="2"/>
  <c r="J57" i="2"/>
  <c r="J67" i="2"/>
  <c r="K73" i="2"/>
  <c r="K72" i="2"/>
  <c r="K17" i="2"/>
  <c r="Y55" i="3"/>
  <c r="Y56" i="3" s="1"/>
  <c r="L73" i="2"/>
  <c r="L17" i="2"/>
  <c r="L72" i="2"/>
  <c r="BO65" i="3"/>
  <c r="BO86" i="2"/>
  <c r="J26" i="2"/>
  <c r="J74" i="2"/>
  <c r="J71" i="2"/>
  <c r="K84" i="54"/>
  <c r="I52" i="2"/>
  <c r="I61" i="2"/>
  <c r="P55" i="3"/>
  <c r="P56" i="3" s="1"/>
  <c r="O10" i="2"/>
  <c r="AJ351" i="73" l="1"/>
  <c r="AJ352" i="73" s="1"/>
  <c r="CM66" i="3"/>
  <c r="BI63" i="3"/>
  <c r="BI86" i="2"/>
  <c r="BO63" i="3"/>
  <c r="CP66" i="3"/>
  <c r="CQ66" i="3" s="1"/>
  <c r="CR66" i="3" s="1"/>
  <c r="CU66" i="3" s="1"/>
  <c r="AH430" i="73"/>
  <c r="AH328" i="73" s="1"/>
  <c r="AH326" i="73" s="1"/>
  <c r="AH327" i="73" s="1"/>
  <c r="AJ400" i="73"/>
  <c r="AJ409" i="73" s="1"/>
  <c r="AK349" i="73"/>
  <c r="AK351" i="73" s="1"/>
  <c r="AK352" i="73" s="1"/>
  <c r="BC273" i="73"/>
  <c r="BC274" i="73" s="1"/>
  <c r="BT261" i="73"/>
  <c r="BT256" i="73"/>
  <c r="BT363" i="73" s="1"/>
  <c r="BA350" i="73"/>
  <c r="BT91" i="73"/>
  <c r="BT336" i="73" s="1"/>
  <c r="BT447" i="73"/>
  <c r="BS94" i="73"/>
  <c r="BT96" i="73"/>
  <c r="BT94" i="73"/>
  <c r="BT97" i="73"/>
  <c r="BT398" i="73" s="1"/>
  <c r="BT446" i="73"/>
  <c r="BS96" i="73"/>
  <c r="BS408" i="73"/>
  <c r="BS91" i="73"/>
  <c r="BS336" i="73" s="1"/>
  <c r="BT136" i="73"/>
  <c r="BT429" i="73" s="1"/>
  <c r="BT438" i="73" s="1"/>
  <c r="BS256" i="73"/>
  <c r="BS374" i="73" s="1"/>
  <c r="BT399" i="73"/>
  <c r="BT408" i="73" s="1"/>
  <c r="BS261" i="73"/>
  <c r="CM43" i="2"/>
  <c r="B36" i="52" s="1"/>
  <c r="CL193" i="2"/>
  <c r="O56" i="2"/>
  <c r="O198" i="2"/>
  <c r="L202" i="2"/>
  <c r="L201" i="2"/>
  <c r="S56" i="2"/>
  <c r="S198" i="2"/>
  <c r="K201" i="2"/>
  <c r="K202" i="2"/>
  <c r="BS97" i="73"/>
  <c r="BS398" i="73" s="1"/>
  <c r="BS136" i="73"/>
  <c r="BS429" i="73" s="1"/>
  <c r="BS438" i="73" s="1"/>
  <c r="AQ130" i="73"/>
  <c r="BS446" i="73"/>
  <c r="AQ333" i="73"/>
  <c r="AQ356" i="73"/>
  <c r="AQ121" i="73"/>
  <c r="BS447" i="73"/>
  <c r="AQ117" i="73"/>
  <c r="AQ345" i="73"/>
  <c r="AQ368" i="73"/>
  <c r="CA34" i="51"/>
  <c r="CL35" i="1"/>
  <c r="CM34" i="1"/>
  <c r="CW15" i="51"/>
  <c r="CW45" i="51" s="1"/>
  <c r="BH279" i="73"/>
  <c r="AJ324" i="73"/>
  <c r="AJ385" i="73" s="1"/>
  <c r="AJ387" i="73" s="1"/>
  <c r="CX13" i="51"/>
  <c r="CX43" i="51" s="1"/>
  <c r="CO34" i="1"/>
  <c r="AW86" i="2"/>
  <c r="BI273" i="73"/>
  <c r="BI274" i="73" s="1"/>
  <c r="AQ207" i="73"/>
  <c r="AQ210" i="73" s="1"/>
  <c r="CX46" i="4"/>
  <c r="CX50" i="4"/>
  <c r="AI400" i="73"/>
  <c r="AI224" i="73"/>
  <c r="AK223" i="73"/>
  <c r="AK224" i="73" s="1"/>
  <c r="AK212" i="73"/>
  <c r="CF100" i="1"/>
  <c r="U55" i="3"/>
  <c r="U56" i="3" s="1"/>
  <c r="V55" i="3" s="1"/>
  <c r="V56" i="3" s="1"/>
  <c r="AK213" i="73"/>
  <c r="AK214" i="73" s="1"/>
  <c r="CI101" i="1"/>
  <c r="CI87" i="1"/>
  <c r="CS48" i="3"/>
  <c r="BY120" i="2"/>
  <c r="BZ105" i="2"/>
  <c r="BY116" i="2"/>
  <c r="BT22" i="51"/>
  <c r="BT28" i="51" s="1"/>
  <c r="AK99" i="73"/>
  <c r="AK100" i="73" s="1"/>
  <c r="AK49" i="73"/>
  <c r="AK445" i="73" s="1"/>
  <c r="AJ227" i="73"/>
  <c r="AJ430" i="73" s="1"/>
  <c r="AJ439" i="73" s="1"/>
  <c r="AK219" i="73"/>
  <c r="AK220" i="73" s="1"/>
  <c r="AH392" i="73"/>
  <c r="AJ225" i="73"/>
  <c r="AJ226" i="73" s="1"/>
  <c r="AH390" i="73"/>
  <c r="AH394" i="73"/>
  <c r="AH395" i="73"/>
  <c r="AH388" i="73"/>
  <c r="AJ426" i="73"/>
  <c r="AJ435" i="73" s="1"/>
  <c r="AJ52" i="73"/>
  <c r="BA303" i="73"/>
  <c r="AH404" i="73"/>
  <c r="AH413" i="73" s="1"/>
  <c r="AG392" i="73"/>
  <c r="AG393" i="73"/>
  <c r="AH391" i="73"/>
  <c r="AH387" i="73"/>
  <c r="AM385" i="73"/>
  <c r="AM392" i="73" s="1"/>
  <c r="AG404" i="73"/>
  <c r="AG413" i="73" s="1"/>
  <c r="AG390" i="73"/>
  <c r="AG395" i="73"/>
  <c r="AG391" i="73"/>
  <c r="AG387" i="73"/>
  <c r="AG394" i="73"/>
  <c r="BA50" i="73"/>
  <c r="BA49" i="73" s="1"/>
  <c r="BC49" i="73" s="1"/>
  <c r="BC445" i="73" s="1"/>
  <c r="BA48" i="73"/>
  <c r="BA47" i="73" s="1"/>
  <c r="AQ346" i="73"/>
  <c r="BA100" i="73"/>
  <c r="BA220" i="73"/>
  <c r="BA214" i="73"/>
  <c r="BC278" i="73"/>
  <c r="BC279" i="73" s="1"/>
  <c r="BR399" i="73"/>
  <c r="BR408" i="73" s="1"/>
  <c r="AU347" i="73"/>
  <c r="AQ137" i="73"/>
  <c r="AU344" i="73"/>
  <c r="AU349" i="73"/>
  <c r="AU435" i="73"/>
  <c r="BU118" i="73"/>
  <c r="BB279" i="73"/>
  <c r="BB432" i="73"/>
  <c r="BI451" i="73"/>
  <c r="BI450" i="73" s="1"/>
  <c r="BI449" i="73" s="1"/>
  <c r="BC402" i="73"/>
  <c r="BC411" i="73" s="1"/>
  <c r="BF450" i="73"/>
  <c r="BF449" i="73" s="1"/>
  <c r="BF445" i="73" s="1"/>
  <c r="CK59" i="54"/>
  <c r="CL56" i="54"/>
  <c r="CW28" i="54"/>
  <c r="CV31" i="54"/>
  <c r="BQ6" i="54"/>
  <c r="BL6" i="54"/>
  <c r="BM6" i="54" s="1"/>
  <c r="BN6" i="54" s="1"/>
  <c r="CJ47" i="54"/>
  <c r="CK44" i="54"/>
  <c r="BT12" i="54"/>
  <c r="BS15" i="54"/>
  <c r="BS8" i="54"/>
  <c r="CK33" i="2"/>
  <c r="CL73" i="54"/>
  <c r="CK74" i="54"/>
  <c r="CK82" i="54" s="1"/>
  <c r="CM46" i="54"/>
  <c r="CX40" i="54"/>
  <c r="CW43" i="54"/>
  <c r="BZ65" i="2"/>
  <c r="BI168" i="2"/>
  <c r="BI11" i="54"/>
  <c r="BI65" i="2"/>
  <c r="CK27" i="3"/>
  <c r="CL32" i="2"/>
  <c r="CS130" i="2"/>
  <c r="CS133" i="2" s="1"/>
  <c r="CO130" i="2"/>
  <c r="CO133" i="2" s="1"/>
  <c r="CF190" i="2"/>
  <c r="CG48" i="2"/>
  <c r="CI48" i="2" s="1"/>
  <c r="CY75" i="3"/>
  <c r="CJ130" i="2"/>
  <c r="CJ133" i="2" s="1"/>
  <c r="CI21" i="2"/>
  <c r="CG11" i="2"/>
  <c r="CU140" i="73"/>
  <c r="CV140" i="73" s="1"/>
  <c r="CW140" i="73" s="1"/>
  <c r="CX140" i="73" s="1"/>
  <c r="CY140" i="73" s="1"/>
  <c r="CS140" i="73"/>
  <c r="BG303" i="73"/>
  <c r="BG100" i="73"/>
  <c r="BG50" i="73"/>
  <c r="BG49" i="73" s="1"/>
  <c r="BG214" i="73"/>
  <c r="BG220" i="73"/>
  <c r="BG350" i="73"/>
  <c r="AO351" i="73"/>
  <c r="AO352" i="73" s="1"/>
  <c r="BG431" i="73"/>
  <c r="BG440" i="73" s="1"/>
  <c r="BG169" i="73"/>
  <c r="M174" i="2"/>
  <c r="BS30" i="51"/>
  <c r="DO36" i="51"/>
  <c r="DO49" i="51" s="1"/>
  <c r="BS56" i="51"/>
  <c r="BS54" i="51"/>
  <c r="BI50" i="51"/>
  <c r="BO50" i="51"/>
  <c r="BT24" i="51"/>
  <c r="BN28" i="51"/>
  <c r="BS28" i="51"/>
  <c r="BF169" i="73"/>
  <c r="BI166" i="73"/>
  <c r="BI167" i="73" s="1"/>
  <c r="BU134" i="73"/>
  <c r="BU135" i="73" s="1"/>
  <c r="BU116" i="73"/>
  <c r="BU337" i="73"/>
  <c r="AT349" i="73"/>
  <c r="AW97" i="2"/>
  <c r="AW100" i="2"/>
  <c r="AD100" i="2"/>
  <c r="AE100" i="2" s="1"/>
  <c r="AE97" i="2"/>
  <c r="AW174" i="2"/>
  <c r="L100" i="2"/>
  <c r="M100" i="2" s="1"/>
  <c r="M97" i="2"/>
  <c r="BU93" i="73"/>
  <c r="BU88" i="73" s="1"/>
  <c r="AM328" i="73"/>
  <c r="AM326" i="73" s="1"/>
  <c r="AM327" i="73" s="1"/>
  <c r="CG27" i="54"/>
  <c r="CG100" i="1" s="1"/>
  <c r="CI24" i="54"/>
  <c r="BR256" i="73"/>
  <c r="BR258" i="73"/>
  <c r="BR259" i="73" s="1"/>
  <c r="BR260" i="73"/>
  <c r="BQ399" i="73"/>
  <c r="BQ408" i="73" s="1"/>
  <c r="BQ136" i="73"/>
  <c r="BU43" i="4"/>
  <c r="BU44" i="4" s="1"/>
  <c r="BQ44" i="4"/>
  <c r="BQ261" i="73"/>
  <c r="BQ340" i="73"/>
  <c r="BU255" i="73"/>
  <c r="BU132" i="73"/>
  <c r="BU133" i="73" s="1"/>
  <c r="BQ56" i="4"/>
  <c r="BU55" i="4"/>
  <c r="BQ50" i="4"/>
  <c r="BU49" i="4"/>
  <c r="BU50" i="4" s="1"/>
  <c r="BR15" i="51"/>
  <c r="BR63" i="51"/>
  <c r="DN31" i="51"/>
  <c r="BT53" i="51"/>
  <c r="DP12" i="51"/>
  <c r="DP20" i="51" s="1"/>
  <c r="BQ97" i="73"/>
  <c r="BQ91" i="73"/>
  <c r="BQ94" i="73"/>
  <c r="BQ96" i="73"/>
  <c r="BQ258" i="73"/>
  <c r="BQ259" i="73" s="1"/>
  <c r="BQ256" i="73"/>
  <c r="BQ260" i="73"/>
  <c r="BU257" i="73"/>
  <c r="BR19" i="51"/>
  <c r="DN32" i="51"/>
  <c r="BR64" i="51"/>
  <c r="BQ447" i="73"/>
  <c r="BQ446" i="73"/>
  <c r="BR261" i="73"/>
  <c r="BR340" i="73"/>
  <c r="BU36" i="4"/>
  <c r="BR13" i="51"/>
  <c r="DN30" i="51"/>
  <c r="BR62" i="51"/>
  <c r="BI432" i="73"/>
  <c r="BI441" i="73" s="1"/>
  <c r="BR91" i="73"/>
  <c r="BR336" i="73" s="1"/>
  <c r="BR97" i="73"/>
  <c r="BR398" i="73" s="1"/>
  <c r="BR96" i="73"/>
  <c r="BR94" i="73"/>
  <c r="BQ156" i="73"/>
  <c r="BQ162" i="73"/>
  <c r="BQ159" i="73"/>
  <c r="BQ160" i="73" s="1"/>
  <c r="BQ161" i="73"/>
  <c r="DP34" i="51"/>
  <c r="DP47" i="51" s="1"/>
  <c r="CU48" i="3"/>
  <c r="CR85" i="3"/>
  <c r="CR84" i="3" s="1"/>
  <c r="AK83" i="2"/>
  <c r="CQ84" i="3"/>
  <c r="Y86" i="2"/>
  <c r="Y65" i="3"/>
  <c r="AK85" i="2"/>
  <c r="AK62" i="3"/>
  <c r="AK59" i="3"/>
  <c r="AK64" i="3"/>
  <c r="AE86" i="2"/>
  <c r="AE65" i="3"/>
  <c r="O114" i="2"/>
  <c r="O110" i="2"/>
  <c r="AQ65" i="3"/>
  <c r="AQ86" i="2"/>
  <c r="BT109" i="2"/>
  <c r="BU109" i="2" s="1"/>
  <c r="BT114" i="2"/>
  <c r="AJ86" i="2"/>
  <c r="AJ65" i="3"/>
  <c r="BC70" i="3"/>
  <c r="BC71" i="3"/>
  <c r="BC81" i="3" s="1"/>
  <c r="BS115" i="2"/>
  <c r="BS121" i="2"/>
  <c r="BT112" i="2"/>
  <c r="CF166" i="2"/>
  <c r="AP312" i="73"/>
  <c r="AP314" i="73"/>
  <c r="AS405" i="73"/>
  <c r="BR446" i="73"/>
  <c r="BR447" i="73"/>
  <c r="BU448" i="73"/>
  <c r="CD141" i="73"/>
  <c r="BO447" i="73"/>
  <c r="BO446" i="73"/>
  <c r="AQ199" i="73"/>
  <c r="AQ200" i="73" s="1"/>
  <c r="AQ201" i="73" s="1"/>
  <c r="AW186" i="73"/>
  <c r="AZ180" i="73"/>
  <c r="AY183" i="73"/>
  <c r="BI402" i="73"/>
  <c r="AQ202" i="73"/>
  <c r="AQ203" i="73" s="1"/>
  <c r="AQ204" i="73" s="1"/>
  <c r="AQ338" i="73"/>
  <c r="AQ311" i="73"/>
  <c r="AP346" i="73"/>
  <c r="AP344" i="73"/>
  <c r="AP347" i="73"/>
  <c r="AQ347" i="73" s="1"/>
  <c r="AQ348" i="73" s="1"/>
  <c r="CX40" i="73"/>
  <c r="CX39" i="73" s="1"/>
  <c r="CW39" i="73"/>
  <c r="BR137" i="73"/>
  <c r="BR429" i="73"/>
  <c r="BR438" i="73" s="1"/>
  <c r="CW148" i="73"/>
  <c r="CX149" i="73"/>
  <c r="CX148" i="73" s="1"/>
  <c r="BO411" i="73"/>
  <c r="CD179" i="73"/>
  <c r="CE176" i="73"/>
  <c r="BM412" i="73"/>
  <c r="CE241" i="73"/>
  <c r="CD243" i="73"/>
  <c r="CX146" i="73"/>
  <c r="CX145" i="73" s="1"/>
  <c r="CW145" i="73"/>
  <c r="BO137" i="73"/>
  <c r="BO429" i="73"/>
  <c r="BO438" i="73" s="1"/>
  <c r="AP384" i="73"/>
  <c r="AQ380" i="73"/>
  <c r="AQ384" i="73" s="1"/>
  <c r="AP223" i="73"/>
  <c r="AQ211" i="73"/>
  <c r="BL375" i="73"/>
  <c r="BL383" i="73"/>
  <c r="BL364" i="73"/>
  <c r="BS119" i="73"/>
  <c r="BM127" i="73"/>
  <c r="AN393" i="73"/>
  <c r="AN392" i="73"/>
  <c r="AN387" i="73"/>
  <c r="AN14" i="73" s="1"/>
  <c r="AN15" i="73" s="1"/>
  <c r="AN391" i="73"/>
  <c r="AN404" i="73"/>
  <c r="AN413" i="73" s="1"/>
  <c r="AN388" i="73"/>
  <c r="AN394" i="73"/>
  <c r="AN395" i="73"/>
  <c r="AN390" i="73"/>
  <c r="AN386" i="73"/>
  <c r="BC167" i="73"/>
  <c r="BC168" i="73"/>
  <c r="BC169" i="73" s="1"/>
  <c r="AQ405" i="73"/>
  <c r="AN228" i="73"/>
  <c r="AN430" i="73"/>
  <c r="AN328" i="73" s="1"/>
  <c r="AN329" i="73" s="1"/>
  <c r="BT127" i="73"/>
  <c r="BT371" i="73" s="1"/>
  <c r="AN325" i="73"/>
  <c r="AO324" i="73"/>
  <c r="AO385" i="73" s="1"/>
  <c r="AT347" i="73"/>
  <c r="AT344" i="73"/>
  <c r="AT346" i="73"/>
  <c r="BK294" i="73"/>
  <c r="BK112" i="73"/>
  <c r="BQ297" i="73"/>
  <c r="BQ298" i="73" s="1"/>
  <c r="BH296" i="73"/>
  <c r="BK299" i="73"/>
  <c r="BL300" i="73"/>
  <c r="BL403" i="73" s="1"/>
  <c r="BL341" i="73"/>
  <c r="CM230" i="73"/>
  <c r="CM80" i="73"/>
  <c r="CM139" i="73"/>
  <c r="CM104" i="73"/>
  <c r="CM29" i="73"/>
  <c r="CM281" i="73"/>
  <c r="CS6" i="4"/>
  <c r="CS54" i="73" s="1"/>
  <c r="CM171" i="73"/>
  <c r="AN352" i="73"/>
  <c r="AS435" i="73"/>
  <c r="AN435" i="73"/>
  <c r="AY431" i="73"/>
  <c r="AY169" i="73"/>
  <c r="BS109" i="73"/>
  <c r="BM125" i="73"/>
  <c r="AS347" i="73"/>
  <c r="AS346" i="73"/>
  <c r="AS344" i="73"/>
  <c r="AS349" i="73"/>
  <c r="BL109" i="73"/>
  <c r="BR113" i="73"/>
  <c r="BR114" i="73" s="1"/>
  <c r="BC357" i="73"/>
  <c r="BC369" i="73"/>
  <c r="BO441" i="73"/>
  <c r="AI430" i="73"/>
  <c r="AI228" i="73"/>
  <c r="AW42" i="73"/>
  <c r="AT221" i="73"/>
  <c r="AT222" i="73" s="1"/>
  <c r="AW219" i="73"/>
  <c r="BK101" i="73"/>
  <c r="AG437" i="73"/>
  <c r="AK428" i="73"/>
  <c r="AO52" i="73"/>
  <c r="AO426" i="73"/>
  <c r="AW49" i="73"/>
  <c r="AT51" i="73"/>
  <c r="S97" i="2"/>
  <c r="AW376" i="73"/>
  <c r="AI435" i="73"/>
  <c r="AG352" i="73"/>
  <c r="AW48" i="73"/>
  <c r="AW39" i="73"/>
  <c r="BC39" i="73"/>
  <c r="AW302" i="73"/>
  <c r="AT304" i="73"/>
  <c r="AT433" i="73" s="1"/>
  <c r="S100" i="2"/>
  <c r="AP451" i="73"/>
  <c r="AQ164" i="73"/>
  <c r="AQ165" i="73" s="1"/>
  <c r="BI334" i="73"/>
  <c r="BI42" i="73"/>
  <c r="AO227" i="73"/>
  <c r="AY437" i="73"/>
  <c r="AG227" i="73"/>
  <c r="AG52" i="73"/>
  <c r="AG426" i="73"/>
  <c r="AV426" i="73"/>
  <c r="AV52" i="73"/>
  <c r="Y174" i="2"/>
  <c r="AE174" i="2"/>
  <c r="BI39" i="73"/>
  <c r="BI376" i="73"/>
  <c r="AV405" i="73"/>
  <c r="AW396" i="73"/>
  <c r="X100" i="2"/>
  <c r="Y100" i="2" s="1"/>
  <c r="Y97" i="2"/>
  <c r="AV437" i="73"/>
  <c r="AQ438" i="73"/>
  <c r="BT81" i="51"/>
  <c r="CR144" i="2"/>
  <c r="AO437" i="73"/>
  <c r="BT67" i="51"/>
  <c r="AT101" i="73"/>
  <c r="AT428" i="73" s="1"/>
  <c r="AW99" i="73"/>
  <c r="AV347" i="73"/>
  <c r="AV346" i="73"/>
  <c r="AV344" i="73"/>
  <c r="CI38" i="2"/>
  <c r="CI188" i="2" s="1"/>
  <c r="CA11" i="3"/>
  <c r="CA80" i="54" s="1"/>
  <c r="CL31" i="2"/>
  <c r="CA20" i="2"/>
  <c r="BZ25" i="2"/>
  <c r="BZ151" i="2"/>
  <c r="BZ154" i="2" s="1"/>
  <c r="BZ161" i="2" s="1"/>
  <c r="CF50" i="3"/>
  <c r="CG43" i="3"/>
  <c r="CI13" i="2"/>
  <c r="O17" i="2"/>
  <c r="O72" i="2"/>
  <c r="O73" i="2"/>
  <c r="J52" i="2"/>
  <c r="L74" i="2"/>
  <c r="L71" i="2"/>
  <c r="L26" i="2"/>
  <c r="K74" i="2"/>
  <c r="K71" i="2"/>
  <c r="K26" i="2"/>
  <c r="M67" i="2"/>
  <c r="M57" i="2"/>
  <c r="AE55" i="3"/>
  <c r="AE56" i="3" s="1"/>
  <c r="AA55" i="3"/>
  <c r="AA56" i="3" s="1"/>
  <c r="Y10" i="2"/>
  <c r="K67" i="2"/>
  <c r="K57" i="2"/>
  <c r="M26" i="2"/>
  <c r="M71" i="2"/>
  <c r="M74" i="2"/>
  <c r="J61" i="2"/>
  <c r="L84" i="54"/>
  <c r="L85" i="54" s="1"/>
  <c r="K85" i="54"/>
  <c r="L67" i="2"/>
  <c r="L57" i="2"/>
  <c r="U78" i="54"/>
  <c r="S73" i="2"/>
  <c r="S17" i="2"/>
  <c r="S72" i="2"/>
  <c r="Q55" i="3"/>
  <c r="Q56" i="3" s="1"/>
  <c r="P10" i="2"/>
  <c r="O83" i="54"/>
  <c r="P78" i="54" s="1"/>
  <c r="S78" i="54"/>
  <c r="AH439" i="73" l="1"/>
  <c r="CS66" i="3"/>
  <c r="CV66" i="3"/>
  <c r="CW66" i="3" s="1"/>
  <c r="CX66" i="3" s="1"/>
  <c r="CY66" i="3" s="1"/>
  <c r="BT267" i="73"/>
  <c r="BT273" i="73" s="1"/>
  <c r="BT269" i="73"/>
  <c r="BT374" i="73"/>
  <c r="BT382" i="73"/>
  <c r="BT92" i="73"/>
  <c r="BT378" i="73" s="1"/>
  <c r="BT407" i="73" s="1"/>
  <c r="BF100" i="73"/>
  <c r="BS382" i="73"/>
  <c r="BT137" i="73"/>
  <c r="BS92" i="73"/>
  <c r="BS370" i="73" s="1"/>
  <c r="BS269" i="73"/>
  <c r="BS137" i="73"/>
  <c r="BS267" i="73"/>
  <c r="BS363" i="73"/>
  <c r="U10" i="2"/>
  <c r="U198" i="2" s="1"/>
  <c r="CO43" i="2"/>
  <c r="CM193" i="2"/>
  <c r="P56" i="2"/>
  <c r="P198" i="2"/>
  <c r="CI200" i="2"/>
  <c r="K205" i="2"/>
  <c r="K62" i="2" s="1"/>
  <c r="M205" i="2"/>
  <c r="M62" i="2" s="1"/>
  <c r="M201" i="2"/>
  <c r="L204" i="2"/>
  <c r="O201" i="2"/>
  <c r="O202" i="2"/>
  <c r="Y56" i="2"/>
  <c r="Y198" i="2"/>
  <c r="CI11" i="2"/>
  <c r="CI199" i="2" s="1"/>
  <c r="CG199" i="2"/>
  <c r="K204" i="2"/>
  <c r="M204" i="2"/>
  <c r="M202" i="2"/>
  <c r="L205" i="2"/>
  <c r="L62" i="2" s="1"/>
  <c r="AJ404" i="73"/>
  <c r="AJ413" i="73" s="1"/>
  <c r="AJ393" i="73"/>
  <c r="AJ388" i="73"/>
  <c r="AJ391" i="73"/>
  <c r="AJ325" i="73"/>
  <c r="CX15" i="51"/>
  <c r="CX45" i="51" s="1"/>
  <c r="AJ394" i="73"/>
  <c r="AJ392" i="73"/>
  <c r="AJ395" i="73"/>
  <c r="AJ390" i="73"/>
  <c r="CO35" i="1"/>
  <c r="CP34" i="1"/>
  <c r="CP35" i="1" s="1"/>
  <c r="AK51" i="73"/>
  <c r="AK52" i="73" s="1"/>
  <c r="AK400" i="73"/>
  <c r="AK409" i="73" s="1"/>
  <c r="AI324" i="73"/>
  <c r="AI409" i="73"/>
  <c r="AK215" i="73"/>
  <c r="AK216" i="73" s="1"/>
  <c r="AW200" i="73"/>
  <c r="AK101" i="73"/>
  <c r="AH329" i="73"/>
  <c r="BT54" i="51"/>
  <c r="AK50" i="73"/>
  <c r="AM395" i="73"/>
  <c r="AH415" i="73"/>
  <c r="AH417" i="73" s="1"/>
  <c r="CJ87" i="1"/>
  <c r="CJ101" i="1"/>
  <c r="BZ109" i="2"/>
  <c r="CA109" i="2" s="1"/>
  <c r="CA110" i="2" s="1"/>
  <c r="BZ114" i="2"/>
  <c r="BT110" i="2"/>
  <c r="BT116" i="2" s="1"/>
  <c r="BZ112" i="2"/>
  <c r="BY115" i="2"/>
  <c r="BY121" i="2"/>
  <c r="AJ228" i="73"/>
  <c r="AK225" i="73"/>
  <c r="AK226" i="73" s="1"/>
  <c r="AK221" i="73"/>
  <c r="AK222" i="73" s="1"/>
  <c r="AJ328" i="73"/>
  <c r="AJ329" i="73" s="1"/>
  <c r="AZ48" i="73"/>
  <c r="AZ47" i="73" s="1"/>
  <c r="AZ51" i="73" s="1"/>
  <c r="AM391" i="73"/>
  <c r="AM386" i="73"/>
  <c r="BB48" i="73"/>
  <c r="BB47" i="73" s="1"/>
  <c r="BB51" i="73" s="1"/>
  <c r="BC50" i="73"/>
  <c r="AM388" i="73"/>
  <c r="AM387" i="73"/>
  <c r="AM14" i="73" s="1"/>
  <c r="AM15" i="73" s="1"/>
  <c r="AM390" i="73"/>
  <c r="AM394" i="73"/>
  <c r="AM393" i="73"/>
  <c r="AM404" i="73"/>
  <c r="AM413" i="73" s="1"/>
  <c r="AY47" i="73"/>
  <c r="AU351" i="73"/>
  <c r="AU352" i="73" s="1"/>
  <c r="BF220" i="73"/>
  <c r="BI431" i="73"/>
  <c r="BI440" i="73" s="1"/>
  <c r="BI168" i="73"/>
  <c r="BI169" i="73" s="1"/>
  <c r="BF214" i="73"/>
  <c r="BF50" i="73"/>
  <c r="BF49" i="73" s="1"/>
  <c r="BI49" i="73" s="1"/>
  <c r="BI445" i="73" s="1"/>
  <c r="BB441" i="73"/>
  <c r="BC432" i="73"/>
  <c r="BF303" i="73"/>
  <c r="BF350" i="73"/>
  <c r="CM56" i="54"/>
  <c r="CO56" i="54" s="1"/>
  <c r="CL59" i="54"/>
  <c r="CM59" i="54" s="1"/>
  <c r="CX28" i="54"/>
  <c r="CW31" i="54"/>
  <c r="CL74" i="54"/>
  <c r="CM73" i="54"/>
  <c r="CO73" i="54"/>
  <c r="CL33" i="2"/>
  <c r="BT15" i="54"/>
  <c r="BU15" i="54" s="1"/>
  <c r="BU12" i="54"/>
  <c r="BT8" i="54"/>
  <c r="BR6" i="54"/>
  <c r="BS6" i="54" s="1"/>
  <c r="BT6" i="54" s="1"/>
  <c r="BW6" i="54"/>
  <c r="CY40" i="54"/>
  <c r="CX43" i="54"/>
  <c r="CK47" i="54"/>
  <c r="CL44" i="54"/>
  <c r="CM32" i="2"/>
  <c r="CO32" i="2" s="1"/>
  <c r="CL27" i="3"/>
  <c r="CM27" i="3" s="1"/>
  <c r="CS84" i="3"/>
  <c r="CJ21" i="2"/>
  <c r="CK130" i="2"/>
  <c r="CK133" i="2" s="1"/>
  <c r="CG40" i="2"/>
  <c r="CO21" i="2"/>
  <c r="CO200" i="2" s="1"/>
  <c r="CP130" i="2"/>
  <c r="CP133" i="2" s="1"/>
  <c r="CG24" i="2"/>
  <c r="CI24" i="2" s="1"/>
  <c r="CF200" i="2"/>
  <c r="CI99" i="2"/>
  <c r="CJ48" i="2"/>
  <c r="CY130" i="2"/>
  <c r="CY133" i="2" s="1"/>
  <c r="CU130" i="2"/>
  <c r="CU133" i="2" s="1"/>
  <c r="AT351" i="73"/>
  <c r="AT352" i="73" s="1"/>
  <c r="M101" i="2"/>
  <c r="O95" i="2" s="1"/>
  <c r="O101" i="2" s="1"/>
  <c r="P95" i="2" s="1"/>
  <c r="P101" i="2" s="1"/>
  <c r="Q95" i="2" s="1"/>
  <c r="Q101" i="2" s="1"/>
  <c r="R95" i="2" s="1"/>
  <c r="R101" i="2" s="1"/>
  <c r="L101" i="2"/>
  <c r="DP36" i="51"/>
  <c r="DP49" i="51" s="1"/>
  <c r="BT56" i="51"/>
  <c r="AW349" i="73"/>
  <c r="BL412" i="73"/>
  <c r="CC50" i="4"/>
  <c r="CC56" i="4"/>
  <c r="CD142" i="73"/>
  <c r="BX45" i="51"/>
  <c r="BR45" i="51"/>
  <c r="BX43" i="51"/>
  <c r="BR43" i="51"/>
  <c r="BR20" i="51"/>
  <c r="BX49" i="51"/>
  <c r="BR49" i="51"/>
  <c r="BR14" i="51"/>
  <c r="BT30" i="51"/>
  <c r="BR17" i="51"/>
  <c r="BU117" i="73"/>
  <c r="BU136" i="73"/>
  <c r="BU429" i="73" s="1"/>
  <c r="BU438" i="73" s="1"/>
  <c r="BU399" i="73"/>
  <c r="BU408" i="73" s="1"/>
  <c r="BU94" i="73"/>
  <c r="BU96" i="73"/>
  <c r="AM329" i="73"/>
  <c r="AM415" i="73"/>
  <c r="BC72" i="3"/>
  <c r="CJ24" i="54"/>
  <c r="CI27" i="54"/>
  <c r="BU260" i="73"/>
  <c r="BU258" i="73"/>
  <c r="BQ363" i="73"/>
  <c r="BQ382" i="73"/>
  <c r="BQ267" i="73"/>
  <c r="BQ374" i="73"/>
  <c r="BU256" i="73"/>
  <c r="BQ269" i="73"/>
  <c r="BR70" i="51"/>
  <c r="BX70" i="51"/>
  <c r="BU340" i="73"/>
  <c r="BQ401" i="73"/>
  <c r="DN9" i="51"/>
  <c r="DN10" i="51"/>
  <c r="BQ157" i="73"/>
  <c r="BQ339" i="73"/>
  <c r="BR71" i="51"/>
  <c r="BX71" i="51"/>
  <c r="BU15" i="51"/>
  <c r="BU63" i="51"/>
  <c r="BU56" i="4"/>
  <c r="BU61" i="4"/>
  <c r="BU261" i="73"/>
  <c r="BQ164" i="73"/>
  <c r="BQ15" i="51"/>
  <c r="BQ63" i="51"/>
  <c r="DM31" i="51"/>
  <c r="BQ19" i="51"/>
  <c r="BQ64" i="51"/>
  <c r="DM32" i="51"/>
  <c r="BQ13" i="51"/>
  <c r="DM30" i="51"/>
  <c r="BQ62" i="51"/>
  <c r="BR269" i="73"/>
  <c r="BR363" i="73"/>
  <c r="BR267" i="73"/>
  <c r="BR382" i="73"/>
  <c r="BR374" i="73"/>
  <c r="DN45" i="51"/>
  <c r="DR45" i="51"/>
  <c r="BU13" i="51"/>
  <c r="BU62" i="51"/>
  <c r="BQ398" i="73"/>
  <c r="BU97" i="73"/>
  <c r="BU98" i="73" s="1"/>
  <c r="BR69" i="51"/>
  <c r="BX69" i="51"/>
  <c r="DN43" i="51"/>
  <c r="DR43" i="51"/>
  <c r="BU37" i="4"/>
  <c r="BU89" i="73"/>
  <c r="BR92" i="73"/>
  <c r="DN11" i="51"/>
  <c r="BQ92" i="73"/>
  <c r="BU91" i="73"/>
  <c r="BQ336" i="73"/>
  <c r="DN44" i="51"/>
  <c r="DR44" i="51"/>
  <c r="BQ137" i="73"/>
  <c r="BQ429" i="73"/>
  <c r="BQ438" i="73" s="1"/>
  <c r="CD316" i="73"/>
  <c r="CV48" i="3"/>
  <c r="CU85" i="3"/>
  <c r="CS85" i="3"/>
  <c r="AK86" i="2"/>
  <c r="AK65" i="3"/>
  <c r="P105" i="2"/>
  <c r="O116" i="2"/>
  <c r="O120" i="2"/>
  <c r="CI166" i="2"/>
  <c r="CE141" i="73"/>
  <c r="AQ212" i="73"/>
  <c r="AQ223" i="73"/>
  <c r="AQ224" i="73" s="1"/>
  <c r="BA180" i="73"/>
  <c r="AZ183" i="73"/>
  <c r="BU446" i="73"/>
  <c r="BU447" i="73"/>
  <c r="AP224" i="73"/>
  <c r="AP400" i="73"/>
  <c r="AP324" i="73" s="1"/>
  <c r="AQ312" i="73"/>
  <c r="AQ313" i="73" s="1"/>
  <c r="AQ314" i="73"/>
  <c r="AN326" i="73"/>
  <c r="AN327" i="73" s="1"/>
  <c r="CE179" i="73"/>
  <c r="CF176" i="73"/>
  <c r="BI411" i="73"/>
  <c r="CF241" i="73"/>
  <c r="CE243" i="73"/>
  <c r="AO387" i="73"/>
  <c r="AO14" i="73" s="1"/>
  <c r="AO15" i="73" s="1"/>
  <c r="AO393" i="73"/>
  <c r="AO395" i="73"/>
  <c r="AO391" i="73"/>
  <c r="AO392" i="73"/>
  <c r="AO404" i="73"/>
  <c r="AO413" i="73" s="1"/>
  <c r="AO394" i="73"/>
  <c r="AO390" i="73"/>
  <c r="AO388" i="73"/>
  <c r="CS80" i="73"/>
  <c r="CS171" i="73"/>
  <c r="CS281" i="73"/>
  <c r="CS230" i="73"/>
  <c r="CS139" i="73"/>
  <c r="CS29" i="73"/>
  <c r="CS104" i="73"/>
  <c r="CY6" i="4"/>
  <c r="CY54" i="73" s="1"/>
  <c r="AY440" i="73"/>
  <c r="BC431" i="73"/>
  <c r="BK300" i="73"/>
  <c r="BK341" i="73"/>
  <c r="BO294" i="73"/>
  <c r="AN415" i="73"/>
  <c r="AN439" i="73"/>
  <c r="BM371" i="73"/>
  <c r="BS125" i="73"/>
  <c r="BS126" i="73"/>
  <c r="BS128" i="73"/>
  <c r="BS127" i="73"/>
  <c r="AS351" i="73"/>
  <c r="BK109" i="73"/>
  <c r="BO112" i="73"/>
  <c r="BQ113" i="73"/>
  <c r="BQ114" i="73" s="1"/>
  <c r="BL126" i="73"/>
  <c r="BL119" i="73" s="1"/>
  <c r="BL125" i="73"/>
  <c r="BR109" i="73"/>
  <c r="BK302" i="73"/>
  <c r="BK295" i="73"/>
  <c r="AO325" i="73"/>
  <c r="BH112" i="73"/>
  <c r="BN113" i="73" s="1"/>
  <c r="BG296" i="73"/>
  <c r="BN297" i="73"/>
  <c r="BH289" i="73"/>
  <c r="BH293" i="73" s="1"/>
  <c r="BH299" i="73"/>
  <c r="BH294" i="73"/>
  <c r="BH295" i="73" s="1"/>
  <c r="AG435" i="73"/>
  <c r="AK426" i="73"/>
  <c r="AO228" i="73"/>
  <c r="AO430" i="73"/>
  <c r="AO328" i="73" s="1"/>
  <c r="AP450" i="73"/>
  <c r="AP449" i="73" s="1"/>
  <c r="AP445" i="73" s="1"/>
  <c r="AQ451" i="73"/>
  <c r="AQ450" i="73" s="1"/>
  <c r="AQ449" i="73" s="1"/>
  <c r="AW445" i="73"/>
  <c r="AW50" i="73"/>
  <c r="AW51" i="73"/>
  <c r="AW52" i="73" s="1"/>
  <c r="AO435" i="73"/>
  <c r="AW357" i="73"/>
  <c r="AW369" i="73"/>
  <c r="AW343" i="73"/>
  <c r="AI439" i="73"/>
  <c r="AT442" i="73"/>
  <c r="AW433" i="73"/>
  <c r="BA51" i="73"/>
  <c r="BA396" i="73"/>
  <c r="AW303" i="73"/>
  <c r="AW304" i="73"/>
  <c r="AV435" i="73"/>
  <c r="AW221" i="73"/>
  <c r="AW222" i="73" s="1"/>
  <c r="AW220" i="73"/>
  <c r="AW101" i="73"/>
  <c r="AW102" i="73" s="1"/>
  <c r="AW100" i="73"/>
  <c r="CU144" i="2"/>
  <c r="BI357" i="73"/>
  <c r="BI369" i="73"/>
  <c r="AK437" i="73"/>
  <c r="AW405" i="73"/>
  <c r="AV351" i="73"/>
  <c r="AW347" i="73"/>
  <c r="AT437" i="73"/>
  <c r="AW428" i="73"/>
  <c r="AI328" i="73"/>
  <c r="AG228" i="73"/>
  <c r="AG430" i="73"/>
  <c r="AG328" i="73" s="1"/>
  <c r="BK428" i="73"/>
  <c r="BK102" i="73"/>
  <c r="M84" i="54"/>
  <c r="M85" i="54" s="1"/>
  <c r="AT426" i="73"/>
  <c r="AT52" i="73"/>
  <c r="CJ13" i="2"/>
  <c r="CI22" i="3"/>
  <c r="D13" i="52"/>
  <c r="D14" i="52" s="1"/>
  <c r="CA151" i="2"/>
  <c r="CA154" i="2" s="1"/>
  <c r="CA161" i="2" s="1"/>
  <c r="CC162" i="2" s="1"/>
  <c r="CC141" i="2" s="1"/>
  <c r="CA25" i="2"/>
  <c r="CI55" i="2"/>
  <c r="CJ38" i="2"/>
  <c r="CJ188" i="2" s="1"/>
  <c r="CI43" i="3"/>
  <c r="CI44" i="3"/>
  <c r="CG50" i="3"/>
  <c r="CM31" i="2"/>
  <c r="R55" i="3"/>
  <c r="R56" i="3" s="1"/>
  <c r="R10" i="2" s="1"/>
  <c r="Q10" i="2"/>
  <c r="S67" i="2"/>
  <c r="S57" i="2"/>
  <c r="W55" i="3"/>
  <c r="W56" i="3" s="1"/>
  <c r="V10" i="2"/>
  <c r="L61" i="2"/>
  <c r="K52" i="2"/>
  <c r="K61" i="2"/>
  <c r="Y78" i="54"/>
  <c r="U83" i="54"/>
  <c r="V78" i="54" s="1"/>
  <c r="O84" i="54"/>
  <c r="P73" i="2"/>
  <c r="P72" i="2"/>
  <c r="P17" i="2"/>
  <c r="AA78" i="54"/>
  <c r="Y17" i="2"/>
  <c r="Y73" i="2"/>
  <c r="Y72" i="2"/>
  <c r="AB55" i="3"/>
  <c r="AB56" i="3" s="1"/>
  <c r="AA10" i="2"/>
  <c r="L52" i="2"/>
  <c r="AK55" i="3"/>
  <c r="AK56" i="3" s="1"/>
  <c r="AG55" i="3"/>
  <c r="AG56" i="3" s="1"/>
  <c r="AE10" i="2"/>
  <c r="P83" i="54"/>
  <c r="Q78" i="54" s="1"/>
  <c r="M52" i="2"/>
  <c r="M61" i="2"/>
  <c r="O57" i="2"/>
  <c r="O67" i="2"/>
  <c r="S74" i="2"/>
  <c r="S26" i="2"/>
  <c r="S61" i="2" s="1"/>
  <c r="S71" i="2"/>
  <c r="O26" i="2"/>
  <c r="O61" i="2" s="1"/>
  <c r="O74" i="2"/>
  <c r="O71" i="2"/>
  <c r="CC105" i="2" l="1"/>
  <c r="CC109" i="2" s="1"/>
  <c r="CG105" i="2"/>
  <c r="CG114" i="2" s="1"/>
  <c r="U72" i="2"/>
  <c r="U56" i="2"/>
  <c r="BT370" i="73"/>
  <c r="U17" i="2"/>
  <c r="BT271" i="73"/>
  <c r="BT359" i="73"/>
  <c r="BS359" i="73"/>
  <c r="BS378" i="73"/>
  <c r="BS407" i="73" s="1"/>
  <c r="BS271" i="73"/>
  <c r="BS273" i="73"/>
  <c r="BS274" i="73" s="1"/>
  <c r="U73" i="2"/>
  <c r="CJ11" i="2"/>
  <c r="CJ199" i="2" s="1"/>
  <c r="CP43" i="2"/>
  <c r="CO193" i="2"/>
  <c r="AE56" i="2"/>
  <c r="AE198" i="2"/>
  <c r="V56" i="2"/>
  <c r="V198" i="2"/>
  <c r="Q56" i="2"/>
  <c r="Q198" i="2"/>
  <c r="CE200" i="2"/>
  <c r="O204" i="2"/>
  <c r="AA56" i="2"/>
  <c r="AA198" i="2"/>
  <c r="R56" i="2"/>
  <c r="R198" i="2"/>
  <c r="CI40" i="2"/>
  <c r="CI190" i="2" s="1"/>
  <c r="CG190" i="2"/>
  <c r="CJ200" i="2"/>
  <c r="O205" i="2"/>
  <c r="O62" i="2" s="1"/>
  <c r="U201" i="2"/>
  <c r="U202" i="2"/>
  <c r="P201" i="2"/>
  <c r="P204" i="2" s="1"/>
  <c r="P202" i="2"/>
  <c r="P205" i="2" s="1"/>
  <c r="P62" i="2" s="1"/>
  <c r="CC34" i="51"/>
  <c r="BU34" i="51"/>
  <c r="CQ34" i="1"/>
  <c r="AH420" i="73"/>
  <c r="AH423" i="73"/>
  <c r="BT120" i="2"/>
  <c r="AI385" i="73"/>
  <c r="AI325" i="73"/>
  <c r="AK324" i="73"/>
  <c r="CI100" i="1"/>
  <c r="AH424" i="73"/>
  <c r="AH425" i="73"/>
  <c r="AH421" i="73"/>
  <c r="AH434" i="73"/>
  <c r="AH443" i="73" s="1"/>
  <c r="AH422" i="73"/>
  <c r="AH418" i="73"/>
  <c r="AZ396" i="73"/>
  <c r="AZ405" i="73" s="1"/>
  <c r="AK227" i="73"/>
  <c r="AK228" i="73" s="1"/>
  <c r="CS86" i="3"/>
  <c r="CS87" i="3" s="1"/>
  <c r="CK101" i="1"/>
  <c r="CK87" i="1"/>
  <c r="BZ110" i="2"/>
  <c r="BZ120" i="2" s="1"/>
  <c r="CA120" i="2"/>
  <c r="CC18" i="1"/>
  <c r="AJ415" i="73"/>
  <c r="AJ434" i="73" s="1"/>
  <c r="AJ443" i="73" s="1"/>
  <c r="AJ326" i="73"/>
  <c r="AJ327" i="73" s="1"/>
  <c r="BC47" i="73"/>
  <c r="BC48" i="73" s="1"/>
  <c r="BB396" i="73"/>
  <c r="BB405" i="73" s="1"/>
  <c r="AY396" i="73"/>
  <c r="AY51" i="73"/>
  <c r="AY52" i="73" s="1"/>
  <c r="BI50" i="73"/>
  <c r="BC441" i="73"/>
  <c r="CY43" i="54"/>
  <c r="CO59" i="54"/>
  <c r="CP56" i="54"/>
  <c r="CY28" i="54"/>
  <c r="CX31" i="54"/>
  <c r="CY31" i="54" s="1"/>
  <c r="BX6" i="54"/>
  <c r="BY6" i="54" s="1"/>
  <c r="BZ6" i="54" s="1"/>
  <c r="CC6" i="54"/>
  <c r="CP73" i="54"/>
  <c r="CO33" i="2"/>
  <c r="CO74" i="54"/>
  <c r="CM44" i="54"/>
  <c r="CL47" i="54"/>
  <c r="CM47" i="54" s="1"/>
  <c r="CO44" i="54"/>
  <c r="BU8" i="54"/>
  <c r="BU11" i="54" s="1"/>
  <c r="BW12" i="54"/>
  <c r="CM33" i="2"/>
  <c r="CL82" i="54"/>
  <c r="CM74" i="54"/>
  <c r="CM82" i="54" s="1"/>
  <c r="CA65" i="2"/>
  <c r="CP32" i="2"/>
  <c r="CO27" i="3"/>
  <c r="S95" i="2"/>
  <c r="S101" i="2" s="1"/>
  <c r="U95" i="2" s="1"/>
  <c r="U101" i="2" s="1"/>
  <c r="V95" i="2" s="1"/>
  <c r="V101" i="2" s="1"/>
  <c r="W95" i="2" s="1"/>
  <c r="W101" i="2" s="1"/>
  <c r="X95" i="2" s="1"/>
  <c r="X101" i="2" s="1"/>
  <c r="CG21" i="2"/>
  <c r="CG200" i="2" s="1"/>
  <c r="CV130" i="2"/>
  <c r="CV133" i="2" s="1"/>
  <c r="CU21" i="2"/>
  <c r="CU200" i="2" s="1"/>
  <c r="CK48" i="2"/>
  <c r="CJ99" i="2"/>
  <c r="CJ24" i="2"/>
  <c r="CQ130" i="2"/>
  <c r="CQ133" i="2" s="1"/>
  <c r="CP21" i="2"/>
  <c r="CP200" i="2" s="1"/>
  <c r="CL130" i="2"/>
  <c r="CL133" i="2" s="1"/>
  <c r="CL21" i="2" s="1"/>
  <c r="CL200" i="2" s="1"/>
  <c r="CK21" i="2"/>
  <c r="AW350" i="73"/>
  <c r="BU137" i="73"/>
  <c r="BR271" i="73"/>
  <c r="CE142" i="73"/>
  <c r="CG140" i="73"/>
  <c r="CC19" i="51"/>
  <c r="CC64" i="51"/>
  <c r="DU32" i="51"/>
  <c r="CC15" i="51"/>
  <c r="CC63" i="51"/>
  <c r="DU31" i="51"/>
  <c r="BQ20" i="51"/>
  <c r="BW49" i="51"/>
  <c r="BQ49" i="51"/>
  <c r="BX47" i="51"/>
  <c r="BR47" i="51"/>
  <c r="BX50" i="51"/>
  <c r="BR50" i="51"/>
  <c r="BU43" i="51"/>
  <c r="BW43" i="51"/>
  <c r="BQ43" i="51"/>
  <c r="BW45" i="51"/>
  <c r="BQ45" i="51"/>
  <c r="BU45" i="51"/>
  <c r="BX44" i="51"/>
  <c r="BR44" i="51"/>
  <c r="BQ14" i="51"/>
  <c r="BQ17" i="51"/>
  <c r="BU17" i="51"/>
  <c r="BU14" i="51"/>
  <c r="BU269" i="73"/>
  <c r="BR273" i="73"/>
  <c r="BR402" i="73" s="1"/>
  <c r="AM420" i="73"/>
  <c r="AM425" i="73"/>
  <c r="AM417" i="73"/>
  <c r="AM421" i="73"/>
  <c r="AM434" i="73"/>
  <c r="AM443" i="73" s="1"/>
  <c r="AM418" i="73"/>
  <c r="AM424" i="73"/>
  <c r="AM423" i="73"/>
  <c r="AM422" i="73"/>
  <c r="CK24" i="54"/>
  <c r="CJ27" i="54"/>
  <c r="BU69" i="51"/>
  <c r="DM9" i="51"/>
  <c r="BU8" i="51"/>
  <c r="BU11" i="51" s="1"/>
  <c r="BU61" i="51"/>
  <c r="DM45" i="51"/>
  <c r="DQ45" i="51"/>
  <c r="BU70" i="51"/>
  <c r="BU336" i="73"/>
  <c r="BU92" i="73"/>
  <c r="BW71" i="51"/>
  <c r="BQ71" i="51"/>
  <c r="DM10" i="51"/>
  <c r="BQ273" i="73"/>
  <c r="BU267" i="73"/>
  <c r="BQ271" i="73"/>
  <c r="BT274" i="73"/>
  <c r="BT402" i="73"/>
  <c r="BT411" i="73" s="1"/>
  <c r="BQ373" i="73"/>
  <c r="BQ362" i="73"/>
  <c r="BQ381" i="73"/>
  <c r="BQ410" i="73" s="1"/>
  <c r="BU374" i="73"/>
  <c r="BU363" i="73"/>
  <c r="BW70" i="51"/>
  <c r="BQ70" i="51"/>
  <c r="BQ378" i="73"/>
  <c r="BQ407" i="73" s="1"/>
  <c r="BQ359" i="73"/>
  <c r="BQ370" i="73"/>
  <c r="BQ167" i="73"/>
  <c r="BQ166" i="73" s="1"/>
  <c r="BQ168" i="73" s="1"/>
  <c r="BQ451" i="73"/>
  <c r="BQ450" i="73" s="1"/>
  <c r="BQ449" i="73" s="1"/>
  <c r="DN18" i="51"/>
  <c r="DR18" i="51"/>
  <c r="BU382" i="73"/>
  <c r="BU398" i="73"/>
  <c r="BQ69" i="51"/>
  <c r="BW69" i="51"/>
  <c r="BU262" i="73"/>
  <c r="DN19" i="51"/>
  <c r="DR19" i="51"/>
  <c r="DQ43" i="51"/>
  <c r="DM43" i="51"/>
  <c r="BU62" i="4"/>
  <c r="DM11" i="51"/>
  <c r="BU259" i="73"/>
  <c r="BR370" i="73"/>
  <c r="BR378" i="73"/>
  <c r="BR407" i="73" s="1"/>
  <c r="BR359" i="73"/>
  <c r="DQ44" i="51"/>
  <c r="DM44" i="51"/>
  <c r="BU19" i="51"/>
  <c r="BU64" i="51"/>
  <c r="DN17" i="51"/>
  <c r="DR17" i="51"/>
  <c r="CJ62" i="51"/>
  <c r="CD39" i="73"/>
  <c r="CD34" i="73"/>
  <c r="P112" i="2"/>
  <c r="O121" i="2"/>
  <c r="P110" i="2"/>
  <c r="P114" i="2"/>
  <c r="BT121" i="2"/>
  <c r="BT115" i="2"/>
  <c r="CU84" i="3"/>
  <c r="CV85" i="3"/>
  <c r="CV84" i="3" s="1"/>
  <c r="CW48" i="3"/>
  <c r="CJ166" i="2"/>
  <c r="CJ63" i="51"/>
  <c r="BS122" i="73"/>
  <c r="AP385" i="73"/>
  <c r="AP325" i="73"/>
  <c r="AP409" i="73"/>
  <c r="AQ400" i="73"/>
  <c r="AQ409" i="73" s="1"/>
  <c r="BB180" i="73"/>
  <c r="BA183" i="73"/>
  <c r="CF243" i="73"/>
  <c r="CI241" i="73"/>
  <c r="CG241" i="73"/>
  <c r="CF141" i="73"/>
  <c r="AQ324" i="73"/>
  <c r="AQ325" i="73" s="1"/>
  <c r="CF179" i="73"/>
  <c r="CG176" i="73"/>
  <c r="CI176" i="73"/>
  <c r="BH375" i="73"/>
  <c r="BH364" i="73"/>
  <c r="BH383" i="73"/>
  <c r="BS371" i="73"/>
  <c r="AN434" i="73"/>
  <c r="AN443" i="73" s="1"/>
  <c r="AN425" i="73"/>
  <c r="AN423" i="73"/>
  <c r="AN417" i="73"/>
  <c r="AN421" i="73"/>
  <c r="AN424" i="73"/>
  <c r="AN420" i="73"/>
  <c r="AN418" i="73"/>
  <c r="BH109" i="73"/>
  <c r="BS124" i="73"/>
  <c r="BS129" i="73"/>
  <c r="BS130" i="73" s="1"/>
  <c r="BS123" i="73"/>
  <c r="BS131" i="73"/>
  <c r="BC440" i="73"/>
  <c r="BH341" i="73"/>
  <c r="BH302" i="73"/>
  <c r="BH300" i="73"/>
  <c r="AN416" i="73"/>
  <c r="BF296" i="73"/>
  <c r="BG294" i="73"/>
  <c r="BG295" i="73" s="1"/>
  <c r="BG289" i="73"/>
  <c r="BG293" i="73" s="1"/>
  <c r="BM297" i="73"/>
  <c r="BG112" i="73"/>
  <c r="BG109" i="73" s="1"/>
  <c r="BG299" i="73"/>
  <c r="BK126" i="73"/>
  <c r="BK119" i="73" s="1"/>
  <c r="BO109" i="73"/>
  <c r="BQ109" i="73"/>
  <c r="BK125" i="73"/>
  <c r="BL127" i="73"/>
  <c r="BL371" i="73" s="1"/>
  <c r="BR119" i="73"/>
  <c r="AN422" i="73"/>
  <c r="BO341" i="73"/>
  <c r="CY281" i="73"/>
  <c r="CY230" i="73"/>
  <c r="CY80" i="73"/>
  <c r="CY171" i="73"/>
  <c r="CY139" i="73"/>
  <c r="CY29" i="73"/>
  <c r="CY104" i="73"/>
  <c r="BO300" i="73"/>
  <c r="BO301" i="73" s="1"/>
  <c r="BK403" i="73"/>
  <c r="BK304" i="73"/>
  <c r="BR126" i="73"/>
  <c r="BR125" i="73"/>
  <c r="BK364" i="73"/>
  <c r="BK383" i="73"/>
  <c r="BO295" i="73"/>
  <c r="BK375" i="73"/>
  <c r="AS352" i="73"/>
  <c r="AW351" i="73"/>
  <c r="AW352" i="73" s="1"/>
  <c r="AW348" i="73"/>
  <c r="AV352" i="73"/>
  <c r="AG439" i="73"/>
  <c r="AK430" i="73"/>
  <c r="AW437" i="73"/>
  <c r="AG329" i="73"/>
  <c r="AG326" i="73"/>
  <c r="AG415" i="73"/>
  <c r="AZ52" i="73"/>
  <c r="AZ426" i="73"/>
  <c r="AO329" i="73"/>
  <c r="AO326" i="73"/>
  <c r="AO415" i="73"/>
  <c r="AO422" i="73" s="1"/>
  <c r="BA405" i="73"/>
  <c r="BA426" i="73"/>
  <c r="BA52" i="73"/>
  <c r="AP350" i="73"/>
  <c r="AP349" i="73" s="1"/>
  <c r="AP214" i="73"/>
  <c r="AP213" i="73" s="1"/>
  <c r="AP220" i="73"/>
  <c r="AP219" i="73" s="1"/>
  <c r="AP50" i="73"/>
  <c r="AP49" i="73" s="1"/>
  <c r="AP100" i="73"/>
  <c r="AP99" i="73" s="1"/>
  <c r="AI329" i="73"/>
  <c r="AI326" i="73"/>
  <c r="AI327" i="73" s="1"/>
  <c r="AI415" i="73"/>
  <c r="AT435" i="73"/>
  <c r="AW426" i="73"/>
  <c r="BK437" i="73"/>
  <c r="CV144" i="2"/>
  <c r="AW442" i="73"/>
  <c r="AK435" i="73"/>
  <c r="BB52" i="73"/>
  <c r="BB426" i="73"/>
  <c r="AO439" i="73"/>
  <c r="AW344" i="73"/>
  <c r="AW346" i="73"/>
  <c r="CI50" i="3"/>
  <c r="CO31" i="2"/>
  <c r="CK13" i="2"/>
  <c r="CK22" i="3" s="1"/>
  <c r="CJ55" i="2"/>
  <c r="CK38" i="2"/>
  <c r="CK188" i="2" s="1"/>
  <c r="CJ43" i="3"/>
  <c r="CJ44" i="3"/>
  <c r="CJ22" i="3"/>
  <c r="O52" i="2"/>
  <c r="Y26" i="2"/>
  <c r="Y74" i="2"/>
  <c r="Y71" i="2"/>
  <c r="AA17" i="2"/>
  <c r="AA73" i="2"/>
  <c r="AA72" i="2"/>
  <c r="AE78" i="54"/>
  <c r="AA83" i="54"/>
  <c r="AB78" i="54" s="1"/>
  <c r="O85" i="54"/>
  <c r="V17" i="2"/>
  <c r="V73" i="2"/>
  <c r="V72" i="2"/>
  <c r="P71" i="2"/>
  <c r="P26" i="2"/>
  <c r="P61" i="2" s="1"/>
  <c r="P74" i="2"/>
  <c r="X55" i="3"/>
  <c r="X56" i="3" s="1"/>
  <c r="X10" i="2" s="1"/>
  <c r="W10" i="2"/>
  <c r="S52" i="2"/>
  <c r="V83" i="54"/>
  <c r="W78" i="54" s="1"/>
  <c r="AG78" i="54"/>
  <c r="AE73" i="2"/>
  <c r="AE72" i="2"/>
  <c r="AE17" i="2"/>
  <c r="AQ55" i="3"/>
  <c r="AQ56" i="3" s="1"/>
  <c r="AM55" i="3"/>
  <c r="AM56" i="3" s="1"/>
  <c r="AK10" i="2"/>
  <c r="AC55" i="3"/>
  <c r="AC56" i="3" s="1"/>
  <c r="AB10" i="2"/>
  <c r="Q83" i="54"/>
  <c r="R78" i="54" s="1"/>
  <c r="P57" i="2"/>
  <c r="P67" i="2"/>
  <c r="P84" i="54"/>
  <c r="P85" i="54" s="1"/>
  <c r="U57" i="2"/>
  <c r="U67" i="2"/>
  <c r="Y57" i="2"/>
  <c r="Y67" i="2"/>
  <c r="U26" i="2"/>
  <c r="U61" i="2" s="1"/>
  <c r="U74" i="2"/>
  <c r="Q72" i="2"/>
  <c r="Q73" i="2"/>
  <c r="Q17" i="2"/>
  <c r="AG10" i="2"/>
  <c r="AH55" i="3"/>
  <c r="AH56" i="3" s="1"/>
  <c r="U84" i="54"/>
  <c r="R73" i="2"/>
  <c r="R17" i="2"/>
  <c r="R72" i="2"/>
  <c r="CC114" i="2" l="1"/>
  <c r="CC110" i="2"/>
  <c r="CD105" i="2" s="1"/>
  <c r="U71" i="2"/>
  <c r="CK11" i="2"/>
  <c r="CK199" i="2" s="1"/>
  <c r="BS402" i="73"/>
  <c r="BS411" i="73" s="1"/>
  <c r="DU45" i="51"/>
  <c r="DY45" i="51"/>
  <c r="DU44" i="51"/>
  <c r="DY44" i="51"/>
  <c r="CQ43" i="2"/>
  <c r="CP193" i="2"/>
  <c r="CJ40" i="2"/>
  <c r="CJ190" i="2" s="1"/>
  <c r="AB56" i="2"/>
  <c r="AB198" i="2"/>
  <c r="AK56" i="2"/>
  <c r="AK198" i="2"/>
  <c r="X56" i="2"/>
  <c r="X198" i="2"/>
  <c r="U204" i="2"/>
  <c r="R202" i="2"/>
  <c r="R201" i="2"/>
  <c r="AA201" i="2"/>
  <c r="AA202" i="2"/>
  <c r="Q202" i="2"/>
  <c r="Q205" i="2" s="1"/>
  <c r="Q62" i="2" s="1"/>
  <c r="Q201" i="2"/>
  <c r="Q204" i="2" s="1"/>
  <c r="V201" i="2"/>
  <c r="V204" i="2" s="1"/>
  <c r="V202" i="2"/>
  <c r="V205" i="2" s="1"/>
  <c r="V62" i="2" s="1"/>
  <c r="AG56" i="2"/>
  <c r="AG198" i="2"/>
  <c r="W56" i="2"/>
  <c r="W198" i="2"/>
  <c r="CK200" i="2"/>
  <c r="U205" i="2"/>
  <c r="U62" i="2" s="1"/>
  <c r="CC20" i="1"/>
  <c r="CC168" i="2" s="1"/>
  <c r="BU57" i="1"/>
  <c r="BU35" i="51"/>
  <c r="CQ35" i="1"/>
  <c r="CR34" i="1"/>
  <c r="CU34" i="1" s="1"/>
  <c r="CD109" i="2"/>
  <c r="CD110" i="2" s="1"/>
  <c r="CE105" i="2" s="1"/>
  <c r="CD114" i="2"/>
  <c r="AK325" i="73"/>
  <c r="AK385" i="73"/>
  <c r="AI404" i="73"/>
  <c r="AI413" i="73" s="1"/>
  <c r="AI394" i="73"/>
  <c r="AI391" i="73"/>
  <c r="AI390" i="73"/>
  <c r="AO386" i="73"/>
  <c r="AI387" i="73"/>
  <c r="AI393" i="73"/>
  <c r="AI392" i="73"/>
  <c r="AI388" i="73"/>
  <c r="AI395" i="73"/>
  <c r="CJ100" i="1"/>
  <c r="CC120" i="2"/>
  <c r="CC116" i="2"/>
  <c r="CD112" i="2" s="1"/>
  <c r="CJ64" i="51"/>
  <c r="AJ418" i="73"/>
  <c r="AJ420" i="73"/>
  <c r="BZ116" i="2"/>
  <c r="BZ121" i="2" s="1"/>
  <c r="CL101" i="1"/>
  <c r="CL87" i="1"/>
  <c r="CE123" i="2"/>
  <c r="AJ417" i="73"/>
  <c r="BC396" i="73"/>
  <c r="BC405" i="73" s="1"/>
  <c r="AJ422" i="73"/>
  <c r="AJ425" i="73"/>
  <c r="AJ424" i="73"/>
  <c r="AJ423" i="73"/>
  <c r="AY405" i="73"/>
  <c r="AJ421" i="73"/>
  <c r="BC51" i="73"/>
  <c r="AY426" i="73"/>
  <c r="BC426" i="73" s="1"/>
  <c r="BU81" i="51"/>
  <c r="BU271" i="73"/>
  <c r="Y95" i="2"/>
  <c r="Y101" i="2" s="1"/>
  <c r="CP59" i="54"/>
  <c r="CQ56" i="54"/>
  <c r="CP74" i="54"/>
  <c r="CP82" i="54" s="1"/>
  <c r="CQ73" i="54"/>
  <c r="CP33" i="2"/>
  <c r="BW8" i="54"/>
  <c r="BX12" i="54"/>
  <c r="BW15" i="54"/>
  <c r="CO47" i="54"/>
  <c r="CP44" i="54"/>
  <c r="CO82" i="54"/>
  <c r="CD6" i="54"/>
  <c r="CE6" i="54" s="1"/>
  <c r="CF6" i="54" s="1"/>
  <c r="CI6" i="54"/>
  <c r="CQ32" i="2"/>
  <c r="CP27" i="3"/>
  <c r="CM21" i="2"/>
  <c r="CM200" i="2" s="1"/>
  <c r="CR130" i="2"/>
  <c r="CR133" i="2" s="1"/>
  <c r="CR21" i="2" s="1"/>
  <c r="CR200" i="2" s="1"/>
  <c r="CQ21" i="2"/>
  <c r="CQ200" i="2" s="1"/>
  <c r="CK99" i="2"/>
  <c r="CL48" i="2"/>
  <c r="CW130" i="2"/>
  <c r="CW133" i="2" s="1"/>
  <c r="CV21" i="2"/>
  <c r="CV200" i="2" s="1"/>
  <c r="CK24" i="2"/>
  <c r="CL11" i="2"/>
  <c r="CL199" i="2" s="1"/>
  <c r="BR274" i="73"/>
  <c r="CF142" i="73"/>
  <c r="CG141" i="73"/>
  <c r="CC49" i="51"/>
  <c r="DU11" i="51"/>
  <c r="CI49" i="51"/>
  <c r="CC71" i="51"/>
  <c r="DU10" i="51"/>
  <c r="CI45" i="51"/>
  <c r="CC45" i="51"/>
  <c r="CC70" i="51"/>
  <c r="BU20" i="51"/>
  <c r="BU49" i="51"/>
  <c r="BU44" i="51"/>
  <c r="BW47" i="51"/>
  <c r="BQ47" i="51"/>
  <c r="BU47" i="51"/>
  <c r="BW44" i="51"/>
  <c r="BQ44" i="51"/>
  <c r="BW50" i="51"/>
  <c r="BQ50" i="51"/>
  <c r="CL24" i="54"/>
  <c r="CK27" i="54"/>
  <c r="BU359" i="73"/>
  <c r="BU370" i="73"/>
  <c r="BR411" i="73"/>
  <c r="BU378" i="73"/>
  <c r="DM18" i="51"/>
  <c r="DQ18" i="51"/>
  <c r="DM17" i="51"/>
  <c r="DQ17" i="51"/>
  <c r="BU21" i="51"/>
  <c r="BU60" i="51"/>
  <c r="BU273" i="73"/>
  <c r="BU274" i="73" s="1"/>
  <c r="BU71" i="51"/>
  <c r="BQ431" i="73"/>
  <c r="BQ440" i="73" s="1"/>
  <c r="BQ169" i="73"/>
  <c r="BQ402" i="73"/>
  <c r="BQ411" i="73" s="1"/>
  <c r="BQ274" i="73"/>
  <c r="BQ264" i="73"/>
  <c r="BQ445" i="73"/>
  <c r="DM19" i="51"/>
  <c r="DQ19" i="51"/>
  <c r="CW85" i="3"/>
  <c r="CW84" i="3" s="1"/>
  <c r="CX48" i="3"/>
  <c r="P120" i="2"/>
  <c r="Q105" i="2"/>
  <c r="P116" i="2"/>
  <c r="CK166" i="2"/>
  <c r="CK64" i="51"/>
  <c r="CK62" i="51"/>
  <c r="CE35" i="73"/>
  <c r="CE34" i="73" s="1"/>
  <c r="CE39" i="73"/>
  <c r="AP393" i="73"/>
  <c r="AP388" i="73"/>
  <c r="AP387" i="73"/>
  <c r="AP14" i="73" s="1"/>
  <c r="AP15" i="73" s="1"/>
  <c r="AP395" i="73"/>
  <c r="AP386" i="73"/>
  <c r="AP404" i="73"/>
  <c r="AP413" i="73" s="1"/>
  <c r="AP390" i="73"/>
  <c r="AP391" i="73"/>
  <c r="AP394" i="73"/>
  <c r="BC180" i="73"/>
  <c r="BB183" i="73"/>
  <c r="BC183" i="73"/>
  <c r="CI141" i="73"/>
  <c r="CI142" i="73" s="1"/>
  <c r="AP392" i="73"/>
  <c r="AQ385" i="73"/>
  <c r="AQ395" i="73" s="1"/>
  <c r="CJ176" i="73"/>
  <c r="CI179" i="73"/>
  <c r="CG243" i="73"/>
  <c r="CG179" i="73"/>
  <c r="CI243" i="73"/>
  <c r="CJ241" i="73"/>
  <c r="BG364" i="73"/>
  <c r="BG375" i="73"/>
  <c r="BG383" i="73"/>
  <c r="BG125" i="73"/>
  <c r="BM110" i="73"/>
  <c r="BU109" i="73"/>
  <c r="BQ126" i="73"/>
  <c r="BQ125" i="73"/>
  <c r="BF112" i="73"/>
  <c r="BF109" i="73" s="1"/>
  <c r="BF294" i="73"/>
  <c r="BF295" i="73" s="1"/>
  <c r="BF289" i="73"/>
  <c r="BF293" i="73" s="1"/>
  <c r="BL297" i="73"/>
  <c r="BE296" i="73"/>
  <c r="BF299" i="73"/>
  <c r="BH403" i="73"/>
  <c r="BH412" i="73" s="1"/>
  <c r="BH304" i="73"/>
  <c r="BK305" i="73"/>
  <c r="BK433" i="73"/>
  <c r="BK442" i="73" s="1"/>
  <c r="BR128" i="73"/>
  <c r="BR124" i="73" s="1"/>
  <c r="BR127" i="73"/>
  <c r="BR371" i="73" s="1"/>
  <c r="BO125" i="73"/>
  <c r="BO122" i="73"/>
  <c r="BS106" i="73"/>
  <c r="BS105" i="73" s="1"/>
  <c r="BK412" i="73"/>
  <c r="BO403" i="73"/>
  <c r="BO119" i="73"/>
  <c r="BK127" i="73"/>
  <c r="BK371" i="73" s="1"/>
  <c r="BQ119" i="73"/>
  <c r="BO375" i="73"/>
  <c r="BO364" i="73"/>
  <c r="BO126" i="73"/>
  <c r="BO383" i="73"/>
  <c r="BG302" i="73"/>
  <c r="BG300" i="73"/>
  <c r="BG341" i="73"/>
  <c r="BH126" i="73"/>
  <c r="BH119" i="73" s="1"/>
  <c r="BH125" i="73"/>
  <c r="BN110" i="73"/>
  <c r="BM113" i="73"/>
  <c r="BG126" i="73"/>
  <c r="BG119" i="73" s="1"/>
  <c r="AW435" i="73"/>
  <c r="AP101" i="73"/>
  <c r="AP428" i="73" s="1"/>
  <c r="AQ99" i="73"/>
  <c r="AP221" i="73"/>
  <c r="AP222" i="73" s="1"/>
  <c r="AQ219" i="73"/>
  <c r="BA435" i="73"/>
  <c r="AA84" i="54"/>
  <c r="AA85" i="54" s="1"/>
  <c r="AP225" i="73"/>
  <c r="AP226" i="73" s="1"/>
  <c r="AP215" i="73"/>
  <c r="AQ213" i="73"/>
  <c r="AO421" i="73"/>
  <c r="AO434" i="73"/>
  <c r="AO443" i="73" s="1"/>
  <c r="AO416" i="73"/>
  <c r="AO417" i="73"/>
  <c r="AO424" i="73"/>
  <c r="AO425" i="73"/>
  <c r="AO423" i="73"/>
  <c r="AO420" i="73"/>
  <c r="AO418" i="73"/>
  <c r="AG423" i="73"/>
  <c r="AG417" i="73"/>
  <c r="AK415" i="73"/>
  <c r="AK422" i="73" s="1"/>
  <c r="AG434" i="73"/>
  <c r="AG443" i="73" s="1"/>
  <c r="AG425" i="73"/>
  <c r="AG421" i="73"/>
  <c r="AG424" i="73"/>
  <c r="AM416" i="73"/>
  <c r="AG420" i="73"/>
  <c r="AG418" i="73"/>
  <c r="AG422" i="73"/>
  <c r="BB435" i="73"/>
  <c r="AP51" i="73"/>
  <c r="AQ49" i="73"/>
  <c r="AP351" i="73"/>
  <c r="AQ349" i="73"/>
  <c r="AO327" i="73"/>
  <c r="AI424" i="73"/>
  <c r="AI434" i="73"/>
  <c r="AI443" i="73" s="1"/>
  <c r="AI425" i="73"/>
  <c r="AI423" i="73"/>
  <c r="AI421" i="73"/>
  <c r="AI417" i="73"/>
  <c r="AI420" i="73"/>
  <c r="AI418" i="73"/>
  <c r="AI422" i="73"/>
  <c r="CW144" i="2"/>
  <c r="BG48" i="73"/>
  <c r="BG47" i="73" s="1"/>
  <c r="BF48" i="73"/>
  <c r="BF47" i="73" s="1"/>
  <c r="BH48" i="73"/>
  <c r="BH47" i="73" s="1"/>
  <c r="BE47" i="73"/>
  <c r="AZ435" i="73"/>
  <c r="AK326" i="73"/>
  <c r="AG327" i="73"/>
  <c r="AK439" i="73"/>
  <c r="CP31" i="2"/>
  <c r="CJ50" i="3"/>
  <c r="CK44" i="3"/>
  <c r="CK55" i="2"/>
  <c r="CL38" i="2"/>
  <c r="CL188" i="2" s="1"/>
  <c r="CK43" i="3"/>
  <c r="CL13" i="2"/>
  <c r="V84" i="54"/>
  <c r="V85" i="54" s="1"/>
  <c r="AD55" i="3"/>
  <c r="AD56" i="3" s="1"/>
  <c r="AD10" i="2" s="1"/>
  <c r="AC10" i="2"/>
  <c r="AK17" i="2"/>
  <c r="AK72" i="2"/>
  <c r="AK73" i="2"/>
  <c r="AM78" i="54"/>
  <c r="AK78" i="54"/>
  <c r="AG83" i="54"/>
  <c r="AH78" i="54" s="1"/>
  <c r="V67" i="2"/>
  <c r="V57" i="2"/>
  <c r="Y52" i="2"/>
  <c r="Q71" i="2"/>
  <c r="Q74" i="2"/>
  <c r="Q26" i="2"/>
  <c r="Q61" i="2" s="1"/>
  <c r="AM10" i="2"/>
  <c r="AN55" i="3"/>
  <c r="AN56" i="3" s="1"/>
  <c r="R67" i="2"/>
  <c r="R57" i="2"/>
  <c r="U52" i="2"/>
  <c r="AW55" i="3"/>
  <c r="AW56" i="3" s="1"/>
  <c r="AS55" i="3"/>
  <c r="AS56" i="3" s="1"/>
  <c r="AQ10" i="2"/>
  <c r="AB83" i="54"/>
  <c r="AC78" i="54" s="1"/>
  <c r="AA74" i="2"/>
  <c r="AA26" i="2"/>
  <c r="AA61" i="2" s="1"/>
  <c r="AA71" i="2"/>
  <c r="AG17" i="2"/>
  <c r="AG73" i="2"/>
  <c r="AG72" i="2"/>
  <c r="AE71" i="2"/>
  <c r="AE74" i="2"/>
  <c r="AE26" i="2"/>
  <c r="AE61" i="2" s="1"/>
  <c r="R83" i="54"/>
  <c r="S83" i="54" s="1"/>
  <c r="Y61" i="2"/>
  <c r="R71" i="2"/>
  <c r="R26" i="2"/>
  <c r="R74" i="2"/>
  <c r="U85" i="54"/>
  <c r="Q84" i="54"/>
  <c r="W83" i="54"/>
  <c r="X78" i="54" s="1"/>
  <c r="W73" i="2"/>
  <c r="W72" i="2"/>
  <c r="W17" i="2"/>
  <c r="AA67" i="2"/>
  <c r="AA57" i="2"/>
  <c r="Q57" i="2"/>
  <c r="Q67" i="2"/>
  <c r="AI55" i="3"/>
  <c r="AI56" i="3" s="1"/>
  <c r="AH10" i="2"/>
  <c r="AB72" i="2"/>
  <c r="AB17" i="2"/>
  <c r="AB73" i="2"/>
  <c r="AE57" i="2"/>
  <c r="AE67" i="2"/>
  <c r="X73" i="2"/>
  <c r="X17" i="2"/>
  <c r="X72" i="2"/>
  <c r="P52" i="2"/>
  <c r="V26" i="2"/>
  <c r="V61" i="2" s="1"/>
  <c r="V74" i="2"/>
  <c r="V71" i="2"/>
  <c r="DU18" i="51" l="1"/>
  <c r="DY18" i="51"/>
  <c r="DU19" i="51"/>
  <c r="DY19" i="51"/>
  <c r="CC46" i="1"/>
  <c r="CK40" i="2"/>
  <c r="CK190" i="2" s="1"/>
  <c r="CE127" i="2"/>
  <c r="CE126" i="2"/>
  <c r="CE109" i="2"/>
  <c r="CE110" i="2" s="1"/>
  <c r="CF105" i="2" s="1"/>
  <c r="CE114" i="2"/>
  <c r="CR43" i="2"/>
  <c r="CQ193" i="2"/>
  <c r="CC64" i="1"/>
  <c r="AH56" i="2"/>
  <c r="AH198" i="2"/>
  <c r="AM56" i="2"/>
  <c r="AM198" i="2"/>
  <c r="AD56" i="2"/>
  <c r="AD198" i="2"/>
  <c r="AA205" i="2"/>
  <c r="AA62" i="2" s="1"/>
  <c r="S201" i="2"/>
  <c r="R204" i="2"/>
  <c r="S205" i="2"/>
  <c r="S62" i="2" s="1"/>
  <c r="AQ56" i="2"/>
  <c r="AQ198" i="2"/>
  <c r="AC56" i="2"/>
  <c r="AC198" i="2"/>
  <c r="W202" i="2"/>
  <c r="W201" i="2"/>
  <c r="W204" i="2" s="1"/>
  <c r="AG202" i="2"/>
  <c r="AG201" i="2"/>
  <c r="S204" i="2"/>
  <c r="AA204" i="2"/>
  <c r="S202" i="2"/>
  <c r="R205" i="2"/>
  <c r="R62" i="2" s="1"/>
  <c r="X202" i="2"/>
  <c r="X201" i="2"/>
  <c r="AB202" i="2"/>
  <c r="AB205" i="2" s="1"/>
  <c r="AB62" i="2" s="1"/>
  <c r="AB201" i="2"/>
  <c r="AB204" i="2" s="1"/>
  <c r="CC65" i="2"/>
  <c r="CR35" i="1"/>
  <c r="CS34" i="1"/>
  <c r="CU35" i="1"/>
  <c r="CV34" i="1"/>
  <c r="CD120" i="2"/>
  <c r="CD116" i="2"/>
  <c r="CE112" i="2" s="1"/>
  <c r="AK395" i="73"/>
  <c r="AK391" i="73"/>
  <c r="AK388" i="73"/>
  <c r="AK394" i="73"/>
  <c r="AK392" i="73"/>
  <c r="AK393" i="73"/>
  <c r="AK387" i="73"/>
  <c r="AK404" i="73"/>
  <c r="AK413" i="73" s="1"/>
  <c r="AK390" i="73"/>
  <c r="BZ115" i="2"/>
  <c r="CK100" i="1"/>
  <c r="CC121" i="2"/>
  <c r="CO87" i="1"/>
  <c r="CO101" i="1"/>
  <c r="CD153" i="2"/>
  <c r="CS21" i="2"/>
  <c r="CS200" i="2" s="1"/>
  <c r="BQ263" i="73"/>
  <c r="BQ265" i="73" s="1"/>
  <c r="AY435" i="73"/>
  <c r="BC52" i="73"/>
  <c r="AE95" i="2"/>
  <c r="AE101" i="2" s="1"/>
  <c r="AA95" i="2"/>
  <c r="AA101" i="2" s="1"/>
  <c r="AB95" i="2" s="1"/>
  <c r="AB101" i="2" s="1"/>
  <c r="AC95" i="2" s="1"/>
  <c r="AC101" i="2" s="1"/>
  <c r="AD95" i="2" s="1"/>
  <c r="AD101" i="2" s="1"/>
  <c r="CR56" i="54"/>
  <c r="CQ59" i="54"/>
  <c r="CJ6" i="54"/>
  <c r="CK6" i="54" s="1"/>
  <c r="CL6" i="54" s="1"/>
  <c r="CO6" i="54"/>
  <c r="CQ44" i="54"/>
  <c r="CP47" i="54"/>
  <c r="BX15" i="54"/>
  <c r="BX8" i="54"/>
  <c r="BY12" i="54"/>
  <c r="CQ74" i="54"/>
  <c r="CS46" i="54"/>
  <c r="CQ33" i="2"/>
  <c r="CR73" i="54"/>
  <c r="CQ27" i="3"/>
  <c r="CR32" i="2"/>
  <c r="CM11" i="2"/>
  <c r="CW21" i="2"/>
  <c r="CW200" i="2" s="1"/>
  <c r="CX130" i="2"/>
  <c r="CX133" i="2" s="1"/>
  <c r="CX21" i="2" s="1"/>
  <c r="CX200" i="2" s="1"/>
  <c r="CL24" i="2"/>
  <c r="CM48" i="2"/>
  <c r="CO48" i="2" s="1"/>
  <c r="CL99" i="2"/>
  <c r="CM99" i="2" s="1"/>
  <c r="CF15" i="51"/>
  <c r="DX31" i="51"/>
  <c r="CF63" i="51"/>
  <c r="CG142" i="73"/>
  <c r="BU50" i="51"/>
  <c r="BU24" i="51"/>
  <c r="AQ390" i="73"/>
  <c r="AQ393" i="73"/>
  <c r="BU402" i="73"/>
  <c r="CM24" i="54"/>
  <c r="CL27" i="54"/>
  <c r="W84" i="54"/>
  <c r="W85" i="54" s="1"/>
  <c r="BU53" i="51"/>
  <c r="AQ388" i="73"/>
  <c r="BU407" i="73"/>
  <c r="AP227" i="73"/>
  <c r="AP430" i="73" s="1"/>
  <c r="AQ386" i="73"/>
  <c r="BQ350" i="73"/>
  <c r="BQ220" i="73"/>
  <c r="BQ214" i="73"/>
  <c r="BQ100" i="73"/>
  <c r="BQ99" i="73" s="1"/>
  <c r="BQ101" i="73" s="1"/>
  <c r="BQ303" i="73"/>
  <c r="BQ302" i="73" s="1"/>
  <c r="BQ304" i="73" s="1"/>
  <c r="BQ50" i="73"/>
  <c r="BU67" i="51"/>
  <c r="CX85" i="3"/>
  <c r="CY48" i="3"/>
  <c r="Q110" i="2"/>
  <c r="Q114" i="2"/>
  <c r="P121" i="2"/>
  <c r="Q112" i="2"/>
  <c r="CL166" i="2"/>
  <c r="CK63" i="51"/>
  <c r="AQ404" i="73"/>
  <c r="AQ413" i="73" s="1"/>
  <c r="CK241" i="73"/>
  <c r="CJ243" i="73"/>
  <c r="AQ387" i="73"/>
  <c r="AQ14" i="73" s="1"/>
  <c r="AQ15" i="73" s="1"/>
  <c r="CJ179" i="73"/>
  <c r="CK176" i="73"/>
  <c r="BE180" i="73"/>
  <c r="BC184" i="73"/>
  <c r="AQ392" i="73"/>
  <c r="CJ141" i="73"/>
  <c r="CJ142" i="73" s="1"/>
  <c r="AQ394" i="73"/>
  <c r="AQ391" i="73"/>
  <c r="BF125" i="73"/>
  <c r="BL110" i="73"/>
  <c r="BO127" i="73"/>
  <c r="BO371" i="73" s="1"/>
  <c r="BO124" i="73"/>
  <c r="BO412" i="73"/>
  <c r="BG403" i="73"/>
  <c r="BG412" i="73" s="1"/>
  <c r="BG304" i="73"/>
  <c r="BG127" i="73"/>
  <c r="BG371" i="73" s="1"/>
  <c r="BM120" i="73"/>
  <c r="BE289" i="73"/>
  <c r="BK297" i="73"/>
  <c r="BE294" i="73"/>
  <c r="BE295" i="73" s="1"/>
  <c r="BE112" i="73"/>
  <c r="BE109" i="73" s="1"/>
  <c r="BB296" i="73"/>
  <c r="BE299" i="73"/>
  <c r="BF126" i="73"/>
  <c r="BF119" i="73" s="1"/>
  <c r="BL113" i="73"/>
  <c r="BU119" i="73"/>
  <c r="BQ127" i="73"/>
  <c r="BQ371" i="73" s="1"/>
  <c r="BQ128" i="73"/>
  <c r="BQ124" i="73" s="1"/>
  <c r="BF302" i="73"/>
  <c r="BF300" i="73"/>
  <c r="BF341" i="73"/>
  <c r="BU125" i="73"/>
  <c r="BU110" i="73"/>
  <c r="BU111" i="73" s="1"/>
  <c r="BH127" i="73"/>
  <c r="BN120" i="73"/>
  <c r="BR129" i="73"/>
  <c r="BR130" i="73" s="1"/>
  <c r="BR131" i="73"/>
  <c r="BR123" i="73"/>
  <c r="BR122" i="73"/>
  <c r="BH305" i="73"/>
  <c r="BH433" i="73"/>
  <c r="BH442" i="73" s="1"/>
  <c r="BF375" i="73"/>
  <c r="BF383" i="73"/>
  <c r="BF364" i="73"/>
  <c r="AQ214" i="73"/>
  <c r="AQ215" i="73"/>
  <c r="AQ225" i="73"/>
  <c r="AQ226" i="73" s="1"/>
  <c r="AK434" i="73"/>
  <c r="AK443" i="73" s="1"/>
  <c r="AK421" i="73"/>
  <c r="AK423" i="73"/>
  <c r="AK424" i="73"/>
  <c r="AK425" i="73"/>
  <c r="AK417" i="73"/>
  <c r="AK420" i="73"/>
  <c r="AK418" i="73"/>
  <c r="R84" i="54"/>
  <c r="R85" i="54" s="1"/>
  <c r="BI47" i="73"/>
  <c r="BE51" i="73"/>
  <c r="BE396" i="73"/>
  <c r="BC435" i="73"/>
  <c r="AK327" i="73"/>
  <c r="AK328" i="73"/>
  <c r="AK329" i="73" s="1"/>
  <c r="BH396" i="73"/>
  <c r="BH51" i="73"/>
  <c r="BG396" i="73"/>
  <c r="BG51" i="73"/>
  <c r="BZ20" i="73"/>
  <c r="BZ21" i="73" s="1"/>
  <c r="AQ350" i="73"/>
  <c r="AQ351" i="73"/>
  <c r="AQ352" i="73" s="1"/>
  <c r="AQ220" i="73"/>
  <c r="AQ221" i="73"/>
  <c r="AQ222" i="73" s="1"/>
  <c r="CX144" i="2"/>
  <c r="AP352" i="73"/>
  <c r="AQ445" i="73"/>
  <c r="AQ50" i="73"/>
  <c r="AQ51" i="73"/>
  <c r="AQ52" i="73" s="1"/>
  <c r="AQ100" i="73"/>
  <c r="AQ101" i="73"/>
  <c r="BF396" i="73"/>
  <c r="BF51" i="73"/>
  <c r="AP426" i="73"/>
  <c r="AP52" i="73"/>
  <c r="AP437" i="73"/>
  <c r="AQ428" i="73"/>
  <c r="CM13" i="2"/>
  <c r="CK50" i="3"/>
  <c r="CL44" i="3"/>
  <c r="CM44" i="3" s="1"/>
  <c r="CL55" i="2"/>
  <c r="CM38" i="2"/>
  <c r="CM188" i="2" s="1"/>
  <c r="CL43" i="3"/>
  <c r="AB84" i="54"/>
  <c r="AB85" i="54" s="1"/>
  <c r="CL22" i="3"/>
  <c r="CQ31" i="2"/>
  <c r="BC55" i="3"/>
  <c r="BC56" i="3" s="1"/>
  <c r="AY55" i="3"/>
  <c r="AY56" i="3" s="1"/>
  <c r="AW10" i="2"/>
  <c r="AK57" i="2"/>
  <c r="AK67" i="2"/>
  <c r="W74" i="2"/>
  <c r="W26" i="2"/>
  <c r="W61" i="2" s="1"/>
  <c r="W71" i="2"/>
  <c r="X83" i="54"/>
  <c r="Y83" i="54" s="1"/>
  <c r="Q85" i="54"/>
  <c r="AE52" i="2"/>
  <c r="AG71" i="2"/>
  <c r="AG26" i="2"/>
  <c r="AG74" i="2"/>
  <c r="AN10" i="2"/>
  <c r="AO55" i="3"/>
  <c r="AO56" i="3" s="1"/>
  <c r="AH83" i="54"/>
  <c r="AI78" i="54" s="1"/>
  <c r="AI10" i="2"/>
  <c r="AJ55" i="3"/>
  <c r="AJ56" i="3" s="1"/>
  <c r="AJ10" i="2" s="1"/>
  <c r="AM73" i="2"/>
  <c r="AM17" i="2"/>
  <c r="AM72" i="2"/>
  <c r="AK26" i="2"/>
  <c r="AK61" i="2" s="1"/>
  <c r="AK74" i="2"/>
  <c r="AK71" i="2"/>
  <c r="V52" i="2"/>
  <c r="AB57" i="2"/>
  <c r="AB67" i="2"/>
  <c r="AC83" i="54"/>
  <c r="AD78" i="54" s="1"/>
  <c r="AG84" i="54"/>
  <c r="AC73" i="2"/>
  <c r="AC72" i="2"/>
  <c r="AC17" i="2"/>
  <c r="X26" i="2"/>
  <c r="X74" i="2"/>
  <c r="X71" i="2"/>
  <c r="R52" i="2"/>
  <c r="AS78" i="54"/>
  <c r="AQ73" i="2"/>
  <c r="AQ72" i="2"/>
  <c r="AQ17" i="2"/>
  <c r="R61" i="2"/>
  <c r="Q52" i="2"/>
  <c r="AD72" i="2"/>
  <c r="AD17" i="2"/>
  <c r="AD73" i="2"/>
  <c r="X57" i="2"/>
  <c r="X67" i="2"/>
  <c r="AH17" i="2"/>
  <c r="AH72" i="2"/>
  <c r="AH73" i="2"/>
  <c r="W57" i="2"/>
  <c r="W67" i="2"/>
  <c r="AB26" i="2"/>
  <c r="AB74" i="2"/>
  <c r="AB71" i="2"/>
  <c r="AG57" i="2"/>
  <c r="AG67" i="2"/>
  <c r="AA52" i="2"/>
  <c r="AS10" i="2"/>
  <c r="AT55" i="3"/>
  <c r="AT56" i="3" s="1"/>
  <c r="AM83" i="54"/>
  <c r="AN78" i="54" s="1"/>
  <c r="AQ78" i="54"/>
  <c r="CF109" i="2" l="1"/>
  <c r="CF110" i="2"/>
  <c r="CF114" i="2"/>
  <c r="CG109" i="2"/>
  <c r="CG110" i="2" s="1"/>
  <c r="CL40" i="2"/>
  <c r="CL190" i="2" s="1"/>
  <c r="EB44" i="51"/>
  <c r="DX44" i="51"/>
  <c r="CE120" i="2"/>
  <c r="CE116" i="2"/>
  <c r="CF112" i="2" s="1"/>
  <c r="CM123" i="2"/>
  <c r="CI123" i="2"/>
  <c r="CS43" i="2"/>
  <c r="CR193" i="2"/>
  <c r="AS56" i="2"/>
  <c r="AS198" i="2"/>
  <c r="AI56" i="2"/>
  <c r="AI198" i="2"/>
  <c r="AW56" i="2"/>
  <c r="AW198" i="2"/>
  <c r="CO11" i="2"/>
  <c r="CM199" i="2"/>
  <c r="Y201" i="2"/>
  <c r="X204" i="2"/>
  <c r="Y204" i="2"/>
  <c r="AG204" i="2"/>
  <c r="AC202" i="2"/>
  <c r="AC205" i="2" s="1"/>
  <c r="AC62" i="2" s="1"/>
  <c r="AC201" i="2"/>
  <c r="AC204" i="2" s="1"/>
  <c r="AJ56" i="2"/>
  <c r="AJ198" i="2"/>
  <c r="AN56" i="2"/>
  <c r="AN198" i="2"/>
  <c r="Y202" i="2"/>
  <c r="X205" i="2"/>
  <c r="X62" i="2" s="1"/>
  <c r="AG205" i="2"/>
  <c r="AG62" i="2" s="1"/>
  <c r="W205" i="2"/>
  <c r="W62" i="2" s="1"/>
  <c r="Y205" i="2"/>
  <c r="Y62" i="2" s="1"/>
  <c r="AD201" i="2"/>
  <c r="AD202" i="2"/>
  <c r="AM201" i="2"/>
  <c r="AM202" i="2"/>
  <c r="AH201" i="2"/>
  <c r="AH204" i="2" s="1"/>
  <c r="AH202" i="2"/>
  <c r="AH205" i="2" s="1"/>
  <c r="AH62" i="2" s="1"/>
  <c r="CY21" i="2"/>
  <c r="CY200" i="2" s="1"/>
  <c r="CV35" i="1"/>
  <c r="CW34" i="1"/>
  <c r="CD121" i="2"/>
  <c r="CD115" i="2"/>
  <c r="CL100" i="1"/>
  <c r="BQ276" i="73"/>
  <c r="BQ277" i="73" s="1"/>
  <c r="CP87" i="1"/>
  <c r="CP101" i="1"/>
  <c r="AK95" i="2"/>
  <c r="AK101" i="2" s="1"/>
  <c r="AG95" i="2"/>
  <c r="AG101" i="2" s="1"/>
  <c r="AH95" i="2" s="1"/>
  <c r="AH101" i="2" s="1"/>
  <c r="AI95" i="2" s="1"/>
  <c r="AI101" i="2" s="1"/>
  <c r="AJ95" i="2" s="1"/>
  <c r="AJ101" i="2" s="1"/>
  <c r="CR59" i="54"/>
  <c r="CS59" i="54" s="1"/>
  <c r="CS56" i="54"/>
  <c r="CU56" i="54" s="1"/>
  <c r="CU73" i="54"/>
  <c r="CV73" i="54" s="1"/>
  <c r="CS73" i="54"/>
  <c r="CR33" i="2"/>
  <c r="CR74" i="54"/>
  <c r="CR82" i="54" s="1"/>
  <c r="CU6" i="54"/>
  <c r="CV6" i="54" s="1"/>
  <c r="CW6" i="54" s="1"/>
  <c r="CX6" i="54" s="1"/>
  <c r="CP6" i="54"/>
  <c r="CQ6" i="54" s="1"/>
  <c r="CR6" i="54" s="1"/>
  <c r="CQ82" i="54"/>
  <c r="BY15" i="54"/>
  <c r="BZ12" i="54"/>
  <c r="BY8" i="54"/>
  <c r="CQ47" i="54"/>
  <c r="CR44" i="54"/>
  <c r="CR27" i="3"/>
  <c r="CS27" i="3" s="1"/>
  <c r="CS32" i="2"/>
  <c r="CU32" i="2" s="1"/>
  <c r="CP48" i="2"/>
  <c r="CO99" i="2"/>
  <c r="CM24" i="2"/>
  <c r="CO24" i="2" s="1"/>
  <c r="CP24" i="2" s="1"/>
  <c r="CQ24" i="2" s="1"/>
  <c r="CR24" i="2" s="1"/>
  <c r="CS24" i="2" s="1"/>
  <c r="CU24" i="2" s="1"/>
  <c r="CV24" i="2" s="1"/>
  <c r="CW24" i="2" s="1"/>
  <c r="CX24" i="2" s="1"/>
  <c r="BU411" i="73"/>
  <c r="BU30" i="51"/>
  <c r="BU56" i="51"/>
  <c r="CL45" i="51"/>
  <c r="DX10" i="51"/>
  <c r="CF45" i="51"/>
  <c r="S84" i="54"/>
  <c r="S85" i="54" s="1"/>
  <c r="CO24" i="54"/>
  <c r="CM27" i="54"/>
  <c r="CM100" i="1" s="1"/>
  <c r="AP228" i="73"/>
  <c r="BQ305" i="73"/>
  <c r="BQ433" i="73"/>
  <c r="BQ442" i="73" s="1"/>
  <c r="BQ266" i="73"/>
  <c r="BQ278" i="73"/>
  <c r="BQ102" i="73"/>
  <c r="BQ428" i="73"/>
  <c r="BQ437" i="73" s="1"/>
  <c r="CX84" i="3"/>
  <c r="CY85" i="3"/>
  <c r="Q116" i="2"/>
  <c r="R105" i="2"/>
  <c r="Q120" i="2"/>
  <c r="CO166" i="2"/>
  <c r="BR106" i="73"/>
  <c r="BR105" i="73" s="1"/>
  <c r="BF180" i="73"/>
  <c r="BE183" i="73"/>
  <c r="CM140" i="73"/>
  <c r="CK141" i="73"/>
  <c r="CK142" i="73" s="1"/>
  <c r="CK179" i="73"/>
  <c r="CL176" i="73"/>
  <c r="CK243" i="73"/>
  <c r="CL241" i="73"/>
  <c r="BE383" i="73"/>
  <c r="BI295" i="73"/>
  <c r="BE375" i="73"/>
  <c r="BE364" i="73"/>
  <c r="BG433" i="73"/>
  <c r="BG442" i="73" s="1"/>
  <c r="BG305" i="73"/>
  <c r="BL120" i="73"/>
  <c r="BF127" i="73"/>
  <c r="BF371" i="73" s="1"/>
  <c r="BB299" i="73"/>
  <c r="BA296" i="73"/>
  <c r="BB112" i="73"/>
  <c r="BB294" i="73"/>
  <c r="BQ129" i="73"/>
  <c r="BQ130" i="73" s="1"/>
  <c r="BQ131" i="73"/>
  <c r="BQ123" i="73"/>
  <c r="BQ122" i="73"/>
  <c r="BK113" i="73"/>
  <c r="BE126" i="73"/>
  <c r="BE119" i="73" s="1"/>
  <c r="BI112" i="73"/>
  <c r="BI294" i="73"/>
  <c r="BE300" i="73"/>
  <c r="BE341" i="73"/>
  <c r="BE302" i="73"/>
  <c r="BI302" i="73" s="1"/>
  <c r="BF403" i="73"/>
  <c r="BF412" i="73" s="1"/>
  <c r="BF304" i="73"/>
  <c r="BE293" i="73"/>
  <c r="BI293" i="73" s="1"/>
  <c r="BI289" i="73"/>
  <c r="BH371" i="73"/>
  <c r="BU127" i="73"/>
  <c r="BU371" i="73" s="1"/>
  <c r="BU120" i="73"/>
  <c r="BU121" i="73" s="1"/>
  <c r="BI109" i="73"/>
  <c r="BE125" i="73"/>
  <c r="BK110" i="73"/>
  <c r="AQ437" i="73"/>
  <c r="BG52" i="73"/>
  <c r="BG426" i="73"/>
  <c r="BH52" i="73"/>
  <c r="BH426" i="73"/>
  <c r="BF405" i="73"/>
  <c r="BF426" i="73"/>
  <c r="BF52" i="73"/>
  <c r="BI51" i="73"/>
  <c r="BI48" i="73"/>
  <c r="AP435" i="73"/>
  <c r="AQ426" i="73"/>
  <c r="BG405" i="73"/>
  <c r="AQ216" i="73"/>
  <c r="AQ227" i="73"/>
  <c r="AQ228" i="73" s="1"/>
  <c r="AM84" i="54"/>
  <c r="AM85" i="54" s="1"/>
  <c r="AP328" i="73"/>
  <c r="BI396" i="73"/>
  <c r="BE405" i="73"/>
  <c r="BH405" i="73"/>
  <c r="AP439" i="73"/>
  <c r="AQ430" i="73"/>
  <c r="BE426" i="73"/>
  <c r="BE52" i="73"/>
  <c r="CO38" i="2"/>
  <c r="CM55" i="2"/>
  <c r="B35" i="52" s="1"/>
  <c r="CL50" i="3"/>
  <c r="CR31" i="2"/>
  <c r="CM43" i="3"/>
  <c r="CO13" i="2"/>
  <c r="CO22" i="3" s="1"/>
  <c r="CM22" i="3"/>
  <c r="AG85" i="54"/>
  <c r="AI17" i="2"/>
  <c r="AI72" i="2"/>
  <c r="AI73" i="2"/>
  <c r="AN83" i="54"/>
  <c r="AO78" i="54" s="1"/>
  <c r="AD83" i="54"/>
  <c r="AE83" i="54" s="1"/>
  <c r="AI83" i="54"/>
  <c r="AJ78" i="54" s="1"/>
  <c r="AW72" i="2"/>
  <c r="AY78" i="54"/>
  <c r="AW73" i="2"/>
  <c r="AW17" i="2"/>
  <c r="AD74" i="2"/>
  <c r="AD71" i="2"/>
  <c r="AD26" i="2"/>
  <c r="AQ26" i="2"/>
  <c r="AQ74" i="2"/>
  <c r="AQ71" i="2"/>
  <c r="AC26" i="2"/>
  <c r="AC74" i="2"/>
  <c r="AC71" i="2"/>
  <c r="AC84" i="54"/>
  <c r="AM26" i="2"/>
  <c r="AM61" i="2" s="1"/>
  <c r="AM71" i="2"/>
  <c r="AM74" i="2"/>
  <c r="AH84" i="54"/>
  <c r="AH85" i="54" s="1"/>
  <c r="X61" i="2"/>
  <c r="W52" i="2"/>
  <c r="AY10" i="2"/>
  <c r="AY198" i="2" s="1"/>
  <c r="AZ55" i="3"/>
  <c r="AZ56" i="3" s="1"/>
  <c r="AS83" i="54"/>
  <c r="AS84" i="54" s="1"/>
  <c r="AW78" i="54"/>
  <c r="AJ17" i="2"/>
  <c r="AJ73" i="2"/>
  <c r="AJ72" i="2"/>
  <c r="AG52" i="2"/>
  <c r="AD67" i="2"/>
  <c r="AD57" i="2"/>
  <c r="AO10" i="2"/>
  <c r="AP55" i="3"/>
  <c r="AP56" i="3" s="1"/>
  <c r="AP10" i="2" s="1"/>
  <c r="AT10" i="2"/>
  <c r="AU55" i="3"/>
  <c r="AU56" i="3" s="1"/>
  <c r="AB52" i="2"/>
  <c r="AG61" i="2"/>
  <c r="AT78" i="54"/>
  <c r="AS73" i="2"/>
  <c r="AS72" i="2"/>
  <c r="AS17" i="2"/>
  <c r="AH71" i="2"/>
  <c r="AH74" i="2"/>
  <c r="AH26" i="2"/>
  <c r="AH61" i="2" s="1"/>
  <c r="AQ57" i="2"/>
  <c r="AQ67" i="2"/>
  <c r="X84" i="54"/>
  <c r="X52" i="2"/>
  <c r="AK52" i="2"/>
  <c r="AC67" i="2"/>
  <c r="AC57" i="2"/>
  <c r="BI55" i="3"/>
  <c r="BI56" i="3" s="1"/>
  <c r="BE55" i="3"/>
  <c r="BE56" i="3" s="1"/>
  <c r="AH57" i="2"/>
  <c r="AH67" i="2"/>
  <c r="AN72" i="2"/>
  <c r="AN73" i="2"/>
  <c r="AN17" i="2"/>
  <c r="AB61" i="2"/>
  <c r="AM67" i="2"/>
  <c r="AM57" i="2"/>
  <c r="CG120" i="2" l="1"/>
  <c r="CF120" i="2"/>
  <c r="CF116" i="2"/>
  <c r="CM40" i="2"/>
  <c r="CM190" i="2" s="1"/>
  <c r="EB18" i="51"/>
  <c r="CI128" i="2"/>
  <c r="CI126" i="2"/>
  <c r="CE115" i="2"/>
  <c r="CE121" i="2"/>
  <c r="CM128" i="2"/>
  <c r="CM126" i="2"/>
  <c r="CU43" i="2"/>
  <c r="CS193" i="2"/>
  <c r="CO188" i="2"/>
  <c r="AT56" i="2"/>
  <c r="AT198" i="2"/>
  <c r="AO56" i="2"/>
  <c r="AO198" i="2"/>
  <c r="AM204" i="2"/>
  <c r="AE201" i="2"/>
  <c r="AD204" i="2"/>
  <c r="AE204" i="2"/>
  <c r="AI201" i="2"/>
  <c r="AI204" i="2" s="1"/>
  <c r="AI202" i="2"/>
  <c r="AS202" i="2"/>
  <c r="AS201" i="2"/>
  <c r="AP56" i="2"/>
  <c r="AP198" i="2"/>
  <c r="AY202" i="2"/>
  <c r="AY201" i="2"/>
  <c r="AM205" i="2"/>
  <c r="AM62" i="2" s="1"/>
  <c r="AE202" i="2"/>
  <c r="AD205" i="2"/>
  <c r="AD62" i="2" s="1"/>
  <c r="AE205" i="2"/>
  <c r="AE62" i="2" s="1"/>
  <c r="AN201" i="2"/>
  <c r="AN204" i="2" s="1"/>
  <c r="AN202" i="2"/>
  <c r="AN205" i="2" s="1"/>
  <c r="AN62" i="2" s="1"/>
  <c r="AJ202" i="2"/>
  <c r="AJ201" i="2"/>
  <c r="CP11" i="2"/>
  <c r="CO199" i="2"/>
  <c r="CS33" i="2"/>
  <c r="CX34" i="1"/>
  <c r="CY34" i="1" s="1"/>
  <c r="CW35" i="1"/>
  <c r="AY57" i="3"/>
  <c r="AY56" i="2"/>
  <c r="CQ87" i="1"/>
  <c r="CQ101" i="1"/>
  <c r="CY84" i="3"/>
  <c r="CY86" i="3" s="1"/>
  <c r="CY87" i="3" s="1"/>
  <c r="CE153" i="2"/>
  <c r="AQ95" i="2"/>
  <c r="AQ101" i="2" s="1"/>
  <c r="AM95" i="2"/>
  <c r="AM101" i="2" s="1"/>
  <c r="AN95" i="2" s="1"/>
  <c r="AN101" i="2" s="1"/>
  <c r="AO95" i="2" s="1"/>
  <c r="AO101" i="2" s="1"/>
  <c r="AP95" i="2" s="1"/>
  <c r="AP101" i="2" s="1"/>
  <c r="CS74" i="54"/>
  <c r="CS82" i="54" s="1"/>
  <c r="CU59" i="54"/>
  <c r="CV56" i="54"/>
  <c r="BZ15" i="54"/>
  <c r="CA15" i="54" s="1"/>
  <c r="CA12" i="54"/>
  <c r="BZ8" i="54"/>
  <c r="CS44" i="54"/>
  <c r="CR47" i="54"/>
  <c r="CS47" i="54" s="1"/>
  <c r="CU44" i="54"/>
  <c r="CU74" i="54"/>
  <c r="CU33" i="2"/>
  <c r="CU27" i="3"/>
  <c r="CV32" i="2"/>
  <c r="CQ48" i="2"/>
  <c r="CP99" i="2"/>
  <c r="CF19" i="51"/>
  <c r="DX32" i="51"/>
  <c r="CF64" i="51"/>
  <c r="CP24" i="54"/>
  <c r="CO27" i="54"/>
  <c r="BQ279" i="73"/>
  <c r="BQ432" i="73"/>
  <c r="BQ441" i="73" s="1"/>
  <c r="R114" i="2"/>
  <c r="R109" i="2"/>
  <c r="S109" i="2" s="1"/>
  <c r="S110" i="2" s="1"/>
  <c r="R112" i="2"/>
  <c r="R115" i="2" s="1"/>
  <c r="S115" i="2" s="1"/>
  <c r="S116" i="2" s="1"/>
  <c r="Q121" i="2"/>
  <c r="CP166" i="2"/>
  <c r="CM241" i="73"/>
  <c r="CL243" i="73"/>
  <c r="CO241" i="73"/>
  <c r="BQ106" i="73"/>
  <c r="BQ105" i="73" s="1"/>
  <c r="BG180" i="73"/>
  <c r="BF183" i="73"/>
  <c r="CL179" i="73"/>
  <c r="CM176" i="73"/>
  <c r="CO176" i="73"/>
  <c r="CL141" i="73"/>
  <c r="BI341" i="73"/>
  <c r="BI286" i="73"/>
  <c r="BB302" i="73"/>
  <c r="BB341" i="73"/>
  <c r="BB300" i="73"/>
  <c r="BF305" i="73"/>
  <c r="BF433" i="73"/>
  <c r="BF442" i="73" s="1"/>
  <c r="BH113" i="73"/>
  <c r="BA112" i="73"/>
  <c r="AZ296" i="73"/>
  <c r="BA299" i="73"/>
  <c r="BA294" i="73"/>
  <c r="BA295" i="73" s="1"/>
  <c r="BI122" i="73"/>
  <c r="BI125" i="73"/>
  <c r="BO110" i="73"/>
  <c r="BB295" i="73"/>
  <c r="BI303" i="73"/>
  <c r="BI126" i="73"/>
  <c r="BO113" i="73"/>
  <c r="BI375" i="73"/>
  <c r="BI364" i="73"/>
  <c r="BK120" i="73"/>
  <c r="BE127" i="73"/>
  <c r="BE371" i="73" s="1"/>
  <c r="BI119" i="73"/>
  <c r="BE304" i="73"/>
  <c r="BI300" i="73"/>
  <c r="BE403" i="73"/>
  <c r="BB109" i="73"/>
  <c r="BI383" i="73"/>
  <c r="BE435" i="73"/>
  <c r="BI426" i="73"/>
  <c r="BF435" i="73"/>
  <c r="BH435" i="73"/>
  <c r="AQ439" i="73"/>
  <c r="AP329" i="73"/>
  <c r="AP326" i="73"/>
  <c r="AP415" i="73"/>
  <c r="BI405" i="73"/>
  <c r="BG435" i="73"/>
  <c r="BI52" i="73"/>
  <c r="AQ435" i="73"/>
  <c r="AN84" i="54"/>
  <c r="AN85" i="54" s="1"/>
  <c r="CY24" i="2"/>
  <c r="CM50" i="3"/>
  <c r="CS31" i="2"/>
  <c r="CO55" i="2"/>
  <c r="CP38" i="2"/>
  <c r="CO43" i="3"/>
  <c r="CO44" i="3"/>
  <c r="CP13" i="2"/>
  <c r="CP22" i="3" s="1"/>
  <c r="AI84" i="54"/>
  <c r="AI85" i="54" s="1"/>
  <c r="AS85" i="54"/>
  <c r="AJ67" i="2"/>
  <c r="AJ57" i="2"/>
  <c r="X85" i="54"/>
  <c r="Y84" i="54"/>
  <c r="Y85" i="54" s="1"/>
  <c r="AU10" i="2"/>
  <c r="AV55" i="3"/>
  <c r="AV56" i="3" s="1"/>
  <c r="AV10" i="2" s="1"/>
  <c r="BA55" i="3"/>
  <c r="BA56" i="3" s="1"/>
  <c r="AZ10" i="2"/>
  <c r="AQ52" i="2"/>
  <c r="AN57" i="2"/>
  <c r="AN67" i="2"/>
  <c r="AT72" i="2"/>
  <c r="AU78" i="54"/>
  <c r="AT17" i="2"/>
  <c r="AT73" i="2"/>
  <c r="AD52" i="2"/>
  <c r="AY83" i="54"/>
  <c r="AY84" i="54" s="1"/>
  <c r="BC78" i="54"/>
  <c r="AD84" i="54"/>
  <c r="AD85" i="54" s="1"/>
  <c r="AI26" i="2"/>
  <c r="AI71" i="2"/>
  <c r="AI74" i="2"/>
  <c r="AP72" i="2"/>
  <c r="AP17" i="2"/>
  <c r="AP73" i="2"/>
  <c r="AY17" i="2"/>
  <c r="AY72" i="2"/>
  <c r="AZ78" i="54"/>
  <c r="AY73" i="2"/>
  <c r="AO83" i="54"/>
  <c r="AP78" i="54" s="1"/>
  <c r="BO55" i="3"/>
  <c r="BO56" i="3" s="1"/>
  <c r="BK55" i="3"/>
  <c r="BK56" i="3" s="1"/>
  <c r="AW26" i="2"/>
  <c r="AW61" i="2" s="1"/>
  <c r="AW74" i="2"/>
  <c r="AW71" i="2"/>
  <c r="AI67" i="2"/>
  <c r="AI57" i="2"/>
  <c r="AC52" i="2"/>
  <c r="AD61" i="2"/>
  <c r="AN74" i="2"/>
  <c r="AN71" i="2"/>
  <c r="AN26" i="2"/>
  <c r="AN61" i="2" s="1"/>
  <c r="AC61" i="2"/>
  <c r="AS67" i="2"/>
  <c r="AS57" i="2"/>
  <c r="AC85" i="54"/>
  <c r="AT83" i="54"/>
  <c r="AT84" i="54" s="1"/>
  <c r="AO72" i="2"/>
  <c r="AO73" i="2"/>
  <c r="AO17" i="2"/>
  <c r="AM52" i="2"/>
  <c r="AW57" i="2"/>
  <c r="AW67" i="2"/>
  <c r="AQ61" i="2"/>
  <c r="AH52" i="2"/>
  <c r="AS26" i="2"/>
  <c r="AS61" i="2" s="1"/>
  <c r="AS74" i="2"/>
  <c r="AS71" i="2"/>
  <c r="AJ26" i="2"/>
  <c r="AJ74" i="2"/>
  <c r="AJ71" i="2"/>
  <c r="BF55" i="3"/>
  <c r="BF56" i="3" s="1"/>
  <c r="BE10" i="2"/>
  <c r="BE198" i="2" s="1"/>
  <c r="AJ83" i="54"/>
  <c r="AK83" i="54" s="1"/>
  <c r="CF121" i="2" l="1"/>
  <c r="CF115" i="2"/>
  <c r="CO40" i="2"/>
  <c r="CO190" i="2" s="1"/>
  <c r="EB45" i="51"/>
  <c r="CI69" i="3"/>
  <c r="CI71" i="3" s="1"/>
  <c r="CI81" i="3" s="1"/>
  <c r="CO123" i="2"/>
  <c r="CS123" i="2"/>
  <c r="CI22" i="2"/>
  <c r="CJ123" i="2"/>
  <c r="CP188" i="2"/>
  <c r="CV43" i="2"/>
  <c r="CU193" i="2"/>
  <c r="AZ56" i="2"/>
  <c r="AZ198" i="2"/>
  <c r="AV56" i="2"/>
  <c r="AV198" i="2"/>
  <c r="CQ11" i="2"/>
  <c r="CP199" i="2"/>
  <c r="AK201" i="2"/>
  <c r="AJ204" i="2"/>
  <c r="AY205" i="2"/>
  <c r="AY62" i="2" s="1"/>
  <c r="AS205" i="2"/>
  <c r="AS62" i="2" s="1"/>
  <c r="AO201" i="2"/>
  <c r="AO204" i="2" s="1"/>
  <c r="AO202" i="2"/>
  <c r="AO205" i="2" s="1"/>
  <c r="AO62" i="2" s="1"/>
  <c r="AT202" i="2"/>
  <c r="AT205" i="2" s="1"/>
  <c r="AT62" i="2" s="1"/>
  <c r="AT201" i="2"/>
  <c r="AT204" i="2" s="1"/>
  <c r="BE202" i="2"/>
  <c r="BE201" i="2"/>
  <c r="AU56" i="2"/>
  <c r="AU198" i="2"/>
  <c r="AK204" i="2"/>
  <c r="AK202" i="2"/>
  <c r="AJ205" i="2"/>
  <c r="AJ62" i="2" s="1"/>
  <c r="AY204" i="2"/>
  <c r="AP201" i="2"/>
  <c r="AP202" i="2"/>
  <c r="AS204" i="2"/>
  <c r="AI205" i="2"/>
  <c r="AI62" i="2" s="1"/>
  <c r="AK205" i="2"/>
  <c r="AK62" i="2" s="1"/>
  <c r="CP40" i="2"/>
  <c r="CX35" i="1"/>
  <c r="BE57" i="3"/>
  <c r="BE56" i="2"/>
  <c r="CO100" i="1"/>
  <c r="CM69" i="3"/>
  <c r="CR87" i="1"/>
  <c r="CR101" i="1"/>
  <c r="CF153" i="2"/>
  <c r="CG22" i="2"/>
  <c r="AS95" i="2"/>
  <c r="AS101" i="2" s="1"/>
  <c r="AT95" i="2" s="1"/>
  <c r="AT101" i="2" s="1"/>
  <c r="AU95" i="2" s="1"/>
  <c r="AU101" i="2" s="1"/>
  <c r="AV95" i="2" s="1"/>
  <c r="AV101" i="2" s="1"/>
  <c r="AW95" i="2"/>
  <c r="AW101" i="2" s="1"/>
  <c r="CV59" i="54"/>
  <c r="CW56" i="54"/>
  <c r="CV33" i="2"/>
  <c r="CW73" i="54"/>
  <c r="CV74" i="54"/>
  <c r="CV82" i="54" s="1"/>
  <c r="CU82" i="54"/>
  <c r="CV44" i="54"/>
  <c r="CU47" i="54"/>
  <c r="CC12" i="54"/>
  <c r="CA8" i="54"/>
  <c r="CA11" i="54" s="1"/>
  <c r="CW32" i="2"/>
  <c r="CV27" i="3"/>
  <c r="CQ99" i="2"/>
  <c r="CR48" i="2"/>
  <c r="DX11" i="51"/>
  <c r="CL49" i="51"/>
  <c r="CF49" i="51"/>
  <c r="CL142" i="73"/>
  <c r="CM142" i="73" s="1"/>
  <c r="CM141" i="73"/>
  <c r="AJ84" i="54"/>
  <c r="AJ85" i="54" s="1"/>
  <c r="CP27" i="54"/>
  <c r="CQ24" i="54"/>
  <c r="Y112" i="2"/>
  <c r="U112" i="2"/>
  <c r="S121" i="2"/>
  <c r="S118" i="2"/>
  <c r="S120" i="2"/>
  <c r="U105" i="2"/>
  <c r="Y105" i="2"/>
  <c r="Y114" i="2" s="1"/>
  <c r="CQ166" i="2"/>
  <c r="CO141" i="73"/>
  <c r="CO142" i="73" s="1"/>
  <c r="BH180" i="73"/>
  <c r="BG183" i="73"/>
  <c r="CP176" i="73"/>
  <c r="CO179" i="73"/>
  <c r="CO243" i="73"/>
  <c r="CP241" i="73"/>
  <c r="CM243" i="73"/>
  <c r="CM179" i="73"/>
  <c r="BA375" i="73"/>
  <c r="BA364" i="73"/>
  <c r="BA383" i="73"/>
  <c r="BH110" i="73"/>
  <c r="BB125" i="73"/>
  <c r="BB110" i="73"/>
  <c r="BI127" i="73"/>
  <c r="BI371" i="73" s="1"/>
  <c r="BI124" i="73"/>
  <c r="BO120" i="73"/>
  <c r="BE412" i="73"/>
  <c r="BI403" i="73"/>
  <c r="BE433" i="73"/>
  <c r="BE305" i="73"/>
  <c r="BI304" i="73"/>
  <c r="BI305" i="73" s="1"/>
  <c r="BI301" i="73"/>
  <c r="BB364" i="73"/>
  <c r="BB383" i="73"/>
  <c r="BB375" i="73"/>
  <c r="AY296" i="73"/>
  <c r="AZ294" i="73"/>
  <c r="AZ295" i="73" s="1"/>
  <c r="AZ299" i="73"/>
  <c r="AZ112" i="73"/>
  <c r="BA341" i="73"/>
  <c r="BA300" i="73"/>
  <c r="BA302" i="73"/>
  <c r="BA109" i="73"/>
  <c r="BA126" i="73" s="1"/>
  <c r="BA119" i="73" s="1"/>
  <c r="BG113" i="73"/>
  <c r="BB126" i="73"/>
  <c r="BB119" i="73" s="1"/>
  <c r="BB304" i="73"/>
  <c r="BB433" i="73" s="1"/>
  <c r="BB403" i="73"/>
  <c r="AP434" i="73"/>
  <c r="AP443" i="73" s="1"/>
  <c r="AP424" i="73"/>
  <c r="AP423" i="73"/>
  <c r="AP425" i="73"/>
  <c r="AP416" i="73"/>
  <c r="AP417" i="73"/>
  <c r="AP421" i="73"/>
  <c r="AQ415" i="73"/>
  <c r="AP420" i="73"/>
  <c r="AP418" i="73"/>
  <c r="AP422" i="73"/>
  <c r="AP327" i="73"/>
  <c r="AQ326" i="73"/>
  <c r="BI435" i="73"/>
  <c r="CO50" i="3"/>
  <c r="CP55" i="2"/>
  <c r="CQ38" i="2"/>
  <c r="CP44" i="3"/>
  <c r="CP43" i="3"/>
  <c r="CU31" i="2"/>
  <c r="CQ13" i="2"/>
  <c r="CQ22" i="3" s="1"/>
  <c r="AT85" i="54"/>
  <c r="AY85" i="54"/>
  <c r="AS52" i="2"/>
  <c r="AP83" i="54"/>
  <c r="AQ83" i="54" s="1"/>
  <c r="AJ61" i="2"/>
  <c r="AI52" i="2"/>
  <c r="AO74" i="2"/>
  <c r="AO26" i="2"/>
  <c r="AO71" i="2"/>
  <c r="AO84" i="54"/>
  <c r="BE72" i="2"/>
  <c r="BE17" i="2"/>
  <c r="BF78" i="54"/>
  <c r="BE73" i="2"/>
  <c r="AJ52" i="2"/>
  <c r="AE84" i="54"/>
  <c r="AE85" i="54" s="1"/>
  <c r="AY71" i="2"/>
  <c r="AY74" i="2"/>
  <c r="AY26" i="2"/>
  <c r="AY61" i="2" s="1"/>
  <c r="AT57" i="2"/>
  <c r="AT67" i="2"/>
  <c r="BU55" i="3"/>
  <c r="BU56" i="3" s="1"/>
  <c r="BQ55" i="3"/>
  <c r="BQ56" i="3" s="1"/>
  <c r="BO10" i="2"/>
  <c r="AU83" i="54"/>
  <c r="AU84" i="54" s="1"/>
  <c r="AV72" i="2"/>
  <c r="AV17" i="2"/>
  <c r="AV73" i="2"/>
  <c r="AP71" i="2"/>
  <c r="AP74" i="2"/>
  <c r="AP26" i="2"/>
  <c r="BF10" i="2"/>
  <c r="BF198" i="2" s="1"/>
  <c r="BG55" i="3"/>
  <c r="BG56" i="3" s="1"/>
  <c r="BB55" i="3"/>
  <c r="BB56" i="3" s="1"/>
  <c r="BA10" i="2"/>
  <c r="AO67" i="2"/>
  <c r="AO57" i="2"/>
  <c r="AZ83" i="54"/>
  <c r="AZ84" i="54" s="1"/>
  <c r="AZ85" i="54" s="1"/>
  <c r="AV78" i="54"/>
  <c r="AU72" i="2"/>
  <c r="AU73" i="2"/>
  <c r="AU17" i="2"/>
  <c r="AI61" i="2"/>
  <c r="AN52" i="2"/>
  <c r="AW52" i="2"/>
  <c r="BA78" i="54"/>
  <c r="AZ17" i="2"/>
  <c r="AZ72" i="2"/>
  <c r="AZ73" i="2"/>
  <c r="BL55" i="3"/>
  <c r="BL56" i="3" s="1"/>
  <c r="BK10" i="2"/>
  <c r="BK198" i="2" s="1"/>
  <c r="AY67" i="2"/>
  <c r="AY57" i="2"/>
  <c r="AP67" i="2"/>
  <c r="AP57" i="2"/>
  <c r="AT71" i="2"/>
  <c r="AT26" i="2"/>
  <c r="AT74" i="2"/>
  <c r="AZ57" i="3"/>
  <c r="CI72" i="3" l="1"/>
  <c r="EB19" i="51"/>
  <c r="CI70" i="3"/>
  <c r="CJ126" i="2"/>
  <c r="CJ128" i="2"/>
  <c r="CS126" i="2"/>
  <c r="CS128" i="2"/>
  <c r="CI153" i="2"/>
  <c r="CO126" i="2"/>
  <c r="CO128" i="2"/>
  <c r="CQ188" i="2"/>
  <c r="CW43" i="2"/>
  <c r="CV193" i="2"/>
  <c r="BF201" i="2"/>
  <c r="BF204" i="2" s="1"/>
  <c r="BF202" i="2"/>
  <c r="BF205" i="2" s="1"/>
  <c r="BF62" i="2" s="1"/>
  <c r="BO56" i="2"/>
  <c r="BO198" i="2"/>
  <c r="CQ40" i="2"/>
  <c r="CP190" i="2"/>
  <c r="AQ201" i="2"/>
  <c r="AP204" i="2"/>
  <c r="BE205" i="2"/>
  <c r="BE62" i="2" s="1"/>
  <c r="AV202" i="2"/>
  <c r="AV201" i="2"/>
  <c r="AZ202" i="2"/>
  <c r="AZ201" i="2"/>
  <c r="BK202" i="2"/>
  <c r="BK201" i="2"/>
  <c r="BA56" i="2"/>
  <c r="BA198" i="2"/>
  <c r="AQ202" i="2"/>
  <c r="AP205" i="2"/>
  <c r="AP62" i="2" s="1"/>
  <c r="AQ205" i="2"/>
  <c r="AQ62" i="2" s="1"/>
  <c r="AU202" i="2"/>
  <c r="AU205" i="2" s="1"/>
  <c r="AU62" i="2" s="1"/>
  <c r="AU201" i="2"/>
  <c r="BE204" i="2"/>
  <c r="AQ204" i="2"/>
  <c r="CR11" i="2"/>
  <c r="CQ199" i="2"/>
  <c r="BK57" i="3"/>
  <c r="BK56" i="2"/>
  <c r="BF57" i="3"/>
  <c r="BF56" i="2"/>
  <c r="CI73" i="3"/>
  <c r="CJ69" i="3" s="1"/>
  <c r="CJ71" i="3" s="1"/>
  <c r="CJ81" i="3" s="1"/>
  <c r="CP100" i="1"/>
  <c r="CU101" i="1"/>
  <c r="CU87" i="1"/>
  <c r="CG153" i="2"/>
  <c r="BC95" i="2"/>
  <c r="BC101" i="2" s="1"/>
  <c r="AY95" i="2"/>
  <c r="AY101" i="2" s="1"/>
  <c r="AZ95" i="2" s="1"/>
  <c r="AZ101" i="2" s="1"/>
  <c r="BA95" i="2" s="1"/>
  <c r="BA101" i="2" s="1"/>
  <c r="BB95" i="2" s="1"/>
  <c r="BB101" i="2" s="1"/>
  <c r="AK84" i="54"/>
  <c r="AK85" i="54" s="1"/>
  <c r="CW59" i="54"/>
  <c r="CX56" i="54"/>
  <c r="CC15" i="54"/>
  <c r="CD12" i="54"/>
  <c r="CW44" i="54"/>
  <c r="CV47" i="54"/>
  <c r="CX73" i="54"/>
  <c r="CW33" i="2"/>
  <c r="CW74" i="54"/>
  <c r="CW82" i="54" s="1"/>
  <c r="CX32" i="2"/>
  <c r="CW27" i="3"/>
  <c r="CS48" i="2"/>
  <c r="CU48" i="2" s="1"/>
  <c r="CR99" i="2"/>
  <c r="CS99" i="2" s="1"/>
  <c r="BB442" i="73"/>
  <c r="AP84" i="54"/>
  <c r="AP85" i="54" s="1"/>
  <c r="CR24" i="54"/>
  <c r="CQ27" i="54"/>
  <c r="U110" i="2"/>
  <c r="U114" i="2"/>
  <c r="CR166" i="2"/>
  <c r="BI180" i="73"/>
  <c r="BH183" i="73"/>
  <c r="BI183" i="73"/>
  <c r="CP141" i="73"/>
  <c r="CP142" i="73" s="1"/>
  <c r="CP179" i="73"/>
  <c r="CQ176" i="73"/>
  <c r="CP243" i="73"/>
  <c r="CQ241" i="73"/>
  <c r="BB412" i="73"/>
  <c r="BF113" i="73"/>
  <c r="AZ383" i="73"/>
  <c r="AZ375" i="73"/>
  <c r="AZ364" i="73"/>
  <c r="BI412" i="73"/>
  <c r="BB127" i="73"/>
  <c r="BB371" i="73" s="1"/>
  <c r="BB120" i="73"/>
  <c r="BH120" i="73"/>
  <c r="BA304" i="73"/>
  <c r="BA433" i="73" s="1"/>
  <c r="BA442" i="73" s="1"/>
  <c r="BA403" i="73"/>
  <c r="AZ109" i="73"/>
  <c r="BA120" i="73"/>
  <c r="BA127" i="73"/>
  <c r="BG120" i="73"/>
  <c r="AZ341" i="73"/>
  <c r="AZ302" i="73"/>
  <c r="AZ300" i="73"/>
  <c r="BE442" i="73"/>
  <c r="BI433" i="73"/>
  <c r="AY299" i="73"/>
  <c r="AY294" i="73"/>
  <c r="AY112" i="73"/>
  <c r="AY109" i="73" s="1"/>
  <c r="BG110" i="73"/>
  <c r="BA125" i="73"/>
  <c r="BA110" i="73"/>
  <c r="AQ327" i="73"/>
  <c r="AQ328" i="73"/>
  <c r="AQ329" i="73" s="1"/>
  <c r="AQ434" i="73"/>
  <c r="AQ443" i="73" s="1"/>
  <c r="AQ425" i="73"/>
  <c r="AQ423" i="73"/>
  <c r="AQ424" i="73"/>
  <c r="AQ417" i="73"/>
  <c r="AQ416" i="73"/>
  <c r="AQ421" i="73"/>
  <c r="AQ420" i="73"/>
  <c r="AQ418" i="73"/>
  <c r="AQ422" i="73"/>
  <c r="CA23" i="4"/>
  <c r="CA20" i="4"/>
  <c r="CV31" i="2"/>
  <c r="CP50" i="3"/>
  <c r="CQ44" i="3"/>
  <c r="CR38" i="2"/>
  <c r="CQ43" i="3"/>
  <c r="CQ55" i="2"/>
  <c r="CR13" i="2"/>
  <c r="CR22" i="3" s="1"/>
  <c r="CS22" i="3" s="1"/>
  <c r="AU85" i="54"/>
  <c r="BW55" i="3"/>
  <c r="BW56" i="3" s="1"/>
  <c r="CA55" i="3"/>
  <c r="BU10" i="2"/>
  <c r="BU198" i="2" s="1"/>
  <c r="BA73" i="2"/>
  <c r="BA72" i="2"/>
  <c r="BA17" i="2"/>
  <c r="BB78" i="54"/>
  <c r="BG10" i="2"/>
  <c r="BG198" i="2" s="1"/>
  <c r="BH55" i="3"/>
  <c r="BH56" i="3" s="1"/>
  <c r="AV57" i="2"/>
  <c r="AV67" i="2"/>
  <c r="AP61" i="2"/>
  <c r="AO52" i="2"/>
  <c r="AO61" i="2"/>
  <c r="BA57" i="3"/>
  <c r="AY52" i="2"/>
  <c r="BE74" i="2"/>
  <c r="BE26" i="2"/>
  <c r="BE71" i="2"/>
  <c r="AZ74" i="2"/>
  <c r="AZ71" i="2"/>
  <c r="AZ26" i="2"/>
  <c r="AZ61" i="2" s="1"/>
  <c r="AV83" i="54"/>
  <c r="AW83" i="54" s="1"/>
  <c r="BF73" i="2"/>
  <c r="BG78" i="54"/>
  <c r="BF72" i="2"/>
  <c r="BF17" i="2"/>
  <c r="AU74" i="2"/>
  <c r="AU26" i="2"/>
  <c r="AU71" i="2"/>
  <c r="BE57" i="2"/>
  <c r="BE67" i="2"/>
  <c r="AT52" i="2"/>
  <c r="AZ67" i="2"/>
  <c r="AZ57" i="2"/>
  <c r="AV26" i="2"/>
  <c r="AV74" i="2"/>
  <c r="AV71" i="2"/>
  <c r="BR55" i="3"/>
  <c r="BR56" i="3" s="1"/>
  <c r="BQ10" i="2"/>
  <c r="AT61" i="2"/>
  <c r="BF83" i="54"/>
  <c r="BF84" i="54" s="1"/>
  <c r="BF85" i="54" s="1"/>
  <c r="BB10" i="2"/>
  <c r="BB198" i="2" s="1"/>
  <c r="BK73" i="2"/>
  <c r="BK72" i="2"/>
  <c r="BL78" i="54"/>
  <c r="BK17" i="2"/>
  <c r="BA83" i="54"/>
  <c r="BA84" i="54" s="1"/>
  <c r="BA85" i="54" s="1"/>
  <c r="AP52" i="2"/>
  <c r="BQ78" i="54"/>
  <c r="BO72" i="2"/>
  <c r="BO17" i="2"/>
  <c r="BO73" i="2"/>
  <c r="BM55" i="3"/>
  <c r="BM56" i="3" s="1"/>
  <c r="BL10" i="2"/>
  <c r="AU57" i="2"/>
  <c r="AU67" i="2"/>
  <c r="BO57" i="3"/>
  <c r="AO85" i="54"/>
  <c r="CJ72" i="3" l="1"/>
  <c r="CO22" i="2"/>
  <c r="CP123" i="2"/>
  <c r="CU123" i="2"/>
  <c r="CY123" i="2"/>
  <c r="CJ22" i="2"/>
  <c r="CK123" i="2"/>
  <c r="CR188" i="2"/>
  <c r="CX43" i="2"/>
  <c r="CW193" i="2"/>
  <c r="BL56" i="2"/>
  <c r="BL198" i="2"/>
  <c r="BQ56" i="2"/>
  <c r="BQ198" i="2"/>
  <c r="BB201" i="2"/>
  <c r="BB202" i="2"/>
  <c r="BG201" i="2"/>
  <c r="BG202" i="2"/>
  <c r="CS11" i="2"/>
  <c r="CR199" i="2"/>
  <c r="AU204" i="2"/>
  <c r="AW204" i="2"/>
  <c r="BK205" i="2"/>
  <c r="BK62" i="2" s="1"/>
  <c r="AZ205" i="2"/>
  <c r="AZ62" i="2" s="1"/>
  <c r="AW202" i="2"/>
  <c r="AV205" i="2"/>
  <c r="AV62" i="2" s="1"/>
  <c r="BA201" i="2"/>
  <c r="BA204" i="2" s="1"/>
  <c r="BA202" i="2"/>
  <c r="BA205" i="2" s="1"/>
  <c r="BA62" i="2" s="1"/>
  <c r="BK204" i="2"/>
  <c r="AZ204" i="2"/>
  <c r="AW201" i="2"/>
  <c r="AV204" i="2"/>
  <c r="AW205" i="2"/>
  <c r="AW62" i="2" s="1"/>
  <c r="CR40" i="2"/>
  <c r="CQ190" i="2"/>
  <c r="CJ70" i="3"/>
  <c r="BB57" i="3"/>
  <c r="BB56" i="2"/>
  <c r="BG57" i="3"/>
  <c r="BG56" i="2"/>
  <c r="BU57" i="3"/>
  <c r="BU56" i="2"/>
  <c r="CQ100" i="1"/>
  <c r="CV101" i="1"/>
  <c r="CV87" i="1"/>
  <c r="BE95" i="2"/>
  <c r="BE101" i="2" s="1"/>
  <c r="BF95" i="2" s="1"/>
  <c r="BF101" i="2" s="1"/>
  <c r="BG95" i="2" s="1"/>
  <c r="BG101" i="2" s="1"/>
  <c r="BH95" i="2" s="1"/>
  <c r="BH101" i="2" s="1"/>
  <c r="BI95" i="2"/>
  <c r="BI101" i="2" s="1"/>
  <c r="CY56" i="54"/>
  <c r="CX59" i="54"/>
  <c r="CY59" i="54" s="1"/>
  <c r="CY73" i="54"/>
  <c r="CX33" i="2"/>
  <c r="CX44" i="54"/>
  <c r="CW47" i="54"/>
  <c r="CE12" i="54"/>
  <c r="CE8" i="54" s="1"/>
  <c r="CD15" i="54"/>
  <c r="CX74" i="54"/>
  <c r="CX82" i="54" s="1"/>
  <c r="CY46" i="54"/>
  <c r="CY74" i="54"/>
  <c r="CY82" i="54" s="1"/>
  <c r="CY32" i="2"/>
  <c r="CX27" i="3"/>
  <c r="CY27" i="3" s="1"/>
  <c r="CV48" i="2"/>
  <c r="CU99" i="2"/>
  <c r="AQ84" i="54"/>
  <c r="AQ85" i="54" s="1"/>
  <c r="CS24" i="54"/>
  <c r="CR27" i="54"/>
  <c r="U120" i="2"/>
  <c r="U116" i="2"/>
  <c r="V105" i="2"/>
  <c r="CU166" i="2"/>
  <c r="CQ243" i="73"/>
  <c r="CR241" i="73"/>
  <c r="BK180" i="73"/>
  <c r="BI184" i="73"/>
  <c r="BA371" i="73"/>
  <c r="CR176" i="73"/>
  <c r="CQ179" i="73"/>
  <c r="CQ141" i="73"/>
  <c r="CQ142" i="73" s="1"/>
  <c r="AZ125" i="73"/>
  <c r="AZ110" i="73"/>
  <c r="BF110" i="73"/>
  <c r="AZ126" i="73"/>
  <c r="AZ119" i="73" s="1"/>
  <c r="AY110" i="73"/>
  <c r="BE110" i="73"/>
  <c r="BC109" i="73"/>
  <c r="AY125" i="73"/>
  <c r="BA412" i="73"/>
  <c r="AY126" i="73"/>
  <c r="AY119" i="73" s="1"/>
  <c r="BC112" i="73"/>
  <c r="BE113" i="73"/>
  <c r="AY302" i="73"/>
  <c r="BC302" i="73" s="1"/>
  <c r="AY341" i="73"/>
  <c r="AY300" i="73"/>
  <c r="BC294" i="73"/>
  <c r="AZ403" i="73"/>
  <c r="AZ304" i="73"/>
  <c r="AZ433" i="73" s="1"/>
  <c r="BI442" i="73"/>
  <c r="AY295" i="73"/>
  <c r="CA29" i="4"/>
  <c r="CA21" i="4"/>
  <c r="CA22" i="4"/>
  <c r="CA24" i="4"/>
  <c r="CA25" i="4"/>
  <c r="CW31" i="2"/>
  <c r="AV84" i="54"/>
  <c r="AV85" i="54" s="1"/>
  <c r="CS13" i="2"/>
  <c r="CQ50" i="3"/>
  <c r="CS38" i="2"/>
  <c r="CR43" i="3"/>
  <c r="CR44" i="3"/>
  <c r="CS44" i="3" s="1"/>
  <c r="CR55" i="2"/>
  <c r="BL72" i="2"/>
  <c r="BL17" i="2"/>
  <c r="BM78" i="54"/>
  <c r="BL73" i="2"/>
  <c r="BM10" i="2"/>
  <c r="BM198" i="2" s="1"/>
  <c r="BN55" i="3"/>
  <c r="BN56" i="3" s="1"/>
  <c r="BU78" i="54"/>
  <c r="BQ83" i="54"/>
  <c r="BQ84" i="54" s="1"/>
  <c r="BQ85" i="54" s="1"/>
  <c r="BF26" i="2"/>
  <c r="BF61" i="2" s="1"/>
  <c r="BF71" i="2"/>
  <c r="BF74" i="2"/>
  <c r="BL57" i="3"/>
  <c r="BK71" i="2"/>
  <c r="BK26" i="2"/>
  <c r="BK74" i="2"/>
  <c r="BB73" i="2"/>
  <c r="BB72" i="2"/>
  <c r="BC10" i="2"/>
  <c r="BB17" i="2"/>
  <c r="AZ52" i="2"/>
  <c r="BH78" i="54"/>
  <c r="BG72" i="2"/>
  <c r="BG17" i="2"/>
  <c r="BG73" i="2"/>
  <c r="BA67" i="2"/>
  <c r="BA57" i="2"/>
  <c r="BF57" i="2"/>
  <c r="BF67" i="2"/>
  <c r="BB83" i="54"/>
  <c r="BC83" i="54" s="1"/>
  <c r="BR10" i="2"/>
  <c r="BS55" i="3"/>
  <c r="BS56" i="3" s="1"/>
  <c r="BL83" i="54"/>
  <c r="BL84" i="54" s="1"/>
  <c r="BL85" i="54" s="1"/>
  <c r="AV61" i="2"/>
  <c r="AU52" i="2"/>
  <c r="BA26" i="2"/>
  <c r="BA61" i="2" s="1"/>
  <c r="BA74" i="2"/>
  <c r="BA71" i="2"/>
  <c r="BU73" i="2"/>
  <c r="BU72" i="2"/>
  <c r="BW78" i="54"/>
  <c r="CA78" i="54" s="1"/>
  <c r="CA83" i="54" s="1"/>
  <c r="CA84" i="54" s="1"/>
  <c r="CA85" i="54" s="1"/>
  <c r="BU17" i="2"/>
  <c r="BU10" i="54"/>
  <c r="AU61" i="2"/>
  <c r="BE52" i="2"/>
  <c r="BO71" i="2"/>
  <c r="BO74" i="2"/>
  <c r="BO26" i="2"/>
  <c r="BK57" i="2"/>
  <c r="BK67" i="2"/>
  <c r="BQ73" i="2"/>
  <c r="BR78" i="54"/>
  <c r="BQ17" i="2"/>
  <c r="BQ72" i="2"/>
  <c r="AV52" i="2"/>
  <c r="BG83" i="54"/>
  <c r="BG84" i="54" s="1"/>
  <c r="BG85" i="54" s="1"/>
  <c r="BW10" i="2"/>
  <c r="BW198" i="2" s="1"/>
  <c r="BX55" i="3"/>
  <c r="BX56" i="3" s="1"/>
  <c r="BQ57" i="3"/>
  <c r="BO57" i="2"/>
  <c r="BO67" i="2"/>
  <c r="BH10" i="2"/>
  <c r="BH198" i="2" s="1"/>
  <c r="CJ73" i="3" l="1"/>
  <c r="CK69" i="3" s="1"/>
  <c r="CK71" i="3" s="1"/>
  <c r="CK81" i="3" s="1"/>
  <c r="BC204" i="2"/>
  <c r="CK128" i="2"/>
  <c r="CK126" i="2"/>
  <c r="CY128" i="2"/>
  <c r="CY126" i="2"/>
  <c r="CP126" i="2"/>
  <c r="CP128" i="2"/>
  <c r="CJ153" i="2"/>
  <c r="CU126" i="2"/>
  <c r="CU128" i="2"/>
  <c r="CO153" i="2"/>
  <c r="CS188" i="2"/>
  <c r="CY43" i="2"/>
  <c r="CY193" i="2" s="1"/>
  <c r="CX193" i="2"/>
  <c r="BH202" i="2"/>
  <c r="BI205" i="2" s="1"/>
  <c r="BI62" i="2" s="1"/>
  <c r="BH201" i="2"/>
  <c r="BI204" i="2" s="1"/>
  <c r="BC56" i="2"/>
  <c r="BC198" i="2"/>
  <c r="BM202" i="2"/>
  <c r="BM205" i="2" s="1"/>
  <c r="BM62" i="2" s="1"/>
  <c r="BM201" i="2"/>
  <c r="BM204" i="2" s="1"/>
  <c r="CR190" i="2"/>
  <c r="CS40" i="2"/>
  <c r="BC205" i="2"/>
  <c r="BC62" i="2" s="1"/>
  <c r="BG205" i="2"/>
  <c r="BG62" i="2" s="1"/>
  <c r="BC202" i="2"/>
  <c r="BB205" i="2"/>
  <c r="BB62" i="2" s="1"/>
  <c r="BQ201" i="2"/>
  <c r="BQ202" i="2"/>
  <c r="BL201" i="2"/>
  <c r="BL202" i="2"/>
  <c r="BW201" i="2"/>
  <c r="BW202" i="2"/>
  <c r="BR56" i="2"/>
  <c r="BR198" i="2"/>
  <c r="CU11" i="2"/>
  <c r="CS199" i="2"/>
  <c r="BG204" i="2"/>
  <c r="BC201" i="2"/>
  <c r="BB204" i="2"/>
  <c r="CY33" i="2"/>
  <c r="CK70" i="3"/>
  <c r="BH57" i="3"/>
  <c r="BH56" i="2"/>
  <c r="BM57" i="3"/>
  <c r="BM56" i="2"/>
  <c r="BW57" i="3"/>
  <c r="BW56" i="2"/>
  <c r="CR100" i="1"/>
  <c r="CK72" i="3"/>
  <c r="CK73" i="3" s="1"/>
  <c r="CL69" i="3" s="1"/>
  <c r="CW87" i="1"/>
  <c r="CW101" i="1"/>
  <c r="CX87" i="1"/>
  <c r="CX101" i="1"/>
  <c r="CS43" i="3"/>
  <c r="BK95" i="2"/>
  <c r="BK101" i="2" s="1"/>
  <c r="BL95" i="2" s="1"/>
  <c r="BL101" i="2" s="1"/>
  <c r="BM95" i="2" s="1"/>
  <c r="BM101" i="2" s="1"/>
  <c r="BN95" i="2" s="1"/>
  <c r="BN101" i="2" s="1"/>
  <c r="BO95" i="2"/>
  <c r="BO101" i="2" s="1"/>
  <c r="CF12" i="54"/>
  <c r="CE15" i="54"/>
  <c r="CY44" i="54"/>
  <c r="CX47" i="54"/>
  <c r="CY47" i="54" s="1"/>
  <c r="CV99" i="2"/>
  <c r="CW48" i="2"/>
  <c r="CS27" i="54"/>
  <c r="CS100" i="1" s="1"/>
  <c r="CU24" i="54"/>
  <c r="V112" i="2"/>
  <c r="U121" i="2"/>
  <c r="V114" i="2"/>
  <c r="V110" i="2"/>
  <c r="CV166" i="2"/>
  <c r="CR243" i="73"/>
  <c r="CU241" i="73"/>
  <c r="CS241" i="73"/>
  <c r="CS243" i="73" s="1"/>
  <c r="BL180" i="73"/>
  <c r="BK183" i="73"/>
  <c r="CR141" i="73"/>
  <c r="CR179" i="73"/>
  <c r="CS176" i="73"/>
  <c r="CS179" i="73" s="1"/>
  <c r="CU176" i="73"/>
  <c r="BC341" i="73"/>
  <c r="BI110" i="73"/>
  <c r="BC110" i="73"/>
  <c r="BC125" i="73"/>
  <c r="BC122" i="73"/>
  <c r="BC126" i="73"/>
  <c r="BI113" i="73"/>
  <c r="AY304" i="73"/>
  <c r="AY433" i="73" s="1"/>
  <c r="AY403" i="73"/>
  <c r="BC300" i="73"/>
  <c r="BC304" i="73" s="1"/>
  <c r="AY127" i="73"/>
  <c r="AY371" i="73" s="1"/>
  <c r="AY120" i="73"/>
  <c r="BC119" i="73"/>
  <c r="BE120" i="73"/>
  <c r="AY364" i="73"/>
  <c r="AY375" i="73"/>
  <c r="AY383" i="73"/>
  <c r="BC295" i="73"/>
  <c r="AZ120" i="73"/>
  <c r="BF120" i="73"/>
  <c r="AZ127" i="73"/>
  <c r="AZ371" i="73" s="1"/>
  <c r="AZ442" i="73"/>
  <c r="AZ412" i="73"/>
  <c r="CR50" i="3"/>
  <c r="CS55" i="2"/>
  <c r="CU38" i="2"/>
  <c r="CU13" i="2"/>
  <c r="CU22" i="3" s="1"/>
  <c r="CX31" i="2"/>
  <c r="AW84" i="54"/>
  <c r="AW85" i="54" s="1"/>
  <c r="BB84" i="54"/>
  <c r="BB85" i="54" s="1"/>
  <c r="BR83" i="54"/>
  <c r="BR84" i="54" s="1"/>
  <c r="BR85" i="54" s="1"/>
  <c r="BR17" i="2"/>
  <c r="BS78" i="54"/>
  <c r="BR73" i="2"/>
  <c r="BR72" i="2"/>
  <c r="BG57" i="2"/>
  <c r="BG67" i="2"/>
  <c r="BC72" i="2"/>
  <c r="BC73" i="2"/>
  <c r="BC17" i="2"/>
  <c r="BE78" i="54"/>
  <c r="BC57" i="3"/>
  <c r="BK52" i="2"/>
  <c r="BF52" i="2"/>
  <c r="BY55" i="3"/>
  <c r="BY56" i="3" s="1"/>
  <c r="BX10" i="2"/>
  <c r="BU26" i="2"/>
  <c r="BU71" i="2"/>
  <c r="BU74" i="2"/>
  <c r="BH72" i="2"/>
  <c r="BH17" i="2"/>
  <c r="BI10" i="2"/>
  <c r="BI198" i="2" s="1"/>
  <c r="BH73" i="2"/>
  <c r="BX78" i="54"/>
  <c r="BW17" i="2"/>
  <c r="BW72" i="2"/>
  <c r="BW73" i="2"/>
  <c r="BQ67" i="2"/>
  <c r="BQ57" i="2"/>
  <c r="BG71" i="2"/>
  <c r="BG74" i="2"/>
  <c r="BG26" i="2"/>
  <c r="BM83" i="54"/>
  <c r="BM84" i="54" s="1"/>
  <c r="BM85" i="54" s="1"/>
  <c r="BW83" i="54"/>
  <c r="BW84" i="54" s="1"/>
  <c r="BW85" i="54" s="1"/>
  <c r="BB67" i="2"/>
  <c r="BB57" i="2"/>
  <c r="BA52" i="2"/>
  <c r="BH83" i="54"/>
  <c r="BH84" i="54" s="1"/>
  <c r="BH85" i="54" s="1"/>
  <c r="BN10" i="2"/>
  <c r="BN198" i="2" s="1"/>
  <c r="BL74" i="2"/>
  <c r="BL71" i="2"/>
  <c r="BL26" i="2"/>
  <c r="BS10" i="2"/>
  <c r="BS198" i="2" s="1"/>
  <c r="BT55" i="3"/>
  <c r="BT56" i="3" s="1"/>
  <c r="BL57" i="2"/>
  <c r="BL67" i="2"/>
  <c r="BO52" i="2"/>
  <c r="BU57" i="2"/>
  <c r="BU67" i="2"/>
  <c r="BU83" i="54"/>
  <c r="BU84" i="54" s="1"/>
  <c r="BU85" i="54" s="1"/>
  <c r="BQ71" i="2"/>
  <c r="BQ26" i="2"/>
  <c r="BQ74" i="2"/>
  <c r="BR57" i="3"/>
  <c r="BB74" i="2"/>
  <c r="BB71" i="2"/>
  <c r="BB26" i="2"/>
  <c r="BN78" i="54"/>
  <c r="BM72" i="2"/>
  <c r="BM73" i="2"/>
  <c r="BM17" i="2"/>
  <c r="CV123" i="2" l="1"/>
  <c r="CU22" i="2"/>
  <c r="CP22" i="2"/>
  <c r="CQ123" i="2"/>
  <c r="CL123" i="2"/>
  <c r="CK22" i="2"/>
  <c r="CU188" i="2"/>
  <c r="BN202" i="2"/>
  <c r="BO205" i="2" s="1"/>
  <c r="BO62" i="2" s="1"/>
  <c r="BN201" i="2"/>
  <c r="BO204" i="2" s="1"/>
  <c r="BX56" i="2"/>
  <c r="BX198" i="2"/>
  <c r="CV11" i="2"/>
  <c r="CU199" i="2"/>
  <c r="BW204" i="2"/>
  <c r="BL204" i="2"/>
  <c r="BQ204" i="2"/>
  <c r="CS190" i="2"/>
  <c r="CU40" i="2"/>
  <c r="BI201" i="2"/>
  <c r="BH204" i="2"/>
  <c r="BS201" i="2"/>
  <c r="BS204" i="2" s="1"/>
  <c r="BS202" i="2"/>
  <c r="BS205" i="2" s="1"/>
  <c r="BS62" i="2" s="1"/>
  <c r="BR202" i="2"/>
  <c r="BR205" i="2" s="1"/>
  <c r="BR62" i="2" s="1"/>
  <c r="BR201" i="2"/>
  <c r="BR204" i="2" s="1"/>
  <c r="BW205" i="2"/>
  <c r="BW62" i="2" s="1"/>
  <c r="BL205" i="2"/>
  <c r="BL62" i="2" s="1"/>
  <c r="BQ205" i="2"/>
  <c r="BQ62" i="2" s="1"/>
  <c r="BI202" i="2"/>
  <c r="BH205" i="2"/>
  <c r="BH62" i="2" s="1"/>
  <c r="BI56" i="2"/>
  <c r="BS57" i="3"/>
  <c r="BS56" i="2"/>
  <c r="BN57" i="3"/>
  <c r="BN56" i="2"/>
  <c r="CL72" i="3"/>
  <c r="CM72" i="3" s="1"/>
  <c r="CL70" i="3"/>
  <c r="CM70" i="3" s="1"/>
  <c r="CS50" i="3"/>
  <c r="CL71" i="3"/>
  <c r="CL81" i="3" s="1"/>
  <c r="CM81" i="3" s="1"/>
  <c r="BU61" i="2"/>
  <c r="BU95" i="2"/>
  <c r="BU101" i="2" s="1"/>
  <c r="BQ95" i="2"/>
  <c r="BQ101" i="2" s="1"/>
  <c r="BR95" i="2" s="1"/>
  <c r="BR101" i="2" s="1"/>
  <c r="BS95" i="2" s="1"/>
  <c r="BS101" i="2" s="1"/>
  <c r="BT95" i="2" s="1"/>
  <c r="BT101" i="2" s="1"/>
  <c r="CF15" i="54"/>
  <c r="CG15" i="54" s="1"/>
  <c r="CG12" i="54"/>
  <c r="CW99" i="2"/>
  <c r="CX48" i="2"/>
  <c r="CR142" i="73"/>
  <c r="CS142" i="73" s="1"/>
  <c r="CS141" i="73"/>
  <c r="CV24" i="54"/>
  <c r="CU27" i="54"/>
  <c r="V116" i="2"/>
  <c r="V120" i="2"/>
  <c r="W105" i="2"/>
  <c r="CM71" i="3"/>
  <c r="CW166" i="2"/>
  <c r="CX166" i="2"/>
  <c r="CU179" i="73"/>
  <c r="CV176" i="73"/>
  <c r="BM180" i="73"/>
  <c r="BL183" i="73"/>
  <c r="CU141" i="73"/>
  <c r="CU142" i="73" s="1"/>
  <c r="CV241" i="73"/>
  <c r="CU243" i="73"/>
  <c r="BC124" i="73"/>
  <c r="BI120" i="73"/>
  <c r="BC120" i="73"/>
  <c r="BC127" i="73"/>
  <c r="BC371" i="73" s="1"/>
  <c r="BC364" i="73"/>
  <c r="BC375" i="73"/>
  <c r="BC383" i="73"/>
  <c r="BC403" i="73"/>
  <c r="AY412" i="73"/>
  <c r="AY442" i="73"/>
  <c r="BC433" i="73"/>
  <c r="BC84" i="54"/>
  <c r="BC85" i="54" s="1"/>
  <c r="CA32" i="4"/>
  <c r="CY31" i="2"/>
  <c r="CV38" i="2"/>
  <c r="CU44" i="3"/>
  <c r="CU55" i="2"/>
  <c r="CU43" i="3"/>
  <c r="CV13" i="2"/>
  <c r="BG52" i="2"/>
  <c r="BH67" i="2"/>
  <c r="BH57" i="2"/>
  <c r="BL52" i="2"/>
  <c r="BG61" i="2"/>
  <c r="BN83" i="54"/>
  <c r="BN84" i="54" s="1"/>
  <c r="BN85" i="54" s="1"/>
  <c r="BI72" i="2"/>
  <c r="BI73" i="2"/>
  <c r="BI17" i="2"/>
  <c r="BK78" i="54"/>
  <c r="BI57" i="3"/>
  <c r="BU52" i="2"/>
  <c r="BB52" i="2"/>
  <c r="BW57" i="2"/>
  <c r="BW67" i="2"/>
  <c r="BM71" i="2"/>
  <c r="BM26" i="2"/>
  <c r="BM74" i="2"/>
  <c r="BQ52" i="2"/>
  <c r="BT10" i="2"/>
  <c r="BT198" i="2" s="1"/>
  <c r="BX73" i="2"/>
  <c r="BX72" i="2"/>
  <c r="BY78" i="54"/>
  <c r="BX17" i="2"/>
  <c r="BS83" i="54"/>
  <c r="BS84" i="54" s="1"/>
  <c r="BS85" i="54" s="1"/>
  <c r="BW71" i="2"/>
  <c r="BW26" i="2"/>
  <c r="BW61" i="2" s="1"/>
  <c r="BW74" i="2"/>
  <c r="BX57" i="3"/>
  <c r="BC57" i="2"/>
  <c r="BC67" i="2"/>
  <c r="BR74" i="2"/>
  <c r="BR26" i="2"/>
  <c r="BR61" i="2" s="1"/>
  <c r="BR71" i="2"/>
  <c r="BQ61" i="2"/>
  <c r="BS73" i="2"/>
  <c r="BS17" i="2"/>
  <c r="BS72" i="2"/>
  <c r="BT78" i="54"/>
  <c r="BX83" i="54"/>
  <c r="BX84" i="54" s="1"/>
  <c r="BX85" i="54" s="1"/>
  <c r="BY10" i="2"/>
  <c r="BZ55" i="3"/>
  <c r="BI78" i="54"/>
  <c r="BE83" i="54"/>
  <c r="BE84" i="54" s="1"/>
  <c r="BE85" i="54" s="1"/>
  <c r="BH26" i="2"/>
  <c r="BH61" i="2" s="1"/>
  <c r="BH71" i="2"/>
  <c r="BH74" i="2"/>
  <c r="BM57" i="2"/>
  <c r="BM67" i="2"/>
  <c r="BN17" i="2"/>
  <c r="BN73" i="2"/>
  <c r="BN72" i="2"/>
  <c r="BB61" i="2"/>
  <c r="BL61" i="2"/>
  <c r="BC26" i="2"/>
  <c r="BC71" i="2"/>
  <c r="BC74" i="2"/>
  <c r="BR67" i="2"/>
  <c r="BR57" i="2"/>
  <c r="CK153" i="2" l="1"/>
  <c r="CQ128" i="2"/>
  <c r="CQ126" i="2"/>
  <c r="CU153" i="2"/>
  <c r="CL128" i="2"/>
  <c r="CL22" i="2" s="1"/>
  <c r="CL126" i="2"/>
  <c r="CP153" i="2"/>
  <c r="CV128" i="2"/>
  <c r="CV126" i="2"/>
  <c r="CV188" i="2"/>
  <c r="BY56" i="2"/>
  <c r="BY198" i="2"/>
  <c r="CU190" i="2"/>
  <c r="CV40" i="2"/>
  <c r="BX202" i="2"/>
  <c r="BX201" i="2"/>
  <c r="BO201" i="2"/>
  <c r="BN204" i="2"/>
  <c r="BT202" i="2"/>
  <c r="BT201" i="2"/>
  <c r="CW11" i="2"/>
  <c r="CV199" i="2"/>
  <c r="BO202" i="2"/>
  <c r="BN205" i="2"/>
  <c r="BN62" i="2" s="1"/>
  <c r="BT57" i="3"/>
  <c r="BT56" i="2"/>
  <c r="CU100" i="1"/>
  <c r="CM73" i="3"/>
  <c r="CO69" i="3" s="1"/>
  <c r="CO70" i="3" s="1"/>
  <c r="CL73" i="3"/>
  <c r="BY57" i="3"/>
  <c r="BZ78" i="54"/>
  <c r="BZ83" i="54" s="1"/>
  <c r="BZ84" i="54" s="1"/>
  <c r="BZ85" i="54" s="1"/>
  <c r="CA95" i="2"/>
  <c r="CA101" i="2" s="1"/>
  <c r="BW95" i="2"/>
  <c r="BW101" i="2" s="1"/>
  <c r="BX95" i="2" s="1"/>
  <c r="BX101" i="2" s="1"/>
  <c r="BY95" i="2" s="1"/>
  <c r="BY101" i="2" s="1"/>
  <c r="BZ95" i="2" s="1"/>
  <c r="BZ101" i="2" s="1"/>
  <c r="CI12" i="54"/>
  <c r="CY48" i="2"/>
  <c r="CX99" i="2"/>
  <c r="CY99" i="2" s="1"/>
  <c r="CA33" i="4"/>
  <c r="CA34" i="4" s="1"/>
  <c r="CA57" i="4"/>
  <c r="CW24" i="54"/>
  <c r="CV27" i="54"/>
  <c r="W114" i="2"/>
  <c r="W110" i="2"/>
  <c r="W112" i="2"/>
  <c r="V121" i="2"/>
  <c r="BN180" i="73"/>
  <c r="BM183" i="73"/>
  <c r="CV243" i="73"/>
  <c r="CW241" i="73"/>
  <c r="CW176" i="73"/>
  <c r="CV179" i="73"/>
  <c r="CV141" i="73"/>
  <c r="CV142" i="73" s="1"/>
  <c r="BC412" i="73"/>
  <c r="BC442" i="73"/>
  <c r="CA9" i="4"/>
  <c r="CU50" i="3"/>
  <c r="CW13" i="2"/>
  <c r="CW22" i="3" s="1"/>
  <c r="CV22" i="3"/>
  <c r="CV44" i="3"/>
  <c r="CW38" i="2"/>
  <c r="CV43" i="3"/>
  <c r="CV55" i="2"/>
  <c r="BS26" i="2"/>
  <c r="BS61" i="2" s="1"/>
  <c r="BS71" i="2"/>
  <c r="BS74" i="2"/>
  <c r="BM52" i="2"/>
  <c r="BY73" i="2"/>
  <c r="BY72" i="2"/>
  <c r="BY17" i="2"/>
  <c r="BX57" i="2"/>
  <c r="BX67" i="2"/>
  <c r="BO78" i="54"/>
  <c r="BK83" i="54"/>
  <c r="BK84" i="54" s="1"/>
  <c r="BK85" i="54" s="1"/>
  <c r="BN71" i="2"/>
  <c r="BN74" i="2"/>
  <c r="BN26" i="2"/>
  <c r="BN61" i="2" s="1"/>
  <c r="BH52" i="2"/>
  <c r="BI71" i="2"/>
  <c r="BI74" i="2"/>
  <c r="BI26" i="2"/>
  <c r="BM61" i="2"/>
  <c r="BE61" i="2"/>
  <c r="BC52" i="2"/>
  <c r="BC61" i="2"/>
  <c r="BT83" i="54"/>
  <c r="BT84" i="54" s="1"/>
  <c r="BT85" i="54" s="1"/>
  <c r="BN57" i="2"/>
  <c r="BN67" i="2"/>
  <c r="BS57" i="2"/>
  <c r="BS67" i="2"/>
  <c r="BI57" i="2"/>
  <c r="BI67" i="2"/>
  <c r="BI83" i="54"/>
  <c r="BI84" i="54" s="1"/>
  <c r="BI85" i="54" s="1"/>
  <c r="BX26" i="2"/>
  <c r="BX74" i="2"/>
  <c r="BX71" i="2"/>
  <c r="BW52" i="2"/>
  <c r="BY83" i="54"/>
  <c r="BY84" i="54" s="1"/>
  <c r="BY85" i="54" s="1"/>
  <c r="BT72" i="2"/>
  <c r="BT73" i="2"/>
  <c r="BT17" i="2"/>
  <c r="BR52" i="2"/>
  <c r="CC95" i="2" l="1"/>
  <c r="CG95" i="2"/>
  <c r="CW123" i="2"/>
  <c r="CV22" i="2"/>
  <c r="CM22" i="2"/>
  <c r="CL153" i="2"/>
  <c r="CR123" i="2"/>
  <c r="CQ22" i="2"/>
  <c r="CW188" i="2"/>
  <c r="CO71" i="3"/>
  <c r="CO81" i="3" s="1"/>
  <c r="CX11" i="2"/>
  <c r="CW199" i="2"/>
  <c r="BU202" i="2"/>
  <c r="BT205" i="2"/>
  <c r="BT62" i="2" s="1"/>
  <c r="BU205" i="2"/>
  <c r="BU62" i="2" s="1"/>
  <c r="BX205" i="2"/>
  <c r="BX62" i="2" s="1"/>
  <c r="CV190" i="2"/>
  <c r="CW40" i="2"/>
  <c r="BY202" i="2"/>
  <c r="BY205" i="2" s="1"/>
  <c r="BY62" i="2" s="1"/>
  <c r="BY201" i="2"/>
  <c r="BY204" i="2" s="1"/>
  <c r="BU201" i="2"/>
  <c r="BT204" i="2"/>
  <c r="BX204" i="2"/>
  <c r="BU204" i="2"/>
  <c r="CF34" i="51"/>
  <c r="BI61" i="2"/>
  <c r="CA58" i="4"/>
  <c r="CA64" i="4"/>
  <c r="CV100" i="1"/>
  <c r="CS69" i="3"/>
  <c r="CO72" i="3"/>
  <c r="CI15" i="54"/>
  <c r="CJ12" i="54"/>
  <c r="CV50" i="3"/>
  <c r="CX24" i="54"/>
  <c r="CW27" i="54"/>
  <c r="X105" i="2"/>
  <c r="W116" i="2"/>
  <c r="W120" i="2"/>
  <c r="BO180" i="73"/>
  <c r="BO183" i="73"/>
  <c r="BN183" i="73"/>
  <c r="CW179" i="73"/>
  <c r="CX176" i="73"/>
  <c r="CX241" i="73"/>
  <c r="CW243" i="73"/>
  <c r="CW141" i="73"/>
  <c r="CW142" i="73" s="1"/>
  <c r="CX141" i="73"/>
  <c r="CA17" i="4"/>
  <c r="CW44" i="3"/>
  <c r="CW43" i="3"/>
  <c r="CX38" i="2"/>
  <c r="CW55" i="2"/>
  <c r="CX13" i="2"/>
  <c r="CX22" i="3" s="1"/>
  <c r="BX52" i="2"/>
  <c r="BI52" i="2"/>
  <c r="BK61" i="2"/>
  <c r="BO61" i="2"/>
  <c r="BO83" i="54"/>
  <c r="BO84" i="54" s="1"/>
  <c r="BO85" i="54" s="1"/>
  <c r="BY67" i="2"/>
  <c r="BY57" i="2"/>
  <c r="BT67" i="2"/>
  <c r="BT57" i="2"/>
  <c r="BN52" i="2"/>
  <c r="BT26" i="2"/>
  <c r="BT61" i="2" s="1"/>
  <c r="BT74" i="2"/>
  <c r="BT71" i="2"/>
  <c r="BX61" i="2"/>
  <c r="BY26" i="2"/>
  <c r="BY74" i="2"/>
  <c r="BY71" i="2"/>
  <c r="BS52" i="2"/>
  <c r="CR128" i="2" l="1"/>
  <c r="CR22" i="2" s="1"/>
  <c r="CR126" i="2"/>
  <c r="CV153" i="2"/>
  <c r="CQ153" i="2"/>
  <c r="CM153" i="2"/>
  <c r="CW128" i="2"/>
  <c r="CW126" i="2"/>
  <c r="CX188" i="2"/>
  <c r="CO73" i="3"/>
  <c r="CP69" i="3" s="1"/>
  <c r="CP72" i="3" s="1"/>
  <c r="CW190" i="2"/>
  <c r="CX40" i="2"/>
  <c r="CY11" i="2"/>
  <c r="CY199" i="2" s="1"/>
  <c r="CX199" i="2"/>
  <c r="CA59" i="4"/>
  <c r="CW100" i="1"/>
  <c r="CJ15" i="54"/>
  <c r="CK12" i="54"/>
  <c r="CX142" i="73"/>
  <c r="CY142" i="73" s="1"/>
  <c r="CY141" i="73"/>
  <c r="CW50" i="3"/>
  <c r="CY24" i="54"/>
  <c r="CX27" i="54"/>
  <c r="X112" i="2"/>
  <c r="X115" i="2" s="1"/>
  <c r="Y115" i="2" s="1"/>
  <c r="Y116" i="2" s="1"/>
  <c r="W121" i="2"/>
  <c r="X114" i="2"/>
  <c r="X109" i="2"/>
  <c r="Y109" i="2" s="1"/>
  <c r="Y110" i="2" s="1"/>
  <c r="CY176" i="73"/>
  <c r="CY179" i="73" s="1"/>
  <c r="CX179" i="73"/>
  <c r="BQ180" i="73"/>
  <c r="BO184" i="73"/>
  <c r="CX243" i="73"/>
  <c r="CY241" i="73"/>
  <c r="CY243" i="73" s="1"/>
  <c r="CA12" i="4"/>
  <c r="CA16" i="4"/>
  <c r="CA14" i="4"/>
  <c r="CA10" i="4"/>
  <c r="CY22" i="3"/>
  <c r="CY38" i="2"/>
  <c r="CX44" i="3"/>
  <c r="CY44" i="3" s="1"/>
  <c r="CX55" i="2"/>
  <c r="CX43" i="3"/>
  <c r="CY13" i="2"/>
  <c r="BY52" i="2"/>
  <c r="BT52" i="2"/>
  <c r="BY61" i="2"/>
  <c r="CP71" i="3" l="1"/>
  <c r="CP70" i="3"/>
  <c r="CX123" i="2"/>
  <c r="CW22" i="2"/>
  <c r="CR153" i="2"/>
  <c r="CS22" i="2"/>
  <c r="CY55" i="2"/>
  <c r="CY188" i="2"/>
  <c r="CX190" i="2"/>
  <c r="CY40" i="2"/>
  <c r="CY190" i="2" s="1"/>
  <c r="CA33" i="51"/>
  <c r="CX100" i="1"/>
  <c r="CK15" i="54"/>
  <c r="CL12" i="54"/>
  <c r="CX50" i="3"/>
  <c r="CY27" i="54"/>
  <c r="CY100" i="1" s="1"/>
  <c r="Y121" i="2"/>
  <c r="AE112" i="2"/>
  <c r="AA112" i="2"/>
  <c r="Y118" i="2"/>
  <c r="Y120" i="2"/>
  <c r="AA105" i="2"/>
  <c r="AE105" i="2"/>
  <c r="AE114" i="2" s="1"/>
  <c r="CP81" i="3"/>
  <c r="BR180" i="73"/>
  <c r="BQ183" i="73"/>
  <c r="CY43" i="3"/>
  <c r="CP73" i="3" l="1"/>
  <c r="CQ69" i="3" s="1"/>
  <c r="CQ72" i="3" s="1"/>
  <c r="CW153" i="2"/>
  <c r="CS153" i="2"/>
  <c r="CX128" i="2"/>
  <c r="CX22" i="2" s="1"/>
  <c r="CX126" i="2"/>
  <c r="CA35" i="51"/>
  <c r="CY50" i="3"/>
  <c r="CL15" i="54"/>
  <c r="CM15" i="54" s="1"/>
  <c r="CM12" i="54"/>
  <c r="AA110" i="2"/>
  <c r="AA114" i="2"/>
  <c r="BS180" i="73"/>
  <c r="BR183" i="73"/>
  <c r="CQ70" i="3" l="1"/>
  <c r="CQ71" i="3"/>
  <c r="CQ81" i="3" s="1"/>
  <c r="CY22" i="2"/>
  <c r="CX153" i="2"/>
  <c r="CO12" i="54"/>
  <c r="CQ73" i="3"/>
  <c r="CR69" i="3" s="1"/>
  <c r="CR70" i="3" s="1"/>
  <c r="CS70" i="3" s="1"/>
  <c r="AB105" i="2"/>
  <c r="AA116" i="2"/>
  <c r="AA120" i="2"/>
  <c r="BT180" i="73"/>
  <c r="BS183" i="73"/>
  <c r="CY153" i="2" l="1"/>
  <c r="CP12" i="54"/>
  <c r="CO15" i="54"/>
  <c r="CR72" i="3"/>
  <c r="CS72" i="3" s="1"/>
  <c r="CR71" i="3"/>
  <c r="AA121" i="2"/>
  <c r="AB112" i="2"/>
  <c r="AB110" i="2"/>
  <c r="AB114" i="2"/>
  <c r="BU180" i="73"/>
  <c r="BU183" i="73"/>
  <c r="BT183" i="73"/>
  <c r="CQ12" i="54" l="1"/>
  <c r="CP15" i="54"/>
  <c r="CR81" i="3"/>
  <c r="CS81" i="3" s="1"/>
  <c r="CS71" i="3"/>
  <c r="CS73" i="3" s="1"/>
  <c r="CU69" i="3" s="1"/>
  <c r="CR73" i="3"/>
  <c r="AB116" i="2"/>
  <c r="AC105" i="2"/>
  <c r="AB120" i="2"/>
  <c r="BW180" i="73"/>
  <c r="BU184" i="73"/>
  <c r="CA9" i="3"/>
  <c r="CR12" i="54" l="1"/>
  <c r="CQ15" i="54"/>
  <c r="CU71" i="3"/>
  <c r="CU81" i="3" s="1"/>
  <c r="CU70" i="3"/>
  <c r="CY69" i="3"/>
  <c r="CU72" i="3"/>
  <c r="AC114" i="2"/>
  <c r="AC110" i="2"/>
  <c r="AC112" i="2"/>
  <c r="AB121" i="2"/>
  <c r="BW183" i="73"/>
  <c r="BX180" i="73"/>
  <c r="CA29" i="3"/>
  <c r="CA84" i="2" s="1"/>
  <c r="BZ29" i="3"/>
  <c r="BZ84" i="2" s="1"/>
  <c r="CA144" i="2"/>
  <c r="CA145" i="2" s="1"/>
  <c r="CA146" i="2" s="1"/>
  <c r="CA147" i="2" s="1"/>
  <c r="CA141" i="2" s="1"/>
  <c r="D11" i="52"/>
  <c r="D12" i="52" s="1"/>
  <c r="D19" i="52" s="1"/>
  <c r="CS12" i="54" l="1"/>
  <c r="CR15" i="54"/>
  <c r="CS15" i="54" s="1"/>
  <c r="CU73" i="3"/>
  <c r="CV69" i="3" s="1"/>
  <c r="AD105" i="2"/>
  <c r="AC116" i="2"/>
  <c r="AC120" i="2"/>
  <c r="BY180" i="73"/>
  <c r="BX183" i="73"/>
  <c r="BZ61" i="3"/>
  <c r="BZ85" i="2" s="1"/>
  <c r="BZ53" i="3"/>
  <c r="BZ83" i="2" s="1"/>
  <c r="CA53" i="3"/>
  <c r="CA83" i="2" s="1"/>
  <c r="CA61" i="3"/>
  <c r="BZ49" i="2"/>
  <c r="BZ195" i="2" s="1"/>
  <c r="CA47" i="2"/>
  <c r="CA85" i="2" l="1"/>
  <c r="BZ68" i="2"/>
  <c r="BZ60" i="2"/>
  <c r="CU12" i="54"/>
  <c r="CV71" i="3"/>
  <c r="CV81" i="3" s="1"/>
  <c r="CV70" i="3"/>
  <c r="CV72" i="3"/>
  <c r="AC121" i="2"/>
  <c r="AD112" i="2"/>
  <c r="AD115" i="2" s="1"/>
  <c r="AE115" i="2" s="1"/>
  <c r="AE116" i="2" s="1"/>
  <c r="AD114" i="2"/>
  <c r="AD109" i="2"/>
  <c r="AE109" i="2" s="1"/>
  <c r="AE110" i="2" s="1"/>
  <c r="BZ180" i="73"/>
  <c r="BY183" i="73"/>
  <c r="CA62" i="3"/>
  <c r="CA64" i="3"/>
  <c r="CA49" i="2"/>
  <c r="CA195" i="2" s="1"/>
  <c r="CA56" i="3"/>
  <c r="BZ62" i="3"/>
  <c r="BZ86" i="2" s="1"/>
  <c r="BZ64" i="3"/>
  <c r="BZ51" i="2"/>
  <c r="BZ56" i="3"/>
  <c r="CA86" i="2" l="1"/>
  <c r="CA63" i="3"/>
  <c r="CA60" i="2"/>
  <c r="CA68" i="2"/>
  <c r="CU15" i="54"/>
  <c r="CV12" i="54"/>
  <c r="CV73" i="3"/>
  <c r="CW69" i="3" s="1"/>
  <c r="CW72" i="3" s="1"/>
  <c r="AK112" i="2"/>
  <c r="AE121" i="2"/>
  <c r="AG112" i="2"/>
  <c r="AK105" i="2"/>
  <c r="AK114" i="2" s="1"/>
  <c r="AE118" i="2"/>
  <c r="AE120" i="2"/>
  <c r="AG105" i="2"/>
  <c r="BZ183" i="73"/>
  <c r="CA180" i="73"/>
  <c r="CA183" i="73"/>
  <c r="CA51" i="2"/>
  <c r="BZ10" i="2"/>
  <c r="CC55" i="3"/>
  <c r="CG55" i="3"/>
  <c r="CA10" i="2"/>
  <c r="CA198" i="2" s="1"/>
  <c r="CA65" i="3"/>
  <c r="BZ65" i="3"/>
  <c r="BZ56" i="2" l="1"/>
  <c r="BZ198" i="2"/>
  <c r="CC78" i="54"/>
  <c r="CG78" i="54" s="1"/>
  <c r="CA56" i="2"/>
  <c r="CW70" i="3"/>
  <c r="CA57" i="3"/>
  <c r="CA73" i="2"/>
  <c r="CA72" i="2"/>
  <c r="BZ57" i="3"/>
  <c r="BZ72" i="2"/>
  <c r="BZ73" i="2"/>
  <c r="CV15" i="54"/>
  <c r="CW12" i="54"/>
  <c r="CW71" i="3"/>
  <c r="AG110" i="2"/>
  <c r="AG114" i="2"/>
  <c r="CC180" i="73"/>
  <c r="CA184" i="73"/>
  <c r="BZ17" i="2"/>
  <c r="CA17" i="2"/>
  <c r="CA10" i="54"/>
  <c r="BZ201" i="2" l="1"/>
  <c r="BZ202" i="2"/>
  <c r="CA57" i="2"/>
  <c r="CA67" i="2"/>
  <c r="BZ57" i="2"/>
  <c r="BZ67" i="2"/>
  <c r="CA74" i="2"/>
  <c r="CA71" i="2"/>
  <c r="BZ74" i="2"/>
  <c r="BZ71" i="2"/>
  <c r="CW15" i="54"/>
  <c r="CX12" i="54"/>
  <c r="CW81" i="3"/>
  <c r="CW73" i="3"/>
  <c r="CX69" i="3" s="1"/>
  <c r="AH105" i="2"/>
  <c r="AG120" i="2"/>
  <c r="AG116" i="2"/>
  <c r="CC183" i="73"/>
  <c r="CD180" i="73"/>
  <c r="CA26" i="2"/>
  <c r="BZ26" i="2"/>
  <c r="BZ61" i="2" s="1"/>
  <c r="CA202" i="2" l="1"/>
  <c r="BZ205" i="2"/>
  <c r="BZ62" i="2" s="1"/>
  <c r="CA205" i="2"/>
  <c r="CA62" i="2" s="1"/>
  <c r="CA201" i="2"/>
  <c r="BZ204" i="2"/>
  <c r="CA204" i="2"/>
  <c r="CA61" i="2"/>
  <c r="CX15" i="54"/>
  <c r="CY15" i="54" s="1"/>
  <c r="CY12" i="54"/>
  <c r="CX71" i="3"/>
  <c r="CX72" i="3"/>
  <c r="CY72" i="3" s="1"/>
  <c r="CX70" i="3"/>
  <c r="CY70" i="3" s="1"/>
  <c r="AH112" i="2"/>
  <c r="AG121" i="2"/>
  <c r="AH114" i="2"/>
  <c r="AH110" i="2"/>
  <c r="CD183" i="73"/>
  <c r="CE180" i="73"/>
  <c r="BZ52" i="2"/>
  <c r="CA52" i="2"/>
  <c r="CX73" i="3" l="1"/>
  <c r="CX81" i="3"/>
  <c r="CY81" i="3" s="1"/>
  <c r="CY71" i="3"/>
  <c r="CY73" i="3" s="1"/>
  <c r="AH120" i="2"/>
  <c r="AH116" i="2"/>
  <c r="AI105" i="2"/>
  <c r="CF180" i="73"/>
  <c r="CE183" i="73"/>
  <c r="AI114" i="2" l="1"/>
  <c r="AI110" i="2"/>
  <c r="AH121" i="2"/>
  <c r="AI112" i="2"/>
  <c r="CF183" i="73"/>
  <c r="CG180" i="73"/>
  <c r="CG183" i="73"/>
  <c r="AI120" i="2" l="1"/>
  <c r="AJ105" i="2"/>
  <c r="AI116" i="2"/>
  <c r="CG184" i="73"/>
  <c r="CI180" i="73"/>
  <c r="AJ109" i="2" l="1"/>
  <c r="AK109" i="2" s="1"/>
  <c r="AK110" i="2" s="1"/>
  <c r="AJ114" i="2"/>
  <c r="AI121" i="2"/>
  <c r="AJ112" i="2"/>
  <c r="AJ115" i="2" s="1"/>
  <c r="AK115" i="2" s="1"/>
  <c r="AK116" i="2" s="1"/>
  <c r="CI183" i="73"/>
  <c r="CJ180" i="73"/>
  <c r="AM112" i="2" l="1"/>
  <c r="AK121" i="2"/>
  <c r="AQ112" i="2"/>
  <c r="AK120" i="2"/>
  <c r="AK118" i="2"/>
  <c r="AM105" i="2"/>
  <c r="AQ105" i="2"/>
  <c r="AQ114" i="2" s="1"/>
  <c r="CJ183" i="73"/>
  <c r="CK180" i="73"/>
  <c r="AM114" i="2" l="1"/>
  <c r="AM110" i="2"/>
  <c r="CK183" i="73"/>
  <c r="CL180" i="73"/>
  <c r="AM116" i="2" l="1"/>
  <c r="AM120" i="2"/>
  <c r="AN105" i="2"/>
  <c r="CL183" i="73"/>
  <c r="CM180" i="73"/>
  <c r="CM183" i="73"/>
  <c r="AN114" i="2" l="1"/>
  <c r="AN110" i="2"/>
  <c r="AN112" i="2"/>
  <c r="AM121" i="2"/>
  <c r="CO180" i="73"/>
  <c r="CM184" i="73"/>
  <c r="AN116" i="2" l="1"/>
  <c r="AO105" i="2"/>
  <c r="AN120" i="2"/>
  <c r="CP180" i="73"/>
  <c r="CO183" i="73"/>
  <c r="AO110" i="2" l="1"/>
  <c r="AO114" i="2"/>
  <c r="AN121" i="2"/>
  <c r="AO112" i="2"/>
  <c r="CQ180" i="73"/>
  <c r="CP183" i="73"/>
  <c r="AO116" i="2" l="1"/>
  <c r="AP105" i="2"/>
  <c r="AO120" i="2"/>
  <c r="CR180" i="73"/>
  <c r="CQ183" i="73"/>
  <c r="AP109" i="2" l="1"/>
  <c r="AQ109" i="2" s="1"/>
  <c r="AQ110" i="2" s="1"/>
  <c r="AP114" i="2"/>
  <c r="AP112" i="2"/>
  <c r="AP115" i="2" s="1"/>
  <c r="AQ115" i="2" s="1"/>
  <c r="AQ116" i="2" s="1"/>
  <c r="AO121" i="2"/>
  <c r="CS183" i="73"/>
  <c r="CS180" i="73"/>
  <c r="CR183" i="73"/>
  <c r="AS112" i="2" l="1"/>
  <c r="AQ121" i="2"/>
  <c r="AW112" i="2"/>
  <c r="AQ120" i="2"/>
  <c r="AQ118" i="2"/>
  <c r="AW105" i="2"/>
  <c r="AW114" i="2" s="1"/>
  <c r="AS105" i="2"/>
  <c r="CU180" i="73"/>
  <c r="CS184" i="73"/>
  <c r="AS114" i="2" l="1"/>
  <c r="AS110" i="2"/>
  <c r="CV180" i="73"/>
  <c r="CU183" i="73"/>
  <c r="AT105" i="2" l="1"/>
  <c r="AS116" i="2"/>
  <c r="AS120" i="2"/>
  <c r="CW180" i="73"/>
  <c r="CV183" i="73"/>
  <c r="AS121" i="2" l="1"/>
  <c r="AT112" i="2"/>
  <c r="AT114" i="2"/>
  <c r="AT110" i="2"/>
  <c r="CW183" i="73"/>
  <c r="CX180" i="73"/>
  <c r="AT116" i="2" l="1"/>
  <c r="AT120" i="2"/>
  <c r="AU105" i="2"/>
  <c r="CY180" i="73"/>
  <c r="CY184" i="73" s="1"/>
  <c r="CY183" i="73"/>
  <c r="CX183" i="73"/>
  <c r="AU114" i="2" l="1"/>
  <c r="AU110" i="2"/>
  <c r="AT121" i="2"/>
  <c r="AU112" i="2"/>
  <c r="AV105" i="2" l="1"/>
  <c r="AU120" i="2"/>
  <c r="AU116" i="2"/>
  <c r="AV112" i="2" l="1"/>
  <c r="AV115" i="2" s="1"/>
  <c r="AW115" i="2" s="1"/>
  <c r="AW116" i="2" s="1"/>
  <c r="AU121" i="2"/>
  <c r="AV109" i="2"/>
  <c r="AW109" i="2" s="1"/>
  <c r="AW110" i="2" s="1"/>
  <c r="AV114" i="2"/>
  <c r="AY105" i="2" l="1"/>
  <c r="AW120" i="2"/>
  <c r="BC105" i="2"/>
  <c r="BC114" i="2" s="1"/>
  <c r="AW118" i="2"/>
  <c r="AY112" i="2"/>
  <c r="BC112" i="2"/>
  <c r="AW121" i="2"/>
  <c r="AY110" i="2" l="1"/>
  <c r="AY114" i="2"/>
  <c r="AZ105" i="2" l="1"/>
  <c r="AY116" i="2"/>
  <c r="AY120" i="2"/>
  <c r="AZ112" i="2" l="1"/>
  <c r="AY121" i="2"/>
  <c r="AY115" i="2"/>
  <c r="AZ110" i="2"/>
  <c r="AZ114" i="2"/>
  <c r="AZ116" i="2" l="1"/>
  <c r="BA105" i="2"/>
  <c r="AZ120" i="2"/>
  <c r="BA110" i="2" l="1"/>
  <c r="BA114" i="2"/>
  <c r="BA112" i="2"/>
  <c r="AZ115" i="2"/>
  <c r="AZ121" i="2"/>
  <c r="BA116" i="2" l="1"/>
  <c r="BB105" i="2"/>
  <c r="BA120" i="2"/>
  <c r="BB109" i="2" l="1"/>
  <c r="BC109" i="2" s="1"/>
  <c r="BC110" i="2" s="1"/>
  <c r="BB114" i="2"/>
  <c r="BB112" i="2"/>
  <c r="BB115" i="2" s="1"/>
  <c r="BA121" i="2"/>
  <c r="BA115" i="2"/>
  <c r="BC115" i="2" l="1"/>
  <c r="BC116" i="2"/>
  <c r="BC120" i="2"/>
  <c r="BI105" i="2"/>
  <c r="BE105" i="2"/>
  <c r="BE110" i="2" l="1"/>
  <c r="BE114" i="2"/>
  <c r="BI110" i="2"/>
  <c r="BI114" i="2"/>
  <c r="BE112" i="2"/>
  <c r="BI112" i="2"/>
  <c r="BC121" i="2"/>
  <c r="BK105" i="2" l="1"/>
  <c r="BI120" i="2"/>
  <c r="BO105" i="2"/>
  <c r="BO114" i="2" s="1"/>
  <c r="BE116" i="2"/>
  <c r="BE120" i="2"/>
  <c r="BF105" i="2"/>
  <c r="BF114" i="2" l="1"/>
  <c r="BF110" i="2"/>
  <c r="BE121" i="2"/>
  <c r="BF112" i="2"/>
  <c r="BE115" i="2"/>
  <c r="BK110" i="2"/>
  <c r="BK114" i="2"/>
  <c r="BF116" i="2" l="1"/>
  <c r="BF120" i="2"/>
  <c r="BG105" i="2"/>
  <c r="BL105" i="2"/>
  <c r="BK116" i="2"/>
  <c r="BK120" i="2"/>
  <c r="BK121" i="2" l="1"/>
  <c r="BL112" i="2"/>
  <c r="BL114" i="2"/>
  <c r="BL110" i="2"/>
  <c r="BG114" i="2"/>
  <c r="BG110" i="2"/>
  <c r="BF121" i="2"/>
  <c r="BF115" i="2"/>
  <c r="BG112" i="2"/>
  <c r="BG116" i="2" l="1"/>
  <c r="BG120" i="2"/>
  <c r="BH105" i="2"/>
  <c r="BL116" i="2"/>
  <c r="BM105" i="2"/>
  <c r="BL120" i="2"/>
  <c r="BM114" i="2" l="1"/>
  <c r="BM110" i="2"/>
  <c r="BL121" i="2"/>
  <c r="BL115" i="2"/>
  <c r="BM112" i="2"/>
  <c r="BH110" i="2"/>
  <c r="BH114" i="2"/>
  <c r="BG115" i="2"/>
  <c r="BH112" i="2"/>
  <c r="BG121" i="2"/>
  <c r="BM120" i="2" l="1"/>
  <c r="BN105" i="2"/>
  <c r="BN114" i="2" s="1"/>
  <c r="BM116" i="2"/>
  <c r="BH116" i="2"/>
  <c r="BH120" i="2"/>
  <c r="BH115" i="2" l="1"/>
  <c r="BI115" i="2" s="1"/>
  <c r="BI116" i="2" s="1"/>
  <c r="BH121" i="2"/>
  <c r="BN112" i="2"/>
  <c r="BN115" i="2" s="1"/>
  <c r="BM121" i="2"/>
  <c r="BM115" i="2"/>
  <c r="BI121" i="2" l="1"/>
  <c r="BK112" i="2"/>
  <c r="BK115" i="2" s="1"/>
  <c r="BO115" i="2" s="1"/>
  <c r="BO112" i="2"/>
  <c r="BI118" i="2"/>
  <c r="BO116" i="2" l="1"/>
  <c r="BU112" i="2" l="1"/>
  <c r="BO118" i="2"/>
  <c r="BQ112" i="2"/>
  <c r="BQ115" i="2" s="1"/>
  <c r="BU115" i="2" s="1"/>
  <c r="BO121" i="2"/>
  <c r="BU116" i="2" l="1"/>
  <c r="BU118" i="2" l="1"/>
  <c r="CA112" i="2"/>
  <c r="BW112" i="2"/>
  <c r="BW115" i="2" s="1"/>
  <c r="CA115" i="2" s="1"/>
  <c r="BU121" i="2"/>
  <c r="CA116" i="2" l="1"/>
  <c r="CG112" i="2" s="1"/>
  <c r="CA121" i="2" l="1"/>
  <c r="CC112" i="2"/>
  <c r="CC115" i="2" s="1"/>
  <c r="CG115" i="2" s="1"/>
  <c r="CG116" i="2" s="1"/>
  <c r="CA118" i="2"/>
  <c r="CG121" i="2" l="1"/>
  <c r="CG118" i="2"/>
  <c r="BZ53" i="4"/>
  <c r="DT11" i="51"/>
  <c r="DT10" i="51"/>
  <c r="DT8" i="51"/>
  <c r="DT18" i="51" l="1"/>
  <c r="DX18" i="51"/>
  <c r="DT19" i="51"/>
  <c r="DX19" i="51"/>
  <c r="BZ64" i="51"/>
  <c r="CF71" i="51" s="1"/>
  <c r="BZ44" i="4"/>
  <c r="BZ13" i="51" l="1"/>
  <c r="CF43" i="51" s="1"/>
  <c r="BZ71" i="51"/>
  <c r="DT32" i="51"/>
  <c r="DX45" i="51" s="1"/>
  <c r="CA56" i="4"/>
  <c r="BZ62" i="51"/>
  <c r="DT30" i="51"/>
  <c r="DX43" i="51" s="1"/>
  <c r="CA44" i="4"/>
  <c r="CA13" i="51" s="1"/>
  <c r="DT9" i="51" l="1"/>
  <c r="DX17" i="51" s="1"/>
  <c r="BZ14" i="51"/>
  <c r="BZ44" i="51" s="1"/>
  <c r="BZ43" i="51"/>
  <c r="CA43" i="51"/>
  <c r="CA14" i="51"/>
  <c r="CA19" i="51"/>
  <c r="DT45" i="51"/>
  <c r="CA64" i="51"/>
  <c r="CA62" i="51"/>
  <c r="DT43" i="51"/>
  <c r="BZ69" i="51"/>
  <c r="CF69" i="51"/>
  <c r="DT17" i="51" l="1"/>
  <c r="CA44" i="51"/>
  <c r="CA20" i="51"/>
  <c r="CA49" i="51"/>
  <c r="CA71" i="51"/>
  <c r="CA69" i="51"/>
  <c r="CA50" i="51" l="1"/>
  <c r="BZ34" i="4"/>
  <c r="BZ316" i="73" s="1"/>
  <c r="CA37" i="4"/>
  <c r="DT28" i="51"/>
  <c r="BZ61" i="51"/>
  <c r="CA8" i="51" l="1"/>
  <c r="CA11" i="51" s="1"/>
  <c r="CA61" i="51"/>
  <c r="CA68" i="51" s="1"/>
  <c r="DT29" i="51"/>
  <c r="CA41" i="51" l="1"/>
  <c r="CA38" i="51"/>
  <c r="BZ47" i="4" l="1"/>
  <c r="BZ35" i="73" s="1"/>
  <c r="BZ34" i="73" s="1"/>
  <c r="CF38" i="4" s="1"/>
  <c r="CF63" i="4" l="1"/>
  <c r="CA34" i="73"/>
  <c r="CA35" i="73" s="1"/>
  <c r="BZ89" i="73"/>
  <c r="BZ39" i="73"/>
  <c r="CA50" i="4" l="1"/>
  <c r="CA15" i="51" s="1"/>
  <c r="BZ63" i="51"/>
  <c r="CA45" i="51" l="1"/>
  <c r="CA17" i="51"/>
  <c r="DT44" i="51"/>
  <c r="CA63" i="51"/>
  <c r="CF70" i="51"/>
  <c r="BZ70" i="51"/>
  <c r="CA47" i="51" l="1"/>
  <c r="CA70" i="51"/>
  <c r="BZ10" i="73" l="1"/>
  <c r="BZ11" i="73" s="1"/>
  <c r="CA10" i="73" l="1"/>
  <c r="CA11" i="73" s="1"/>
  <c r="CA354" i="73"/>
  <c r="CA358" i="73" s="1"/>
  <c r="BZ12" i="73"/>
  <c r="BZ13" i="73" s="1"/>
  <c r="CA12" i="73" l="1"/>
  <c r="CA13" i="73" s="1"/>
  <c r="CA355" i="73"/>
  <c r="BZ16" i="73" l="1"/>
  <c r="BZ17" i="73" s="1"/>
  <c r="BZ37" i="73"/>
  <c r="BZ367" i="73"/>
  <c r="CA366" i="73"/>
  <c r="BZ18" i="73" l="1"/>
  <c r="BZ19" i="73" s="1"/>
  <c r="CA455" i="73"/>
  <c r="CA18" i="73" s="1"/>
  <c r="CA19" i="73" s="1"/>
  <c r="CA367" i="73"/>
  <c r="CA37" i="73"/>
  <c r="CA454" i="73"/>
  <c r="CA16" i="73" s="1"/>
  <c r="CA17" i="73" s="1"/>
  <c r="CA456" i="73"/>
  <c r="CA20" i="73" s="1"/>
  <c r="CA21" i="73" s="1"/>
  <c r="AP34" i="4" l="1"/>
  <c r="AP37" i="4"/>
  <c r="AZ37" i="4"/>
  <c r="BM37" i="4"/>
  <c r="AP38" i="4" l="1"/>
  <c r="BM61" i="51"/>
  <c r="BM8" i="51"/>
  <c r="AP61" i="51"/>
  <c r="AZ8" i="51"/>
  <c r="AZ11" i="51" s="1"/>
  <c r="AZ61" i="51"/>
  <c r="AP368" i="73"/>
  <c r="AP130" i="73"/>
  <c r="AP333" i="73"/>
  <c r="AP345" i="73"/>
  <c r="AP204" i="73"/>
  <c r="AP121" i="73"/>
  <c r="AP201" i="73"/>
  <c r="AP117" i="73"/>
  <c r="BM38" i="4"/>
  <c r="BM9" i="51" s="1"/>
  <c r="DK28" i="51"/>
  <c r="AP9" i="51" l="1"/>
  <c r="AP12" i="51" s="1"/>
  <c r="AZ10" i="51"/>
  <c r="DK8" i="51"/>
  <c r="BM11" i="51"/>
  <c r="AP68" i="51"/>
  <c r="AP313" i="73"/>
  <c r="AP356" i="73"/>
  <c r="DK29" i="51"/>
  <c r="BA37" i="4"/>
  <c r="BA8" i="51" s="1"/>
  <c r="AU37" i="4"/>
  <c r="AV37" i="4"/>
  <c r="AY37" i="4"/>
  <c r="AY8" i="51" s="1"/>
  <c r="AY11" i="51" s="1"/>
  <c r="BB37" i="4"/>
  <c r="BB8" i="51" s="1"/>
  <c r="BB11" i="51" s="1"/>
  <c r="BG37" i="4"/>
  <c r="BG8" i="51" s="1"/>
  <c r="BG11" i="51" s="1"/>
  <c r="BF37" i="4"/>
  <c r="BF8" i="51" s="1"/>
  <c r="BF38" i="51" s="1"/>
  <c r="AT37" i="4"/>
  <c r="AW37" i="4"/>
  <c r="AT8" i="51" l="1"/>
  <c r="AT38" i="51" s="1"/>
  <c r="AU8" i="51"/>
  <c r="AU11" i="51" s="1"/>
  <c r="AV8" i="51"/>
  <c r="AV11" i="51" s="1"/>
  <c r="BG38" i="51"/>
  <c r="BA11" i="51"/>
  <c r="BG41" i="51" s="1"/>
  <c r="BM41" i="51"/>
  <c r="AY38" i="51"/>
  <c r="AY10" i="51"/>
  <c r="BF10" i="51"/>
  <c r="BF40" i="51" s="1"/>
  <c r="BF11" i="51"/>
  <c r="BB10" i="51"/>
  <c r="BA10" i="51"/>
  <c r="DF8" i="51"/>
  <c r="AW61" i="51"/>
  <c r="AW68" i="51" s="1"/>
  <c r="AW8" i="51"/>
  <c r="BM38" i="51"/>
  <c r="DG8" i="51"/>
  <c r="DK16" i="51" s="1"/>
  <c r="AU61" i="51"/>
  <c r="AT61" i="51"/>
  <c r="BF61" i="51"/>
  <c r="DF28" i="51"/>
  <c r="DG28" i="51"/>
  <c r="DK41" i="51" s="1"/>
  <c r="BG61" i="51"/>
  <c r="AV61" i="51"/>
  <c r="BA61" i="51"/>
  <c r="BB61" i="51"/>
  <c r="AY61" i="51"/>
  <c r="AS61" i="51"/>
  <c r="AZ38" i="51" l="1"/>
  <c r="BB38" i="51"/>
  <c r="AU38" i="51"/>
  <c r="AV10" i="51"/>
  <c r="BA38" i="51"/>
  <c r="AV38" i="51"/>
  <c r="AW10" i="51"/>
  <c r="AW11" i="51"/>
  <c r="AU10" i="51"/>
  <c r="AT10" i="51"/>
  <c r="AT11" i="51"/>
  <c r="BF41" i="51"/>
  <c r="AW38" i="51"/>
  <c r="BG68" i="51"/>
  <c r="BM68" i="51"/>
  <c r="BA68" i="51"/>
  <c r="AU68" i="51"/>
  <c r="AV68" i="51"/>
  <c r="AS68" i="51"/>
  <c r="AT68" i="51"/>
  <c r="AZ68" i="51"/>
  <c r="BF68" i="51"/>
  <c r="AY68" i="51"/>
  <c r="BB68" i="51"/>
  <c r="BE37" i="4"/>
  <c r="BE8" i="51" s="1"/>
  <c r="BL37" i="4"/>
  <c r="BN37" i="4"/>
  <c r="BN8" i="51" s="1"/>
  <c r="BR37" i="4"/>
  <c r="BR8" i="51" s="1"/>
  <c r="BR11" i="51" s="1"/>
  <c r="BX41" i="51" s="1"/>
  <c r="BQ37" i="4"/>
  <c r="BQ8" i="51" s="1"/>
  <c r="BQ11" i="51" s="1"/>
  <c r="BW41" i="51" s="1"/>
  <c r="BK37" i="4"/>
  <c r="BK8" i="51" s="1"/>
  <c r="BK11" i="51" s="1"/>
  <c r="BN38" i="4" l="1"/>
  <c r="BQ41" i="51"/>
  <c r="BE11" i="51"/>
  <c r="BE38" i="51"/>
  <c r="BE10" i="51"/>
  <c r="DL8" i="51"/>
  <c r="BN11" i="51"/>
  <c r="BQ38" i="4"/>
  <c r="BL38" i="4"/>
  <c r="BL9" i="51" s="1"/>
  <c r="BL8" i="51"/>
  <c r="BL11" i="51" s="1"/>
  <c r="DE8" i="51"/>
  <c r="BK38" i="51"/>
  <c r="BQ38" i="51"/>
  <c r="DI8" i="51"/>
  <c r="BW38" i="51"/>
  <c r="DM8" i="51"/>
  <c r="DN8" i="51"/>
  <c r="BX38" i="51"/>
  <c r="BR61" i="51"/>
  <c r="DN28" i="51"/>
  <c r="DM28" i="51"/>
  <c r="BQ61" i="51"/>
  <c r="DE28" i="51"/>
  <c r="BE61" i="51"/>
  <c r="DI28" i="51"/>
  <c r="BK61" i="51"/>
  <c r="DL28" i="51"/>
  <c r="BN61" i="51"/>
  <c r="DJ28" i="51"/>
  <c r="DJ41" i="51" s="1"/>
  <c r="BL61" i="51"/>
  <c r="BK38" i="4"/>
  <c r="BK9" i="51" s="1"/>
  <c r="BR38" i="4"/>
  <c r="BR9" i="51" s="1"/>
  <c r="BS37" i="4"/>
  <c r="BN9" i="51" l="1"/>
  <c r="DL29" i="51"/>
  <c r="DM29" i="51"/>
  <c r="DQ42" i="51" s="1"/>
  <c r="BE40" i="51"/>
  <c r="BR41" i="51"/>
  <c r="BL41" i="51"/>
  <c r="BK41" i="51"/>
  <c r="BE41" i="51"/>
  <c r="BX39" i="51"/>
  <c r="BQ9" i="51"/>
  <c r="BQ39" i="51" s="1"/>
  <c r="DI16" i="51"/>
  <c r="DJ29" i="51"/>
  <c r="DR16" i="51"/>
  <c r="BR38" i="51"/>
  <c r="DJ8" i="51"/>
  <c r="DJ16" i="51" s="1"/>
  <c r="BL38" i="51"/>
  <c r="BS38" i="4"/>
  <c r="BS8" i="51"/>
  <c r="BS11" i="51" s="1"/>
  <c r="DM16" i="51"/>
  <c r="DQ16" i="51"/>
  <c r="BE68" i="51"/>
  <c r="DN29" i="51"/>
  <c r="DI29" i="51"/>
  <c r="BQ68" i="51"/>
  <c r="BW68" i="51"/>
  <c r="DN41" i="51"/>
  <c r="DR41" i="51"/>
  <c r="BL68" i="51"/>
  <c r="BK68" i="51"/>
  <c r="DI41" i="51"/>
  <c r="DQ41" i="51"/>
  <c r="DM41" i="51"/>
  <c r="BX68" i="51"/>
  <c r="BR68" i="51"/>
  <c r="BS61" i="51"/>
  <c r="DO28" i="51"/>
  <c r="DM42" i="51" l="1"/>
  <c r="DO29" i="51"/>
  <c r="DO42" i="51" s="1"/>
  <c r="BY41" i="51"/>
  <c r="BS41" i="51"/>
  <c r="BW39" i="51"/>
  <c r="BY38" i="51"/>
  <c r="BS38" i="51"/>
  <c r="DO8" i="51"/>
  <c r="BS9" i="51"/>
  <c r="DN16" i="51"/>
  <c r="BR39" i="51"/>
  <c r="DN42" i="51"/>
  <c r="DR42" i="51"/>
  <c r="BY68" i="51"/>
  <c r="BS68" i="51"/>
  <c r="DO41" i="51"/>
  <c r="DS41" i="51"/>
  <c r="BH37" i="4"/>
  <c r="BH8" i="51" s="1"/>
  <c r="BC37" i="4"/>
  <c r="BC8" i="51" s="1"/>
  <c r="BC11" i="51" s="1"/>
  <c r="AW34" i="4"/>
  <c r="AW36" i="73" s="1"/>
  <c r="DS42" i="51" l="1"/>
  <c r="AS38" i="4"/>
  <c r="AS9" i="51" s="1"/>
  <c r="AS12" i="51" s="1"/>
  <c r="AW38" i="4"/>
  <c r="AW9" i="51" s="1"/>
  <c r="AW12" i="51" s="1"/>
  <c r="AV38" i="4"/>
  <c r="AV9" i="51" s="1"/>
  <c r="AV12" i="51" s="1"/>
  <c r="AT38" i="4"/>
  <c r="AT9" i="51" s="1"/>
  <c r="AT12" i="51" s="1"/>
  <c r="AU38" i="4"/>
  <c r="AU9" i="51" s="1"/>
  <c r="AU12" i="51" s="1"/>
  <c r="BH11" i="51"/>
  <c r="BH38" i="51"/>
  <c r="BY39" i="51"/>
  <c r="BN38" i="51"/>
  <c r="BS39" i="51"/>
  <c r="DO16" i="51"/>
  <c r="DS16" i="51"/>
  <c r="BC38" i="51"/>
  <c r="DH8" i="51"/>
  <c r="DL16" i="51" s="1"/>
  <c r="AW40" i="73"/>
  <c r="AW45" i="73"/>
  <c r="DH28" i="51"/>
  <c r="DL41" i="51" s="1"/>
  <c r="BH61" i="51"/>
  <c r="BC61" i="51"/>
  <c r="AW63" i="4"/>
  <c r="AW22" i="51" l="1"/>
  <c r="BN41" i="51"/>
  <c r="BH41" i="51"/>
  <c r="BC68" i="51"/>
  <c r="AW121" i="73"/>
  <c r="AW187" i="73"/>
  <c r="AW130" i="73"/>
  <c r="AW368" i="73"/>
  <c r="AW201" i="73"/>
  <c r="AW345" i="73"/>
  <c r="AW191" i="73"/>
  <c r="AW333" i="73"/>
  <c r="AW117" i="73"/>
  <c r="AW111" i="73"/>
  <c r="AW356" i="73"/>
  <c r="BH68" i="51"/>
  <c r="BN68" i="51"/>
  <c r="BI37" i="4"/>
  <c r="BI8" i="51" l="1"/>
  <c r="BI38" i="51" s="1"/>
  <c r="BI61" i="51"/>
  <c r="BC34" i="4"/>
  <c r="BC36" i="73" s="1"/>
  <c r="BC63" i="4" s="1"/>
  <c r="BC22" i="51" l="1"/>
  <c r="BI11" i="51"/>
  <c r="BI41" i="51" s="1"/>
  <c r="BI68" i="51"/>
  <c r="BC40" i="73"/>
  <c r="BC38" i="4"/>
  <c r="BC9" i="51" s="1"/>
  <c r="BC54" i="51" l="1"/>
  <c r="BC39" i="51"/>
  <c r="BC121" i="73"/>
  <c r="BC368" i="73"/>
  <c r="BC111" i="73"/>
  <c r="BC130" i="73"/>
  <c r="BC333" i="73"/>
  <c r="BC117" i="73"/>
  <c r="BC356" i="73"/>
  <c r="BO37" i="4"/>
  <c r="BO8" i="51" l="1"/>
  <c r="BO11" i="51" s="1"/>
  <c r="BO61" i="51"/>
  <c r="BU38" i="51" l="1"/>
  <c r="BU41" i="51"/>
  <c r="BO41" i="51"/>
  <c r="BO38" i="51"/>
  <c r="BO68" i="51"/>
  <c r="BU68" i="51"/>
  <c r="AT34" i="4"/>
  <c r="BM34" i="4" l="1"/>
  <c r="BM316" i="73" s="1"/>
  <c r="BM315" i="73" s="1"/>
  <c r="BM39" i="73" l="1"/>
  <c r="BM38" i="73" s="1"/>
  <c r="BM43" i="73" s="1"/>
  <c r="AT250" i="73"/>
  <c r="AT201" i="73"/>
  <c r="AT117" i="73"/>
  <c r="AT333" i="73"/>
  <c r="AT246" i="73"/>
  <c r="AT345" i="73"/>
  <c r="AT130" i="73"/>
  <c r="AT121" i="73"/>
  <c r="AT356" i="73"/>
  <c r="AT368" i="73"/>
  <c r="AT111" i="73"/>
  <c r="AT194" i="73"/>
  <c r="AT193" i="73" s="1"/>
  <c r="AT205" i="73" l="1"/>
  <c r="BM41" i="73"/>
  <c r="BM334" i="73" s="1"/>
  <c r="BM44" i="73"/>
  <c r="BM45" i="73" s="1"/>
  <c r="BM46" i="73"/>
  <c r="BM42" i="73" l="1"/>
  <c r="BM376" i="73" s="1"/>
  <c r="AT338" i="73"/>
  <c r="AT202" i="73"/>
  <c r="AT203" i="73" s="1"/>
  <c r="AT204" i="73" s="1"/>
  <c r="AT372" i="73"/>
  <c r="AT213" i="73"/>
  <c r="AT225" i="73" s="1"/>
  <c r="AT380" i="73"/>
  <c r="AT384" i="73" s="1"/>
  <c r="AT311" i="73"/>
  <c r="AT207" i="73"/>
  <c r="AT210" i="73" s="1"/>
  <c r="AT211" i="73"/>
  <c r="BF34" i="4"/>
  <c r="BF94" i="73" s="1"/>
  <c r="BM357" i="73" l="1"/>
  <c r="BM369" i="73"/>
  <c r="AT223" i="73"/>
  <c r="AT215" i="73"/>
  <c r="AT227" i="73" s="1"/>
  <c r="AT314" i="73"/>
  <c r="AT312" i="73"/>
  <c r="AT313" i="73" s="1"/>
  <c r="BF40" i="73"/>
  <c r="BF36" i="73"/>
  <c r="BF93" i="73"/>
  <c r="AT226" i="73"/>
  <c r="BF63" i="4" l="1"/>
  <c r="BF38" i="4"/>
  <c r="BF9" i="51" s="1"/>
  <c r="BF12" i="51" s="1"/>
  <c r="BF96" i="73"/>
  <c r="BF91" i="73"/>
  <c r="BF336" i="73" s="1"/>
  <c r="BF99" i="73"/>
  <c r="BL94" i="73"/>
  <c r="BF97" i="73"/>
  <c r="AT228" i="73"/>
  <c r="AT430" i="73"/>
  <c r="BF368" i="73"/>
  <c r="BF190" i="73"/>
  <c r="BF114" i="73"/>
  <c r="BF186" i="73"/>
  <c r="BF237" i="73"/>
  <c r="BF130" i="73"/>
  <c r="BF117" i="73"/>
  <c r="BF250" i="73"/>
  <c r="BF333" i="73"/>
  <c r="BF246" i="73"/>
  <c r="BF111" i="73"/>
  <c r="BF121" i="73"/>
  <c r="BF194" i="73"/>
  <c r="BF356" i="73"/>
  <c r="BF197" i="73"/>
  <c r="BF287" i="73"/>
  <c r="AT224" i="73"/>
  <c r="AT400" i="73"/>
  <c r="BO36" i="73"/>
  <c r="BO63" i="4" s="1"/>
  <c r="BO22" i="51" l="1"/>
  <c r="BO28" i="51" s="1"/>
  <c r="BF92" i="73"/>
  <c r="BF378" i="73" s="1"/>
  <c r="BO38" i="4"/>
  <c r="BO9" i="51" s="1"/>
  <c r="AT439" i="73"/>
  <c r="AT328" i="73"/>
  <c r="BF101" i="73"/>
  <c r="BF398" i="73"/>
  <c r="AT409" i="73"/>
  <c r="AT324" i="73"/>
  <c r="AT385" i="73" s="1"/>
  <c r="DF29" i="51"/>
  <c r="DJ42" i="51" s="1"/>
  <c r="DF34" i="51"/>
  <c r="BF22" i="51"/>
  <c r="BF359" i="73" l="1"/>
  <c r="BF370" i="73"/>
  <c r="BF25" i="51"/>
  <c r="BF28" i="51"/>
  <c r="AT395" i="73"/>
  <c r="AT404" i="73"/>
  <c r="AT413" i="73" s="1"/>
  <c r="AT386" i="73"/>
  <c r="AT391" i="73"/>
  <c r="AT393" i="73"/>
  <c r="AT394" i="73"/>
  <c r="AT388" i="73"/>
  <c r="AT387" i="73"/>
  <c r="AT14" i="73" s="1"/>
  <c r="AT15" i="73" s="1"/>
  <c r="AT390" i="73"/>
  <c r="AT392" i="73"/>
  <c r="BF407" i="73"/>
  <c r="AT325" i="73"/>
  <c r="AT326" i="73"/>
  <c r="AT327" i="73" s="1"/>
  <c r="BL39" i="51"/>
  <c r="BF102" i="73"/>
  <c r="BF428" i="73"/>
  <c r="AT329" i="73"/>
  <c r="AT415" i="73"/>
  <c r="BF57" i="51" l="1"/>
  <c r="AT421" i="73"/>
  <c r="AT417" i="73"/>
  <c r="AT420" i="73"/>
  <c r="AT418" i="73"/>
  <c r="AT424" i="73"/>
  <c r="AT425" i="73"/>
  <c r="AT423" i="73"/>
  <c r="AT416" i="73"/>
  <c r="AT434" i="73"/>
  <c r="AT443" i="73" s="1"/>
  <c r="AT422" i="73"/>
  <c r="BF437" i="73"/>
  <c r="BG34" i="4"/>
  <c r="BG94" i="73" s="1"/>
  <c r="BG40" i="73" l="1"/>
  <c r="BG36" i="73"/>
  <c r="BG317" i="73"/>
  <c r="BG130" i="73" l="1"/>
  <c r="BG250" i="73"/>
  <c r="BG111" i="73"/>
  <c r="BG114" i="73"/>
  <c r="BG121" i="73"/>
  <c r="BG197" i="73"/>
  <c r="BG117" i="73"/>
  <c r="BG194" i="73"/>
  <c r="BG368" i="73"/>
  <c r="BG246" i="73"/>
  <c r="BG356" i="73"/>
  <c r="BG333" i="73"/>
  <c r="BG287" i="73"/>
  <c r="BG237" i="73"/>
  <c r="BG190" i="73"/>
  <c r="BG186" i="73"/>
  <c r="BG63" i="4"/>
  <c r="BG38" i="4"/>
  <c r="BG9" i="51" s="1"/>
  <c r="DG29" i="51" l="1"/>
  <c r="DK42" i="51" s="1"/>
  <c r="DG34" i="51"/>
  <c r="DK47" i="51" s="1"/>
  <c r="BG22" i="51"/>
  <c r="BM54" i="51" s="1"/>
  <c r="BH34" i="4"/>
  <c r="BH94" i="73" s="1"/>
  <c r="BG28" i="51" l="1"/>
  <c r="BM39" i="51"/>
  <c r="BH40" i="73"/>
  <c r="BH317" i="73"/>
  <c r="BH36" i="73"/>
  <c r="BH63" i="4" l="1"/>
  <c r="BH38" i="4"/>
  <c r="BH9" i="51" s="1"/>
  <c r="BH250" i="73"/>
  <c r="BH117" i="73"/>
  <c r="BH368" i="73"/>
  <c r="BH190" i="73"/>
  <c r="BH186" i="73"/>
  <c r="BH333" i="73"/>
  <c r="BH194" i="73"/>
  <c r="BH287" i="73"/>
  <c r="BH111" i="73"/>
  <c r="BH114" i="73"/>
  <c r="BH121" i="73"/>
  <c r="BH246" i="73"/>
  <c r="BH237" i="73"/>
  <c r="BH356" i="73"/>
  <c r="BH130" i="73"/>
  <c r="BH197" i="73"/>
  <c r="BN39" i="51" l="1"/>
  <c r="DH29" i="51"/>
  <c r="DL42" i="51" s="1"/>
  <c r="BH22" i="51"/>
  <c r="BN54" i="51" s="1"/>
  <c r="DH34" i="51"/>
  <c r="DL47" i="51" s="1"/>
  <c r="BE34" i="4"/>
  <c r="BE94" i="73" s="1"/>
  <c r="BH28" i="51" l="1"/>
  <c r="BE93" i="73"/>
  <c r="BE36" i="73"/>
  <c r="BE40" i="73"/>
  <c r="BE63" i="4" l="1"/>
  <c r="BE38" i="4"/>
  <c r="BE9" i="51" s="1"/>
  <c r="BE12" i="51" s="1"/>
  <c r="BE96" i="73"/>
  <c r="BK94" i="73"/>
  <c r="BE99" i="73"/>
  <c r="BE91" i="73"/>
  <c r="BE92" i="73" s="1"/>
  <c r="BE97" i="73"/>
  <c r="BE333" i="73"/>
  <c r="BE111" i="73"/>
  <c r="BE117" i="73"/>
  <c r="BE130" i="73"/>
  <c r="BE287" i="73"/>
  <c r="BE237" i="73"/>
  <c r="BE194" i="73"/>
  <c r="BE250" i="73"/>
  <c r="BE121" i="73"/>
  <c r="BE356" i="73"/>
  <c r="BE246" i="73"/>
  <c r="BE190" i="73"/>
  <c r="BE186" i="73"/>
  <c r="BE197" i="73"/>
  <c r="BE368" i="73"/>
  <c r="BE114" i="73"/>
  <c r="BI34" i="4"/>
  <c r="BI333" i="73" l="1"/>
  <c r="BI356" i="73"/>
  <c r="BI237" i="73"/>
  <c r="BI121" i="73"/>
  <c r="BI114" i="73"/>
  <c r="BI130" i="73"/>
  <c r="BI111" i="73"/>
  <c r="BI368" i="73"/>
  <c r="BI117" i="73"/>
  <c r="DE29" i="51"/>
  <c r="DI42" i="51" s="1"/>
  <c r="BE398" i="73"/>
  <c r="BE101" i="73"/>
  <c r="BI40" i="73"/>
  <c r="BI45" i="73"/>
  <c r="BI36" i="73"/>
  <c r="BE22" i="51"/>
  <c r="BK54" i="51" s="1"/>
  <c r="DE34" i="51"/>
  <c r="DI47" i="51" s="1"/>
  <c r="BE336" i="73"/>
  <c r="BE359" i="73"/>
  <c r="BE370" i="73"/>
  <c r="BE378" i="73"/>
  <c r="BE25" i="51" l="1"/>
  <c r="BE28" i="51"/>
  <c r="BE102" i="73"/>
  <c r="BE428" i="73"/>
  <c r="BK39" i="51"/>
  <c r="BE407" i="73"/>
  <c r="BI63" i="4"/>
  <c r="BI38" i="4"/>
  <c r="BI9" i="51" l="1"/>
  <c r="BO39" i="51" s="1"/>
  <c r="BI22" i="51"/>
  <c r="BI28" i="51" s="1"/>
  <c r="BE57" i="51"/>
  <c r="BE437" i="73"/>
  <c r="BI39" i="51" l="1"/>
  <c r="BO54" i="51"/>
  <c r="BI54" i="51"/>
  <c r="AS34" i="4"/>
  <c r="BS34" i="4"/>
  <c r="BS39" i="73" s="1"/>
  <c r="BS38" i="73" s="1"/>
  <c r="AZ34" i="4"/>
  <c r="AZ197" i="73"/>
  <c r="AZ196" i="73" s="1"/>
  <c r="BR34" i="4"/>
  <c r="BR39" i="73" s="1"/>
  <c r="BT37" i="4"/>
  <c r="AU34" i="4"/>
  <c r="BK34" i="4"/>
  <c r="DP28" i="51" l="1"/>
  <c r="DP41" i="51" s="1"/>
  <c r="BT8" i="51"/>
  <c r="BT11" i="51" s="1"/>
  <c r="AS194" i="73"/>
  <c r="AS193" i="73" s="1"/>
  <c r="AS205" i="73" s="1"/>
  <c r="BF196" i="73"/>
  <c r="AZ368" i="73"/>
  <c r="AZ117" i="73"/>
  <c r="AZ250" i="73"/>
  <c r="AZ194" i="73"/>
  <c r="AZ193" i="73" s="1"/>
  <c r="BF193" i="73" s="1"/>
  <c r="AZ246" i="73"/>
  <c r="AZ111" i="73"/>
  <c r="AZ130" i="73"/>
  <c r="AZ356" i="73"/>
  <c r="AZ333" i="73"/>
  <c r="AZ121" i="73"/>
  <c r="AZ186" i="73"/>
  <c r="AZ185" i="73" s="1"/>
  <c r="BF185" i="73" s="1"/>
  <c r="AZ190" i="73"/>
  <c r="AZ189" i="73" s="1"/>
  <c r="BR95" i="73"/>
  <c r="BR316" i="73"/>
  <c r="BR89" i="73"/>
  <c r="BK40" i="73"/>
  <c r="BK95" i="73"/>
  <c r="BK316" i="73"/>
  <c r="BK315" i="73" s="1"/>
  <c r="BS43" i="73"/>
  <c r="BY38" i="73"/>
  <c r="AS356" i="73"/>
  <c r="AS111" i="73"/>
  <c r="AS246" i="73"/>
  <c r="AS201" i="73"/>
  <c r="AS121" i="73"/>
  <c r="AS250" i="73"/>
  <c r="AS117" i="73"/>
  <c r="AS130" i="73"/>
  <c r="AS345" i="73"/>
  <c r="AS333" i="73"/>
  <c r="AS368" i="73"/>
  <c r="BT61" i="51"/>
  <c r="BT38" i="4"/>
  <c r="BT9" i="51" s="1"/>
  <c r="AZ36" i="73"/>
  <c r="AZ63" i="4" s="1"/>
  <c r="BS316" i="73"/>
  <c r="BS315" i="73" s="1"/>
  <c r="BY315" i="73" s="1"/>
  <c r="CE315" i="73" s="1"/>
  <c r="BS89" i="73"/>
  <c r="BS95" i="73"/>
  <c r="BS16" i="51" l="1"/>
  <c r="BS23" i="51"/>
  <c r="BK23" i="51"/>
  <c r="BK16" i="51"/>
  <c r="BR23" i="51"/>
  <c r="BR16" i="51"/>
  <c r="BZ41" i="51"/>
  <c r="BT41" i="51"/>
  <c r="BS10" i="51"/>
  <c r="BR10" i="51"/>
  <c r="BK10" i="51"/>
  <c r="DT41" i="51"/>
  <c r="BZ38" i="51"/>
  <c r="BT38" i="51"/>
  <c r="DP8" i="51"/>
  <c r="BY43" i="73"/>
  <c r="CE38" i="73"/>
  <c r="BS44" i="73"/>
  <c r="BS45" i="73" s="1"/>
  <c r="BS41" i="73"/>
  <c r="BS334" i="73" s="1"/>
  <c r="BS46" i="73"/>
  <c r="AZ65" i="4"/>
  <c r="AZ38" i="4"/>
  <c r="AZ9" i="51" s="1"/>
  <c r="AZ22" i="51"/>
  <c r="BF54" i="51" s="1"/>
  <c r="AS311" i="73"/>
  <c r="AS372" i="73"/>
  <c r="AS202" i="73"/>
  <c r="AS203" i="73" s="1"/>
  <c r="AS204" i="73" s="1"/>
  <c r="AS338" i="73"/>
  <c r="AS207" i="73"/>
  <c r="AS380" i="73"/>
  <c r="AS213" i="73"/>
  <c r="AS211" i="73"/>
  <c r="BZ68" i="51"/>
  <c r="BT68" i="51"/>
  <c r="AZ199" i="73"/>
  <c r="AZ200" i="73" s="1"/>
  <c r="AZ201" i="73" s="1"/>
  <c r="AZ206" i="73"/>
  <c r="BF189" i="73"/>
  <c r="BF205" i="73"/>
  <c r="AU333" i="73"/>
  <c r="AU250" i="73"/>
  <c r="AU121" i="73"/>
  <c r="AU117" i="73"/>
  <c r="AU368" i="73"/>
  <c r="AU345" i="73"/>
  <c r="AU246" i="73"/>
  <c r="AU130" i="73"/>
  <c r="AU356" i="73"/>
  <c r="AU201" i="73"/>
  <c r="AU111" i="73"/>
  <c r="AU194" i="73"/>
  <c r="AU193" i="73" s="1"/>
  <c r="AU197" i="73"/>
  <c r="AU196" i="73" s="1"/>
  <c r="DP29" i="51"/>
  <c r="AZ205" i="73"/>
  <c r="BF39" i="51" l="1"/>
  <c r="AZ12" i="51"/>
  <c r="BR18" i="51"/>
  <c r="BR29" i="51"/>
  <c r="DN35" i="51"/>
  <c r="DN48" i="51" s="1"/>
  <c r="BR25" i="51"/>
  <c r="BK29" i="51"/>
  <c r="BK55" i="51"/>
  <c r="BK25" i="51"/>
  <c r="BS29" i="51"/>
  <c r="DO35" i="51"/>
  <c r="DO48" i="51" s="1"/>
  <c r="BS25" i="51"/>
  <c r="BK18" i="51"/>
  <c r="BS18" i="51"/>
  <c r="BK12" i="51"/>
  <c r="BK40" i="51"/>
  <c r="BR12" i="51"/>
  <c r="BS12" i="51"/>
  <c r="BS42" i="73"/>
  <c r="BS357" i="73" s="1"/>
  <c r="DP16" i="51"/>
  <c r="DT16" i="51"/>
  <c r="AS210" i="73"/>
  <c r="BF338" i="73"/>
  <c r="BF202" i="73"/>
  <c r="BF213" i="73"/>
  <c r="BF311" i="73"/>
  <c r="BF211" i="73"/>
  <c r="AS223" i="73"/>
  <c r="AS215" i="73"/>
  <c r="AS227" i="73" s="1"/>
  <c r="AS225" i="73"/>
  <c r="AS226" i="73" s="1"/>
  <c r="AU205" i="73"/>
  <c r="BF199" i="73"/>
  <c r="BF200" i="73" s="1"/>
  <c r="BF201" i="73" s="1"/>
  <c r="BF206" i="73"/>
  <c r="BF207" i="73" s="1"/>
  <c r="CE43" i="73"/>
  <c r="DT42" i="51"/>
  <c r="DP42" i="51"/>
  <c r="AZ338" i="73"/>
  <c r="AZ202" i="73"/>
  <c r="AZ203" i="73" s="1"/>
  <c r="AZ204" i="73" s="1"/>
  <c r="AZ213" i="73"/>
  <c r="AZ207" i="73"/>
  <c r="AZ311" i="73"/>
  <c r="AZ211" i="73"/>
  <c r="AS312" i="73"/>
  <c r="AS313" i="73" s="1"/>
  <c r="AS314" i="73"/>
  <c r="BT39" i="51"/>
  <c r="BZ39" i="51"/>
  <c r="AZ219" i="73"/>
  <c r="AZ372" i="73"/>
  <c r="AZ361" i="73"/>
  <c r="AZ217" i="73"/>
  <c r="AZ380" i="73"/>
  <c r="AZ384" i="73" s="1"/>
  <c r="AZ343" i="73"/>
  <c r="AS384" i="73"/>
  <c r="BY46" i="73"/>
  <c r="BY44" i="73"/>
  <c r="BY45" i="73" s="1"/>
  <c r="BY41" i="73"/>
  <c r="BY334" i="73" s="1"/>
  <c r="DO37" i="51" l="1"/>
  <c r="DO50" i="51" s="1"/>
  <c r="DN37" i="51"/>
  <c r="DN50" i="51" s="1"/>
  <c r="BF42" i="51"/>
  <c r="BK48" i="51"/>
  <c r="BS369" i="73"/>
  <c r="BS376" i="73"/>
  <c r="BK57" i="51"/>
  <c r="BK42" i="51"/>
  <c r="BF203" i="73"/>
  <c r="BF204" i="73" s="1"/>
  <c r="AZ221" i="73"/>
  <c r="AZ222" i="73" s="1"/>
  <c r="AZ225" i="73"/>
  <c r="AZ226" i="73" s="1"/>
  <c r="BF210" i="73"/>
  <c r="BF208" i="73"/>
  <c r="BF209" i="73" s="1"/>
  <c r="BF24" i="73"/>
  <c r="AZ223" i="73"/>
  <c r="AZ215" i="73"/>
  <c r="AZ208" i="73"/>
  <c r="AZ209" i="73" s="1"/>
  <c r="AZ210" i="73"/>
  <c r="AZ24" i="73"/>
  <c r="AZ27" i="73" s="1"/>
  <c r="AS228" i="73"/>
  <c r="AS430" i="73"/>
  <c r="AZ312" i="73"/>
  <c r="AZ313" i="73" s="1"/>
  <c r="AZ314" i="73"/>
  <c r="CE44" i="73"/>
  <c r="CE45" i="73" s="1"/>
  <c r="CE41" i="73"/>
  <c r="AS224" i="73"/>
  <c r="AS400" i="73"/>
  <c r="BF215" i="73"/>
  <c r="AU338" i="73"/>
  <c r="AU372" i="73"/>
  <c r="AU207" i="73"/>
  <c r="AU202" i="73"/>
  <c r="AU203" i="73" s="1"/>
  <c r="AU204" i="73" s="1"/>
  <c r="AU380" i="73"/>
  <c r="AU311" i="73"/>
  <c r="AU213" i="73"/>
  <c r="AU211" i="73"/>
  <c r="BY42" i="73"/>
  <c r="AZ344" i="73"/>
  <c r="AZ345" i="73" s="1"/>
  <c r="AZ346" i="73"/>
  <c r="AZ349" i="73"/>
  <c r="AZ347" i="73"/>
  <c r="BF380" i="73"/>
  <c r="BF384" i="73" s="1"/>
  <c r="BF372" i="73"/>
  <c r="BF217" i="73"/>
  <c r="BF223" i="73" s="1"/>
  <c r="BF361" i="73"/>
  <c r="BF219" i="73"/>
  <c r="BF225" i="73" s="1"/>
  <c r="BF226" i="73" s="1"/>
  <c r="BF343" i="73"/>
  <c r="BF314" i="73"/>
  <c r="BF312" i="73"/>
  <c r="BF313" i="73" s="1"/>
  <c r="CE42" i="73" l="1"/>
  <c r="CE334" i="73"/>
  <c r="AZ227" i="73"/>
  <c r="AZ228" i="73" s="1"/>
  <c r="BF400" i="73"/>
  <c r="BF224" i="73"/>
  <c r="AU210" i="73"/>
  <c r="BF221" i="73"/>
  <c r="BF222" i="73" s="1"/>
  <c r="BY357" i="73"/>
  <c r="BY369" i="73"/>
  <c r="BY376" i="73"/>
  <c r="AS409" i="73"/>
  <c r="AS324" i="73"/>
  <c r="AS385" i="73" s="1"/>
  <c r="AZ224" i="73"/>
  <c r="AZ400" i="73"/>
  <c r="AZ324" i="73" s="1"/>
  <c r="AZ351" i="73"/>
  <c r="AU225" i="73"/>
  <c r="AU226" i="73" s="1"/>
  <c r="AS439" i="73"/>
  <c r="AS328" i="73"/>
  <c r="BF27" i="73"/>
  <c r="BF25" i="73"/>
  <c r="BF26" i="73" s="1"/>
  <c r="AU223" i="73"/>
  <c r="AU215" i="73"/>
  <c r="AU227" i="73" s="1"/>
  <c r="AU314" i="73"/>
  <c r="AU312" i="73"/>
  <c r="AU313" i="73" s="1"/>
  <c r="BF349" i="73"/>
  <c r="BF346" i="73"/>
  <c r="BF344" i="73"/>
  <c r="BF345" i="73" s="1"/>
  <c r="BF347" i="73"/>
  <c r="AU384" i="73"/>
  <c r="CE357" i="73" l="1"/>
  <c r="CE376" i="73"/>
  <c r="AZ430" i="73"/>
  <c r="AZ439" i="73" s="1"/>
  <c r="BF227" i="73"/>
  <c r="BF228" i="73" s="1"/>
  <c r="AS325" i="73"/>
  <c r="AS326" i="73"/>
  <c r="AS393" i="73"/>
  <c r="AS386" i="73"/>
  <c r="AS388" i="73"/>
  <c r="AS395" i="73"/>
  <c r="AS404" i="73"/>
  <c r="AS413" i="73" s="1"/>
  <c r="AS394" i="73"/>
  <c r="AS387" i="73"/>
  <c r="AS14" i="73" s="1"/>
  <c r="AS15" i="73" s="1"/>
  <c r="AS390" i="73"/>
  <c r="AS391" i="73"/>
  <c r="AS329" i="73"/>
  <c r="AS415" i="73"/>
  <c r="AZ352" i="73"/>
  <c r="BF324" i="73"/>
  <c r="BF385" i="73" s="1"/>
  <c r="BF392" i="73" s="1"/>
  <c r="BF351" i="73"/>
  <c r="AU228" i="73"/>
  <c r="AU430" i="73"/>
  <c r="AZ325" i="73"/>
  <c r="AS392" i="73"/>
  <c r="AU224" i="73"/>
  <c r="AU400" i="73"/>
  <c r="AZ409" i="73"/>
  <c r="AZ385" i="73"/>
  <c r="BF409" i="73"/>
  <c r="AZ328" i="73" l="1"/>
  <c r="AZ329" i="73" s="1"/>
  <c r="BF430" i="73"/>
  <c r="BF328" i="73" s="1"/>
  <c r="BF329" i="73" s="1"/>
  <c r="AS423" i="73"/>
  <c r="AS417" i="73"/>
  <c r="AS418" i="73"/>
  <c r="AS420" i="73"/>
  <c r="AS416" i="73"/>
  <c r="AS425" i="73"/>
  <c r="AS424" i="73"/>
  <c r="AS421" i="73"/>
  <c r="AS434" i="73"/>
  <c r="AS443" i="73" s="1"/>
  <c r="AS422" i="73"/>
  <c r="AS327" i="73"/>
  <c r="AU409" i="73"/>
  <c r="AU324" i="73"/>
  <c r="AU385" i="73" s="1"/>
  <c r="AZ386" i="73"/>
  <c r="AZ387" i="73"/>
  <c r="AZ14" i="73" s="1"/>
  <c r="AZ15" i="73" s="1"/>
  <c r="AZ393" i="73"/>
  <c r="AZ388" i="73"/>
  <c r="AZ391" i="73"/>
  <c r="AZ404" i="73"/>
  <c r="AZ413" i="73" s="1"/>
  <c r="AZ395" i="73"/>
  <c r="AZ390" i="73"/>
  <c r="AZ394" i="73"/>
  <c r="AZ392" i="73"/>
  <c r="BF352" i="73"/>
  <c r="BF395" i="73"/>
  <c r="BF393" i="73"/>
  <c r="BF391" i="73"/>
  <c r="BF388" i="73"/>
  <c r="BF386" i="73"/>
  <c r="BF404" i="73"/>
  <c r="BF413" i="73" s="1"/>
  <c r="BF387" i="73"/>
  <c r="BF14" i="73" s="1"/>
  <c r="BF15" i="73" s="1"/>
  <c r="BF394" i="73"/>
  <c r="BF390" i="73"/>
  <c r="AU439" i="73"/>
  <c r="AU328" i="73"/>
  <c r="BF325" i="73"/>
  <c r="BT34" i="4"/>
  <c r="BT39" i="73" s="1"/>
  <c r="AZ326" i="73" l="1"/>
  <c r="AZ327" i="73" s="1"/>
  <c r="AZ415" i="73"/>
  <c r="AZ420" i="73" s="1"/>
  <c r="BF439" i="73"/>
  <c r="BF415" i="73"/>
  <c r="BF422" i="73" s="1"/>
  <c r="BF326" i="73"/>
  <c r="BF327" i="73" s="1"/>
  <c r="AU388" i="73"/>
  <c r="AU393" i="73"/>
  <c r="AU386" i="73"/>
  <c r="AU390" i="73"/>
  <c r="AU394" i="73"/>
  <c r="AU391" i="73"/>
  <c r="AU404" i="73"/>
  <c r="AU413" i="73" s="1"/>
  <c r="AU387" i="73"/>
  <c r="AU14" i="73" s="1"/>
  <c r="AU15" i="73" s="1"/>
  <c r="AU395" i="73"/>
  <c r="AU392" i="73"/>
  <c r="AU329" i="73"/>
  <c r="AU415" i="73"/>
  <c r="BT89" i="73"/>
  <c r="BT95" i="73"/>
  <c r="BT316" i="73"/>
  <c r="AU325" i="73"/>
  <c r="AU326" i="73"/>
  <c r="AZ434" i="73" l="1"/>
  <c r="AZ443" i="73" s="1"/>
  <c r="AZ421" i="73"/>
  <c r="AZ424" i="73"/>
  <c r="AZ416" i="73"/>
  <c r="AZ422" i="73"/>
  <c r="AZ417" i="73"/>
  <c r="AZ425" i="73"/>
  <c r="AZ418" i="73"/>
  <c r="AZ423" i="73"/>
  <c r="BF417" i="73"/>
  <c r="BF420" i="73"/>
  <c r="BF421" i="73"/>
  <c r="BF425" i="73"/>
  <c r="BF423" i="73"/>
  <c r="BF424" i="73"/>
  <c r="BF416" i="73"/>
  <c r="BF434" i="73"/>
  <c r="BF443" i="73" s="1"/>
  <c r="BF418" i="73"/>
  <c r="BT16" i="51"/>
  <c r="BT23" i="51"/>
  <c r="BT10" i="51"/>
  <c r="AU421" i="73"/>
  <c r="AU417" i="73"/>
  <c r="AU416" i="73"/>
  <c r="AU434" i="73"/>
  <c r="AU443" i="73" s="1"/>
  <c r="AU423" i="73"/>
  <c r="AU424" i="73"/>
  <c r="AU418" i="73"/>
  <c r="AU425" i="73"/>
  <c r="AU420" i="73"/>
  <c r="AU422" i="73"/>
  <c r="AU327" i="73"/>
  <c r="BB34" i="4"/>
  <c r="BT29" i="51" l="1"/>
  <c r="DP35" i="51"/>
  <c r="DP48" i="51" s="1"/>
  <c r="BT25" i="51"/>
  <c r="BT18" i="51"/>
  <c r="BT12" i="51"/>
  <c r="BB36" i="73"/>
  <c r="BB63" i="4" s="1"/>
  <c r="BB94" i="73"/>
  <c r="DP37" i="51" l="1"/>
  <c r="DP50" i="51" s="1"/>
  <c r="BB250" i="73"/>
  <c r="BB333" i="73"/>
  <c r="BB130" i="73"/>
  <c r="BB368" i="73"/>
  <c r="BB246" i="73"/>
  <c r="BB121" i="73"/>
  <c r="BB356" i="73"/>
  <c r="BB194" i="73"/>
  <c r="BB197" i="73"/>
  <c r="BB117" i="73"/>
  <c r="BB111" i="73"/>
  <c r="BB186" i="73"/>
  <c r="BB185" i="73" s="1"/>
  <c r="BH185" i="73" s="1"/>
  <c r="BB190" i="73"/>
  <c r="BB189" i="73" s="1"/>
  <c r="BB38" i="4"/>
  <c r="BB9" i="51" s="1"/>
  <c r="BB22" i="51"/>
  <c r="BH54" i="51" s="1"/>
  <c r="BB93" i="73"/>
  <c r="BH39" i="51" l="1"/>
  <c r="BB12" i="51"/>
  <c r="BH10" i="51"/>
  <c r="BH12" i="51" s="1"/>
  <c r="BH23" i="51"/>
  <c r="BH16" i="51"/>
  <c r="BB199" i="73"/>
  <c r="BB200" i="73" s="1"/>
  <c r="BB201" i="73" s="1"/>
  <c r="BB206" i="73"/>
  <c r="BH189" i="73"/>
  <c r="BB99" i="73"/>
  <c r="BB96" i="73"/>
  <c r="BB91" i="73"/>
  <c r="BB336" i="73" s="1"/>
  <c r="BB97" i="73"/>
  <c r="BH93" i="73"/>
  <c r="BB92" i="73" l="1"/>
  <c r="BB378" i="73" s="1"/>
  <c r="BH40" i="51"/>
  <c r="BH18" i="51"/>
  <c r="BH46" i="51"/>
  <c r="BH29" i="51"/>
  <c r="BH55" i="51"/>
  <c r="BH25" i="51"/>
  <c r="BH42" i="51"/>
  <c r="BH99" i="73"/>
  <c r="BH96" i="73"/>
  <c r="BH91" i="73"/>
  <c r="BH336" i="73" s="1"/>
  <c r="BN94" i="73"/>
  <c r="BH97" i="73"/>
  <c r="BB219" i="73"/>
  <c r="BB361" i="73"/>
  <c r="BB217" i="73"/>
  <c r="BH199" i="73"/>
  <c r="BH200" i="73" s="1"/>
  <c r="BH201" i="73" s="1"/>
  <c r="BH206" i="73"/>
  <c r="BB101" i="73"/>
  <c r="BB398" i="73"/>
  <c r="BB370" i="73" l="1"/>
  <c r="BB343" i="73"/>
  <c r="BB344" i="73" s="1"/>
  <c r="BB345" i="73" s="1"/>
  <c r="BB359" i="73"/>
  <c r="BB221" i="73"/>
  <c r="BB222" i="73" s="1"/>
  <c r="BH92" i="73"/>
  <c r="BH359" i="73" s="1"/>
  <c r="BH57" i="51"/>
  <c r="BH48" i="51"/>
  <c r="BB102" i="73"/>
  <c r="BB428" i="73"/>
  <c r="BB407" i="73"/>
  <c r="BH361" i="73"/>
  <c r="BH219" i="73"/>
  <c r="BH217" i="73"/>
  <c r="BH101" i="73"/>
  <c r="BH398" i="73"/>
  <c r="BH370" i="73" l="1"/>
  <c r="BB349" i="73"/>
  <c r="BB346" i="73"/>
  <c r="BB347" i="73"/>
  <c r="BH378" i="73"/>
  <c r="BH407" i="73" s="1"/>
  <c r="BH343" i="73"/>
  <c r="BH344" i="73" s="1"/>
  <c r="BH345" i="73" s="1"/>
  <c r="BH221" i="73"/>
  <c r="BH222" i="73" s="1"/>
  <c r="BH102" i="73"/>
  <c r="BH428" i="73"/>
  <c r="BB437" i="73"/>
  <c r="BB351" i="73" l="1"/>
  <c r="BB352" i="73" s="1"/>
  <c r="BH346" i="73"/>
  <c r="BH349" i="73"/>
  <c r="BH347" i="73"/>
  <c r="BH437" i="73"/>
  <c r="BH351" i="73" l="1"/>
  <c r="BH352" i="73" s="1"/>
  <c r="AV34" i="4"/>
  <c r="AV197" i="73"/>
  <c r="AV196" i="73" s="1"/>
  <c r="AW196" i="73" l="1"/>
  <c r="AW197" i="73" s="1"/>
  <c r="AW198" i="73" s="1"/>
  <c r="BB196" i="73"/>
  <c r="AV130" i="73"/>
  <c r="AV333" i="73"/>
  <c r="AV121" i="73"/>
  <c r="AV356" i="73"/>
  <c r="AV201" i="73"/>
  <c r="AV345" i="73"/>
  <c r="AV111" i="73"/>
  <c r="AV246" i="73"/>
  <c r="AV117" i="73"/>
  <c r="AV250" i="73"/>
  <c r="AV368" i="73"/>
  <c r="AV194" i="73"/>
  <c r="AV193" i="73" s="1"/>
  <c r="BH196" i="73" l="1"/>
  <c r="BB193" i="73"/>
  <c r="BH193" i="73" s="1"/>
  <c r="AW193" i="73"/>
  <c r="AW194" i="73" s="1"/>
  <c r="AW195" i="73" s="1"/>
  <c r="AV205" i="73"/>
  <c r="BH205" i="73" l="1"/>
  <c r="AV338" i="73"/>
  <c r="AV380" i="73"/>
  <c r="AV207" i="73"/>
  <c r="AV202" i="73"/>
  <c r="AV203" i="73" s="1"/>
  <c r="AV204" i="73" s="1"/>
  <c r="AV311" i="73"/>
  <c r="AV372" i="73"/>
  <c r="AV213" i="73"/>
  <c r="AV211" i="73"/>
  <c r="AW205" i="73"/>
  <c r="BB205" i="73"/>
  <c r="AV312" i="73" l="1"/>
  <c r="AV313" i="73" s="1"/>
  <c r="AV314" i="73"/>
  <c r="AV210" i="73"/>
  <c r="AW207" i="73"/>
  <c r="AW210" i="73" s="1"/>
  <c r="BB338" i="73"/>
  <c r="BB202" i="73"/>
  <c r="BB203" i="73" s="1"/>
  <c r="BB204" i="73" s="1"/>
  <c r="BB213" i="73"/>
  <c r="BB225" i="73" s="1"/>
  <c r="BB207" i="73"/>
  <c r="BB311" i="73"/>
  <c r="BB211" i="73"/>
  <c r="BB372" i="73"/>
  <c r="BB380" i="73"/>
  <c r="BB384" i="73" s="1"/>
  <c r="AV384" i="73"/>
  <c r="AW380" i="73"/>
  <c r="AW384" i="73" s="1"/>
  <c r="AV223" i="73"/>
  <c r="AV215" i="73"/>
  <c r="AV227" i="73" s="1"/>
  <c r="AW211" i="73"/>
  <c r="AW202" i="73"/>
  <c r="AW203" i="73" s="1"/>
  <c r="AW204" i="73" s="1"/>
  <c r="AW372" i="73"/>
  <c r="AW338" i="73"/>
  <c r="AW311" i="73"/>
  <c r="AV225" i="73"/>
  <c r="AV226" i="73" s="1"/>
  <c r="AW213" i="73"/>
  <c r="BH202" i="73"/>
  <c r="BH338" i="73"/>
  <c r="BH311" i="73"/>
  <c r="BH213" i="73"/>
  <c r="BH225" i="73" s="1"/>
  <c r="BH207" i="73"/>
  <c r="BH211" i="73"/>
  <c r="BH372" i="73"/>
  <c r="BH380" i="73"/>
  <c r="BH384" i="73" s="1"/>
  <c r="BH203" i="73" l="1"/>
  <c r="BH204" i="73" s="1"/>
  <c r="BB208" i="73"/>
  <c r="BB209" i="73" s="1"/>
  <c r="BB210" i="73"/>
  <c r="BB24" i="73"/>
  <c r="BB27" i="73" s="1"/>
  <c r="AV224" i="73"/>
  <c r="AV400" i="73"/>
  <c r="BH215" i="73"/>
  <c r="BH227" i="73" s="1"/>
  <c r="BH223" i="73"/>
  <c r="AW312" i="73"/>
  <c r="AW313" i="73" s="1"/>
  <c r="AW314" i="73"/>
  <c r="AV228" i="73"/>
  <c r="AV430" i="73"/>
  <c r="BB226" i="73"/>
  <c r="BH226" i="73"/>
  <c r="AW214" i="73"/>
  <c r="AW225" i="73"/>
  <c r="AW226" i="73" s="1"/>
  <c r="BH314" i="73"/>
  <c r="BH312" i="73"/>
  <c r="BH313" i="73" s="1"/>
  <c r="BB223" i="73"/>
  <c r="BB215" i="73"/>
  <c r="BB227" i="73" s="1"/>
  <c r="BH208" i="73"/>
  <c r="BH209" i="73" s="1"/>
  <c r="BH210" i="73"/>
  <c r="BH24" i="73"/>
  <c r="AW223" i="73"/>
  <c r="AW224" i="73" s="1"/>
  <c r="AW215" i="73"/>
  <c r="BB312" i="73"/>
  <c r="BB313" i="73" s="1"/>
  <c r="BB314" i="73"/>
  <c r="BH228" i="73" l="1"/>
  <c r="BH430" i="73"/>
  <c r="AV409" i="73"/>
  <c r="AV324" i="73"/>
  <c r="AV385" i="73" s="1"/>
  <c r="AW400" i="73"/>
  <c r="BH224" i="73"/>
  <c r="BH400" i="73"/>
  <c r="AV439" i="73"/>
  <c r="AV328" i="73"/>
  <c r="AW430" i="73"/>
  <c r="BB224" i="73"/>
  <c r="BB400" i="73"/>
  <c r="AW216" i="73"/>
  <c r="AW227" i="73"/>
  <c r="AW228" i="73" s="1"/>
  <c r="BH27" i="73"/>
  <c r="BH25" i="73"/>
  <c r="BH26" i="73" s="1"/>
  <c r="BB228" i="73"/>
  <c r="BB430" i="73"/>
  <c r="AV391" i="73" l="1"/>
  <c r="AV395" i="73"/>
  <c r="AV390" i="73"/>
  <c r="AV386" i="73"/>
  <c r="AV393" i="73"/>
  <c r="AV404" i="73"/>
  <c r="AV413" i="73" s="1"/>
  <c r="AV394" i="73"/>
  <c r="AV387" i="73"/>
  <c r="AV14" i="73" s="1"/>
  <c r="AV15" i="73" s="1"/>
  <c r="AV388" i="73"/>
  <c r="AV392" i="73"/>
  <c r="AW409" i="73"/>
  <c r="BB439" i="73"/>
  <c r="BB328" i="73"/>
  <c r="AW439" i="73"/>
  <c r="BB409" i="73"/>
  <c r="BB324" i="73"/>
  <c r="BB385" i="73" s="1"/>
  <c r="AV329" i="73"/>
  <c r="AV415" i="73"/>
  <c r="BH439" i="73"/>
  <c r="BH328" i="73"/>
  <c r="AV326" i="73"/>
  <c r="AV325" i="73"/>
  <c r="AW324" i="73"/>
  <c r="BH409" i="73"/>
  <c r="BH324" i="73"/>
  <c r="AV417" i="73" l="1"/>
  <c r="AV420" i="73"/>
  <c r="AV418" i="73"/>
  <c r="AV434" i="73"/>
  <c r="AV443" i="73" s="1"/>
  <c r="AV416" i="73"/>
  <c r="AV425" i="73"/>
  <c r="AV421" i="73"/>
  <c r="AV423" i="73"/>
  <c r="AV424" i="73"/>
  <c r="AW415" i="73"/>
  <c r="AV422" i="73"/>
  <c r="BB326" i="73"/>
  <c r="BB327" i="73" s="1"/>
  <c r="BB325" i="73"/>
  <c r="BB329" i="73"/>
  <c r="BB415" i="73"/>
  <c r="BB386" i="73"/>
  <c r="BB395" i="73"/>
  <c r="BB394" i="73"/>
  <c r="BB387" i="73"/>
  <c r="BB14" i="73" s="1"/>
  <c r="BB15" i="73" s="1"/>
  <c r="BB393" i="73"/>
  <c r="BB404" i="73"/>
  <c r="BB413" i="73" s="1"/>
  <c r="BB391" i="73"/>
  <c r="BB388" i="73"/>
  <c r="BB390" i="73"/>
  <c r="BH329" i="73"/>
  <c r="BH415" i="73"/>
  <c r="BB392" i="73"/>
  <c r="AW325" i="73"/>
  <c r="AW385" i="73"/>
  <c r="AV327" i="73"/>
  <c r="AW326" i="73"/>
  <c r="AW327" i="73" s="1"/>
  <c r="BH325" i="73"/>
  <c r="BH326" i="73"/>
  <c r="BH327" i="73" s="1"/>
  <c r="BH385" i="73"/>
  <c r="AW388" i="73" l="1"/>
  <c r="AW395" i="73"/>
  <c r="AW393" i="73"/>
  <c r="AW386" i="73"/>
  <c r="AW387" i="73"/>
  <c r="AW14" i="73" s="1"/>
  <c r="AW15" i="73" s="1"/>
  <c r="AW394" i="73"/>
  <c r="AW390" i="73"/>
  <c r="AW391" i="73"/>
  <c r="AW404" i="73"/>
  <c r="AW413" i="73" s="1"/>
  <c r="AW392" i="73"/>
  <c r="AW328" i="73"/>
  <c r="AW329" i="73" s="1"/>
  <c r="BB421" i="73"/>
  <c r="BB416" i="73"/>
  <c r="BB423" i="73"/>
  <c r="BB418" i="73"/>
  <c r="BB425" i="73"/>
  <c r="BB417" i="73"/>
  <c r="BB434" i="73"/>
  <c r="BB443" i="73" s="1"/>
  <c r="BB424" i="73"/>
  <c r="BB420" i="73"/>
  <c r="BB422" i="73"/>
  <c r="BH388" i="73"/>
  <c r="BH395" i="73"/>
  <c r="BH387" i="73"/>
  <c r="BH14" i="73" s="1"/>
  <c r="BH15" i="73" s="1"/>
  <c r="BH394" i="73"/>
  <c r="BH404" i="73"/>
  <c r="BH413" i="73" s="1"/>
  <c r="BH391" i="73"/>
  <c r="BH393" i="73"/>
  <c r="BH386" i="73"/>
  <c r="BH390" i="73"/>
  <c r="BH392" i="73"/>
  <c r="BH421" i="73"/>
  <c r="BH423" i="73"/>
  <c r="BH424" i="73"/>
  <c r="BH418" i="73"/>
  <c r="BH416" i="73"/>
  <c r="BH434" i="73"/>
  <c r="BH443" i="73" s="1"/>
  <c r="BH425" i="73"/>
  <c r="BH417" i="73"/>
  <c r="BH420" i="73"/>
  <c r="BH422" i="73"/>
  <c r="AW416" i="73"/>
  <c r="AW420" i="73"/>
  <c r="AW424" i="73"/>
  <c r="AW417" i="73"/>
  <c r="AW418" i="73"/>
  <c r="AW434" i="73"/>
  <c r="AW443" i="73" s="1"/>
  <c r="AW425" i="73"/>
  <c r="AW421" i="73"/>
  <c r="AW423" i="73"/>
  <c r="AW422" i="73"/>
  <c r="BQ34" i="4"/>
  <c r="BQ39" i="73" s="1"/>
  <c r="BQ38" i="73" s="1"/>
  <c r="BA34" i="4"/>
  <c r="BL34" i="4"/>
  <c r="BN34" i="4"/>
  <c r="AY34" i="4"/>
  <c r="BN39" i="73" l="1"/>
  <c r="BN38" i="73" s="1"/>
  <c r="BN316" i="73"/>
  <c r="BN315" i="73" s="1"/>
  <c r="BT315" i="73" s="1"/>
  <c r="BZ315" i="73" s="1"/>
  <c r="BN95" i="73"/>
  <c r="BQ43" i="73"/>
  <c r="BW38" i="73"/>
  <c r="BA111" i="73"/>
  <c r="BA194" i="73"/>
  <c r="BA193" i="73" s="1"/>
  <c r="BG193" i="73" s="1"/>
  <c r="BA121" i="73"/>
  <c r="BA356" i="73"/>
  <c r="BA250" i="73"/>
  <c r="BA368" i="73"/>
  <c r="BA246" i="73"/>
  <c r="BA130" i="73"/>
  <c r="BA117" i="73"/>
  <c r="BA197" i="73"/>
  <c r="BA196" i="73" s="1"/>
  <c r="BA333" i="73"/>
  <c r="BA186" i="73"/>
  <c r="BA185" i="73" s="1"/>
  <c r="BG185" i="73" s="1"/>
  <c r="BA190" i="73"/>
  <c r="BA189" i="73" s="1"/>
  <c r="BA36" i="73"/>
  <c r="BA63" i="4" s="1"/>
  <c r="BA94" i="73"/>
  <c r="AY356" i="73"/>
  <c r="AY130" i="73"/>
  <c r="AY250" i="73"/>
  <c r="AY194" i="73"/>
  <c r="AY193" i="73" s="1"/>
  <c r="AY117" i="73"/>
  <c r="AY368" i="73"/>
  <c r="AY333" i="73"/>
  <c r="AY246" i="73"/>
  <c r="AY121" i="73"/>
  <c r="AY111" i="73"/>
  <c r="AY186" i="73"/>
  <c r="AY185" i="73" s="1"/>
  <c r="AY197" i="73"/>
  <c r="AY196" i="73" s="1"/>
  <c r="AY36" i="73"/>
  <c r="AY63" i="4" s="1"/>
  <c r="AY190" i="73"/>
  <c r="AY189" i="73" s="1"/>
  <c r="BL316" i="73"/>
  <c r="BL315" i="73" s="1"/>
  <c r="BL95" i="73"/>
  <c r="BL16" i="51" s="1"/>
  <c r="BL39" i="73"/>
  <c r="BL38" i="73" s="1"/>
  <c r="BQ89" i="73"/>
  <c r="BQ95" i="73"/>
  <c r="BQ316" i="73"/>
  <c r="BQ315" i="73" s="1"/>
  <c r="BQ23" i="51" l="1"/>
  <c r="BQ16" i="51"/>
  <c r="BN23" i="51"/>
  <c r="BN16" i="51"/>
  <c r="BL18" i="51"/>
  <c r="BQ10" i="51"/>
  <c r="BN10" i="51"/>
  <c r="BL10" i="51"/>
  <c r="BW43" i="73"/>
  <c r="BC185" i="73"/>
  <c r="BC186" i="73" s="1"/>
  <c r="BC187" i="73" s="1"/>
  <c r="BE185" i="73"/>
  <c r="BC196" i="73"/>
  <c r="BC197" i="73" s="1"/>
  <c r="BC198" i="73" s="1"/>
  <c r="AY205" i="73"/>
  <c r="BE196" i="73"/>
  <c r="BO38" i="73"/>
  <c r="BL43" i="73"/>
  <c r="BR38" i="73"/>
  <c r="BA22" i="51"/>
  <c r="BG54" i="51" s="1"/>
  <c r="BA38" i="4"/>
  <c r="BA9" i="51" s="1"/>
  <c r="BC193" i="73"/>
  <c r="BC194" i="73" s="1"/>
  <c r="BC195" i="73" s="1"/>
  <c r="BE193" i="73"/>
  <c r="BA205" i="73"/>
  <c r="BG196" i="73"/>
  <c r="BW315" i="73"/>
  <c r="AY199" i="73"/>
  <c r="AY200" i="73" s="1"/>
  <c r="AY201" i="73" s="1"/>
  <c r="BC189" i="73"/>
  <c r="AY206" i="73"/>
  <c r="BE189" i="73"/>
  <c r="BN43" i="73"/>
  <c r="BT38" i="73"/>
  <c r="BQ46" i="73"/>
  <c r="BQ44" i="73"/>
  <c r="BQ45" i="73" s="1"/>
  <c r="BQ41" i="73"/>
  <c r="BQ49" i="73"/>
  <c r="BR315" i="73"/>
  <c r="BX315" i="73" s="1"/>
  <c r="CD315" i="73" s="1"/>
  <c r="BO315" i="73"/>
  <c r="BO316" i="73" s="1"/>
  <c r="BA93" i="73"/>
  <c r="AY22" i="51"/>
  <c r="BE54" i="51" s="1"/>
  <c r="AY38" i="4"/>
  <c r="AY9" i="51" s="1"/>
  <c r="BA199" i="73"/>
  <c r="BA200" i="73" s="1"/>
  <c r="BA201" i="73" s="1"/>
  <c r="BA206" i="73"/>
  <c r="BG189" i="73"/>
  <c r="BE39" i="51" l="1"/>
  <c r="AY12" i="51"/>
  <c r="BG39" i="51"/>
  <c r="BA12" i="51"/>
  <c r="BG10" i="51"/>
  <c r="BG40" i="51" s="1"/>
  <c r="BG23" i="51"/>
  <c r="BG16" i="51"/>
  <c r="BL48" i="51"/>
  <c r="BR48" i="51"/>
  <c r="BN18" i="51"/>
  <c r="BN29" i="51"/>
  <c r="BT55" i="51"/>
  <c r="BN25" i="51"/>
  <c r="BN55" i="51"/>
  <c r="BQ18" i="51"/>
  <c r="BQ29" i="51"/>
  <c r="DM35" i="51"/>
  <c r="DM48" i="51" s="1"/>
  <c r="BQ25" i="51"/>
  <c r="BQ55" i="51"/>
  <c r="BL12" i="51"/>
  <c r="BR40" i="51"/>
  <c r="BL40" i="51"/>
  <c r="BN12" i="51"/>
  <c r="BT40" i="51"/>
  <c r="BN40" i="51"/>
  <c r="BQ12" i="51"/>
  <c r="BQ40" i="51"/>
  <c r="BA338" i="73"/>
  <c r="BA202" i="73"/>
  <c r="BA203" i="73" s="1"/>
  <c r="BA204" i="73" s="1"/>
  <c r="BA207" i="73"/>
  <c r="BA24" i="73" s="1"/>
  <c r="BA27" i="73" s="1"/>
  <c r="BA213" i="73"/>
  <c r="BA211" i="73"/>
  <c r="BQ334" i="73"/>
  <c r="AY361" i="73"/>
  <c r="AY372" i="73"/>
  <c r="AY219" i="73"/>
  <c r="AY217" i="73"/>
  <c r="AY380" i="73"/>
  <c r="BC206" i="73"/>
  <c r="AY343" i="73"/>
  <c r="BR43" i="73"/>
  <c r="BX38" i="73"/>
  <c r="BU38" i="73"/>
  <c r="BA380" i="73"/>
  <c r="BA361" i="73"/>
  <c r="BA372" i="73"/>
  <c r="BA219" i="73"/>
  <c r="BA217" i="73"/>
  <c r="BI185" i="73"/>
  <c r="BI186" i="73" s="1"/>
  <c r="BI187" i="73" s="1"/>
  <c r="BC199" i="73"/>
  <c r="BC200" i="73" s="1"/>
  <c r="BC201" i="73" s="1"/>
  <c r="BC190" i="73"/>
  <c r="BC191" i="73" s="1"/>
  <c r="BO39" i="73"/>
  <c r="BO40" i="73" s="1"/>
  <c r="BO43" i="73"/>
  <c r="BG205" i="73"/>
  <c r="BE199" i="73"/>
  <c r="BE200" i="73" s="1"/>
  <c r="BE201" i="73" s="1"/>
  <c r="BI189" i="73"/>
  <c r="BE206" i="73"/>
  <c r="BI193" i="73"/>
  <c r="BI194" i="73" s="1"/>
  <c r="BI195" i="73" s="1"/>
  <c r="BW46" i="73"/>
  <c r="BW44" i="73"/>
  <c r="BW45" i="73" s="1"/>
  <c r="BW41" i="73"/>
  <c r="BT43" i="73"/>
  <c r="BZ38" i="73"/>
  <c r="CA315" i="73"/>
  <c r="BI196" i="73"/>
  <c r="BI197" i="73" s="1"/>
  <c r="BI198" i="73" s="1"/>
  <c r="BE205" i="73"/>
  <c r="BA96" i="73"/>
  <c r="BA99" i="73"/>
  <c r="BC99" i="73" s="1"/>
  <c r="BA91" i="73"/>
  <c r="BA311" i="73" s="1"/>
  <c r="BC93" i="73"/>
  <c r="BG93" i="73"/>
  <c r="BA97" i="73"/>
  <c r="BL46" i="73"/>
  <c r="BL44" i="73"/>
  <c r="BL41" i="73"/>
  <c r="BL42" i="73" s="1"/>
  <c r="BG199" i="73"/>
  <c r="BG200" i="73" s="1"/>
  <c r="BG201" i="73" s="1"/>
  <c r="BG206" i="73"/>
  <c r="BQ42" i="73"/>
  <c r="BN46" i="73"/>
  <c r="BN44" i="73"/>
  <c r="BN45" i="73" s="1"/>
  <c r="BN41" i="73"/>
  <c r="BN334" i="73" s="1"/>
  <c r="BU315" i="73"/>
  <c r="BU316" i="73" s="1"/>
  <c r="BU317" i="73" s="1"/>
  <c r="AY338" i="73"/>
  <c r="AY202" i="73"/>
  <c r="AY203" i="73" s="1"/>
  <c r="AY204" i="73" s="1"/>
  <c r="AY213" i="73"/>
  <c r="AY311" i="73"/>
  <c r="AY207" i="73"/>
  <c r="BC205" i="73"/>
  <c r="AY211" i="73"/>
  <c r="BG12" i="51" l="1"/>
  <c r="BE42" i="51"/>
  <c r="BT48" i="51"/>
  <c r="BN48" i="51"/>
  <c r="BQ48" i="51"/>
  <c r="DM37" i="51"/>
  <c r="DM50" i="51" s="1"/>
  <c r="BQ57" i="51"/>
  <c r="BT57" i="51"/>
  <c r="BN57" i="51"/>
  <c r="BG18" i="51"/>
  <c r="BG46" i="51"/>
  <c r="BG29" i="51"/>
  <c r="BG55" i="51"/>
  <c r="BG25" i="51"/>
  <c r="BT42" i="51"/>
  <c r="BN42" i="51"/>
  <c r="BQ42" i="51"/>
  <c r="BR42" i="51"/>
  <c r="BL42" i="51"/>
  <c r="BA221" i="73"/>
  <c r="BA222" i="73" s="1"/>
  <c r="BA92" i="73"/>
  <c r="BA343" i="73" s="1"/>
  <c r="BA347" i="73" s="1"/>
  <c r="BA225" i="73"/>
  <c r="BA226" i="73" s="1"/>
  <c r="BA314" i="73"/>
  <c r="BA312" i="73"/>
  <c r="BA313" i="73" s="1"/>
  <c r="BC211" i="73"/>
  <c r="AY215" i="73"/>
  <c r="AY223" i="73"/>
  <c r="BQ357" i="73"/>
  <c r="BQ369" i="73"/>
  <c r="BQ376" i="73"/>
  <c r="BT46" i="73"/>
  <c r="BT44" i="73"/>
  <c r="BT45" i="73" s="1"/>
  <c r="BT41" i="73"/>
  <c r="BT334" i="73" s="1"/>
  <c r="BX43" i="73"/>
  <c r="CD38" i="73"/>
  <c r="CA38" i="73"/>
  <c r="AY208" i="73"/>
  <c r="AY209" i="73" s="1"/>
  <c r="AY210" i="73"/>
  <c r="BC207" i="73"/>
  <c r="BC24" i="73" s="1"/>
  <c r="BC27" i="73" s="1"/>
  <c r="AY24" i="73"/>
  <c r="AY27" i="73" s="1"/>
  <c r="BR46" i="73"/>
  <c r="BR44" i="73"/>
  <c r="BR45" i="73" s="1"/>
  <c r="BR41" i="73"/>
  <c r="BU43" i="73"/>
  <c r="BA223" i="73"/>
  <c r="BA215" i="73"/>
  <c r="AY314" i="73"/>
  <c r="AY312" i="73"/>
  <c r="AY313" i="73" s="1"/>
  <c r="BN42" i="73"/>
  <c r="BL334" i="73"/>
  <c r="BO41" i="73"/>
  <c r="BO334" i="73" s="1"/>
  <c r="AY346" i="73"/>
  <c r="AY344" i="73"/>
  <c r="AY345" i="73" s="1"/>
  <c r="AY349" i="73"/>
  <c r="AY347" i="73"/>
  <c r="BC202" i="73"/>
  <c r="BC203" i="73" s="1"/>
  <c r="BC204" i="73" s="1"/>
  <c r="BC338" i="73"/>
  <c r="BL357" i="73"/>
  <c r="BL369" i="73"/>
  <c r="BL376" i="73"/>
  <c r="BO46" i="73"/>
  <c r="BO44" i="73"/>
  <c r="BC372" i="73"/>
  <c r="BC361" i="73"/>
  <c r="BG361" i="73"/>
  <c r="BG372" i="73"/>
  <c r="BG219" i="73"/>
  <c r="BG380" i="73"/>
  <c r="BG217" i="73"/>
  <c r="BA336" i="73"/>
  <c r="BC91" i="73"/>
  <c r="BC336" i="73" s="1"/>
  <c r="BE202" i="73"/>
  <c r="BE203" i="73" s="1"/>
  <c r="BE204" i="73" s="1"/>
  <c r="BE338" i="73"/>
  <c r="BE311" i="73"/>
  <c r="BE213" i="73"/>
  <c r="BI205" i="73"/>
  <c r="BE207" i="73"/>
  <c r="BE211" i="73"/>
  <c r="BI190" i="73"/>
  <c r="BI191" i="73" s="1"/>
  <c r="BI199" i="73"/>
  <c r="AY384" i="73"/>
  <c r="BC380" i="73"/>
  <c r="BA208" i="73"/>
  <c r="BA209" i="73" s="1"/>
  <c r="BA210" i="73"/>
  <c r="BC97" i="73"/>
  <c r="BA398" i="73"/>
  <c r="BA101" i="73"/>
  <c r="BW334" i="73"/>
  <c r="BU39" i="73"/>
  <c r="BC96" i="73"/>
  <c r="BC94" i="73"/>
  <c r="BG338" i="73"/>
  <c r="BG213" i="73"/>
  <c r="BG202" i="73"/>
  <c r="BG203" i="73" s="1"/>
  <c r="BG204" i="73" s="1"/>
  <c r="BG207" i="73"/>
  <c r="BG24" i="73" s="1"/>
  <c r="BG211" i="73"/>
  <c r="BC100" i="73"/>
  <c r="CA316" i="73"/>
  <c r="BW42" i="73"/>
  <c r="AY221" i="73"/>
  <c r="AY222" i="73" s="1"/>
  <c r="BC217" i="73"/>
  <c r="BG96" i="73"/>
  <c r="BG99" i="73"/>
  <c r="BI99" i="73" s="1"/>
  <c r="BM94" i="73"/>
  <c r="BG91" i="73"/>
  <c r="BG92" i="73" s="1"/>
  <c r="BG343" i="73" s="1"/>
  <c r="BG97" i="73"/>
  <c r="BI93" i="73"/>
  <c r="AY225" i="73"/>
  <c r="AY226" i="73" s="1"/>
  <c r="BC213" i="73"/>
  <c r="BE361" i="73"/>
  <c r="BE372" i="73"/>
  <c r="BE219" i="73"/>
  <c r="BE217" i="73"/>
  <c r="BI206" i="73"/>
  <c r="BE380" i="73"/>
  <c r="BE343" i="73"/>
  <c r="BZ43" i="73"/>
  <c r="BC219" i="73"/>
  <c r="BC220" i="73" s="1"/>
  <c r="BG42" i="51" l="1"/>
  <c r="BA370" i="73"/>
  <c r="BA227" i="73"/>
  <c r="BA430" i="73" s="1"/>
  <c r="BG57" i="51"/>
  <c r="BA346" i="73"/>
  <c r="BA344" i="73"/>
  <c r="BA345" i="73" s="1"/>
  <c r="BA349" i="73"/>
  <c r="BA351" i="73" s="1"/>
  <c r="BA378" i="73"/>
  <c r="BA407" i="73" s="1"/>
  <c r="BA359" i="73"/>
  <c r="BG48" i="51"/>
  <c r="BC92" i="73"/>
  <c r="BC343" i="73" s="1"/>
  <c r="BC344" i="73" s="1"/>
  <c r="BC345" i="73" s="1"/>
  <c r="BR42" i="73"/>
  <c r="BR376" i="73" s="1"/>
  <c r="BG311" i="73"/>
  <c r="BG312" i="73" s="1"/>
  <c r="BG313" i="73" s="1"/>
  <c r="BI219" i="73"/>
  <c r="BI220" i="73" s="1"/>
  <c r="BG225" i="73"/>
  <c r="BG226" i="73" s="1"/>
  <c r="BG221" i="73"/>
  <c r="BG222" i="73" s="1"/>
  <c r="BO42" i="73"/>
  <c r="BO369" i="73" s="1"/>
  <c r="BC95" i="73"/>
  <c r="BC23" i="51" s="1"/>
  <c r="BC25" i="51" s="1"/>
  <c r="BC57" i="51" s="1"/>
  <c r="BC212" i="73"/>
  <c r="BC223" i="73"/>
  <c r="BC224" i="73" s="1"/>
  <c r="BC215" i="73"/>
  <c r="BG25" i="73"/>
  <c r="BG26" i="73" s="1"/>
  <c r="BG27" i="73"/>
  <c r="BG210" i="73"/>
  <c r="BG208" i="73"/>
  <c r="BG209" i="73" s="1"/>
  <c r="BA102" i="73"/>
  <c r="BA428" i="73"/>
  <c r="BO45" i="73"/>
  <c r="BC398" i="73"/>
  <c r="BE225" i="73"/>
  <c r="BE226" i="73" s="1"/>
  <c r="BI213" i="73"/>
  <c r="BX46" i="73"/>
  <c r="BX41" i="73"/>
  <c r="BX42" i="73" s="1"/>
  <c r="BX44" i="73"/>
  <c r="BX45" i="73" s="1"/>
  <c r="CA43" i="73"/>
  <c r="BE344" i="73"/>
  <c r="BE345" i="73" s="1"/>
  <c r="BE346" i="73"/>
  <c r="BE349" i="73"/>
  <c r="BE347" i="73"/>
  <c r="BG336" i="73"/>
  <c r="BI91" i="73"/>
  <c r="BI336" i="73" s="1"/>
  <c r="BW357" i="73"/>
  <c r="BW369" i="73"/>
  <c r="BW376" i="73"/>
  <c r="BC101" i="73"/>
  <c r="BC102" i="73" s="1"/>
  <c r="BC98" i="73"/>
  <c r="BI200" i="73"/>
  <c r="BI201" i="73" s="1"/>
  <c r="BE314" i="73"/>
  <c r="BE312" i="73"/>
  <c r="BE313" i="73" s="1"/>
  <c r="BA224" i="73"/>
  <c r="BA400" i="73"/>
  <c r="BG215" i="73"/>
  <c r="BG223" i="73"/>
  <c r="BG349" i="73"/>
  <c r="BG346" i="73"/>
  <c r="BG344" i="73"/>
  <c r="BG345" i="73" s="1"/>
  <c r="BG347" i="73"/>
  <c r="CA39" i="73"/>
  <c r="BC347" i="73"/>
  <c r="AY351" i="73"/>
  <c r="BI361" i="73"/>
  <c r="BI372" i="73"/>
  <c r="BC225" i="73"/>
  <c r="BC226" i="73" s="1"/>
  <c r="BC214" i="73"/>
  <c r="BI100" i="73"/>
  <c r="BC311" i="73"/>
  <c r="BC210" i="73"/>
  <c r="BC208" i="73"/>
  <c r="BC209" i="73" s="1"/>
  <c r="BE208" i="73"/>
  <c r="BE209" i="73" s="1"/>
  <c r="BE210" i="73"/>
  <c r="BI207" i="73"/>
  <c r="BI24" i="73" s="1"/>
  <c r="BE24" i="73"/>
  <c r="BI338" i="73"/>
  <c r="BI202" i="73"/>
  <c r="CD43" i="73"/>
  <c r="BG378" i="73"/>
  <c r="BG359" i="73"/>
  <c r="BG370" i="73"/>
  <c r="BU46" i="73"/>
  <c r="BU44" i="73"/>
  <c r="BE221" i="73"/>
  <c r="BE222" i="73" s="1"/>
  <c r="BI217" i="73"/>
  <c r="BT42" i="73"/>
  <c r="AY224" i="73"/>
  <c r="AY400" i="73"/>
  <c r="BG101" i="73"/>
  <c r="BG398" i="73"/>
  <c r="BI97" i="73"/>
  <c r="BI380" i="73"/>
  <c r="BE384" i="73"/>
  <c r="BM95" i="73"/>
  <c r="BZ44" i="73"/>
  <c r="BZ45" i="73" s="1"/>
  <c r="BZ46" i="73"/>
  <c r="BZ41" i="73"/>
  <c r="BZ334" i="73" s="1"/>
  <c r="BI96" i="73"/>
  <c r="BI94" i="73"/>
  <c r="BO94" i="73"/>
  <c r="BI85" i="73"/>
  <c r="BC221" i="73"/>
  <c r="BC222" i="73" s="1"/>
  <c r="BC218" i="73"/>
  <c r="BI211" i="73"/>
  <c r="BE215" i="73"/>
  <c r="BE223" i="73"/>
  <c r="BN369" i="73"/>
  <c r="BN357" i="73"/>
  <c r="BN376" i="73"/>
  <c r="BR334" i="73"/>
  <c r="BU41" i="73"/>
  <c r="BU334" i="73" s="1"/>
  <c r="AY227" i="73"/>
  <c r="BA228" i="73" l="1"/>
  <c r="BC370" i="73"/>
  <c r="BR369" i="73"/>
  <c r="BR357" i="73"/>
  <c r="BA384" i="73"/>
  <c r="BC349" i="73"/>
  <c r="BC350" i="73" s="1"/>
  <c r="BC378" i="73"/>
  <c r="BC384" i="73" s="1"/>
  <c r="BC359" i="73"/>
  <c r="BC346" i="73"/>
  <c r="BC55" i="51"/>
  <c r="BM23" i="51"/>
  <c r="BM16" i="51"/>
  <c r="BM10" i="51"/>
  <c r="BC10" i="51"/>
  <c r="BC12" i="51" s="1"/>
  <c r="BO357" i="73"/>
  <c r="BI92" i="73"/>
  <c r="BI359" i="73" s="1"/>
  <c r="BI311" i="73"/>
  <c r="BI314" i="73" s="1"/>
  <c r="BG227" i="73"/>
  <c r="BG228" i="73" s="1"/>
  <c r="BU42" i="73"/>
  <c r="BU357" i="73" s="1"/>
  <c r="BG314" i="73"/>
  <c r="BE227" i="73"/>
  <c r="BE228" i="73" s="1"/>
  <c r="BZ42" i="73"/>
  <c r="BZ369" i="73" s="1"/>
  <c r="BX357" i="73"/>
  <c r="BX376" i="73"/>
  <c r="BX369" i="73"/>
  <c r="BI25" i="73"/>
  <c r="BI26" i="73" s="1"/>
  <c r="BI27" i="73"/>
  <c r="CA44" i="73"/>
  <c r="CA46" i="73"/>
  <c r="BE224" i="73"/>
  <c r="BE400" i="73"/>
  <c r="BE324" i="73" s="1"/>
  <c r="BI203" i="73"/>
  <c r="AY352" i="73"/>
  <c r="BC216" i="73"/>
  <c r="BC227" i="73"/>
  <c r="BC228" i="73" s="1"/>
  <c r="AY409" i="73"/>
  <c r="BC400" i="73"/>
  <c r="BE25" i="73"/>
  <c r="BE26" i="73" s="1"/>
  <c r="BE27" i="73"/>
  <c r="AY324" i="73"/>
  <c r="AY385" i="73" s="1"/>
  <c r="AY392" i="73" s="1"/>
  <c r="BG224" i="73"/>
  <c r="BG400" i="73"/>
  <c r="BG324" i="73" s="1"/>
  <c r="AY228" i="73"/>
  <c r="AY430" i="73"/>
  <c r="AY328" i="73" s="1"/>
  <c r="BI212" i="73"/>
  <c r="BI223" i="73"/>
  <c r="BI224" i="73" s="1"/>
  <c r="BI215" i="73"/>
  <c r="BC348" i="73"/>
  <c r="BX334" i="73"/>
  <c r="CA41" i="73"/>
  <c r="CA334" i="73" s="1"/>
  <c r="BO376" i="73"/>
  <c r="BO95" i="73"/>
  <c r="BA328" i="73"/>
  <c r="BA329" i="73" s="1"/>
  <c r="BA352" i="73"/>
  <c r="BI98" i="73"/>
  <c r="BI101" i="73"/>
  <c r="BI102" i="73" s="1"/>
  <c r="BI218" i="73"/>
  <c r="BI221" i="73"/>
  <c r="BI222" i="73" s="1"/>
  <c r="BA439" i="73"/>
  <c r="CD44" i="73"/>
  <c r="CD45" i="73" s="1"/>
  <c r="CD41" i="73"/>
  <c r="CD334" i="73" s="1"/>
  <c r="BC314" i="73"/>
  <c r="BC312" i="73"/>
  <c r="BC313" i="73" s="1"/>
  <c r="BA409" i="73"/>
  <c r="BI95" i="73"/>
  <c r="BA324" i="73"/>
  <c r="BG407" i="73"/>
  <c r="BI398" i="73"/>
  <c r="BG351" i="73"/>
  <c r="BI347" i="73"/>
  <c r="BE351" i="73"/>
  <c r="BI225" i="73"/>
  <c r="BI226" i="73" s="1"/>
  <c r="BI214" i="73"/>
  <c r="BI210" i="73"/>
  <c r="BI208" i="73"/>
  <c r="BT357" i="73"/>
  <c r="BT369" i="73"/>
  <c r="BT376" i="73"/>
  <c r="BG102" i="73"/>
  <c r="BG428" i="73"/>
  <c r="BG384" i="73"/>
  <c r="BI378" i="73"/>
  <c r="BI349" i="73"/>
  <c r="BA437" i="73"/>
  <c r="BC428" i="73"/>
  <c r="BC351" i="73" l="1"/>
  <c r="BC352" i="73" s="1"/>
  <c r="BC407" i="73"/>
  <c r="BI343" i="73"/>
  <c r="BI350" i="73" s="1"/>
  <c r="BI370" i="73"/>
  <c r="BI23" i="51"/>
  <c r="BI16" i="51"/>
  <c r="BI10" i="51"/>
  <c r="BI12" i="51" s="1"/>
  <c r="BM18" i="51"/>
  <c r="BM29" i="51"/>
  <c r="BS55" i="51"/>
  <c r="BM25" i="51"/>
  <c r="BM55" i="51"/>
  <c r="BO10" i="51"/>
  <c r="BO12" i="51" s="1"/>
  <c r="BO23" i="51"/>
  <c r="BO16" i="51"/>
  <c r="BM12" i="51"/>
  <c r="BS40" i="51"/>
  <c r="BM40" i="51"/>
  <c r="BI312" i="73"/>
  <c r="BI313" i="73" s="1"/>
  <c r="BU369" i="73"/>
  <c r="BG430" i="73"/>
  <c r="BG328" i="73" s="1"/>
  <c r="BG329" i="73" s="1"/>
  <c r="BE430" i="73"/>
  <c r="BE328" i="73" s="1"/>
  <c r="BE329" i="73" s="1"/>
  <c r="BZ376" i="73"/>
  <c r="CA376" i="73" s="1"/>
  <c r="BZ357" i="73"/>
  <c r="AY329" i="73"/>
  <c r="AY415" i="73"/>
  <c r="AY422" i="73" s="1"/>
  <c r="BI351" i="73"/>
  <c r="BI216" i="73"/>
  <c r="BI227" i="73"/>
  <c r="BI228" i="73" s="1"/>
  <c r="BG409" i="73"/>
  <c r="BG352" i="73"/>
  <c r="BI407" i="73"/>
  <c r="AY388" i="73"/>
  <c r="AY390" i="73"/>
  <c r="AY391" i="73"/>
  <c r="AY395" i="73"/>
  <c r="AY386" i="73"/>
  <c r="AY404" i="73"/>
  <c r="AY413" i="73" s="1"/>
  <c r="AY387" i="73"/>
  <c r="AY14" i="73" s="1"/>
  <c r="AY15" i="73" s="1"/>
  <c r="AY394" i="73"/>
  <c r="AY393" i="73"/>
  <c r="BI384" i="73"/>
  <c r="AY439" i="73"/>
  <c r="BC430" i="73"/>
  <c r="BG437" i="73"/>
  <c r="BI428" i="73"/>
  <c r="BU376" i="73"/>
  <c r="BE325" i="73"/>
  <c r="BI324" i="73"/>
  <c r="BA326" i="73"/>
  <c r="BA327" i="73" s="1"/>
  <c r="BA325" i="73"/>
  <c r="BA385" i="73"/>
  <c r="BG325" i="73"/>
  <c r="BG385" i="73"/>
  <c r="BG392" i="73" s="1"/>
  <c r="BC409" i="73"/>
  <c r="BC437" i="73"/>
  <c r="BI209" i="73"/>
  <c r="BI204" i="73"/>
  <c r="CA42" i="73"/>
  <c r="BE352" i="73"/>
  <c r="CD42" i="73"/>
  <c r="BA415" i="73"/>
  <c r="AY325" i="73"/>
  <c r="AY326" i="73"/>
  <c r="BC324" i="73"/>
  <c r="BE409" i="73"/>
  <c r="BI400" i="73"/>
  <c r="BE385" i="73"/>
  <c r="CD376" i="73" l="1"/>
  <c r="CD357" i="73"/>
  <c r="CD369" i="73"/>
  <c r="BI348" i="73"/>
  <c r="BI344" i="73"/>
  <c r="BI345" i="73" s="1"/>
  <c r="BI352" i="73"/>
  <c r="BI346" i="73"/>
  <c r="BO40" i="51"/>
  <c r="BI42" i="51"/>
  <c r="BO18" i="51"/>
  <c r="BO29" i="51"/>
  <c r="BO25" i="51"/>
  <c r="BS48" i="51"/>
  <c r="BM48" i="51"/>
  <c r="BI18" i="51"/>
  <c r="BS57" i="51"/>
  <c r="BM57" i="51"/>
  <c r="BI29" i="51"/>
  <c r="BO55" i="51"/>
  <c r="BI25" i="51"/>
  <c r="BI55" i="51"/>
  <c r="BI40" i="51"/>
  <c r="BS42" i="51"/>
  <c r="BM42" i="51"/>
  <c r="BO42" i="51"/>
  <c r="BG439" i="73"/>
  <c r="BI430" i="73"/>
  <c r="BE439" i="73"/>
  <c r="BE415" i="73"/>
  <c r="BE422" i="73" s="1"/>
  <c r="BG326" i="73"/>
  <c r="BG327" i="73" s="1"/>
  <c r="BG415" i="73"/>
  <c r="BG425" i="73" s="1"/>
  <c r="BE326" i="73"/>
  <c r="BE327" i="73" s="1"/>
  <c r="BA386" i="73"/>
  <c r="BA388" i="73"/>
  <c r="BA391" i="73"/>
  <c r="BA393" i="73"/>
  <c r="BA394" i="73"/>
  <c r="BA404" i="73"/>
  <c r="BA413" i="73" s="1"/>
  <c r="BA395" i="73"/>
  <c r="BA387" i="73"/>
  <c r="BA14" i="73" s="1"/>
  <c r="BA15" i="73" s="1"/>
  <c r="BA390" i="73"/>
  <c r="BA392" i="73"/>
  <c r="BI325" i="73"/>
  <c r="BE404" i="73"/>
  <c r="BE413" i="73" s="1"/>
  <c r="BE386" i="73"/>
  <c r="BE393" i="73"/>
  <c r="BE387" i="73"/>
  <c r="BE14" i="73" s="1"/>
  <c r="BE15" i="73" s="1"/>
  <c r="BE394" i="73"/>
  <c r="BE395" i="73"/>
  <c r="BE388" i="73"/>
  <c r="BE391" i="73"/>
  <c r="BE390" i="73"/>
  <c r="BC326" i="73"/>
  <c r="BC327" i="73" s="1"/>
  <c r="AY327" i="73"/>
  <c r="BE392" i="73"/>
  <c r="CA357" i="73"/>
  <c r="CA369" i="73"/>
  <c r="BC439" i="73"/>
  <c r="AY420" i="73"/>
  <c r="AY417" i="73"/>
  <c r="AY418" i="73"/>
  <c r="AY434" i="73"/>
  <c r="AY443" i="73" s="1"/>
  <c r="AY425" i="73"/>
  <c r="AY416" i="73"/>
  <c r="AY424" i="73"/>
  <c r="AY421" i="73"/>
  <c r="AY423" i="73"/>
  <c r="BC415" i="73"/>
  <c r="BC422" i="73" s="1"/>
  <c r="BC325" i="73"/>
  <c r="BG404" i="73"/>
  <c r="BG413" i="73" s="1"/>
  <c r="BG387" i="73"/>
  <c r="BG14" i="73" s="1"/>
  <c r="BG15" i="73" s="1"/>
  <c r="BG388" i="73"/>
  <c r="BG386" i="73"/>
  <c r="BG395" i="73"/>
  <c r="BG394" i="73"/>
  <c r="BG393" i="73"/>
  <c r="BG391" i="73"/>
  <c r="BG390" i="73"/>
  <c r="BI385" i="73"/>
  <c r="BI392" i="73" s="1"/>
  <c r="BC385" i="73"/>
  <c r="BI409" i="73"/>
  <c r="BA423" i="73"/>
  <c r="BA434" i="73"/>
  <c r="BA443" i="73" s="1"/>
  <c r="BA421" i="73"/>
  <c r="BA417" i="73"/>
  <c r="BA416" i="73"/>
  <c r="BA424" i="73"/>
  <c r="BA425" i="73"/>
  <c r="BA418" i="73"/>
  <c r="BA420" i="73"/>
  <c r="BA422" i="73"/>
  <c r="BI437" i="73"/>
  <c r="BI57" i="51" l="1"/>
  <c r="BO57" i="51"/>
  <c r="BI48" i="51"/>
  <c r="BO48" i="51"/>
  <c r="BI439" i="73"/>
  <c r="BG417" i="73"/>
  <c r="BE424" i="73"/>
  <c r="BE425" i="73"/>
  <c r="BG418" i="73"/>
  <c r="BG423" i="73"/>
  <c r="BE423" i="73"/>
  <c r="BE420" i="73"/>
  <c r="BE434" i="73"/>
  <c r="BE443" i="73" s="1"/>
  <c r="BE421" i="73"/>
  <c r="BE416" i="73"/>
  <c r="BE418" i="73"/>
  <c r="BE417" i="73"/>
  <c r="BC328" i="73"/>
  <c r="BC329" i="73" s="1"/>
  <c r="BG421" i="73"/>
  <c r="BI415" i="73"/>
  <c r="BI416" i="73" s="1"/>
  <c r="BG434" i="73"/>
  <c r="BG443" i="73" s="1"/>
  <c r="BG424" i="73"/>
  <c r="BG416" i="73"/>
  <c r="BI326" i="73"/>
  <c r="BG420" i="73"/>
  <c r="BG422" i="73"/>
  <c r="BC425" i="73"/>
  <c r="BC434" i="73"/>
  <c r="BC443" i="73" s="1"/>
  <c r="BC423" i="73"/>
  <c r="BC421" i="73"/>
  <c r="BC424" i="73"/>
  <c r="BC417" i="73"/>
  <c r="BC418" i="73"/>
  <c r="BC416" i="73"/>
  <c r="BC420" i="73"/>
  <c r="BC386" i="73"/>
  <c r="BC387" i="73"/>
  <c r="BC14" i="73" s="1"/>
  <c r="BC15" i="73" s="1"/>
  <c r="BC391" i="73"/>
  <c r="BC394" i="73"/>
  <c r="BC395" i="73"/>
  <c r="BC404" i="73"/>
  <c r="BC413" i="73" s="1"/>
  <c r="BC388" i="73"/>
  <c r="BC393" i="73"/>
  <c r="BC390" i="73"/>
  <c r="BC392" i="73"/>
  <c r="BL48" i="73"/>
  <c r="BL47" i="73" s="1"/>
  <c r="BM48" i="73"/>
  <c r="BM47" i="73" s="1"/>
  <c r="BN48" i="73"/>
  <c r="BN47" i="73" s="1"/>
  <c r="BK47" i="73"/>
  <c r="BI395" i="73"/>
  <c r="BI387" i="73"/>
  <c r="BI14" i="73" s="1"/>
  <c r="BI15" i="73" s="1"/>
  <c r="BI394" i="73"/>
  <c r="BI388" i="73"/>
  <c r="BI404" i="73"/>
  <c r="BI413" i="73" s="1"/>
  <c r="BI393" i="73"/>
  <c r="BI391" i="73"/>
  <c r="BI386" i="73"/>
  <c r="BI390" i="73"/>
  <c r="BI424" i="73" l="1"/>
  <c r="BI421" i="73"/>
  <c r="BI425" i="73"/>
  <c r="BI434" i="73"/>
  <c r="BI443" i="73" s="1"/>
  <c r="BI422" i="73"/>
  <c r="BI420" i="73"/>
  <c r="BI418" i="73"/>
  <c r="BI423" i="73"/>
  <c r="BI417" i="73"/>
  <c r="BI327" i="73"/>
  <c r="BI328" i="73"/>
  <c r="BI329" i="73" s="1"/>
  <c r="BK396" i="73"/>
  <c r="BK51" i="73"/>
  <c r="BO47" i="73"/>
  <c r="BN396" i="73"/>
  <c r="BL396" i="73"/>
  <c r="BQ47" i="73"/>
  <c r="BS48" i="73"/>
  <c r="BR48" i="73"/>
  <c r="BT48" i="73"/>
  <c r="BM396" i="73"/>
  <c r="BR47" i="73" l="1"/>
  <c r="BX48" i="73"/>
  <c r="BS47" i="73"/>
  <c r="BY48" i="73"/>
  <c r="BO48" i="73"/>
  <c r="BL405" i="73"/>
  <c r="BN405" i="73"/>
  <c r="BM405" i="73"/>
  <c r="BQ396" i="73"/>
  <c r="BQ51" i="73"/>
  <c r="BK52" i="73"/>
  <c r="BK426" i="73"/>
  <c r="BK405" i="73"/>
  <c r="BO396" i="73"/>
  <c r="BT47" i="73"/>
  <c r="BZ48" i="73"/>
  <c r="CC48" i="73" s="1"/>
  <c r="BW48" i="73"/>
  <c r="BU47" i="73" l="1"/>
  <c r="BU48" i="73" s="1"/>
  <c r="BQ405" i="73"/>
  <c r="BK435" i="73"/>
  <c r="CF48" i="73"/>
  <c r="BZ47" i="73"/>
  <c r="BO405" i="73"/>
  <c r="BX47" i="73"/>
  <c r="CD48" i="73"/>
  <c r="BR396" i="73"/>
  <c r="BY47" i="73"/>
  <c r="CE48" i="73"/>
  <c r="BT396" i="73"/>
  <c r="BQ52" i="73"/>
  <c r="BQ426" i="73"/>
  <c r="BW47" i="73"/>
  <c r="BS396" i="73"/>
  <c r="BQ435" i="73" l="1"/>
  <c r="BW396" i="73"/>
  <c r="CA47" i="73"/>
  <c r="CD47" i="73"/>
  <c r="CD396" i="73" s="1"/>
  <c r="CD405" i="73" s="1"/>
  <c r="CJ48" i="73"/>
  <c r="BZ396" i="73"/>
  <c r="BT405" i="73"/>
  <c r="BY396" i="73"/>
  <c r="BS405" i="73"/>
  <c r="CE47" i="73"/>
  <c r="CE396" i="73" s="1"/>
  <c r="CE405" i="73" s="1"/>
  <c r="CK48" i="73"/>
  <c r="BR405" i="73"/>
  <c r="CL48" i="73"/>
  <c r="BU396" i="73"/>
  <c r="CI48" i="73"/>
  <c r="BX396" i="73"/>
  <c r="CP48" i="73" l="1"/>
  <c r="BU405" i="73"/>
  <c r="CR48" i="73"/>
  <c r="BZ405" i="73"/>
  <c r="BY405" i="73"/>
  <c r="CA48" i="73"/>
  <c r="BX405" i="73"/>
  <c r="CO48" i="73"/>
  <c r="BW405" i="73"/>
  <c r="CA396" i="73"/>
  <c r="CQ48" i="73"/>
  <c r="CA405" i="73" l="1"/>
  <c r="CV48" i="73"/>
  <c r="CX48" i="73"/>
  <c r="CW48" i="73"/>
  <c r="CU48" i="73"/>
  <c r="BL61" i="4" l="1"/>
  <c r="BO259" i="73"/>
  <c r="BL62" i="4" l="1"/>
  <c r="BO356" i="73"/>
  <c r="BO298" i="73"/>
  <c r="BO333" i="73"/>
  <c r="BO130" i="73"/>
  <c r="BO114" i="73"/>
  <c r="BO317" i="73"/>
  <c r="BO111" i="73"/>
  <c r="BO121" i="73"/>
  <c r="BO237" i="73"/>
  <c r="BO368" i="73"/>
  <c r="BO117" i="73"/>
  <c r="BM287" i="73"/>
  <c r="BM286" i="73" s="1"/>
  <c r="BN287" i="73"/>
  <c r="BN286" i="73" s="1"/>
  <c r="BK287" i="73"/>
  <c r="BK286" i="73" s="1"/>
  <c r="BK289" i="73" s="1"/>
  <c r="DJ33" i="51" l="1"/>
  <c r="DN46" i="51" s="1"/>
  <c r="BL21" i="51"/>
  <c r="BL24" i="51" s="1"/>
  <c r="BL57" i="1"/>
  <c r="BL63" i="4"/>
  <c r="BL60" i="51"/>
  <c r="BL67" i="51" s="1"/>
  <c r="BR81" i="51"/>
  <c r="BM289" i="73"/>
  <c r="BM293" i="73" s="1"/>
  <c r="BS286" i="73"/>
  <c r="BS289" i="73" s="1"/>
  <c r="BS293" i="73" s="1"/>
  <c r="BQ286" i="73"/>
  <c r="BQ289" i="73" s="1"/>
  <c r="BN289" i="73"/>
  <c r="BN293" i="73" s="1"/>
  <c r="BT286" i="73"/>
  <c r="BT296" i="73" s="1"/>
  <c r="BT294" i="73" s="1"/>
  <c r="BU294" i="73" s="1"/>
  <c r="BL121" i="73"/>
  <c r="BL114" i="73"/>
  <c r="BL356" i="73"/>
  <c r="BL237" i="73"/>
  <c r="BL186" i="73"/>
  <c r="BL185" i="73" s="1"/>
  <c r="BR185" i="73" s="1"/>
  <c r="BL368" i="73"/>
  <c r="BL130" i="73"/>
  <c r="BL250" i="73"/>
  <c r="BL117" i="73"/>
  <c r="BL333" i="73"/>
  <c r="BL259" i="73"/>
  <c r="BL111" i="73"/>
  <c r="BL246" i="73"/>
  <c r="BL194" i="73"/>
  <c r="BL193" i="73" s="1"/>
  <c r="BR193" i="73" s="1"/>
  <c r="BL298" i="73"/>
  <c r="BL190" i="73"/>
  <c r="BL189" i="73" s="1"/>
  <c r="BL197" i="73"/>
  <c r="BL196" i="73" s="1"/>
  <c r="BL287" i="73"/>
  <c r="BL286" i="73" s="1"/>
  <c r="BK293" i="73"/>
  <c r="BN356" i="73"/>
  <c r="BN111" i="73"/>
  <c r="BN298" i="73"/>
  <c r="BN186" i="73"/>
  <c r="BN185" i="73" s="1"/>
  <c r="BT185" i="73" s="1"/>
  <c r="BN333" i="73"/>
  <c r="BN246" i="73"/>
  <c r="BN237" i="73"/>
  <c r="BN194" i="73"/>
  <c r="BN193" i="73" s="1"/>
  <c r="BT193" i="73" s="1"/>
  <c r="BN130" i="73"/>
  <c r="BN114" i="73"/>
  <c r="BN121" i="73"/>
  <c r="BN146" i="73"/>
  <c r="BN368" i="73"/>
  <c r="BN117" i="73"/>
  <c r="BN259" i="73"/>
  <c r="BN250" i="73"/>
  <c r="BN190" i="73"/>
  <c r="BN189" i="73" s="1"/>
  <c r="BN197" i="73"/>
  <c r="BN196" i="73" s="1"/>
  <c r="BL148" i="73"/>
  <c r="BL147" i="73" s="1"/>
  <c r="BN148" i="73"/>
  <c r="BN147" i="73" s="1"/>
  <c r="BM298" i="73"/>
  <c r="BM111" i="73"/>
  <c r="BM194" i="73"/>
  <c r="BM193" i="73" s="1"/>
  <c r="BS193" i="73" s="1"/>
  <c r="BM250" i="73"/>
  <c r="BM121" i="73"/>
  <c r="BM130" i="73"/>
  <c r="BM259" i="73"/>
  <c r="BM148" i="73"/>
  <c r="BM147" i="73" s="1"/>
  <c r="BS147" i="73" s="1"/>
  <c r="BM237" i="73"/>
  <c r="BM333" i="73"/>
  <c r="BM356" i="73"/>
  <c r="BM186" i="73"/>
  <c r="BM185" i="73" s="1"/>
  <c r="BS185" i="73" s="1"/>
  <c r="BM368" i="73"/>
  <c r="BM117" i="73"/>
  <c r="BM114" i="73"/>
  <c r="BM246" i="73"/>
  <c r="BM197" i="73"/>
  <c r="BM196" i="73" s="1"/>
  <c r="BM190" i="73"/>
  <c r="BM189" i="73" s="1"/>
  <c r="BK117" i="73"/>
  <c r="BK246" i="73"/>
  <c r="BK333" i="73"/>
  <c r="BK259" i="73"/>
  <c r="BK111" i="73"/>
  <c r="BK356" i="73"/>
  <c r="BK114" i="73"/>
  <c r="BK298" i="73"/>
  <c r="BK130" i="73"/>
  <c r="BK368" i="73"/>
  <c r="BK237" i="73"/>
  <c r="BK250" i="73"/>
  <c r="BK121" i="73"/>
  <c r="BK186" i="73"/>
  <c r="BK185" i="73" s="1"/>
  <c r="BK194" i="73"/>
  <c r="BK193" i="73" s="1"/>
  <c r="BK190" i="73"/>
  <c r="BK189" i="73" s="1"/>
  <c r="BM144" i="73"/>
  <c r="BK197" i="73"/>
  <c r="BK196" i="73" s="1"/>
  <c r="DJ12" i="51" l="1"/>
  <c r="DJ46" i="51"/>
  <c r="BL53" i="51"/>
  <c r="BR53" i="51"/>
  <c r="BL23" i="51"/>
  <c r="BL29" i="51" s="1"/>
  <c r="DJ34" i="51"/>
  <c r="DN47" i="51" s="1"/>
  <c r="BR67" i="51"/>
  <c r="BL81" i="51"/>
  <c r="BL22" i="51"/>
  <c r="BL30" i="51"/>
  <c r="BR56" i="51"/>
  <c r="BL56" i="51"/>
  <c r="DN20" i="51"/>
  <c r="DJ20" i="51"/>
  <c r="BM205" i="73"/>
  <c r="BS196" i="73"/>
  <c r="BO185" i="73"/>
  <c r="BO186" i="73" s="1"/>
  <c r="BO187" i="73" s="1"/>
  <c r="BQ185" i="73"/>
  <c r="BO196" i="73"/>
  <c r="BO197" i="73" s="1"/>
  <c r="BO198" i="73" s="1"/>
  <c r="BK205" i="73"/>
  <c r="BQ196" i="73"/>
  <c r="BM145" i="73"/>
  <c r="BM146" i="73" s="1"/>
  <c r="BO144" i="73"/>
  <c r="BM158" i="73"/>
  <c r="BS144" i="73"/>
  <c r="BQ293" i="73"/>
  <c r="BO193" i="73"/>
  <c r="BO194" i="73" s="1"/>
  <c r="BO195" i="73" s="1"/>
  <c r="BQ193" i="73"/>
  <c r="BN205" i="73"/>
  <c r="BT196" i="73"/>
  <c r="BL205" i="73"/>
  <c r="BR196" i="73"/>
  <c r="BK199" i="73"/>
  <c r="BK200" i="73" s="1"/>
  <c r="BK201" i="73" s="1"/>
  <c r="BO189" i="73"/>
  <c r="BK206" i="73"/>
  <c r="BQ189" i="73"/>
  <c r="BN158" i="73"/>
  <c r="BT147" i="73"/>
  <c r="BO147" i="73"/>
  <c r="BO148" i="73" s="1"/>
  <c r="BO149" i="73" s="1"/>
  <c r="BL158" i="73"/>
  <c r="BR147" i="73"/>
  <c r="BL289" i="73"/>
  <c r="BR286" i="73"/>
  <c r="BM199" i="73"/>
  <c r="BM200" i="73" s="1"/>
  <c r="BM201" i="73" s="1"/>
  <c r="BM206" i="73"/>
  <c r="BS189" i="73"/>
  <c r="BN199" i="73"/>
  <c r="BN200" i="73" s="1"/>
  <c r="BN201" i="73" s="1"/>
  <c r="BT189" i="73"/>
  <c r="BN206" i="73"/>
  <c r="BL199" i="73"/>
  <c r="BL200" i="73" s="1"/>
  <c r="BL201" i="73" s="1"/>
  <c r="BL206" i="73"/>
  <c r="BR189" i="73"/>
  <c r="BL25" i="51" l="1"/>
  <c r="BL55" i="51"/>
  <c r="BR55" i="51"/>
  <c r="DJ47" i="51"/>
  <c r="BL28" i="51"/>
  <c r="BR54" i="51"/>
  <c r="BL54" i="51"/>
  <c r="BR57" i="51"/>
  <c r="BL57" i="51"/>
  <c r="BM372" i="73"/>
  <c r="BM361" i="73"/>
  <c r="BM380" i="73"/>
  <c r="BM217" i="73"/>
  <c r="BU196" i="73"/>
  <c r="BU197" i="73" s="1"/>
  <c r="BU198" i="73" s="1"/>
  <c r="BQ205" i="73"/>
  <c r="BK202" i="73"/>
  <c r="BK203" i="73" s="1"/>
  <c r="BK204" i="73" s="1"/>
  <c r="BK311" i="73"/>
  <c r="BK338" i="73"/>
  <c r="BK207" i="73"/>
  <c r="BO205" i="73"/>
  <c r="BK213" i="73"/>
  <c r="BK211" i="73"/>
  <c r="BL361" i="73"/>
  <c r="BL372" i="73"/>
  <c r="BL380" i="73"/>
  <c r="BL217" i="73"/>
  <c r="BO190" i="73"/>
  <c r="BO191" i="73" s="1"/>
  <c r="BO199" i="73"/>
  <c r="BU185" i="73"/>
  <c r="BU186" i="73" s="1"/>
  <c r="BU187" i="73" s="1"/>
  <c r="BN202" i="73"/>
  <c r="BN203" i="73" s="1"/>
  <c r="BN204" i="73" s="1"/>
  <c r="BN338" i="73"/>
  <c r="BN207" i="73"/>
  <c r="BN24" i="73" s="1"/>
  <c r="BN211" i="73"/>
  <c r="BU193" i="73"/>
  <c r="BU194" i="73" s="1"/>
  <c r="BU195" i="73" s="1"/>
  <c r="BS205" i="73"/>
  <c r="BR289" i="73"/>
  <c r="BT299" i="73"/>
  <c r="BT297" i="73"/>
  <c r="BT298" i="73" s="1"/>
  <c r="BU296" i="73"/>
  <c r="BT112" i="73"/>
  <c r="BT295" i="73"/>
  <c r="BU144" i="73"/>
  <c r="BS158" i="73"/>
  <c r="BM202" i="73"/>
  <c r="BM203" i="73" s="1"/>
  <c r="BM204" i="73" s="1"/>
  <c r="BM338" i="73"/>
  <c r="BM207" i="73"/>
  <c r="BM24" i="73" s="1"/>
  <c r="BM211" i="73"/>
  <c r="BT199" i="73"/>
  <c r="BT200" i="73" s="1"/>
  <c r="BT201" i="73" s="1"/>
  <c r="BT206" i="73"/>
  <c r="BL293" i="73"/>
  <c r="BO293" i="73" s="1"/>
  <c r="BO289" i="73"/>
  <c r="BQ199" i="73"/>
  <c r="BQ200" i="73" s="1"/>
  <c r="BQ201" i="73" s="1"/>
  <c r="BU189" i="73"/>
  <c r="BQ206" i="73"/>
  <c r="BR205" i="73"/>
  <c r="BM161" i="73"/>
  <c r="BM159" i="73"/>
  <c r="BM160" i="73" s="1"/>
  <c r="BM156" i="73"/>
  <c r="BM339" i="73" s="1"/>
  <c r="BM162" i="73"/>
  <c r="BS199" i="73"/>
  <c r="BS200" i="73" s="1"/>
  <c r="BS201" i="73" s="1"/>
  <c r="BS206" i="73"/>
  <c r="BL161" i="73"/>
  <c r="BL159" i="73"/>
  <c r="BL160" i="73" s="1"/>
  <c r="BL156" i="73"/>
  <c r="BL339" i="73" s="1"/>
  <c r="BL162" i="73"/>
  <c r="BT205" i="73"/>
  <c r="BR199" i="73"/>
  <c r="BR200" i="73" s="1"/>
  <c r="BR201" i="73" s="1"/>
  <c r="BR206" i="73"/>
  <c r="BT158" i="73"/>
  <c r="BN361" i="73"/>
  <c r="BN372" i="73"/>
  <c r="BN380" i="73"/>
  <c r="BN217" i="73"/>
  <c r="BN156" i="73"/>
  <c r="BN339" i="73" s="1"/>
  <c r="BN161" i="73"/>
  <c r="BN159" i="73"/>
  <c r="BN160" i="73" s="1"/>
  <c r="BN162" i="73"/>
  <c r="BU147" i="73"/>
  <c r="BU148" i="73" s="1"/>
  <c r="BU149" i="73" s="1"/>
  <c r="BR158" i="73"/>
  <c r="BK361" i="73"/>
  <c r="BK372" i="73"/>
  <c r="BO206" i="73"/>
  <c r="BK217" i="73"/>
  <c r="BK219" i="73"/>
  <c r="BK343" i="73"/>
  <c r="BK380" i="73"/>
  <c r="BL202" i="73"/>
  <c r="BL203" i="73" s="1"/>
  <c r="BL204" i="73" s="1"/>
  <c r="BL338" i="73"/>
  <c r="BL207" i="73"/>
  <c r="BL211" i="73"/>
  <c r="BO145" i="73"/>
  <c r="BO146" i="73" s="1"/>
  <c r="BO158" i="73"/>
  <c r="BN157" i="73" l="1"/>
  <c r="BN343" i="73" s="1"/>
  <c r="BN344" i="73" s="1"/>
  <c r="BN345" i="73" s="1"/>
  <c r="BL311" i="73"/>
  <c r="BL312" i="73" s="1"/>
  <c r="BL313" i="73" s="1"/>
  <c r="BN27" i="73"/>
  <c r="BN25" i="73"/>
  <c r="BN26" i="73" s="1"/>
  <c r="BK312" i="73"/>
  <c r="BK313" i="73" s="1"/>
  <c r="BK314" i="73"/>
  <c r="BL223" i="73"/>
  <c r="BL157" i="73"/>
  <c r="BO286" i="73"/>
  <c r="BT341" i="73"/>
  <c r="BT300" i="73"/>
  <c r="BS338" i="73"/>
  <c r="BS202" i="73"/>
  <c r="BS203" i="73" s="1"/>
  <c r="BS204" i="73" s="1"/>
  <c r="BS207" i="73"/>
  <c r="BS211" i="73"/>
  <c r="BN223" i="73"/>
  <c r="BL208" i="73"/>
  <c r="BL209" i="73" s="1"/>
  <c r="BL210" i="73"/>
  <c r="BO372" i="73"/>
  <c r="BO361" i="73"/>
  <c r="BN401" i="73"/>
  <c r="BN164" i="73"/>
  <c r="BT161" i="73"/>
  <c r="BT159" i="73"/>
  <c r="BT160" i="73" s="1"/>
  <c r="BT156" i="73"/>
  <c r="BT339" i="73" s="1"/>
  <c r="BT162" i="73"/>
  <c r="BL24" i="73"/>
  <c r="BT126" i="73"/>
  <c r="BT113" i="73"/>
  <c r="BT114" i="73" s="1"/>
  <c r="BU112" i="73"/>
  <c r="BT128" i="73"/>
  <c r="BN311" i="73"/>
  <c r="BO162" i="73"/>
  <c r="BL401" i="73"/>
  <c r="BL164" i="73"/>
  <c r="BT364" i="73"/>
  <c r="BT375" i="73"/>
  <c r="BT383" i="73"/>
  <c r="BU383" i="73" s="1"/>
  <c r="BU295" i="73"/>
  <c r="BO200" i="73"/>
  <c r="BO201" i="73" s="1"/>
  <c r="BR361" i="73"/>
  <c r="BR372" i="73"/>
  <c r="BR380" i="73"/>
  <c r="BR217" i="73"/>
  <c r="BK223" i="73"/>
  <c r="BO211" i="73"/>
  <c r="BK215" i="73"/>
  <c r="BO161" i="73"/>
  <c r="BO156" i="73"/>
  <c r="BO339" i="73" s="1"/>
  <c r="BO159" i="73"/>
  <c r="BM401" i="73"/>
  <c r="BM164" i="73"/>
  <c r="BO338" i="73"/>
  <c r="BO202" i="73"/>
  <c r="BR202" i="73"/>
  <c r="BR203" i="73" s="1"/>
  <c r="BR204" i="73" s="1"/>
  <c r="BR338" i="73"/>
  <c r="BR207" i="73"/>
  <c r="BR24" i="73" s="1"/>
  <c r="BR211" i="73"/>
  <c r="BK225" i="73"/>
  <c r="BK226" i="73" s="1"/>
  <c r="BK384" i="73"/>
  <c r="BO380" i="73"/>
  <c r="BR161" i="73"/>
  <c r="BR159" i="73"/>
  <c r="BR160" i="73" s="1"/>
  <c r="BR156" i="73"/>
  <c r="BR339" i="73" s="1"/>
  <c r="BR162" i="73"/>
  <c r="BS372" i="73"/>
  <c r="BS361" i="73"/>
  <c r="BS380" i="73"/>
  <c r="BS217" i="73"/>
  <c r="BM157" i="73"/>
  <c r="BQ361" i="73"/>
  <c r="BQ372" i="73"/>
  <c r="BU206" i="73"/>
  <c r="BQ217" i="73"/>
  <c r="BQ380" i="73"/>
  <c r="BQ219" i="73"/>
  <c r="BQ343" i="73"/>
  <c r="BM223" i="73"/>
  <c r="BS156" i="73"/>
  <c r="BS339" i="73" s="1"/>
  <c r="BS161" i="73"/>
  <c r="BS159" i="73"/>
  <c r="BS160" i="73" s="1"/>
  <c r="BS162" i="73"/>
  <c r="BK210" i="73"/>
  <c r="BK208" i="73"/>
  <c r="BK209" i="73" s="1"/>
  <c r="BK24" i="73"/>
  <c r="BO207" i="73"/>
  <c r="BM311" i="73"/>
  <c r="BK221" i="73"/>
  <c r="BK222" i="73" s="1"/>
  <c r="BO217" i="73"/>
  <c r="BU299" i="73"/>
  <c r="BU297" i="73"/>
  <c r="BN210" i="73"/>
  <c r="BN208" i="73"/>
  <c r="BN209" i="73" s="1"/>
  <c r="BQ338" i="73"/>
  <c r="BQ202" i="73"/>
  <c r="BQ203" i="73" s="1"/>
  <c r="BQ204" i="73" s="1"/>
  <c r="BQ311" i="73"/>
  <c r="BQ207" i="73"/>
  <c r="BU205" i="73"/>
  <c r="BQ213" i="73"/>
  <c r="BQ211" i="73"/>
  <c r="BT372" i="73"/>
  <c r="BT361" i="73"/>
  <c r="BT380" i="73"/>
  <c r="BT217" i="73"/>
  <c r="BK344" i="73"/>
  <c r="BK345" i="73" s="1"/>
  <c r="BK346" i="73"/>
  <c r="BK349" i="73"/>
  <c r="BK347" i="73"/>
  <c r="BT202" i="73"/>
  <c r="BT203" i="73" s="1"/>
  <c r="BT204" i="73" s="1"/>
  <c r="BT338" i="73"/>
  <c r="BT207" i="73"/>
  <c r="BT24" i="73" s="1"/>
  <c r="BT211" i="73"/>
  <c r="BM27" i="73"/>
  <c r="BM25" i="73"/>
  <c r="BM26" i="73" s="1"/>
  <c r="BU190" i="73"/>
  <c r="BU191" i="73" s="1"/>
  <c r="BU199" i="73"/>
  <c r="BM208" i="73"/>
  <c r="BM209" i="73" s="1"/>
  <c r="BM210" i="73"/>
  <c r="BU145" i="73"/>
  <c r="BU146" i="73" s="1"/>
  <c r="BU158" i="73"/>
  <c r="BR293" i="73"/>
  <c r="BU293" i="73" s="1"/>
  <c r="BU289" i="73"/>
  <c r="BN381" i="73" l="1"/>
  <c r="BN384" i="73" s="1"/>
  <c r="BL314" i="73"/>
  <c r="BN362" i="73"/>
  <c r="BN346" i="73"/>
  <c r="BN373" i="73"/>
  <c r="BN347" i="73"/>
  <c r="BO157" i="73"/>
  <c r="BO343" i="73" s="1"/>
  <c r="BO344" i="73" s="1"/>
  <c r="BO345" i="73" s="1"/>
  <c r="BO311" i="73"/>
  <c r="BO314" i="73" s="1"/>
  <c r="BR157" i="73"/>
  <c r="BR362" i="73" s="1"/>
  <c r="BK227" i="73"/>
  <c r="BK228" i="73" s="1"/>
  <c r="BT157" i="73"/>
  <c r="BT362" i="73" s="1"/>
  <c r="BQ312" i="73"/>
  <c r="BQ313" i="73" s="1"/>
  <c r="BQ314" i="73"/>
  <c r="BS223" i="73"/>
  <c r="BM224" i="73"/>
  <c r="BM400" i="73"/>
  <c r="BK224" i="73"/>
  <c r="BK400" i="73"/>
  <c r="BK324" i="73" s="1"/>
  <c r="BO164" i="73"/>
  <c r="BO165" i="73" s="1"/>
  <c r="BL167" i="73"/>
  <c r="BL166" i="73" s="1"/>
  <c r="BL451" i="73"/>
  <c r="BU126" i="73"/>
  <c r="BU113" i="73"/>
  <c r="BU114" i="73" s="1"/>
  <c r="BS208" i="73"/>
  <c r="BS209" i="73" s="1"/>
  <c r="BS210" i="73"/>
  <c r="BK25" i="73"/>
  <c r="BK26" i="73" s="1"/>
  <c r="BK27" i="73"/>
  <c r="BS401" i="73"/>
  <c r="BS164" i="73"/>
  <c r="BQ346" i="73"/>
  <c r="BQ344" i="73"/>
  <c r="BQ345" i="73" s="1"/>
  <c r="BQ349" i="73"/>
  <c r="BQ347" i="73"/>
  <c r="BN314" i="73"/>
  <c r="BN312" i="73"/>
  <c r="BN313" i="73" s="1"/>
  <c r="BM314" i="73"/>
  <c r="BM312" i="73"/>
  <c r="BM313" i="73" s="1"/>
  <c r="BT123" i="73"/>
  <c r="BT129" i="73"/>
  <c r="BT130" i="73" s="1"/>
  <c r="BT131" i="73"/>
  <c r="BT122" i="73"/>
  <c r="BU128" i="73"/>
  <c r="BT124" i="73"/>
  <c r="BO287" i="73"/>
  <c r="BO210" i="73"/>
  <c r="BO208" i="73"/>
  <c r="BU162" i="73"/>
  <c r="BR401" i="73"/>
  <c r="BR164" i="73"/>
  <c r="BT223" i="73"/>
  <c r="BO401" i="73"/>
  <c r="BL362" i="73"/>
  <c r="BL373" i="73"/>
  <c r="BL381" i="73"/>
  <c r="BL410" i="73" s="1"/>
  <c r="BL343" i="73"/>
  <c r="BU200" i="73"/>
  <c r="BU201" i="73" s="1"/>
  <c r="BT208" i="73"/>
  <c r="BT209" i="73" s="1"/>
  <c r="BT210" i="73"/>
  <c r="BQ225" i="73"/>
  <c r="BQ226" i="73" s="1"/>
  <c r="BU298" i="73"/>
  <c r="BS24" i="73"/>
  <c r="BQ384" i="73"/>
  <c r="BU380" i="73"/>
  <c r="BR223" i="73"/>
  <c r="BM167" i="73"/>
  <c r="BM166" i="73" s="1"/>
  <c r="BM168" i="73" s="1"/>
  <c r="BM451" i="73"/>
  <c r="BM450" i="73" s="1"/>
  <c r="BM449" i="73" s="1"/>
  <c r="BM445" i="73" s="1"/>
  <c r="BO160" i="73"/>
  <c r="BO163" i="73"/>
  <c r="BU300" i="73"/>
  <c r="BT403" i="73"/>
  <c r="BT401" i="73"/>
  <c r="BT164" i="73"/>
  <c r="BU156" i="73"/>
  <c r="BU339" i="73" s="1"/>
  <c r="BU161" i="73"/>
  <c r="BU159" i="73"/>
  <c r="BS311" i="73"/>
  <c r="BM381" i="73"/>
  <c r="BM384" i="73" s="1"/>
  <c r="BM362" i="73"/>
  <c r="BM373" i="73"/>
  <c r="BM343" i="73"/>
  <c r="BR25" i="73"/>
  <c r="BR26" i="73" s="1"/>
  <c r="BR27" i="73"/>
  <c r="BU338" i="73"/>
  <c r="BU202" i="73"/>
  <c r="BQ221" i="73"/>
  <c r="BQ222" i="73" s="1"/>
  <c r="BU217" i="73"/>
  <c r="BR311" i="73"/>
  <c r="BO24" i="73"/>
  <c r="BU364" i="73"/>
  <c r="BU375" i="73"/>
  <c r="BU341" i="73"/>
  <c r="BU286" i="73"/>
  <c r="BO212" i="73"/>
  <c r="BO223" i="73"/>
  <c r="BO224" i="73" s="1"/>
  <c r="BT27" i="73"/>
  <c r="BT25" i="73"/>
  <c r="BT26" i="73" s="1"/>
  <c r="BL224" i="73"/>
  <c r="BL400" i="73"/>
  <c r="BK351" i="73"/>
  <c r="BQ223" i="73"/>
  <c r="BU211" i="73"/>
  <c r="BQ215" i="73"/>
  <c r="BO218" i="73"/>
  <c r="BS157" i="73"/>
  <c r="BQ210" i="73"/>
  <c r="BQ208" i="73"/>
  <c r="BQ209" i="73" s="1"/>
  <c r="BQ24" i="73"/>
  <c r="BU207" i="73"/>
  <c r="BU24" i="73" s="1"/>
  <c r="BU361" i="73"/>
  <c r="BU372" i="73"/>
  <c r="BR210" i="73"/>
  <c r="BR208" i="73"/>
  <c r="BR209" i="73" s="1"/>
  <c r="BO203" i="73"/>
  <c r="BL27" i="73"/>
  <c r="BL25" i="73"/>
  <c r="BL26" i="73" s="1"/>
  <c r="BN167" i="73"/>
  <c r="BN166" i="73" s="1"/>
  <c r="BN168" i="73" s="1"/>
  <c r="BN451" i="73"/>
  <c r="BN450" i="73" s="1"/>
  <c r="BN449" i="73" s="1"/>
  <c r="BN445" i="73" s="1"/>
  <c r="BN224" i="73"/>
  <c r="BN400" i="73"/>
  <c r="BT311" i="73"/>
  <c r="BN410" i="73" l="1"/>
  <c r="BO346" i="73"/>
  <c r="BO362" i="73"/>
  <c r="BN324" i="73"/>
  <c r="BN325" i="73" s="1"/>
  <c r="BO312" i="73"/>
  <c r="BO313" i="73" s="1"/>
  <c r="BR373" i="73"/>
  <c r="BO373" i="73"/>
  <c r="BR343" i="73"/>
  <c r="BR346" i="73" s="1"/>
  <c r="BR381" i="73"/>
  <c r="BR384" i="73" s="1"/>
  <c r="BT343" i="73"/>
  <c r="BT346" i="73" s="1"/>
  <c r="BK430" i="73"/>
  <c r="BK328" i="73" s="1"/>
  <c r="BK329" i="73" s="1"/>
  <c r="BT373" i="73"/>
  <c r="BT381" i="73"/>
  <c r="BT384" i="73" s="1"/>
  <c r="BQ227" i="73"/>
  <c r="BQ430" i="73" s="1"/>
  <c r="BM410" i="73"/>
  <c r="BU157" i="73"/>
  <c r="BU343" i="73" s="1"/>
  <c r="BU346" i="73" s="1"/>
  <c r="BT106" i="73"/>
  <c r="BU160" i="73"/>
  <c r="BU25" i="73"/>
  <c r="BU26" i="73" s="1"/>
  <c r="BU27" i="73"/>
  <c r="BR224" i="73"/>
  <c r="BR400" i="73"/>
  <c r="BQ351" i="73"/>
  <c r="BM409" i="73"/>
  <c r="BT312" i="73"/>
  <c r="BT313" i="73" s="1"/>
  <c r="BT314" i="73"/>
  <c r="BU210" i="73"/>
  <c r="BU208" i="73"/>
  <c r="BO27" i="73"/>
  <c r="BO25" i="73"/>
  <c r="BO26" i="73" s="1"/>
  <c r="BT167" i="73"/>
  <c r="BT166" i="73" s="1"/>
  <c r="BT168" i="73" s="1"/>
  <c r="BT451" i="73"/>
  <c r="BT450" i="73" s="1"/>
  <c r="BT449" i="73" s="1"/>
  <c r="BU401" i="73"/>
  <c r="BO451" i="73"/>
  <c r="BO450" i="73" s="1"/>
  <c r="BO449" i="73" s="1"/>
  <c r="BL450" i="73"/>
  <c r="BL449" i="73" s="1"/>
  <c r="BL445" i="73" s="1"/>
  <c r="BK325" i="73"/>
  <c r="BU301" i="73"/>
  <c r="BM169" i="73"/>
  <c r="BM431" i="73"/>
  <c r="BT224" i="73"/>
  <c r="BT400" i="73"/>
  <c r="BL409" i="73"/>
  <c r="BS373" i="73"/>
  <c r="BS362" i="73"/>
  <c r="BS381" i="73"/>
  <c r="BS384" i="73" s="1"/>
  <c r="BS343" i="73"/>
  <c r="BR314" i="73"/>
  <c r="BR312" i="73"/>
  <c r="BR313" i="73" s="1"/>
  <c r="BM346" i="73"/>
  <c r="BM344" i="73"/>
  <c r="BM345" i="73" s="1"/>
  <c r="BM347" i="73"/>
  <c r="BU164" i="73"/>
  <c r="BU165" i="73" s="1"/>
  <c r="BR167" i="73"/>
  <c r="BR166" i="73" s="1"/>
  <c r="BR451" i="73"/>
  <c r="BU218" i="73"/>
  <c r="BN409" i="73"/>
  <c r="BQ27" i="73"/>
  <c r="BQ25" i="73"/>
  <c r="BQ26" i="73" s="1"/>
  <c r="BU287" i="73"/>
  <c r="BL346" i="73"/>
  <c r="BL344" i="73"/>
  <c r="BL345" i="73" s="1"/>
  <c r="BL347" i="73"/>
  <c r="BU163" i="73"/>
  <c r="BO166" i="73"/>
  <c r="BL168" i="73"/>
  <c r="BQ224" i="73"/>
  <c r="BQ400" i="73"/>
  <c r="BQ324" i="73" s="1"/>
  <c r="BS314" i="73"/>
  <c r="BS312" i="73"/>
  <c r="BS313" i="73" s="1"/>
  <c r="BU123" i="73"/>
  <c r="BU122" i="73"/>
  <c r="BU124" i="73"/>
  <c r="BU129" i="73"/>
  <c r="BU130" i="73" s="1"/>
  <c r="BU131" i="73"/>
  <c r="BN350" i="73"/>
  <c r="BN349" i="73" s="1"/>
  <c r="BN351" i="73" s="1"/>
  <c r="BN220" i="73"/>
  <c r="BN219" i="73" s="1"/>
  <c r="BN221" i="73" s="1"/>
  <c r="BN222" i="73" s="1"/>
  <c r="BN214" i="73"/>
  <c r="BN213" i="73" s="1"/>
  <c r="BN303" i="73"/>
  <c r="BN302" i="73" s="1"/>
  <c r="BN304" i="73" s="1"/>
  <c r="BN50" i="73"/>
  <c r="BN49" i="73" s="1"/>
  <c r="BN51" i="73" s="1"/>
  <c r="BN100" i="73"/>
  <c r="BN99" i="73" s="1"/>
  <c r="BN101" i="73" s="1"/>
  <c r="BU203" i="73"/>
  <c r="BN169" i="73"/>
  <c r="BN431" i="73"/>
  <c r="BK409" i="73"/>
  <c r="BK385" i="73"/>
  <c r="BK392" i="73" s="1"/>
  <c r="BO400" i="73"/>
  <c r="BO204" i="73"/>
  <c r="BU223" i="73"/>
  <c r="BU224" i="73" s="1"/>
  <c r="BU212" i="73"/>
  <c r="BK352" i="73"/>
  <c r="BU311" i="73"/>
  <c r="BT412" i="73"/>
  <c r="BU403" i="73"/>
  <c r="BM350" i="73"/>
  <c r="BM349" i="73" s="1"/>
  <c r="BM220" i="73"/>
  <c r="BM219" i="73" s="1"/>
  <c r="BM221" i="73" s="1"/>
  <c r="BM222" i="73" s="1"/>
  <c r="BM214" i="73"/>
  <c r="BM213" i="73" s="1"/>
  <c r="BM303" i="73"/>
  <c r="BM302" i="73" s="1"/>
  <c r="BM304" i="73" s="1"/>
  <c r="BM50" i="73"/>
  <c r="BM49" i="73" s="1"/>
  <c r="BM51" i="73" s="1"/>
  <c r="BM100" i="73"/>
  <c r="BM99" i="73" s="1"/>
  <c r="BM101" i="73" s="1"/>
  <c r="BS25" i="73"/>
  <c r="BS26" i="73" s="1"/>
  <c r="BS27" i="73"/>
  <c r="BO381" i="73"/>
  <c r="BO410" i="73" s="1"/>
  <c r="BL384" i="73"/>
  <c r="BO209" i="73"/>
  <c r="BO288" i="73"/>
  <c r="BS167" i="73"/>
  <c r="BS166" i="73" s="1"/>
  <c r="BS168" i="73" s="1"/>
  <c r="BS451" i="73"/>
  <c r="BS450" i="73" s="1"/>
  <c r="BS449" i="73" s="1"/>
  <c r="BS224" i="73"/>
  <c r="BS400" i="73"/>
  <c r="BN385" i="73" l="1"/>
  <c r="BN386" i="73" s="1"/>
  <c r="BR347" i="73"/>
  <c r="BR324" i="73" s="1"/>
  <c r="BR385" i="73" s="1"/>
  <c r="BR344" i="73"/>
  <c r="BR345" i="73" s="1"/>
  <c r="BK439" i="73"/>
  <c r="BR410" i="73"/>
  <c r="BT347" i="73"/>
  <c r="BT324" i="73" s="1"/>
  <c r="BT385" i="73" s="1"/>
  <c r="BT344" i="73"/>
  <c r="BT345" i="73" s="1"/>
  <c r="BT410" i="73"/>
  <c r="BQ228" i="73"/>
  <c r="BT105" i="73"/>
  <c r="BU105" i="73" s="1"/>
  <c r="BU106" i="73"/>
  <c r="BU344" i="73"/>
  <c r="BU345" i="73" s="1"/>
  <c r="BS410" i="73"/>
  <c r="BU373" i="73"/>
  <c r="BU362" i="73"/>
  <c r="BK415" i="73"/>
  <c r="BK422" i="73" s="1"/>
  <c r="BK326" i="73"/>
  <c r="BK327" i="73" s="1"/>
  <c r="BU412" i="73"/>
  <c r="BO409" i="73"/>
  <c r="BU204" i="73"/>
  <c r="BM305" i="73"/>
  <c r="BM433" i="73"/>
  <c r="BM225" i="73"/>
  <c r="BM226" i="73" s="1"/>
  <c r="BM215" i="73"/>
  <c r="BM227" i="73" s="1"/>
  <c r="BN352" i="73"/>
  <c r="BL220" i="73"/>
  <c r="BL219" i="73" s="1"/>
  <c r="BL350" i="73"/>
  <c r="BL349" i="73" s="1"/>
  <c r="BO349" i="73" s="1"/>
  <c r="BO350" i="73" s="1"/>
  <c r="BL214" i="73"/>
  <c r="BL213" i="73" s="1"/>
  <c r="BL100" i="73"/>
  <c r="BL99" i="73" s="1"/>
  <c r="BL303" i="73"/>
  <c r="BL302" i="73" s="1"/>
  <c r="BL50" i="73"/>
  <c r="BL49" i="73" s="1"/>
  <c r="BQ328" i="73"/>
  <c r="BQ329" i="73" s="1"/>
  <c r="BQ352" i="73"/>
  <c r="BU451" i="73"/>
  <c r="BU450" i="73" s="1"/>
  <c r="BU449" i="73" s="1"/>
  <c r="BR450" i="73"/>
  <c r="BR449" i="73" s="1"/>
  <c r="BT409" i="73"/>
  <c r="BR409" i="73"/>
  <c r="BM52" i="73"/>
  <c r="BM426" i="73"/>
  <c r="BM440" i="73"/>
  <c r="BK404" i="73"/>
  <c r="BK413" i="73" s="1"/>
  <c r="BK395" i="73"/>
  <c r="BK393" i="73"/>
  <c r="BK387" i="73"/>
  <c r="BK14" i="73" s="1"/>
  <c r="BK15" i="73" s="1"/>
  <c r="BK394" i="73"/>
  <c r="BK386" i="73"/>
  <c r="BK388" i="73"/>
  <c r="BK390" i="73"/>
  <c r="BK391" i="73"/>
  <c r="BL324" i="73"/>
  <c r="BO347" i="73"/>
  <c r="BQ325" i="73"/>
  <c r="BO384" i="73"/>
  <c r="BQ409" i="73"/>
  <c r="BQ385" i="73"/>
  <c r="BQ392" i="73" s="1"/>
  <c r="BU400" i="73"/>
  <c r="BL169" i="73"/>
  <c r="BL431" i="73"/>
  <c r="BU288" i="73"/>
  <c r="BU166" i="73"/>
  <c r="BR168" i="73"/>
  <c r="BT264" i="73"/>
  <c r="BT445" i="73"/>
  <c r="BN102" i="73"/>
  <c r="BN428" i="73"/>
  <c r="BO167" i="73"/>
  <c r="BO168" i="73"/>
  <c r="BO169" i="73" s="1"/>
  <c r="BT169" i="73"/>
  <c r="BT431" i="73"/>
  <c r="BN225" i="73"/>
  <c r="BN226" i="73" s="1"/>
  <c r="BN215" i="73"/>
  <c r="BN227" i="73" s="1"/>
  <c r="BS409" i="73"/>
  <c r="BS445" i="73"/>
  <c r="BS264" i="73"/>
  <c r="BQ439" i="73"/>
  <c r="BN426" i="73"/>
  <c r="BN52" i="73"/>
  <c r="BS346" i="73"/>
  <c r="BS344" i="73"/>
  <c r="BS345" i="73" s="1"/>
  <c r="BS347" i="73"/>
  <c r="BU209" i="73"/>
  <c r="BS169" i="73"/>
  <c r="BS431" i="73"/>
  <c r="BM102" i="73"/>
  <c r="BM428" i="73"/>
  <c r="BU312" i="73"/>
  <c r="BU313" i="73" s="1"/>
  <c r="BU314" i="73"/>
  <c r="BN440" i="73"/>
  <c r="BN305" i="73"/>
  <c r="BN433" i="73"/>
  <c r="BM324" i="73"/>
  <c r="BM351" i="73"/>
  <c r="BU381" i="73"/>
  <c r="BU410" i="73" s="1"/>
  <c r="BN391" i="73" l="1"/>
  <c r="BN394" i="73"/>
  <c r="BN392" i="73"/>
  <c r="BN388" i="73"/>
  <c r="BN390" i="73"/>
  <c r="BN387" i="73"/>
  <c r="BN14" i="73" s="1"/>
  <c r="BN15" i="73" s="1"/>
  <c r="BN395" i="73"/>
  <c r="BN404" i="73"/>
  <c r="BN413" i="73" s="1"/>
  <c r="BN393" i="73"/>
  <c r="BS263" i="73"/>
  <c r="BS276" i="73" s="1"/>
  <c r="BS277" i="73" s="1"/>
  <c r="BT263" i="73"/>
  <c r="BT265" i="73" s="1"/>
  <c r="BK434" i="73"/>
  <c r="BK443" i="73" s="1"/>
  <c r="BK423" i="73"/>
  <c r="BK425" i="73"/>
  <c r="BK417" i="73"/>
  <c r="BK416" i="73"/>
  <c r="BK418" i="73"/>
  <c r="BK420" i="73"/>
  <c r="BK421" i="73"/>
  <c r="BK424" i="73"/>
  <c r="BQ326" i="73"/>
  <c r="BQ327" i="73" s="1"/>
  <c r="BQ415" i="73"/>
  <c r="BQ425" i="73" s="1"/>
  <c r="BR390" i="73"/>
  <c r="BR387" i="73"/>
  <c r="BR14" i="73" s="1"/>
  <c r="BR15" i="73" s="1"/>
  <c r="BR391" i="73"/>
  <c r="BR388" i="73"/>
  <c r="BR395" i="73"/>
  <c r="BR394" i="73"/>
  <c r="BR404" i="73"/>
  <c r="BR413" i="73" s="1"/>
  <c r="BR393" i="73"/>
  <c r="BR392" i="73"/>
  <c r="BT386" i="73"/>
  <c r="BT388" i="73"/>
  <c r="BT394" i="73"/>
  <c r="BT390" i="73"/>
  <c r="BT387" i="73"/>
  <c r="BT14" i="73" s="1"/>
  <c r="BT15" i="73" s="1"/>
  <c r="BT404" i="73"/>
  <c r="BT413" i="73" s="1"/>
  <c r="BT391" i="73"/>
  <c r="BT393" i="73"/>
  <c r="BT395" i="73"/>
  <c r="BT392" i="73"/>
  <c r="BM325" i="73"/>
  <c r="BM385" i="73"/>
  <c r="BT440" i="73"/>
  <c r="BN437" i="73"/>
  <c r="BL440" i="73"/>
  <c r="BO431" i="73"/>
  <c r="BO351" i="73"/>
  <c r="BO352" i="73" s="1"/>
  <c r="BO348" i="73"/>
  <c r="BO99" i="73"/>
  <c r="BL101" i="73"/>
  <c r="BM442" i="73"/>
  <c r="BN442" i="73"/>
  <c r="BL351" i="73"/>
  <c r="BL225" i="73"/>
  <c r="BL226" i="73" s="1"/>
  <c r="BL215" i="73"/>
  <c r="BO213" i="73"/>
  <c r="BM228" i="73"/>
  <c r="BM430" i="73"/>
  <c r="BM328" i="73" s="1"/>
  <c r="BN435" i="73"/>
  <c r="BR264" i="73"/>
  <c r="BR445" i="73"/>
  <c r="BR169" i="73"/>
  <c r="BR431" i="73"/>
  <c r="BU409" i="73"/>
  <c r="BM437" i="73"/>
  <c r="BU167" i="73"/>
  <c r="BU168" i="73"/>
  <c r="BU169" i="73" s="1"/>
  <c r="BQ394" i="73"/>
  <c r="BQ386" i="73"/>
  <c r="BQ388" i="73"/>
  <c r="BQ391" i="73"/>
  <c r="BQ395" i="73"/>
  <c r="BQ390" i="73"/>
  <c r="BQ404" i="73"/>
  <c r="BQ413" i="73" s="1"/>
  <c r="BQ393" i="73"/>
  <c r="BQ387" i="73"/>
  <c r="BQ14" i="73" s="1"/>
  <c r="BQ15" i="73" s="1"/>
  <c r="BM435" i="73"/>
  <c r="BU384" i="73"/>
  <c r="BL325" i="73"/>
  <c r="BO324" i="73"/>
  <c r="BL221" i="73"/>
  <c r="BL222" i="73" s="1"/>
  <c r="BO219" i="73"/>
  <c r="BS220" i="73"/>
  <c r="BS219" i="73" s="1"/>
  <c r="BS221" i="73" s="1"/>
  <c r="BS222" i="73" s="1"/>
  <c r="BS350" i="73"/>
  <c r="BS349" i="73" s="1"/>
  <c r="BS351" i="73" s="1"/>
  <c r="BS214" i="73"/>
  <c r="BS213" i="73" s="1"/>
  <c r="BS100" i="73"/>
  <c r="BS99" i="73" s="1"/>
  <c r="BS101" i="73" s="1"/>
  <c r="BS303" i="73"/>
  <c r="BS302" i="73" s="1"/>
  <c r="BS304" i="73" s="1"/>
  <c r="BS50" i="73"/>
  <c r="BS49" i="73" s="1"/>
  <c r="BS51" i="73" s="1"/>
  <c r="BN228" i="73"/>
  <c r="BN430" i="73"/>
  <c r="BN328" i="73" s="1"/>
  <c r="BT350" i="73"/>
  <c r="BT349" i="73" s="1"/>
  <c r="BT351" i="73" s="1"/>
  <c r="BT303" i="73"/>
  <c r="BT302" i="73" s="1"/>
  <c r="BT304" i="73" s="1"/>
  <c r="BT220" i="73"/>
  <c r="BT219" i="73" s="1"/>
  <c r="BT221" i="73" s="1"/>
  <c r="BT222" i="73" s="1"/>
  <c r="BT214" i="73"/>
  <c r="BT213" i="73" s="1"/>
  <c r="BT100" i="73"/>
  <c r="BT99" i="73" s="1"/>
  <c r="BT101" i="73" s="1"/>
  <c r="BT50" i="73"/>
  <c r="BT49" i="73" s="1"/>
  <c r="BT51" i="73" s="1"/>
  <c r="BR325" i="73"/>
  <c r="BT325" i="73"/>
  <c r="BO302" i="73"/>
  <c r="BL304" i="73"/>
  <c r="BS324" i="73"/>
  <c r="BU324" i="73" s="1"/>
  <c r="BM352" i="73"/>
  <c r="BS440" i="73"/>
  <c r="BL385" i="73"/>
  <c r="BO49" i="73"/>
  <c r="BL51" i="73"/>
  <c r="BU347" i="73"/>
  <c r="BT276" i="73" l="1"/>
  <c r="BT277" i="73" s="1"/>
  <c r="BS265" i="73"/>
  <c r="BS278" i="73" s="1"/>
  <c r="BR263" i="73"/>
  <c r="BU263" i="73" s="1"/>
  <c r="BQ416" i="73"/>
  <c r="BQ420" i="73"/>
  <c r="BQ423" i="73"/>
  <c r="BQ424" i="73"/>
  <c r="BQ422" i="73"/>
  <c r="BQ434" i="73"/>
  <c r="BQ443" i="73" s="1"/>
  <c r="BM329" i="73"/>
  <c r="BM326" i="73"/>
  <c r="BM327" i="73" s="1"/>
  <c r="BM415" i="73"/>
  <c r="BM418" i="73" s="1"/>
  <c r="BQ417" i="73"/>
  <c r="BQ421" i="73"/>
  <c r="BQ418" i="73"/>
  <c r="BS352" i="73"/>
  <c r="BT352" i="73"/>
  <c r="BS225" i="73"/>
  <c r="BS226" i="73" s="1"/>
  <c r="BS215" i="73"/>
  <c r="BS227" i="73" s="1"/>
  <c r="BU325" i="73"/>
  <c r="BN329" i="73"/>
  <c r="BN326" i="73"/>
  <c r="BN327" i="73" s="1"/>
  <c r="BN415" i="73"/>
  <c r="BN422" i="73" s="1"/>
  <c r="BL390" i="73"/>
  <c r="BL404" i="73"/>
  <c r="BL413" i="73" s="1"/>
  <c r="BL387" i="73"/>
  <c r="BL14" i="73" s="1"/>
  <c r="BL15" i="73" s="1"/>
  <c r="BL386" i="73"/>
  <c r="BL388" i="73"/>
  <c r="BL391" i="73"/>
  <c r="BL394" i="73"/>
  <c r="BL395" i="73"/>
  <c r="BL393" i="73"/>
  <c r="BL392" i="73"/>
  <c r="BL352" i="73"/>
  <c r="BM391" i="73"/>
  <c r="BM387" i="73"/>
  <c r="BM14" i="73" s="1"/>
  <c r="BM15" i="73" s="1"/>
  <c r="BM395" i="73"/>
  <c r="BM388" i="73"/>
  <c r="BM390" i="73"/>
  <c r="BM386" i="73"/>
  <c r="BM394" i="73"/>
  <c r="BM404" i="73"/>
  <c r="BM413" i="73" s="1"/>
  <c r="BM393" i="73"/>
  <c r="BM392" i="73"/>
  <c r="BR386" i="73"/>
  <c r="BT102" i="73"/>
  <c r="BT428" i="73"/>
  <c r="BL227" i="73"/>
  <c r="BL52" i="73"/>
  <c r="BL426" i="73"/>
  <c r="BS426" i="73"/>
  <c r="BS52" i="73"/>
  <c r="BM439" i="73"/>
  <c r="BO303" i="73"/>
  <c r="BO304" i="73"/>
  <c r="BO305" i="73" s="1"/>
  <c r="BS102" i="73"/>
  <c r="BS428" i="73"/>
  <c r="BO220" i="73"/>
  <c r="BO221" i="73"/>
  <c r="BO222" i="73" s="1"/>
  <c r="BO325" i="73"/>
  <c r="BR440" i="73"/>
  <c r="BU431" i="73"/>
  <c r="BT266" i="73"/>
  <c r="BT278" i="73"/>
  <c r="BL102" i="73"/>
  <c r="BL428" i="73"/>
  <c r="BO440" i="73"/>
  <c r="BR220" i="73"/>
  <c r="BR219" i="73" s="1"/>
  <c r="BR350" i="73"/>
  <c r="BR349" i="73" s="1"/>
  <c r="BR214" i="73"/>
  <c r="BR213" i="73" s="1"/>
  <c r="BR100" i="73"/>
  <c r="BR99" i="73" s="1"/>
  <c r="BR303" i="73"/>
  <c r="BR302" i="73" s="1"/>
  <c r="BR50" i="73"/>
  <c r="BR49" i="73" s="1"/>
  <c r="BO385" i="73"/>
  <c r="BO100" i="73"/>
  <c r="BO101" i="73"/>
  <c r="BO102" i="73" s="1"/>
  <c r="BT426" i="73"/>
  <c r="BT52" i="73"/>
  <c r="BS325" i="73"/>
  <c r="BN439" i="73"/>
  <c r="BU385" i="73"/>
  <c r="BO214" i="73"/>
  <c r="BO225" i="73"/>
  <c r="BO226" i="73" s="1"/>
  <c r="BO215" i="73"/>
  <c r="BS385" i="73"/>
  <c r="BT225" i="73"/>
  <c r="BT226" i="73" s="1"/>
  <c r="BT215" i="73"/>
  <c r="BT227" i="73" s="1"/>
  <c r="BU348" i="73"/>
  <c r="BO50" i="73"/>
  <c r="BO445" i="73"/>
  <c r="BO51" i="73"/>
  <c r="BL305" i="73"/>
  <c r="BL433" i="73"/>
  <c r="BT305" i="73"/>
  <c r="BT433" i="73"/>
  <c r="BS305" i="73"/>
  <c r="BS433" i="73"/>
  <c r="BS266" i="73" l="1"/>
  <c r="BR276" i="73"/>
  <c r="BR277" i="73" s="1"/>
  <c r="BR265" i="73"/>
  <c r="BR278" i="73" s="1"/>
  <c r="BM420" i="73"/>
  <c r="BM423" i="73"/>
  <c r="BM434" i="73"/>
  <c r="BM443" i="73" s="1"/>
  <c r="BM422" i="73"/>
  <c r="BM424" i="73"/>
  <c r="BM421" i="73"/>
  <c r="BM416" i="73"/>
  <c r="BM425" i="73"/>
  <c r="BM417" i="73"/>
  <c r="BL437" i="73"/>
  <c r="BO428" i="73"/>
  <c r="BT279" i="73"/>
  <c r="BT432" i="73"/>
  <c r="BS437" i="73"/>
  <c r="BT437" i="73"/>
  <c r="BO227" i="73"/>
  <c r="BO228" i="73" s="1"/>
  <c r="BO216" i="73"/>
  <c r="BO386" i="73"/>
  <c r="BO404" i="73"/>
  <c r="BO413" i="73" s="1"/>
  <c r="BO390" i="73"/>
  <c r="BO391" i="73"/>
  <c r="BO394" i="73"/>
  <c r="BO395" i="73"/>
  <c r="BO387" i="73"/>
  <c r="BO14" i="73" s="1"/>
  <c r="BO15" i="73" s="1"/>
  <c r="BO388" i="73"/>
  <c r="BO393" i="73"/>
  <c r="BO392" i="73"/>
  <c r="BO52" i="73"/>
  <c r="BR225" i="73"/>
  <c r="BR226" i="73" s="1"/>
  <c r="BU213" i="73"/>
  <c r="BR215" i="73"/>
  <c r="BU390" i="73"/>
  <c r="BU404" i="73"/>
  <c r="BU413" i="73" s="1"/>
  <c r="BU394" i="73"/>
  <c r="BU386" i="73"/>
  <c r="BU388" i="73"/>
  <c r="BU387" i="73"/>
  <c r="BU14" i="73" s="1"/>
  <c r="BU15" i="73" s="1"/>
  <c r="BU391" i="73"/>
  <c r="BU393" i="73"/>
  <c r="BU395" i="73"/>
  <c r="BU392" i="73"/>
  <c r="BU49" i="73"/>
  <c r="BR51" i="73"/>
  <c r="BS442" i="73"/>
  <c r="BU302" i="73"/>
  <c r="BR304" i="73"/>
  <c r="BT442" i="73"/>
  <c r="BS395" i="73"/>
  <c r="BS391" i="73"/>
  <c r="BS394" i="73"/>
  <c r="BS404" i="73"/>
  <c r="BS413" i="73" s="1"/>
  <c r="BS388" i="73"/>
  <c r="BS390" i="73"/>
  <c r="BS386" i="73"/>
  <c r="BS387" i="73"/>
  <c r="BS14" i="73" s="1"/>
  <c r="BS15" i="73" s="1"/>
  <c r="BS393" i="73"/>
  <c r="BS392" i="73"/>
  <c r="BT435" i="73"/>
  <c r="BU349" i="73"/>
  <c r="BR351" i="73"/>
  <c r="BS228" i="73"/>
  <c r="BS430" i="73"/>
  <c r="BL442" i="73"/>
  <c r="BO433" i="73"/>
  <c r="BN424" i="73"/>
  <c r="BN416" i="73"/>
  <c r="BN417" i="73"/>
  <c r="BN421" i="73"/>
  <c r="BN434" i="73"/>
  <c r="BN443" i="73" s="1"/>
  <c r="BN423" i="73"/>
  <c r="BN418" i="73"/>
  <c r="BN425" i="73"/>
  <c r="BN420" i="73"/>
  <c r="BS435" i="73"/>
  <c r="BL435" i="73"/>
  <c r="BO426" i="73"/>
  <c r="BL228" i="73"/>
  <c r="BL430" i="73"/>
  <c r="BT228" i="73"/>
  <c r="BT430" i="73"/>
  <c r="BU264" i="73"/>
  <c r="BU276" i="73"/>
  <c r="BU277" i="73" s="1"/>
  <c r="BU265" i="73"/>
  <c r="BU99" i="73"/>
  <c r="BR101" i="73"/>
  <c r="BU440" i="73"/>
  <c r="BS279" i="73"/>
  <c r="BS432" i="73"/>
  <c r="BU219" i="73"/>
  <c r="BR221" i="73"/>
  <c r="BR222" i="73" s="1"/>
  <c r="BR266" i="73" l="1"/>
  <c r="BT328" i="73"/>
  <c r="BT326" i="73" s="1"/>
  <c r="BT327" i="73" s="1"/>
  <c r="BU100" i="73"/>
  <c r="BU101" i="73"/>
  <c r="BU102" i="73" s="1"/>
  <c r="BU220" i="73"/>
  <c r="BU221" i="73"/>
  <c r="BU222" i="73" s="1"/>
  <c r="BR426" i="73"/>
  <c r="BR52" i="73"/>
  <c r="BR279" i="73"/>
  <c r="BR432" i="73"/>
  <c r="BS439" i="73"/>
  <c r="BR352" i="73"/>
  <c r="BU50" i="73"/>
  <c r="BU445" i="73"/>
  <c r="BU51" i="73"/>
  <c r="BT441" i="73"/>
  <c r="BT439" i="73"/>
  <c r="BU350" i="73"/>
  <c r="BU351" i="73"/>
  <c r="BU352" i="73" s="1"/>
  <c r="BR305" i="73"/>
  <c r="BR433" i="73"/>
  <c r="BR227" i="73"/>
  <c r="BO437" i="73"/>
  <c r="BU266" i="73"/>
  <c r="BU278" i="73"/>
  <c r="BU279" i="73" s="1"/>
  <c r="BU303" i="73"/>
  <c r="BU304" i="73"/>
  <c r="BU305" i="73" s="1"/>
  <c r="BU225" i="73"/>
  <c r="BU226" i="73" s="1"/>
  <c r="BU214" i="73"/>
  <c r="BU215" i="73"/>
  <c r="BS441" i="73"/>
  <c r="BO442" i="73"/>
  <c r="BS328" i="73"/>
  <c r="BO435" i="73"/>
  <c r="BR102" i="73"/>
  <c r="BR428" i="73"/>
  <c r="BL439" i="73"/>
  <c r="BO430" i="73"/>
  <c r="BL328" i="73"/>
  <c r="BT329" i="73" l="1"/>
  <c r="BT415" i="73"/>
  <c r="BT424" i="73" s="1"/>
  <c r="BU52" i="73"/>
  <c r="BR441" i="73"/>
  <c r="BU432" i="73"/>
  <c r="BR228" i="73"/>
  <c r="BR430" i="73"/>
  <c r="BR328" i="73" s="1"/>
  <c r="BR435" i="73"/>
  <c r="BU426" i="73"/>
  <c r="BU227" i="73"/>
  <c r="BU228" i="73" s="1"/>
  <c r="BU216" i="73"/>
  <c r="BR437" i="73"/>
  <c r="BU428" i="73"/>
  <c r="BS329" i="73"/>
  <c r="BS415" i="73"/>
  <c r="BS326" i="73"/>
  <c r="BS327" i="73" s="1"/>
  <c r="BL329" i="73"/>
  <c r="BL326" i="73"/>
  <c r="BL415" i="73"/>
  <c r="BO439" i="73"/>
  <c r="BR442" i="73"/>
  <c r="BU433" i="73"/>
  <c r="BT434" i="73" l="1"/>
  <c r="BT443" i="73" s="1"/>
  <c r="BT425" i="73"/>
  <c r="BT423" i="73"/>
  <c r="BT421" i="73"/>
  <c r="BT420" i="73"/>
  <c r="BT418" i="73"/>
  <c r="BT417" i="73"/>
  <c r="BT416" i="73"/>
  <c r="BT422" i="73"/>
  <c r="BU435" i="73"/>
  <c r="BU442" i="73"/>
  <c r="BR329" i="73"/>
  <c r="BR326" i="73"/>
  <c r="BR415" i="73"/>
  <c r="BR422" i="73" s="1"/>
  <c r="BU441" i="73"/>
  <c r="BS421" i="73"/>
  <c r="BS416" i="73"/>
  <c r="BS417" i="73"/>
  <c r="BS434" i="73"/>
  <c r="BS443" i="73" s="1"/>
  <c r="BS423" i="73"/>
  <c r="BS425" i="73"/>
  <c r="BS418" i="73"/>
  <c r="BS420" i="73"/>
  <c r="BS424" i="73"/>
  <c r="BS422" i="73"/>
  <c r="BL416" i="73"/>
  <c r="BL424" i="73"/>
  <c r="BL421" i="73"/>
  <c r="BL434" i="73"/>
  <c r="BL443" i="73" s="1"/>
  <c r="BL417" i="73"/>
  <c r="BO415" i="73"/>
  <c r="BL423" i="73"/>
  <c r="BL425" i="73"/>
  <c r="BL420" i="73"/>
  <c r="BL418" i="73"/>
  <c r="BL422" i="73"/>
  <c r="BL327" i="73"/>
  <c r="BO326" i="73"/>
  <c r="BU437" i="73"/>
  <c r="BR439" i="73"/>
  <c r="BU430" i="73"/>
  <c r="BU439" i="73" l="1"/>
  <c r="BO417" i="73"/>
  <c r="BO421" i="73"/>
  <c r="BO434" i="73"/>
  <c r="BO443" i="73" s="1"/>
  <c r="BO424" i="73"/>
  <c r="BO416" i="73"/>
  <c r="BO423" i="73"/>
  <c r="BO425" i="73"/>
  <c r="BO418" i="73"/>
  <c r="BO420" i="73"/>
  <c r="BO422" i="73"/>
  <c r="BR417" i="73"/>
  <c r="BR421" i="73"/>
  <c r="BR416" i="73"/>
  <c r="BR434" i="73"/>
  <c r="BR443" i="73" s="1"/>
  <c r="BU415" i="73"/>
  <c r="BR423" i="73"/>
  <c r="BR418" i="73"/>
  <c r="BR424" i="73"/>
  <c r="BR425" i="73"/>
  <c r="BR420" i="73"/>
  <c r="BO327" i="73"/>
  <c r="BO328" i="73"/>
  <c r="BO329" i="73" s="1"/>
  <c r="BR327" i="73"/>
  <c r="BU326" i="73"/>
  <c r="BU417" i="73" l="1"/>
  <c r="BU416" i="73"/>
  <c r="BU421" i="73"/>
  <c r="BU434" i="73"/>
  <c r="BU443" i="73" s="1"/>
  <c r="BU423" i="73"/>
  <c r="BU424" i="73"/>
  <c r="BU420" i="73"/>
  <c r="BU425" i="73"/>
  <c r="BU418" i="73"/>
  <c r="BU327" i="73"/>
  <c r="BU328" i="73"/>
  <c r="BU329" i="73" s="1"/>
  <c r="BU422" i="73"/>
  <c r="BX62" i="4" l="1"/>
  <c r="BZ62" i="4"/>
  <c r="BZ57" i="1" l="1"/>
  <c r="BX57" i="1"/>
  <c r="BX21" i="51"/>
  <c r="DR12" i="51" s="1"/>
  <c r="DR20" i="51" s="1"/>
  <c r="BZ21" i="51"/>
  <c r="DT12" i="51" s="1"/>
  <c r="DT20" i="51" s="1"/>
  <c r="BX81" i="51"/>
  <c r="BX60" i="51"/>
  <c r="BZ63" i="4"/>
  <c r="BZ81" i="51"/>
  <c r="BZ60" i="51"/>
  <c r="BX63" i="4"/>
  <c r="DT33" i="51"/>
  <c r="DT46" i="51" s="1"/>
  <c r="DR33" i="51"/>
  <c r="DR46" i="51" s="1"/>
  <c r="BX53" i="51" l="1"/>
  <c r="BZ24" i="51"/>
  <c r="DT36" i="51" s="1"/>
  <c r="DT49" i="51" s="1"/>
  <c r="BX24" i="51"/>
  <c r="BX30" i="51" s="1"/>
  <c r="BZ53" i="51"/>
  <c r="BZ22" i="51"/>
  <c r="BZ54" i="51" s="1"/>
  <c r="DT34" i="51"/>
  <c r="DT47" i="51" s="1"/>
  <c r="BZ67" i="51"/>
  <c r="DR34" i="51"/>
  <c r="DR47" i="51" s="1"/>
  <c r="BX22" i="51"/>
  <c r="BX54" i="51" s="1"/>
  <c r="BX67" i="51"/>
  <c r="BW62" i="4"/>
  <c r="BY62" i="4"/>
  <c r="BY57" i="1" l="1"/>
  <c r="BW57" i="1"/>
  <c r="BZ56" i="51"/>
  <c r="BZ30" i="51"/>
  <c r="BX56" i="51"/>
  <c r="DR36" i="51"/>
  <c r="DR49" i="51" s="1"/>
  <c r="BW63" i="4"/>
  <c r="BX28" i="51"/>
  <c r="BZ28" i="51"/>
  <c r="BY63" i="4"/>
  <c r="BY21" i="51"/>
  <c r="BW21" i="51"/>
  <c r="BY81" i="51"/>
  <c r="BY60" i="51"/>
  <c r="BW81" i="51"/>
  <c r="BW60" i="51"/>
  <c r="DS33" i="51"/>
  <c r="DS46" i="51" s="1"/>
  <c r="DQ33" i="51"/>
  <c r="DQ46" i="51" s="1"/>
  <c r="BY22" i="51" l="1"/>
  <c r="BY54" i="51" s="1"/>
  <c r="BY24" i="51"/>
  <c r="BW24" i="51"/>
  <c r="BW22" i="51"/>
  <c r="BW54" i="51" s="1"/>
  <c r="DQ34" i="51"/>
  <c r="DQ47" i="51" s="1"/>
  <c r="DS34" i="51"/>
  <c r="DS47" i="51" s="1"/>
  <c r="BY53" i="51"/>
  <c r="DS12" i="51"/>
  <c r="DS20" i="51" s="1"/>
  <c r="BW53" i="51"/>
  <c r="DQ12" i="51"/>
  <c r="DQ20" i="51" s="1"/>
  <c r="BY67" i="51"/>
  <c r="BW67" i="51"/>
  <c r="CA62" i="4"/>
  <c r="BY59" i="4"/>
  <c r="BX59" i="4"/>
  <c r="BW59" i="4"/>
  <c r="BX33" i="51" l="1"/>
  <c r="BW33" i="51"/>
  <c r="BY33" i="51"/>
  <c r="CA57" i="1"/>
  <c r="BY28" i="51"/>
  <c r="BY30" i="51"/>
  <c r="DS36" i="51"/>
  <c r="DS49" i="51" s="1"/>
  <c r="BY56" i="51"/>
  <c r="BW30" i="51"/>
  <c r="DQ36" i="51"/>
  <c r="DQ49" i="51" s="1"/>
  <c r="BW56" i="51"/>
  <c r="BW28" i="51"/>
  <c r="CA21" i="51"/>
  <c r="BX287" i="73"/>
  <c r="BX286" i="73" s="1"/>
  <c r="BX296" i="73" s="1"/>
  <c r="BY145" i="73"/>
  <c r="BY144" i="73" s="1"/>
  <c r="CA81" i="51"/>
  <c r="CA60" i="51"/>
  <c r="BW356" i="73"/>
  <c r="BW333" i="73"/>
  <c r="BW368" i="73"/>
  <c r="BW194" i="73"/>
  <c r="BW193" i="73" s="1"/>
  <c r="BW148" i="73"/>
  <c r="BW147" i="73" s="1"/>
  <c r="BW154" i="73"/>
  <c r="BW153" i="73" s="1"/>
  <c r="BW186" i="73"/>
  <c r="BW185" i="73" s="1"/>
  <c r="BW250" i="73"/>
  <c r="BW249" i="73" s="1"/>
  <c r="BW110" i="73"/>
  <c r="BW109" i="73" s="1"/>
  <c r="BW239" i="73"/>
  <c r="BW238" i="73" s="1"/>
  <c r="BW190" i="73"/>
  <c r="BW189" i="73" s="1"/>
  <c r="BW116" i="73"/>
  <c r="BW115" i="73" s="1"/>
  <c r="BW236" i="73"/>
  <c r="BW235" i="73" s="1"/>
  <c r="BW197" i="73"/>
  <c r="BW196" i="73" s="1"/>
  <c r="BW120" i="73"/>
  <c r="BW119" i="73" s="1"/>
  <c r="BW145" i="73"/>
  <c r="BW144" i="73" s="1"/>
  <c r="BW287" i="73"/>
  <c r="BW286" i="73" s="1"/>
  <c r="BZ368" i="73"/>
  <c r="BZ194" i="73"/>
  <c r="BZ193" i="73" s="1"/>
  <c r="BZ333" i="73"/>
  <c r="BZ148" i="73"/>
  <c r="BZ147" i="73" s="1"/>
  <c r="BZ154" i="73"/>
  <c r="BZ153" i="73" s="1"/>
  <c r="BZ356" i="73"/>
  <c r="BZ186" i="73"/>
  <c r="BZ185" i="73" s="1"/>
  <c r="BZ246" i="73"/>
  <c r="BZ245" i="73" s="1"/>
  <c r="BZ110" i="73"/>
  <c r="BZ109" i="73" s="1"/>
  <c r="BZ190" i="73"/>
  <c r="BZ189" i="73" s="1"/>
  <c r="BZ197" i="73"/>
  <c r="BZ196" i="73" s="1"/>
  <c r="BZ116" i="73"/>
  <c r="BZ115" i="73" s="1"/>
  <c r="BZ120" i="73"/>
  <c r="BZ119" i="73" s="1"/>
  <c r="BZ236" i="73"/>
  <c r="BZ235" i="73" s="1"/>
  <c r="BZ250" i="73"/>
  <c r="BZ249" i="73" s="1"/>
  <c r="BZ145" i="73"/>
  <c r="BZ144" i="73" s="1"/>
  <c r="BZ287" i="73"/>
  <c r="BZ286" i="73" s="1"/>
  <c r="CA368" i="73"/>
  <c r="CA333" i="73"/>
  <c r="CA356" i="73"/>
  <c r="BY368" i="73"/>
  <c r="BY154" i="73"/>
  <c r="BY153" i="73" s="1"/>
  <c r="BY356" i="73"/>
  <c r="BY186" i="73"/>
  <c r="BY185" i="73" s="1"/>
  <c r="BY333" i="73"/>
  <c r="BY148" i="73"/>
  <c r="BY147" i="73" s="1"/>
  <c r="BY194" i="73"/>
  <c r="BY193" i="73" s="1"/>
  <c r="BY250" i="73"/>
  <c r="BY249" i="73" s="1"/>
  <c r="BY110" i="73"/>
  <c r="BY109" i="73" s="1"/>
  <c r="BY190" i="73"/>
  <c r="BY189" i="73" s="1"/>
  <c r="BY197" i="73"/>
  <c r="BY196" i="73" s="1"/>
  <c r="BY120" i="73"/>
  <c r="BY119" i="73" s="1"/>
  <c r="BY116" i="73"/>
  <c r="BY115" i="73" s="1"/>
  <c r="BY236" i="73"/>
  <c r="BY235" i="73" s="1"/>
  <c r="BY239" i="73"/>
  <c r="BY238" i="73" s="1"/>
  <c r="BY287" i="73"/>
  <c r="BY286" i="73" s="1"/>
  <c r="BX145" i="73"/>
  <c r="BX144" i="73" s="1"/>
  <c r="BX333" i="73"/>
  <c r="BX148" i="73"/>
  <c r="BX147" i="73" s="1"/>
  <c r="BX356" i="73"/>
  <c r="BX368" i="73"/>
  <c r="BX186" i="73"/>
  <c r="BX185" i="73" s="1"/>
  <c r="BX194" i="73"/>
  <c r="BX193" i="73" s="1"/>
  <c r="BX154" i="73"/>
  <c r="BX153" i="73" s="1"/>
  <c r="BX250" i="73"/>
  <c r="BX249" i="73" s="1"/>
  <c r="BX110" i="73"/>
  <c r="BX109" i="73" s="1"/>
  <c r="BX190" i="73"/>
  <c r="BX189" i="73" s="1"/>
  <c r="BX197" i="73"/>
  <c r="BX196" i="73" s="1"/>
  <c r="BX116" i="73"/>
  <c r="BX115" i="73" s="1"/>
  <c r="BX120" i="73"/>
  <c r="BX119" i="73" s="1"/>
  <c r="BX236" i="73"/>
  <c r="BX235" i="73" s="1"/>
  <c r="BX239" i="73"/>
  <c r="BX238" i="73" s="1"/>
  <c r="BX35" i="51" l="1"/>
  <c r="BW35" i="51"/>
  <c r="BY35" i="51"/>
  <c r="CA249" i="73"/>
  <c r="CA24" i="51"/>
  <c r="CA53" i="51"/>
  <c r="CA67" i="51"/>
  <c r="BY296" i="73"/>
  <c r="BZ199" i="73"/>
  <c r="BZ200" i="73" s="1"/>
  <c r="BZ201" i="73" s="1"/>
  <c r="BZ206" i="73"/>
  <c r="CA185" i="73"/>
  <c r="CA186" i="73" s="1"/>
  <c r="CA187" i="73" s="1"/>
  <c r="BY93" i="73"/>
  <c r="CA153" i="73"/>
  <c r="CA154" i="73" s="1"/>
  <c r="CA155" i="73" s="1"/>
  <c r="BZ93" i="73"/>
  <c r="BY158" i="73"/>
  <c r="BY252" i="73"/>
  <c r="BZ252" i="73"/>
  <c r="BZ248" i="73"/>
  <c r="CA248" i="73" s="1"/>
  <c r="BW296" i="73"/>
  <c r="CA238" i="73"/>
  <c r="CA239" i="73" s="1"/>
  <c r="CA240" i="73" s="1"/>
  <c r="CA193" i="73"/>
  <c r="CA194" i="73" s="1"/>
  <c r="CA195" i="73" s="1"/>
  <c r="BX199" i="73"/>
  <c r="BX200" i="73" s="1"/>
  <c r="BX201" i="73" s="1"/>
  <c r="BX206" i="73"/>
  <c r="BZ296" i="73"/>
  <c r="CA235" i="73"/>
  <c r="CA236" i="73" s="1"/>
  <c r="CA237" i="73" s="1"/>
  <c r="BX93" i="73"/>
  <c r="CA147" i="73"/>
  <c r="CA148" i="73" s="1"/>
  <c r="CA149" i="73" s="1"/>
  <c r="CA109" i="73"/>
  <c r="BX127" i="73"/>
  <c r="BX252" i="73"/>
  <c r="BX158" i="73"/>
  <c r="BY127" i="73"/>
  <c r="BZ127" i="73"/>
  <c r="BX299" i="73"/>
  <c r="BX297" i="73"/>
  <c r="BX298" i="73" s="1"/>
  <c r="BX112" i="73"/>
  <c r="BX113" i="73" s="1"/>
  <c r="BX114" i="73" s="1"/>
  <c r="BX294" i="73"/>
  <c r="BX295" i="73" s="1"/>
  <c r="CA144" i="73"/>
  <c r="BW158" i="73"/>
  <c r="BZ158" i="73"/>
  <c r="BW337" i="73"/>
  <c r="BW379" i="73"/>
  <c r="BW125" i="73"/>
  <c r="BW118" i="73"/>
  <c r="CA115" i="73"/>
  <c r="BW132" i="73"/>
  <c r="BW134" i="73"/>
  <c r="BW93" i="73"/>
  <c r="BY205" i="73"/>
  <c r="BZ379" i="73"/>
  <c r="BZ125" i="73"/>
  <c r="BZ118" i="73"/>
  <c r="BZ337" i="73"/>
  <c r="BZ132" i="73"/>
  <c r="BZ134" i="73"/>
  <c r="BZ448" i="73" s="1"/>
  <c r="BW127" i="73"/>
  <c r="CA119" i="73"/>
  <c r="BW199" i="73"/>
  <c r="BW200" i="73" s="1"/>
  <c r="BW201" i="73" s="1"/>
  <c r="CA189" i="73"/>
  <c r="BW206" i="73"/>
  <c r="BY118" i="73"/>
  <c r="BY337" i="73"/>
  <c r="BY125" i="73"/>
  <c r="BY379" i="73"/>
  <c r="BY132" i="73"/>
  <c r="BY134" i="73"/>
  <c r="BY448" i="73" s="1"/>
  <c r="BZ255" i="73"/>
  <c r="BX337" i="73"/>
  <c r="BX118" i="73"/>
  <c r="BX125" i="73"/>
  <c r="BX379" i="73"/>
  <c r="BX132" i="73"/>
  <c r="BX134" i="73"/>
  <c r="BX448" i="73" s="1"/>
  <c r="BX205" i="73"/>
  <c r="BY199" i="73"/>
  <c r="BY200" i="73" s="1"/>
  <c r="BY201" i="73" s="1"/>
  <c r="BY206" i="73"/>
  <c r="BZ205" i="73"/>
  <c r="CA196" i="73"/>
  <c r="CA197" i="73" s="1"/>
  <c r="CA198" i="73" s="1"/>
  <c r="BW205" i="73"/>
  <c r="BW252" i="73"/>
  <c r="BY255" i="73" l="1"/>
  <c r="BY261" i="73" s="1"/>
  <c r="BY253" i="73"/>
  <c r="BW255" i="73"/>
  <c r="BW340" i="73" s="1"/>
  <c r="BW253" i="73"/>
  <c r="BX255" i="73"/>
  <c r="BX261" i="73" s="1"/>
  <c r="BX253" i="73"/>
  <c r="CA30" i="51"/>
  <c r="CA56" i="51"/>
  <c r="BZ253" i="73"/>
  <c r="BX257" i="73"/>
  <c r="BX258" i="73" s="1"/>
  <c r="BX259" i="73" s="1"/>
  <c r="CG150" i="73"/>
  <c r="BY257" i="73"/>
  <c r="BY258" i="73" s="1"/>
  <c r="BY259" i="73" s="1"/>
  <c r="BX364" i="73"/>
  <c r="BX383" i="73"/>
  <c r="BX375" i="73"/>
  <c r="BW299" i="73"/>
  <c r="BW297" i="73"/>
  <c r="BW298" i="73" s="1"/>
  <c r="BW112" i="73"/>
  <c r="CA296" i="73"/>
  <c r="CA297" i="73" s="1"/>
  <c r="BW294" i="73"/>
  <c r="BW295" i="73" s="1"/>
  <c r="BY399" i="73"/>
  <c r="BY136" i="73"/>
  <c r="BZ447" i="73"/>
  <c r="BZ446" i="73"/>
  <c r="BW361" i="73"/>
  <c r="BW372" i="73"/>
  <c r="CA206" i="73"/>
  <c r="BW380" i="73"/>
  <c r="BW217" i="73"/>
  <c r="BZ399" i="73"/>
  <c r="BZ136" i="73"/>
  <c r="BY202" i="73"/>
  <c r="BY203" i="73" s="1"/>
  <c r="BY204" i="73" s="1"/>
  <c r="BY338" i="73"/>
  <c r="BY207" i="73"/>
  <c r="BY211" i="73"/>
  <c r="BY371" i="73"/>
  <c r="BX371" i="73"/>
  <c r="BX96" i="73"/>
  <c r="BX91" i="73"/>
  <c r="BX336" i="73" s="1"/>
  <c r="BX94" i="73"/>
  <c r="BX97" i="73"/>
  <c r="BZ159" i="73"/>
  <c r="BZ160" i="73" s="1"/>
  <c r="BZ156" i="73"/>
  <c r="BZ339" i="73" s="1"/>
  <c r="BZ161" i="73"/>
  <c r="BZ162" i="73"/>
  <c r="BX361" i="73"/>
  <c r="BX372" i="73"/>
  <c r="BX380" i="73"/>
  <c r="BX217" i="73"/>
  <c r="BX126" i="73"/>
  <c r="BX128" i="73"/>
  <c r="BX399" i="73"/>
  <c r="BX136" i="73"/>
  <c r="BW156" i="73"/>
  <c r="BW339" i="73" s="1"/>
  <c r="BW159" i="73"/>
  <c r="BW160" i="73" s="1"/>
  <c r="BW161" i="73"/>
  <c r="BW162" i="73"/>
  <c r="BZ299" i="73"/>
  <c r="BZ112" i="73"/>
  <c r="BZ297" i="73"/>
  <c r="BZ298" i="73" s="1"/>
  <c r="BZ294" i="73"/>
  <c r="BZ295" i="73" s="1"/>
  <c r="BY156" i="73"/>
  <c r="BY339" i="73" s="1"/>
  <c r="BY159" i="73"/>
  <c r="BY160" i="73" s="1"/>
  <c r="BY161" i="73"/>
  <c r="BY162" i="73"/>
  <c r="BZ338" i="73"/>
  <c r="BZ202" i="73"/>
  <c r="BZ203" i="73" s="1"/>
  <c r="BZ204" i="73" s="1"/>
  <c r="BZ207" i="73"/>
  <c r="BZ211" i="73"/>
  <c r="CA120" i="73"/>
  <c r="CA121" i="73" s="1"/>
  <c r="CA127" i="73"/>
  <c r="BW96" i="73"/>
  <c r="BW91" i="73"/>
  <c r="BW92" i="73" s="1"/>
  <c r="BW94" i="73"/>
  <c r="CA93" i="73"/>
  <c r="BW97" i="73"/>
  <c r="CA134" i="73"/>
  <c r="CA135" i="73" s="1"/>
  <c r="BW448" i="73"/>
  <c r="CA145" i="73"/>
  <c r="CA146" i="73" s="1"/>
  <c r="CA158" i="73"/>
  <c r="BZ257" i="73"/>
  <c r="CA252" i="73"/>
  <c r="CA253" i="73" s="1"/>
  <c r="BW202" i="73"/>
  <c r="BW203" i="73" s="1"/>
  <c r="BW204" i="73" s="1"/>
  <c r="BW338" i="73"/>
  <c r="BW207" i="73"/>
  <c r="CA205" i="73"/>
  <c r="BW211" i="73"/>
  <c r="BZ340" i="73"/>
  <c r="BZ261" i="73"/>
  <c r="BW371" i="73"/>
  <c r="BX161" i="73"/>
  <c r="BX159" i="73"/>
  <c r="BX160" i="73" s="1"/>
  <c r="BX156" i="73"/>
  <c r="BX339" i="73" s="1"/>
  <c r="BX162" i="73"/>
  <c r="CA110" i="73"/>
  <c r="CA111" i="73" s="1"/>
  <c r="BW257" i="73"/>
  <c r="BZ96" i="73"/>
  <c r="BZ91" i="73"/>
  <c r="BZ336" i="73" s="1"/>
  <c r="BZ94" i="73"/>
  <c r="BZ97" i="73"/>
  <c r="BY299" i="73"/>
  <c r="BY297" i="73"/>
  <c r="BY298" i="73" s="1"/>
  <c r="BY112" i="73"/>
  <c r="BY294" i="73"/>
  <c r="BY295" i="73" s="1"/>
  <c r="CA337" i="73"/>
  <c r="CA125" i="73"/>
  <c r="CA379" i="73"/>
  <c r="CA118" i="73"/>
  <c r="CA116" i="73"/>
  <c r="BX447" i="73"/>
  <c r="BX446" i="73"/>
  <c r="CA190" i="73"/>
  <c r="CA191" i="73" s="1"/>
  <c r="CA199" i="73"/>
  <c r="BZ372" i="73"/>
  <c r="BZ380" i="73"/>
  <c r="BZ361" i="73"/>
  <c r="BZ217" i="73"/>
  <c r="BY361" i="73"/>
  <c r="BY372" i="73"/>
  <c r="BY380" i="73"/>
  <c r="BY217" i="73"/>
  <c r="BX202" i="73"/>
  <c r="BX203" i="73" s="1"/>
  <c r="BX204" i="73" s="1"/>
  <c r="BX338" i="73"/>
  <c r="BX207" i="73"/>
  <c r="BX211" i="73"/>
  <c r="BY447" i="73"/>
  <c r="BY446" i="73"/>
  <c r="BW399" i="73"/>
  <c r="BW136" i="73"/>
  <c r="CA132" i="73"/>
  <c r="BX341" i="73"/>
  <c r="BX300" i="73"/>
  <c r="BZ371" i="73"/>
  <c r="BY96" i="73"/>
  <c r="BY91" i="73"/>
  <c r="BY336" i="73" s="1"/>
  <c r="BY94" i="73"/>
  <c r="BY97" i="73"/>
  <c r="BY340" i="73" l="1"/>
  <c r="BW261" i="73"/>
  <c r="CA261" i="73" s="1"/>
  <c r="BX260" i="73"/>
  <c r="BX340" i="73"/>
  <c r="CA255" i="73"/>
  <c r="CA340" i="73" s="1"/>
  <c r="BY157" i="73"/>
  <c r="BY362" i="73" s="1"/>
  <c r="BX256" i="73"/>
  <c r="BX267" i="73" s="1"/>
  <c r="BX273" i="73" s="1"/>
  <c r="BY256" i="73"/>
  <c r="BY374" i="73" s="1"/>
  <c r="BY24" i="73"/>
  <c r="BY25" i="73" s="1"/>
  <c r="BY26" i="73" s="1"/>
  <c r="BY260" i="73"/>
  <c r="BZ157" i="73"/>
  <c r="BZ362" i="73" s="1"/>
  <c r="BZ92" i="73"/>
  <c r="BZ359" i="73" s="1"/>
  <c r="BY92" i="73"/>
  <c r="BX157" i="73"/>
  <c r="BX362" i="73" s="1"/>
  <c r="BX92" i="73"/>
  <c r="BX378" i="73" s="1"/>
  <c r="BW24" i="73"/>
  <c r="BW25" i="73" s="1"/>
  <c r="BW26" i="73" s="1"/>
  <c r="BW157" i="73"/>
  <c r="BW362" i="73" s="1"/>
  <c r="CA371" i="73"/>
  <c r="BZ398" i="73"/>
  <c r="BZ260" i="73"/>
  <c r="BZ258" i="73"/>
  <c r="BZ259" i="73" s="1"/>
  <c r="BZ256" i="73"/>
  <c r="BY401" i="73"/>
  <c r="BY164" i="73"/>
  <c r="BY451" i="73" s="1"/>
  <c r="BY450" i="73" s="1"/>
  <c r="BY449" i="73" s="1"/>
  <c r="BY445" i="73" s="1"/>
  <c r="BZ24" i="73"/>
  <c r="CA96" i="73"/>
  <c r="CA94" i="73"/>
  <c r="CA95" i="73" s="1"/>
  <c r="CA88" i="73"/>
  <c r="CA217" i="73"/>
  <c r="CA299" i="73"/>
  <c r="BY113" i="73"/>
  <c r="BY114" i="73" s="1"/>
  <c r="BY126" i="73"/>
  <c r="BY128" i="73"/>
  <c r="BW260" i="73"/>
  <c r="BW258" i="73"/>
  <c r="BW259" i="73" s="1"/>
  <c r="CA257" i="73"/>
  <c r="BW256" i="73"/>
  <c r="CA156" i="73"/>
  <c r="CA339" i="73" s="1"/>
  <c r="CA161" i="73"/>
  <c r="CA159" i="73"/>
  <c r="BW95" i="73"/>
  <c r="BZ113" i="73"/>
  <c r="BZ114" i="73" s="1"/>
  <c r="BZ128" i="73"/>
  <c r="BZ126" i="73"/>
  <c r="BX398" i="73"/>
  <c r="CA380" i="73"/>
  <c r="BY137" i="73"/>
  <c r="BY429" i="73"/>
  <c r="BW113" i="73"/>
  <c r="BW114" i="73" s="1"/>
  <c r="CA112" i="73"/>
  <c r="BW126" i="73"/>
  <c r="BW128" i="73"/>
  <c r="BW223" i="73"/>
  <c r="CA211" i="73"/>
  <c r="BY95" i="73"/>
  <c r="BX223" i="73"/>
  <c r="BW336" i="73"/>
  <c r="CA91" i="73"/>
  <c r="CA336" i="73" s="1"/>
  <c r="BY223" i="73"/>
  <c r="BW137" i="73"/>
  <c r="BW429" i="73"/>
  <c r="BX210" i="73"/>
  <c r="BX208" i="73"/>
  <c r="BX209" i="73" s="1"/>
  <c r="CA117" i="73"/>
  <c r="BW447" i="73"/>
  <c r="CA448" i="73"/>
  <c r="BW446" i="73"/>
  <c r="BZ223" i="73"/>
  <c r="BX408" i="73"/>
  <c r="BX24" i="73"/>
  <c r="BY210" i="73"/>
  <c r="BY208" i="73"/>
  <c r="BY209" i="73" s="1"/>
  <c r="BZ364" i="73"/>
  <c r="BZ375" i="73"/>
  <c r="BZ383" i="73"/>
  <c r="BZ137" i="73"/>
  <c r="BZ429" i="73"/>
  <c r="BW375" i="73"/>
  <c r="BW364" i="73"/>
  <c r="CA295" i="73"/>
  <c r="BW383" i="73"/>
  <c r="BY398" i="73"/>
  <c r="BY383" i="73"/>
  <c r="BY364" i="73"/>
  <c r="BY375" i="73"/>
  <c r="BW370" i="73"/>
  <c r="BW359" i="73"/>
  <c r="BW378" i="73"/>
  <c r="BZ341" i="73"/>
  <c r="BZ300" i="73"/>
  <c r="BZ311" i="73"/>
  <c r="BZ408" i="73"/>
  <c r="BW341" i="73"/>
  <c r="CA294" i="73"/>
  <c r="BW300" i="73"/>
  <c r="BW311" i="73"/>
  <c r="CA133" i="73"/>
  <c r="CA399" i="73"/>
  <c r="CA136" i="73"/>
  <c r="BZ95" i="73"/>
  <c r="BZ401" i="73"/>
  <c r="BZ164" i="73"/>
  <c r="BZ451" i="73" s="1"/>
  <c r="BZ450" i="73" s="1"/>
  <c r="BZ449" i="73" s="1"/>
  <c r="BZ445" i="73" s="1"/>
  <c r="CA361" i="73"/>
  <c r="CA372" i="73"/>
  <c r="BW408" i="73"/>
  <c r="CA200" i="73"/>
  <c r="CA201" i="73" s="1"/>
  <c r="BZ208" i="73"/>
  <c r="BZ209" i="73" s="1"/>
  <c r="BZ210" i="73"/>
  <c r="BX131" i="73"/>
  <c r="BX129" i="73"/>
  <c r="BX130" i="73" s="1"/>
  <c r="BX122" i="73"/>
  <c r="BX124" i="73"/>
  <c r="BX123" i="73"/>
  <c r="BX95" i="73"/>
  <c r="BX403" i="73"/>
  <c r="CA338" i="73"/>
  <c r="CA202" i="73"/>
  <c r="BY341" i="73"/>
  <c r="BY300" i="73"/>
  <c r="BY311" i="73"/>
  <c r="BW210" i="73"/>
  <c r="BW208" i="73"/>
  <c r="BW209" i="73" s="1"/>
  <c r="CA207" i="73"/>
  <c r="BX137" i="73"/>
  <c r="BX429" i="73"/>
  <c r="BY408" i="73"/>
  <c r="BX311" i="73"/>
  <c r="BX401" i="73"/>
  <c r="BX164" i="73"/>
  <c r="BX451" i="73" s="1"/>
  <c r="BX450" i="73" s="1"/>
  <c r="BX449" i="73" s="1"/>
  <c r="BX445" i="73" s="1"/>
  <c r="CA97" i="73"/>
  <c r="BW398" i="73"/>
  <c r="CA162" i="73"/>
  <c r="BW401" i="73"/>
  <c r="BW373" i="73" l="1"/>
  <c r="BY167" i="73"/>
  <c r="BY166" i="73" s="1"/>
  <c r="BY168" i="73" s="1"/>
  <c r="BY431" i="73" s="1"/>
  <c r="BW343" i="73"/>
  <c r="BY381" i="73"/>
  <c r="BY410" i="73" s="1"/>
  <c r="BY373" i="73"/>
  <c r="BX374" i="73"/>
  <c r="BX363" i="73"/>
  <c r="BX382" i="73"/>
  <c r="BY363" i="73"/>
  <c r="BY267" i="73"/>
  <c r="BY273" i="73" s="1"/>
  <c r="BY402" i="73" s="1"/>
  <c r="BW27" i="73"/>
  <c r="BY382" i="73"/>
  <c r="BY343" i="73"/>
  <c r="BY346" i="73" s="1"/>
  <c r="BY27" i="73"/>
  <c r="CA10" i="51"/>
  <c r="CA16" i="51"/>
  <c r="CA18" i="51" s="1"/>
  <c r="CA23" i="51"/>
  <c r="CA29" i="51" s="1"/>
  <c r="BX16" i="51"/>
  <c r="BX23" i="51"/>
  <c r="BZ16" i="51"/>
  <c r="BZ23" i="51"/>
  <c r="BY16" i="51"/>
  <c r="BY23" i="51"/>
  <c r="BW16" i="51"/>
  <c r="BW23" i="51"/>
  <c r="BZ10" i="51"/>
  <c r="BW381" i="73"/>
  <c r="BW410" i="73" s="1"/>
  <c r="BZ381" i="73"/>
  <c r="BY10" i="51"/>
  <c r="BZ373" i="73"/>
  <c r="BW10" i="51"/>
  <c r="BX10" i="51"/>
  <c r="CA92" i="73"/>
  <c r="CA370" i="73" s="1"/>
  <c r="BZ370" i="73"/>
  <c r="BY378" i="73"/>
  <c r="BY407" i="73" s="1"/>
  <c r="BY370" i="73"/>
  <c r="BZ378" i="73"/>
  <c r="BZ407" i="73" s="1"/>
  <c r="BY359" i="73"/>
  <c r="BX381" i="73"/>
  <c r="BZ343" i="73"/>
  <c r="BZ347" i="73" s="1"/>
  <c r="CA157" i="73"/>
  <c r="CA362" i="73" s="1"/>
  <c r="BX343" i="73"/>
  <c r="BX346" i="73" s="1"/>
  <c r="BX167" i="73"/>
  <c r="BX166" i="73" s="1"/>
  <c r="BX168" i="73" s="1"/>
  <c r="BX169" i="73" s="1"/>
  <c r="CA383" i="73"/>
  <c r="BX359" i="73"/>
  <c r="BX370" i="73"/>
  <c r="BX373" i="73"/>
  <c r="CA24" i="73"/>
  <c r="CA25" i="73" s="1"/>
  <c r="BW164" i="73"/>
  <c r="BX303" i="73"/>
  <c r="BX302" i="73" s="1"/>
  <c r="BX304" i="73" s="1"/>
  <c r="BX100" i="73"/>
  <c r="BX99" i="73" s="1"/>
  <c r="BX101" i="73" s="1"/>
  <c r="BX220" i="73"/>
  <c r="BX219" i="73" s="1"/>
  <c r="BX221" i="73" s="1"/>
  <c r="BX222" i="73" s="1"/>
  <c r="BX350" i="73"/>
  <c r="BX214" i="73"/>
  <c r="BX213" i="73" s="1"/>
  <c r="BX50" i="73"/>
  <c r="BX49" i="73" s="1"/>
  <c r="BX51" i="73" s="1"/>
  <c r="BZ100" i="73"/>
  <c r="BZ99" i="73" s="1"/>
  <c r="BZ101" i="73" s="1"/>
  <c r="BZ350" i="73"/>
  <c r="BZ220" i="73"/>
  <c r="BZ219" i="73" s="1"/>
  <c r="BZ221" i="73" s="1"/>
  <c r="BZ222" i="73" s="1"/>
  <c r="BZ303" i="73"/>
  <c r="BZ302" i="73" s="1"/>
  <c r="BZ304" i="73" s="1"/>
  <c r="BZ214" i="73"/>
  <c r="BZ213" i="73" s="1"/>
  <c r="BZ50" i="73"/>
  <c r="BZ49" i="73" s="1"/>
  <c r="BZ51" i="73" s="1"/>
  <c r="BX25" i="73"/>
  <c r="BX26" i="73" s="1"/>
  <c r="BX27" i="73"/>
  <c r="CA262" i="73"/>
  <c r="BW129" i="73"/>
  <c r="BW130" i="73" s="1"/>
  <c r="BW131" i="73"/>
  <c r="CA128" i="73"/>
  <c r="BW122" i="73"/>
  <c r="BW123" i="73"/>
  <c r="BW124" i="73"/>
  <c r="CA260" i="73"/>
  <c r="CA258" i="73"/>
  <c r="BY350" i="73"/>
  <c r="BY220" i="73"/>
  <c r="BY219" i="73" s="1"/>
  <c r="BY221" i="73" s="1"/>
  <c r="BY222" i="73" s="1"/>
  <c r="BY303" i="73"/>
  <c r="BY302" i="73" s="1"/>
  <c r="BY304" i="73" s="1"/>
  <c r="BY100" i="73"/>
  <c r="BY99" i="73" s="1"/>
  <c r="BY101" i="73" s="1"/>
  <c r="BY214" i="73"/>
  <c r="BY213" i="73" s="1"/>
  <c r="BY50" i="73"/>
  <c r="BY49" i="73" s="1"/>
  <c r="BY51" i="73" s="1"/>
  <c r="CA203" i="73"/>
  <c r="BX106" i="73"/>
  <c r="BX105" i="73" s="1"/>
  <c r="BW438" i="73"/>
  <c r="BY270" i="73"/>
  <c r="BY269" i="73" s="1"/>
  <c r="BY264" i="73"/>
  <c r="BY263" i="73" s="1"/>
  <c r="BY129" i="73"/>
  <c r="BY130" i="73" s="1"/>
  <c r="BY131" i="73"/>
  <c r="BY122" i="73"/>
  <c r="BY124" i="73"/>
  <c r="BY123" i="73"/>
  <c r="CA98" i="73"/>
  <c r="BZ129" i="73"/>
  <c r="BZ130" i="73" s="1"/>
  <c r="BZ131" i="73"/>
  <c r="BZ124" i="73"/>
  <c r="BZ123" i="73"/>
  <c r="BZ122" i="73"/>
  <c r="BW374" i="73"/>
  <c r="BW363" i="73"/>
  <c r="CA256" i="73"/>
  <c r="BW382" i="73"/>
  <c r="BW267" i="73"/>
  <c r="CA401" i="73"/>
  <c r="CA210" i="73"/>
  <c r="CA208" i="73"/>
  <c r="BZ314" i="73"/>
  <c r="BZ312" i="73"/>
  <c r="BZ313" i="73" s="1"/>
  <c r="CA163" i="73"/>
  <c r="CA137" i="73"/>
  <c r="CA429" i="73"/>
  <c r="BZ403" i="73"/>
  <c r="BZ438" i="73"/>
  <c r="BX407" i="73"/>
  <c r="CA298" i="73"/>
  <c r="CA218" i="73"/>
  <c r="BW312" i="73"/>
  <c r="BW313" i="73" s="1"/>
  <c r="BW314" i="73"/>
  <c r="CA311" i="73"/>
  <c r="CA89" i="73"/>
  <c r="BX274" i="73"/>
  <c r="BX402" i="73"/>
  <c r="CA375" i="73"/>
  <c r="CA364" i="73"/>
  <c r="BX438" i="73"/>
  <c r="BZ167" i="73"/>
  <c r="BZ166" i="73" s="1"/>
  <c r="BZ168" i="73" s="1"/>
  <c r="CA408" i="73"/>
  <c r="BZ224" i="73"/>
  <c r="BZ400" i="73"/>
  <c r="BY224" i="73"/>
  <c r="BY400" i="73"/>
  <c r="BX224" i="73"/>
  <c r="BX400" i="73"/>
  <c r="CA223" i="73"/>
  <c r="CA224" i="73" s="1"/>
  <c r="CA212" i="73"/>
  <c r="BY438" i="73"/>
  <c r="BZ363" i="73"/>
  <c r="BZ374" i="73"/>
  <c r="BZ267" i="73"/>
  <c r="BZ382" i="73"/>
  <c r="BW407" i="73"/>
  <c r="CA398" i="73"/>
  <c r="BX312" i="73"/>
  <c r="BX313" i="73" s="1"/>
  <c r="BX314" i="73"/>
  <c r="BY403" i="73"/>
  <c r="BX412" i="73"/>
  <c r="CA300" i="73"/>
  <c r="BW403" i="73"/>
  <c r="BZ264" i="73"/>
  <c r="BZ263" i="73" s="1"/>
  <c r="BZ270" i="73"/>
  <c r="BZ269" i="73" s="1"/>
  <c r="CA341" i="73"/>
  <c r="CA286" i="73"/>
  <c r="CA113" i="73"/>
  <c r="CA114" i="73" s="1"/>
  <c r="CA126" i="73"/>
  <c r="BX270" i="73"/>
  <c r="BX269" i="73" s="1"/>
  <c r="BX271" i="73" s="1"/>
  <c r="BX272" i="73" s="1"/>
  <c r="BX264" i="73"/>
  <c r="BX263" i="73" s="1"/>
  <c r="BY314" i="73"/>
  <c r="BY312" i="73"/>
  <c r="BY313" i="73" s="1"/>
  <c r="BW224" i="73"/>
  <c r="BW400" i="73"/>
  <c r="CA160" i="73"/>
  <c r="BZ25" i="73"/>
  <c r="BZ26" i="73" s="1"/>
  <c r="BZ27" i="73"/>
  <c r="BW167" i="73" l="1"/>
  <c r="BW166" i="73" s="1"/>
  <c r="CA166" i="73" s="1"/>
  <c r="BW451" i="73"/>
  <c r="BW450" i="73" s="1"/>
  <c r="BW449" i="73" s="1"/>
  <c r="BW346" i="73"/>
  <c r="BY169" i="73"/>
  <c r="BW347" i="73"/>
  <c r="BW344" i="73"/>
  <c r="BW345" i="73" s="1"/>
  <c r="BY274" i="73"/>
  <c r="BX384" i="73"/>
  <c r="BY271" i="73"/>
  <c r="BY272" i="73" s="1"/>
  <c r="BW384" i="73"/>
  <c r="BY347" i="73"/>
  <c r="BY324" i="73" s="1"/>
  <c r="BY385" i="73" s="1"/>
  <c r="BY394" i="73" s="1"/>
  <c r="BY344" i="73"/>
  <c r="BY345" i="73" s="1"/>
  <c r="BY349" i="73"/>
  <c r="BY384" i="73"/>
  <c r="CA381" i="73"/>
  <c r="BZ410" i="73"/>
  <c r="BZ18" i="51"/>
  <c r="BX29" i="51"/>
  <c r="DR35" i="51"/>
  <c r="DR48" i="51" s="1"/>
  <c r="BX55" i="51"/>
  <c r="BX25" i="51"/>
  <c r="BY18" i="51"/>
  <c r="BX18" i="51"/>
  <c r="BX48" i="51" s="1"/>
  <c r="BW29" i="51"/>
  <c r="DQ35" i="51"/>
  <c r="DQ48" i="51" s="1"/>
  <c r="BW55" i="51"/>
  <c r="BW25" i="51"/>
  <c r="BZ29" i="51"/>
  <c r="DT35" i="51"/>
  <c r="DT48" i="51" s="1"/>
  <c r="BZ55" i="51"/>
  <c r="BZ25" i="51"/>
  <c r="BW18" i="51"/>
  <c r="DS35" i="51"/>
  <c r="DS48" i="51" s="1"/>
  <c r="BY55" i="51"/>
  <c r="BY25" i="51"/>
  <c r="BY29" i="51"/>
  <c r="BY12" i="51"/>
  <c r="BY40" i="51"/>
  <c r="BZ12" i="51"/>
  <c r="BZ40" i="51"/>
  <c r="BW12" i="51"/>
  <c r="BW40" i="51"/>
  <c r="BX12" i="51"/>
  <c r="BX40" i="51"/>
  <c r="BX349" i="73"/>
  <c r="CA378" i="73"/>
  <c r="BX347" i="73"/>
  <c r="BX344" i="73"/>
  <c r="BX345" i="73" s="1"/>
  <c r="CA164" i="73"/>
  <c r="CA449" i="73" s="1"/>
  <c r="BX431" i="73"/>
  <c r="BX440" i="73" s="1"/>
  <c r="BZ344" i="73"/>
  <c r="BZ345" i="73" s="1"/>
  <c r="BZ346" i="73"/>
  <c r="BX410" i="73"/>
  <c r="CA343" i="73"/>
  <c r="CA344" i="73" s="1"/>
  <c r="CA345" i="73" s="1"/>
  <c r="BZ384" i="73"/>
  <c r="CA373" i="73"/>
  <c r="BZ349" i="73"/>
  <c r="BZ351" i="73" s="1"/>
  <c r="CA27" i="73"/>
  <c r="BW106" i="73"/>
  <c r="BW105" i="73" s="1"/>
  <c r="CA359" i="73"/>
  <c r="BZ426" i="73"/>
  <c r="BZ52" i="73"/>
  <c r="BX276" i="73"/>
  <c r="BX277" i="73" s="1"/>
  <c r="BX265" i="73"/>
  <c r="BY412" i="73"/>
  <c r="BZ225" i="73"/>
  <c r="BZ226" i="73" s="1"/>
  <c r="BZ215" i="73"/>
  <c r="BZ227" i="73" s="1"/>
  <c r="BW412" i="73"/>
  <c r="CA403" i="73"/>
  <c r="BZ412" i="73"/>
  <c r="CA382" i="73"/>
  <c r="BY276" i="73"/>
  <c r="BY277" i="73" s="1"/>
  <c r="BY265" i="73"/>
  <c r="BX225" i="73"/>
  <c r="BX226" i="73" s="1"/>
  <c r="BX215" i="73"/>
  <c r="BX227" i="73" s="1"/>
  <c r="BW409" i="73"/>
  <c r="CA400" i="73"/>
  <c r="CA287" i="73"/>
  <c r="CA301" i="73"/>
  <c r="BX409" i="73"/>
  <c r="BX411" i="73"/>
  <c r="CA363" i="73"/>
  <c r="CA374" i="73"/>
  <c r="CA245" i="73"/>
  <c r="CA246" i="73" s="1"/>
  <c r="CA247" i="73" s="1"/>
  <c r="BY106" i="73"/>
  <c r="BY105" i="73" s="1"/>
  <c r="CA259" i="73"/>
  <c r="BX426" i="73"/>
  <c r="BX52" i="73"/>
  <c r="BY411" i="73"/>
  <c r="BZ271" i="73"/>
  <c r="BZ272" i="73" s="1"/>
  <c r="BZ273" i="73"/>
  <c r="BY409" i="73"/>
  <c r="CA312" i="73"/>
  <c r="CA313" i="73" s="1"/>
  <c r="CA314" i="73"/>
  <c r="BY426" i="73"/>
  <c r="BY52" i="73"/>
  <c r="BZ102" i="73"/>
  <c r="BZ428" i="73"/>
  <c r="BX102" i="73"/>
  <c r="BX428" i="73"/>
  <c r="BZ305" i="73"/>
  <c r="BZ433" i="73"/>
  <c r="CA209" i="73"/>
  <c r="CA267" i="73"/>
  <c r="BW273" i="73"/>
  <c r="BY440" i="73"/>
  <c r="BZ276" i="73"/>
  <c r="BZ277" i="73" s="1"/>
  <c r="BZ265" i="73"/>
  <c r="BZ409" i="73"/>
  <c r="BZ169" i="73"/>
  <c r="BZ431" i="73"/>
  <c r="BY225" i="73"/>
  <c r="BY226" i="73" s="1"/>
  <c r="BY215" i="73"/>
  <c r="BY227" i="73" s="1"/>
  <c r="BX305" i="73"/>
  <c r="BX433" i="73"/>
  <c r="BY305" i="73"/>
  <c r="BY433" i="73"/>
  <c r="BZ106" i="73"/>
  <c r="CA204" i="73"/>
  <c r="CA131" i="73"/>
  <c r="CA129" i="73"/>
  <c r="CA122" i="73"/>
  <c r="CA124" i="73"/>
  <c r="CA123" i="73"/>
  <c r="CA438" i="73"/>
  <c r="BY102" i="73"/>
  <c r="BY428" i="73"/>
  <c r="BW168" i="73" l="1"/>
  <c r="BW169" i="73" s="1"/>
  <c r="CA347" i="73"/>
  <c r="CA348" i="73" s="1"/>
  <c r="BY351" i="73"/>
  <c r="BY352" i="73" s="1"/>
  <c r="CA346" i="73"/>
  <c r="CA451" i="73"/>
  <c r="CA450" i="73" s="1"/>
  <c r="CA410" i="73"/>
  <c r="DT37" i="51"/>
  <c r="DT50" i="51" s="1"/>
  <c r="BZ57" i="51"/>
  <c r="BX324" i="73"/>
  <c r="BX385" i="73" s="1"/>
  <c r="BX394" i="73" s="1"/>
  <c r="BW48" i="51"/>
  <c r="DS37" i="51"/>
  <c r="DS50" i="51" s="1"/>
  <c r="BY57" i="51"/>
  <c r="CA407" i="73"/>
  <c r="DQ37" i="51"/>
  <c r="DQ50" i="51" s="1"/>
  <c r="BW57" i="51"/>
  <c r="BZ48" i="51"/>
  <c r="DR37" i="51"/>
  <c r="DR50" i="51" s="1"/>
  <c r="BX57" i="51"/>
  <c r="BY48" i="51"/>
  <c r="BX351" i="73"/>
  <c r="BX352" i="73" s="1"/>
  <c r="BZ42" i="51"/>
  <c r="BX42" i="51"/>
  <c r="BW42" i="51"/>
  <c r="BY42" i="51"/>
  <c r="CA165" i="73"/>
  <c r="BZ105" i="73"/>
  <c r="CA105" i="73" s="1"/>
  <c r="CA106" i="73"/>
  <c r="CA384" i="73"/>
  <c r="BY437" i="73"/>
  <c r="BZ442" i="73"/>
  <c r="BY435" i="73"/>
  <c r="BZ228" i="73"/>
  <c r="BZ430" i="73"/>
  <c r="BZ266" i="73"/>
  <c r="BZ278" i="73"/>
  <c r="BX437" i="73"/>
  <c r="BY392" i="73"/>
  <c r="BZ435" i="73"/>
  <c r="BY442" i="73"/>
  <c r="BX442" i="73"/>
  <c r="BZ440" i="73"/>
  <c r="CA409" i="73"/>
  <c r="BY266" i="73"/>
  <c r="BY278" i="73"/>
  <c r="CA412" i="73"/>
  <c r="BW274" i="73"/>
  <c r="BW402" i="73"/>
  <c r="BZ437" i="73"/>
  <c r="CA130" i="73"/>
  <c r="BW270" i="73"/>
  <c r="BW269" i="73" s="1"/>
  <c r="BW264" i="73"/>
  <c r="BW263" i="73" s="1"/>
  <c r="BW445" i="73"/>
  <c r="BY228" i="73"/>
  <c r="BY430" i="73"/>
  <c r="CA268" i="73"/>
  <c r="CA273" i="73"/>
  <c r="CA274" i="73" s="1"/>
  <c r="CA167" i="73"/>
  <c r="CA168" i="73"/>
  <c r="CA169" i="73" s="1"/>
  <c r="BY404" i="73"/>
  <c r="BY413" i="73" s="1"/>
  <c r="BY388" i="73"/>
  <c r="BY387" i="73"/>
  <c r="BY14" i="73" s="1"/>
  <c r="BY15" i="73" s="1"/>
  <c r="BY386" i="73"/>
  <c r="BY391" i="73"/>
  <c r="BY390" i="73"/>
  <c r="BY393" i="73"/>
  <c r="BZ352" i="73"/>
  <c r="BX228" i="73"/>
  <c r="BX430" i="73"/>
  <c r="BZ274" i="73"/>
  <c r="BZ402" i="73"/>
  <c r="BX435" i="73"/>
  <c r="CA288" i="73"/>
  <c r="BY325" i="73"/>
  <c r="BY395" i="73"/>
  <c r="BX266" i="73"/>
  <c r="BX278" i="73"/>
  <c r="BW431" i="73" l="1"/>
  <c r="CA431" i="73" s="1"/>
  <c r="BX393" i="73"/>
  <c r="BX395" i="73"/>
  <c r="BX325" i="73"/>
  <c r="BX404" i="73"/>
  <c r="BX413" i="73" s="1"/>
  <c r="BX387" i="73"/>
  <c r="BX14" i="73" s="1"/>
  <c r="BX15" i="73" s="1"/>
  <c r="BX390" i="73"/>
  <c r="BX391" i="73"/>
  <c r="BX388" i="73"/>
  <c r="BX386" i="73"/>
  <c r="BX392" i="73"/>
  <c r="BZ439" i="73"/>
  <c r="BZ279" i="73"/>
  <c r="BZ432" i="73"/>
  <c r="BZ328" i="73" s="1"/>
  <c r="BZ411" i="73"/>
  <c r="BZ324" i="73"/>
  <c r="BX279" i="73"/>
  <c r="BX432" i="73"/>
  <c r="BW100" i="73"/>
  <c r="BW99" i="73" s="1"/>
  <c r="BW214" i="73"/>
  <c r="BW213" i="73" s="1"/>
  <c r="BW350" i="73"/>
  <c r="BW349" i="73" s="1"/>
  <c r="BW303" i="73"/>
  <c r="BW302" i="73" s="1"/>
  <c r="BW220" i="73"/>
  <c r="BW219" i="73" s="1"/>
  <c r="BW50" i="73"/>
  <c r="BW49" i="73" s="1"/>
  <c r="BY439" i="73"/>
  <c r="BW276" i="73"/>
  <c r="BW277" i="73" s="1"/>
  <c r="CA263" i="73"/>
  <c r="BW265" i="73"/>
  <c r="BW411" i="73"/>
  <c r="CA402" i="73"/>
  <c r="BW324" i="73"/>
  <c r="BW385" i="73" s="1"/>
  <c r="CA269" i="73"/>
  <c r="BW271" i="73"/>
  <c r="BW272" i="73" s="1"/>
  <c r="BY279" i="73"/>
  <c r="BY432" i="73"/>
  <c r="BX439" i="73"/>
  <c r="BW440" i="73" l="1"/>
  <c r="BW388" i="73"/>
  <c r="BW387" i="73"/>
  <c r="BW14" i="73" s="1"/>
  <c r="BW15" i="73" s="1"/>
  <c r="BW386" i="73"/>
  <c r="BW404" i="73"/>
  <c r="BW413" i="73" s="1"/>
  <c r="BW391" i="73"/>
  <c r="BW393" i="73"/>
  <c r="BW390" i="73"/>
  <c r="BW392" i="73"/>
  <c r="BW395" i="73"/>
  <c r="BW394" i="73"/>
  <c r="CA270" i="73"/>
  <c r="CA271" i="73"/>
  <c r="CA272" i="73" s="1"/>
  <c r="CA49" i="73"/>
  <c r="BW51" i="73"/>
  <c r="BZ325" i="73"/>
  <c r="BZ326" i="73"/>
  <c r="BZ327" i="73" s="1"/>
  <c r="BZ441" i="73"/>
  <c r="CA411" i="73"/>
  <c r="CA219" i="73"/>
  <c r="BW221" i="73"/>
  <c r="BW222" i="73" s="1"/>
  <c r="BX441" i="73"/>
  <c r="BX328" i="73"/>
  <c r="BZ385" i="73"/>
  <c r="BY441" i="73"/>
  <c r="BY328" i="73"/>
  <c r="BZ329" i="73"/>
  <c r="BZ415" i="73"/>
  <c r="CA302" i="73"/>
  <c r="BW304" i="73"/>
  <c r="CA264" i="73"/>
  <c r="CA276" i="73"/>
  <c r="CA277" i="73" s="1"/>
  <c r="CA265" i="73"/>
  <c r="CA349" i="73"/>
  <c r="BW351" i="73"/>
  <c r="BW266" i="73"/>
  <c r="BW278" i="73"/>
  <c r="BW225" i="73"/>
  <c r="BW226" i="73" s="1"/>
  <c r="CA213" i="73"/>
  <c r="BW215" i="73"/>
  <c r="BW325" i="73"/>
  <c r="CA324" i="73"/>
  <c r="CA385" i="73" s="1"/>
  <c r="CA440" i="73"/>
  <c r="CA99" i="73"/>
  <c r="BW101" i="73"/>
  <c r="BW227" i="73" l="1"/>
  <c r="BW430" i="73" s="1"/>
  <c r="CA388" i="73"/>
  <c r="CA386" i="73"/>
  <c r="CA404" i="73"/>
  <c r="CA413" i="73" s="1"/>
  <c r="CA387" i="73"/>
  <c r="CA14" i="73" s="1"/>
  <c r="CA15" i="73" s="1"/>
  <c r="CA391" i="73"/>
  <c r="CA390" i="73"/>
  <c r="CA393" i="73"/>
  <c r="CA395" i="73"/>
  <c r="CA392" i="73"/>
  <c r="CA394" i="73"/>
  <c r="CA303" i="73"/>
  <c r="CA304" i="73"/>
  <c r="CA305" i="73" s="1"/>
  <c r="CA214" i="73"/>
  <c r="CA225" i="73"/>
  <c r="CA226" i="73" s="1"/>
  <c r="CA215" i="73"/>
  <c r="CA278" i="73"/>
  <c r="CA279" i="73" s="1"/>
  <c r="CA266" i="73"/>
  <c r="BW102" i="73"/>
  <c r="BW428" i="73"/>
  <c r="BW279" i="73"/>
  <c r="BW432" i="73"/>
  <c r="CA350" i="73"/>
  <c r="CA351" i="73"/>
  <c r="CA352" i="73" s="1"/>
  <c r="BX329" i="73"/>
  <c r="BX415" i="73"/>
  <c r="BX326" i="73"/>
  <c r="BX327" i="73" s="1"/>
  <c r="CA220" i="73"/>
  <c r="CA221" i="73"/>
  <c r="CA222" i="73" s="1"/>
  <c r="BW228" i="73"/>
  <c r="CA100" i="73"/>
  <c r="CA101" i="73"/>
  <c r="CA102" i="73" s="1"/>
  <c r="BZ388" i="73"/>
  <c r="BZ404" i="73"/>
  <c r="BZ413" i="73" s="1"/>
  <c r="BZ387" i="73"/>
  <c r="BZ14" i="73" s="1"/>
  <c r="BZ15" i="73" s="1"/>
  <c r="BZ386" i="73"/>
  <c r="BZ391" i="73"/>
  <c r="BZ393" i="73"/>
  <c r="BZ390" i="73"/>
  <c r="BZ395" i="73"/>
  <c r="BZ392" i="73"/>
  <c r="BZ394" i="73"/>
  <c r="BW426" i="73"/>
  <c r="BW52" i="73"/>
  <c r="BW305" i="73"/>
  <c r="BW433" i="73"/>
  <c r="BZ417" i="73"/>
  <c r="BZ434" i="73"/>
  <c r="BZ443" i="73" s="1"/>
  <c r="BZ416" i="73"/>
  <c r="BZ421" i="73"/>
  <c r="BZ418" i="73"/>
  <c r="BZ423" i="73"/>
  <c r="BZ425" i="73"/>
  <c r="BZ420" i="73"/>
  <c r="BZ422" i="73"/>
  <c r="BW352" i="73"/>
  <c r="BY329" i="73"/>
  <c r="BY326" i="73"/>
  <c r="BY327" i="73" s="1"/>
  <c r="BY415" i="73"/>
  <c r="CA325" i="73"/>
  <c r="BZ424" i="73"/>
  <c r="CA445" i="73"/>
  <c r="CA50" i="73"/>
  <c r="CA51" i="73"/>
  <c r="BW328" i="73" l="1"/>
  <c r="BW329" i="73" s="1"/>
  <c r="BW437" i="73"/>
  <c r="CA428" i="73"/>
  <c r="BW439" i="73"/>
  <c r="CA430" i="73"/>
  <c r="BW442" i="73"/>
  <c r="CA433" i="73"/>
  <c r="BW441" i="73"/>
  <c r="CA432" i="73"/>
  <c r="CA227" i="73"/>
  <c r="CA228" i="73" s="1"/>
  <c r="CA216" i="73"/>
  <c r="BX417" i="73"/>
  <c r="BX416" i="73"/>
  <c r="BX434" i="73"/>
  <c r="BX443" i="73" s="1"/>
  <c r="BX421" i="73"/>
  <c r="BX423" i="73"/>
  <c r="BX418" i="73"/>
  <c r="BX425" i="73"/>
  <c r="BX420" i="73"/>
  <c r="BX422" i="73"/>
  <c r="BX424" i="73"/>
  <c r="CA52" i="73"/>
  <c r="BY417" i="73"/>
  <c r="BY416" i="73"/>
  <c r="BY434" i="73"/>
  <c r="BY443" i="73" s="1"/>
  <c r="BY421" i="73"/>
  <c r="BY423" i="73"/>
  <c r="BY420" i="73"/>
  <c r="BY418" i="73"/>
  <c r="BY425" i="73"/>
  <c r="BY422" i="73"/>
  <c r="BY424" i="73"/>
  <c r="BW435" i="73"/>
  <c r="CA426" i="73"/>
  <c r="BW415" i="73" l="1"/>
  <c r="BW418" i="73" s="1"/>
  <c r="BW326" i="73"/>
  <c r="CA326" i="73" s="1"/>
  <c r="CA439" i="73"/>
  <c r="CA435" i="73"/>
  <c r="CA442" i="73"/>
  <c r="CA441" i="73"/>
  <c r="CA437" i="73"/>
  <c r="BW417" i="73" l="1"/>
  <c r="BW421" i="73"/>
  <c r="CA415" i="73"/>
  <c r="CA424" i="73" s="1"/>
  <c r="BW423" i="73"/>
  <c r="BW434" i="73"/>
  <c r="BW443" i="73" s="1"/>
  <c r="BW416" i="73"/>
  <c r="BW327" i="73"/>
  <c r="BW422" i="73"/>
  <c r="BW420" i="73"/>
  <c r="BW424" i="73"/>
  <c r="BW425" i="73"/>
  <c r="CA327" i="73"/>
  <c r="CA328" i="73"/>
  <c r="CA329" i="73" s="1"/>
  <c r="CA423" i="73" l="1"/>
  <c r="CA421" i="73"/>
  <c r="CA422" i="73"/>
  <c r="CA416" i="73"/>
  <c r="CA417" i="73"/>
  <c r="CA434" i="73"/>
  <c r="CA443" i="73" s="1"/>
  <c r="CA418" i="73"/>
  <c r="CA425" i="73"/>
  <c r="CA420" i="73"/>
  <c r="BU36" i="73" l="1"/>
  <c r="BU63" i="4" s="1"/>
  <c r="BU22" i="51" l="1"/>
  <c r="BU40" i="73"/>
  <c r="BU90" i="73"/>
  <c r="BU95" i="73"/>
  <c r="BU45" i="73"/>
  <c r="BU38" i="4"/>
  <c r="BU9" i="51" s="1"/>
  <c r="BU54" i="51" l="1"/>
  <c r="BU10" i="51"/>
  <c r="BU12" i="51" s="1"/>
  <c r="BU16" i="51"/>
  <c r="BU23" i="51"/>
  <c r="BU25" i="51" s="1"/>
  <c r="BU28" i="51"/>
  <c r="BU40" i="51" l="1"/>
  <c r="CA40" i="51"/>
  <c r="BU29" i="51"/>
  <c r="CA55" i="51"/>
  <c r="BU55" i="51"/>
  <c r="BU18" i="51"/>
  <c r="BU57" i="51"/>
  <c r="BU42" i="51"/>
  <c r="BU39" i="51"/>
  <c r="CA40" i="73"/>
  <c r="CA317" i="73"/>
  <c r="CA26" i="73"/>
  <c r="CA45" i="73"/>
  <c r="CA90" i="73"/>
  <c r="CA36" i="73"/>
  <c r="CA48" i="51" l="1"/>
  <c r="BU48" i="51"/>
  <c r="CA38" i="4"/>
  <c r="CA9" i="51" s="1"/>
  <c r="CA12" i="51" s="1"/>
  <c r="CA63" i="4"/>
  <c r="CA42" i="51" l="1"/>
  <c r="CA22" i="51"/>
  <c r="CA54" i="51" s="1"/>
  <c r="CA25" i="51" l="1"/>
  <c r="CA28" i="51"/>
  <c r="CA39" i="51"/>
  <c r="CE323" i="73"/>
  <c r="CE246" i="73"/>
  <c r="CE245" i="73" s="1"/>
  <c r="CD154" i="73"/>
  <c r="CD153" i="73" s="1"/>
  <c r="CE148" i="73"/>
  <c r="CE147" i="73" s="1"/>
  <c r="CD246" i="73"/>
  <c r="CD245" i="73" s="1"/>
  <c r="CE319" i="73"/>
  <c r="CE318" i="73" s="1"/>
  <c r="CD186" i="73"/>
  <c r="CD185" i="73" s="1"/>
  <c r="CE154" i="73"/>
  <c r="CE153" i="73" s="1"/>
  <c r="CD194" i="73"/>
  <c r="CD193" i="73" s="1"/>
  <c r="CE194" i="73"/>
  <c r="CE193" i="73" s="1"/>
  <c r="CD319" i="73"/>
  <c r="CD318" i="73" s="1"/>
  <c r="CD148" i="73"/>
  <c r="CD147" i="73" s="1"/>
  <c r="CE186" i="73"/>
  <c r="CE185" i="73" s="1"/>
  <c r="CE44" i="4" l="1"/>
  <c r="CE50" i="4"/>
  <c r="CA57" i="51"/>
  <c r="CE248" i="73"/>
  <c r="CD248" i="73"/>
  <c r="CE13" i="51" l="1"/>
  <c r="DW30" i="51"/>
  <c r="CE62" i="51"/>
  <c r="CE37" i="4"/>
  <c r="CE38" i="4" s="1"/>
  <c r="CE63" i="51"/>
  <c r="CE15" i="51"/>
  <c r="DW31" i="51"/>
  <c r="CE56" i="4"/>
  <c r="CD37" i="4"/>
  <c r="CD38" i="4" s="1"/>
  <c r="CG36" i="4"/>
  <c r="CD50" i="4"/>
  <c r="CG49" i="4"/>
  <c r="CG50" i="4" s="1"/>
  <c r="CD56" i="4"/>
  <c r="CG55" i="4"/>
  <c r="CD44" i="4"/>
  <c r="CG43" i="4"/>
  <c r="CG44" i="4" s="1"/>
  <c r="CG61" i="4" l="1"/>
  <c r="EA44" i="51"/>
  <c r="DW44" i="51"/>
  <c r="EA43" i="51"/>
  <c r="DW43" i="51"/>
  <c r="DW10" i="51"/>
  <c r="EA18" i="51" s="1"/>
  <c r="CE45" i="51"/>
  <c r="CK45" i="51"/>
  <c r="CE70" i="51"/>
  <c r="CK70" i="51"/>
  <c r="CE69" i="51"/>
  <c r="CK69" i="51"/>
  <c r="CE62" i="4"/>
  <c r="CE34" i="51"/>
  <c r="CE64" i="51"/>
  <c r="CE19" i="51"/>
  <c r="DW32" i="51"/>
  <c r="DW9" i="51"/>
  <c r="EA17" i="51" s="1"/>
  <c r="CK43" i="51"/>
  <c r="CE43" i="51"/>
  <c r="CD62" i="4"/>
  <c r="CG56" i="4"/>
  <c r="CG63" i="51"/>
  <c r="CG15" i="51"/>
  <c r="CG45" i="51" s="1"/>
  <c r="CD15" i="51"/>
  <c r="CD63" i="51"/>
  <c r="DV31" i="51"/>
  <c r="CG13" i="51"/>
  <c r="CG43" i="51" s="1"/>
  <c r="CG62" i="51"/>
  <c r="CD34" i="51"/>
  <c r="CD64" i="51"/>
  <c r="DV32" i="51"/>
  <c r="CD19" i="51"/>
  <c r="CD62" i="51"/>
  <c r="CD13" i="51"/>
  <c r="DV30" i="51"/>
  <c r="CD250" i="73"/>
  <c r="CD249" i="73" s="1"/>
  <c r="CE250" i="73"/>
  <c r="CE249" i="73" s="1"/>
  <c r="DV43" i="51" l="1"/>
  <c r="DZ43" i="51"/>
  <c r="DV44" i="51"/>
  <c r="DZ44" i="51"/>
  <c r="DV45" i="51"/>
  <c r="DZ45" i="51"/>
  <c r="EA45" i="51"/>
  <c r="DW45" i="51"/>
  <c r="DW17" i="51"/>
  <c r="DW18" i="51"/>
  <c r="CE71" i="51"/>
  <c r="CK71" i="51"/>
  <c r="CE63" i="4"/>
  <c r="CE57" i="1"/>
  <c r="DW11" i="51"/>
  <c r="EA19" i="51" s="1"/>
  <c r="CK49" i="51"/>
  <c r="CE49" i="51"/>
  <c r="CD63" i="4"/>
  <c r="CD69" i="51"/>
  <c r="CJ69" i="51"/>
  <c r="CJ45" i="51"/>
  <c r="DV10" i="51"/>
  <c r="CD45" i="51"/>
  <c r="CG70" i="51"/>
  <c r="CJ49" i="51"/>
  <c r="DV11" i="51"/>
  <c r="CD49" i="51"/>
  <c r="CJ43" i="51"/>
  <c r="DV9" i="51"/>
  <c r="CD43" i="51"/>
  <c r="CD71" i="51"/>
  <c r="CJ71" i="51"/>
  <c r="CG34" i="51"/>
  <c r="CG69" i="51"/>
  <c r="CD70" i="51"/>
  <c r="CJ70" i="51"/>
  <c r="CG19" i="51"/>
  <c r="CG49" i="51" s="1"/>
  <c r="CG64" i="51"/>
  <c r="CE252" i="73"/>
  <c r="CE253" i="73" s="1"/>
  <c r="CE254" i="73" s="1"/>
  <c r="CD252" i="73"/>
  <c r="CD253" i="73" s="1"/>
  <c r="CD254" i="73" s="1"/>
  <c r="DV19" i="51" l="1"/>
  <c r="DZ19" i="51"/>
  <c r="DV17" i="51"/>
  <c r="DZ17" i="51"/>
  <c r="DV18" i="51"/>
  <c r="DZ18" i="51"/>
  <c r="DW19" i="51"/>
  <c r="CG71" i="51"/>
  <c r="CE14" i="51"/>
  <c r="CE17" i="51"/>
  <c r="CE20" i="51"/>
  <c r="CD14" i="51"/>
  <c r="CD17" i="51"/>
  <c r="CD20" i="51"/>
  <c r="CD47" i="51" l="1"/>
  <c r="CE50" i="51"/>
  <c r="CD50" i="51"/>
  <c r="CD44" i="51"/>
  <c r="CE47" i="51"/>
  <c r="CE44" i="51"/>
  <c r="CD110" i="73" l="1"/>
  <c r="CD109" i="73" s="1"/>
  <c r="CE190" i="73" l="1"/>
  <c r="CE189" i="73" s="1"/>
  <c r="CD190" i="73"/>
  <c r="CD189" i="73" s="1"/>
  <c r="CD199" i="73" l="1"/>
  <c r="CD200" i="73" s="1"/>
  <c r="CD201" i="73" s="1"/>
  <c r="CD206" i="73"/>
  <c r="CE199" i="73"/>
  <c r="CE200" i="73" s="1"/>
  <c r="CE201" i="73" s="1"/>
  <c r="CE206" i="73"/>
  <c r="CE361" i="73" l="1"/>
  <c r="CD361" i="73"/>
  <c r="CD217" i="73"/>
  <c r="CE217" i="73"/>
  <c r="CE110" i="73" l="1"/>
  <c r="CE109" i="73" s="1"/>
  <c r="CD287" i="73"/>
  <c r="CD286" i="73" s="1"/>
  <c r="CD296" i="73" l="1"/>
  <c r="CD112" i="73" l="1"/>
  <c r="CD113" i="73" s="1"/>
  <c r="CD114" i="73" s="1"/>
  <c r="CD297" i="73"/>
  <c r="CD298" i="73" s="1"/>
  <c r="CD294" i="73"/>
  <c r="CD341" i="73" s="1"/>
  <c r="CD300" i="73" l="1"/>
  <c r="CD403" i="73" s="1"/>
  <c r="CD295" i="73"/>
  <c r="CD383" i="73" l="1"/>
  <c r="CD412" i="73" s="1"/>
  <c r="CD364" i="73"/>
  <c r="CD375" i="73"/>
  <c r="CD116" i="73"/>
  <c r="CD115" i="73" s="1"/>
  <c r="CE116" i="73"/>
  <c r="CE115" i="73" s="1"/>
  <c r="CE134" i="73" l="1"/>
  <c r="CE448" i="73" s="1"/>
  <c r="CE379" i="73"/>
  <c r="CE337" i="73"/>
  <c r="CD134" i="73"/>
  <c r="CD448" i="73" s="1"/>
  <c r="CD379" i="73"/>
  <c r="CD337" i="73"/>
  <c r="CE125" i="73"/>
  <c r="CE132" i="73"/>
  <c r="CE399" i="73" s="1"/>
  <c r="CD126" i="73"/>
  <c r="CD125" i="73"/>
  <c r="CD132" i="73"/>
  <c r="CD399" i="73" s="1"/>
  <c r="CE408" i="73" l="1"/>
  <c r="CD408" i="73"/>
  <c r="CD446" i="73"/>
  <c r="CJ446" i="73" s="1"/>
  <c r="CP446" i="73" s="1"/>
  <c r="CV446" i="73" s="1"/>
  <c r="CD447" i="73"/>
  <c r="CE136" i="73"/>
  <c r="CE429" i="73" s="1"/>
  <c r="CE438" i="73" s="1"/>
  <c r="CD136" i="73"/>
  <c r="CJ445" i="73" l="1"/>
  <c r="CD137" i="73"/>
  <c r="CD429" i="73"/>
  <c r="CE137" i="73"/>
  <c r="CJ220" i="73" l="1"/>
  <c r="CJ100" i="73"/>
  <c r="CJ350" i="73"/>
  <c r="CJ327" i="73"/>
  <c r="CJ214" i="73"/>
  <c r="CJ50" i="73"/>
  <c r="CJ303" i="73"/>
  <c r="CV445" i="73"/>
  <c r="CV76" i="73" s="1"/>
  <c r="CV75" i="73" s="1"/>
  <c r="CP445" i="73"/>
  <c r="CP76" i="73" s="1"/>
  <c r="CD438" i="73"/>
  <c r="CV303" i="73" l="1"/>
  <c r="CV350" i="73"/>
  <c r="CV100" i="73"/>
  <c r="CV220" i="73"/>
  <c r="CV327" i="73"/>
  <c r="CV214" i="73"/>
  <c r="CV50" i="73"/>
  <c r="CP220" i="73"/>
  <c r="CP350" i="73"/>
  <c r="CP100" i="73"/>
  <c r="CP303" i="73"/>
  <c r="CP50" i="73"/>
  <c r="CP327" i="73"/>
  <c r="CP214" i="73"/>
  <c r="CD197" i="73" l="1"/>
  <c r="CD196" i="73" s="1"/>
  <c r="CE197" i="73"/>
  <c r="CE196" i="73" s="1"/>
  <c r="CE205" i="73" s="1"/>
  <c r="CE287" i="73"/>
  <c r="CE286" i="73" s="1"/>
  <c r="CE338" i="73" l="1"/>
  <c r="CE380" i="73"/>
  <c r="CD205" i="73"/>
  <c r="CE202" i="73"/>
  <c r="CE203" i="73" s="1"/>
  <c r="CE204" i="73" s="1"/>
  <c r="CE207" i="73"/>
  <c r="CE211" i="73"/>
  <c r="CE296" i="73"/>
  <c r="CD338" i="73" l="1"/>
  <c r="CD380" i="73"/>
  <c r="CD372" i="73"/>
  <c r="CE223" i="73"/>
  <c r="CE400" i="73" s="1"/>
  <c r="CE409" i="73" s="1"/>
  <c r="CE297" i="73"/>
  <c r="CE298" i="73" s="1"/>
  <c r="CE112" i="73"/>
  <c r="CE294" i="73"/>
  <c r="CE341" i="73" s="1"/>
  <c r="CE208" i="73"/>
  <c r="CE209" i="73" s="1"/>
  <c r="CD202" i="73"/>
  <c r="CD203" i="73" s="1"/>
  <c r="CD204" i="73" s="1"/>
  <c r="CD207" i="73"/>
  <c r="CD211" i="73"/>
  <c r="CE224" i="73" l="1"/>
  <c r="CE300" i="73"/>
  <c r="CE403" i="73" s="1"/>
  <c r="CD208" i="73"/>
  <c r="CD209" i="73" s="1"/>
  <c r="CE295" i="73"/>
  <c r="CD223" i="73"/>
  <c r="CD400" i="73" s="1"/>
  <c r="CD409" i="73" s="1"/>
  <c r="CE113" i="73"/>
  <c r="CE114" i="73" s="1"/>
  <c r="CE126" i="73"/>
  <c r="CE383" i="73" l="1"/>
  <c r="CE412" i="73" s="1"/>
  <c r="CE364" i="73"/>
  <c r="CD224" i="73"/>
  <c r="CE120" i="73" l="1"/>
  <c r="CE119" i="73" s="1"/>
  <c r="CD239" i="73"/>
  <c r="CD238" i="73" s="1"/>
  <c r="CD120" i="73"/>
  <c r="CD119" i="73" s="1"/>
  <c r="CD236" i="73"/>
  <c r="CD235" i="73" s="1"/>
  <c r="CE239" i="73"/>
  <c r="CE238" i="73" s="1"/>
  <c r="CD255" i="73" l="1"/>
  <c r="CE93" i="73"/>
  <c r="CD93" i="73"/>
  <c r="CD128" i="73"/>
  <c r="CD124" i="73" s="1"/>
  <c r="CD127" i="73"/>
  <c r="CD371" i="73" s="1"/>
  <c r="CE128" i="73"/>
  <c r="CE124" i="73" s="1"/>
  <c r="CE127" i="73"/>
  <c r="CD257" i="73"/>
  <c r="CD261" i="73" l="1"/>
  <c r="CD340" i="73"/>
  <c r="CD94" i="73"/>
  <c r="CD95" i="73" s="1"/>
  <c r="CD91" i="73"/>
  <c r="CD97" i="73"/>
  <c r="CD398" i="73" s="1"/>
  <c r="CE129" i="73"/>
  <c r="CE130" i="73" s="1"/>
  <c r="CE122" i="73"/>
  <c r="CE123" i="73"/>
  <c r="CE94" i="73"/>
  <c r="CE95" i="73" s="1"/>
  <c r="CE91" i="73"/>
  <c r="CE97" i="73"/>
  <c r="CE398" i="73" s="1"/>
  <c r="CD258" i="73"/>
  <c r="CD259" i="73" s="1"/>
  <c r="CD256" i="73"/>
  <c r="CD129" i="73"/>
  <c r="CD130" i="73" s="1"/>
  <c r="CD122" i="73"/>
  <c r="CD123" i="73"/>
  <c r="CE92" i="73" l="1"/>
  <c r="CE336" i="73"/>
  <c r="CD382" i="73"/>
  <c r="CD363" i="73"/>
  <c r="CD374" i="73"/>
  <c r="CD92" i="73"/>
  <c r="CD336" i="73"/>
  <c r="CE106" i="73"/>
  <c r="CE105" i="73" s="1"/>
  <c r="CD106" i="73"/>
  <c r="CD105" i="73" s="1"/>
  <c r="CD267" i="73"/>
  <c r="CE378" i="73" l="1"/>
  <c r="CE407" i="73" s="1"/>
  <c r="CE359" i="73"/>
  <c r="CD378" i="73"/>
  <c r="CD359" i="73"/>
  <c r="CD370" i="73"/>
  <c r="CE16" i="51"/>
  <c r="CD16" i="51"/>
  <c r="CD273" i="73"/>
  <c r="CD402" i="73" s="1"/>
  <c r="CD411" i="73" s="1"/>
  <c r="CE236" i="73"/>
  <c r="CE235" i="73" s="1"/>
  <c r="CD145" i="73"/>
  <c r="CD144" i="73" s="1"/>
  <c r="CD158" i="73" s="1"/>
  <c r="CE145" i="73"/>
  <c r="CE144" i="73" s="1"/>
  <c r="CE158" i="73" s="1"/>
  <c r="CD407" i="73" l="1"/>
  <c r="CD18" i="51"/>
  <c r="CE18" i="51"/>
  <c r="CD24" i="73"/>
  <c r="CE159" i="73"/>
  <c r="CE160" i="73" s="1"/>
  <c r="CE156" i="73"/>
  <c r="CE162" i="73"/>
  <c r="CE401" i="73" s="1"/>
  <c r="CD156" i="73"/>
  <c r="CD339" i="73" s="1"/>
  <c r="CD162" i="73"/>
  <c r="CD401" i="73" s="1"/>
  <c r="CE255" i="73"/>
  <c r="CE340" i="73" s="1"/>
  <c r="CE257" i="73"/>
  <c r="CD274" i="73"/>
  <c r="CE157" i="73" l="1"/>
  <c r="CE339" i="73"/>
  <c r="CD48" i="51"/>
  <c r="CE48" i="51"/>
  <c r="CD159" i="73"/>
  <c r="CD160" i="73" s="1"/>
  <c r="CE258" i="73"/>
  <c r="CE259" i="73" s="1"/>
  <c r="CE256" i="73"/>
  <c r="CD25" i="73"/>
  <c r="CD26" i="73" s="1"/>
  <c r="CE261" i="73"/>
  <c r="CD164" i="73"/>
  <c r="CD451" i="73" s="1"/>
  <c r="CD450" i="73" s="1"/>
  <c r="CD449" i="73" s="1"/>
  <c r="CD445" i="73" s="1"/>
  <c r="CE24" i="73"/>
  <c r="CD157" i="73"/>
  <c r="CE382" i="73" l="1"/>
  <c r="CE363" i="73"/>
  <c r="CE362" i="73"/>
  <c r="CE381" i="73"/>
  <c r="CE410" i="73" s="1"/>
  <c r="CD381" i="73"/>
  <c r="CD362" i="73"/>
  <c r="CD373" i="73"/>
  <c r="CD343" i="73"/>
  <c r="CD350" i="73"/>
  <c r="CD220" i="73"/>
  <c r="CD219" i="73" s="1"/>
  <c r="CD221" i="73" s="1"/>
  <c r="CD222" i="73" s="1"/>
  <c r="CD50" i="73"/>
  <c r="CD49" i="73" s="1"/>
  <c r="CD51" i="73" s="1"/>
  <c r="CD303" i="73"/>
  <c r="CD302" i="73" s="1"/>
  <c r="CD304" i="73" s="1"/>
  <c r="CD100" i="73"/>
  <c r="CD99" i="73" s="1"/>
  <c r="CD101" i="73" s="1"/>
  <c r="CD214" i="73"/>
  <c r="CD213" i="73" s="1"/>
  <c r="CE25" i="73"/>
  <c r="CE26" i="73" s="1"/>
  <c r="CD167" i="73"/>
  <c r="CD166" i="73" s="1"/>
  <c r="CD168" i="73" s="1"/>
  <c r="CE267" i="73"/>
  <c r="CD349" i="73" l="1"/>
  <c r="CD346" i="73"/>
  <c r="CD347" i="73"/>
  <c r="CD324" i="73" s="1"/>
  <c r="CD385" i="73" s="1"/>
  <c r="CD344" i="73"/>
  <c r="CD345" i="73" s="1"/>
  <c r="CD384" i="73"/>
  <c r="CD410" i="73"/>
  <c r="CD225" i="73"/>
  <c r="CD226" i="73" s="1"/>
  <c r="CD215" i="73"/>
  <c r="CD227" i="73" s="1"/>
  <c r="CD433" i="73"/>
  <c r="CD442" i="73" s="1"/>
  <c r="CD305" i="73"/>
  <c r="CD52" i="73"/>
  <c r="CD426" i="73"/>
  <c r="CD435" i="73" s="1"/>
  <c r="CD428" i="73"/>
  <c r="CD437" i="73" s="1"/>
  <c r="CD102" i="73"/>
  <c r="CD12" i="73"/>
  <c r="CD169" i="73"/>
  <c r="CD431" i="73"/>
  <c r="CE273" i="73"/>
  <c r="CE402" i="73" s="1"/>
  <c r="CE411" i="73" s="1"/>
  <c r="CD404" i="73" l="1"/>
  <c r="CD413" i="73" s="1"/>
  <c r="CD386" i="73"/>
  <c r="CD395" i="73"/>
  <c r="CD392" i="73"/>
  <c r="CD387" i="73"/>
  <c r="CD390" i="73"/>
  <c r="CD388" i="73"/>
  <c r="CD394" i="73"/>
  <c r="CD391" i="73"/>
  <c r="CD393" i="73"/>
  <c r="CD351" i="73"/>
  <c r="CD352" i="73" s="1"/>
  <c r="CD430" i="73"/>
  <c r="CD439" i="73" s="1"/>
  <c r="CD228" i="73"/>
  <c r="CE274" i="73"/>
  <c r="CD440" i="73"/>
  <c r="CD13" i="73"/>
  <c r="CD8" i="51" l="1"/>
  <c r="CE8" i="51"/>
  <c r="CE10" i="51" l="1"/>
  <c r="CE11" i="51"/>
  <c r="CD10" i="51"/>
  <c r="CD11" i="51"/>
  <c r="DV28" i="51"/>
  <c r="DV41" i="51" s="1"/>
  <c r="CD9" i="51"/>
  <c r="CD61" i="51"/>
  <c r="DV8" i="51"/>
  <c r="DV16" i="51" s="1"/>
  <c r="CD38" i="51"/>
  <c r="CE38" i="51"/>
  <c r="DW8" i="51"/>
  <c r="DW16" i="51" s="1"/>
  <c r="DW28" i="51"/>
  <c r="DW41" i="51" s="1"/>
  <c r="CE61" i="51"/>
  <c r="CE9" i="51" l="1"/>
  <c r="CE12" i="51" s="1"/>
  <c r="CD41" i="51"/>
  <c r="CE41" i="51"/>
  <c r="CD40" i="51"/>
  <c r="CE40" i="51"/>
  <c r="CD12" i="51"/>
  <c r="DV29" i="51"/>
  <c r="DV42" i="51" s="1"/>
  <c r="DW29" i="51"/>
  <c r="DW42" i="51" s="1"/>
  <c r="CE68" i="51"/>
  <c r="CD68" i="51"/>
  <c r="CD54" i="1" l="1"/>
  <c r="CD32" i="51" s="1"/>
  <c r="CE32" i="51"/>
  <c r="CE42" i="51"/>
  <c r="CD42" i="51"/>
  <c r="CD39" i="51"/>
  <c r="CE39" i="51"/>
  <c r="CE35" i="51" l="1"/>
  <c r="CJ34" i="51"/>
  <c r="CD35" i="51"/>
  <c r="CK34" i="51"/>
  <c r="CD61" i="1"/>
  <c r="CD55" i="1"/>
  <c r="CD56" i="1" s="1"/>
  <c r="CD60" i="1"/>
  <c r="CD58" i="1"/>
  <c r="CD57" i="1"/>
  <c r="CE171" i="2"/>
  <c r="CE180" i="2" s="1"/>
  <c r="CE142" i="2"/>
  <c r="CD171" i="2"/>
  <c r="CD180" i="2" s="1"/>
  <c r="CD142" i="2"/>
  <c r="CF54" i="1" l="1"/>
  <c r="CF32" i="51" s="1"/>
  <c r="CE60" i="51"/>
  <c r="CD60" i="51"/>
  <c r="CD21" i="51"/>
  <c r="CD24" i="51" s="1"/>
  <c r="CE21" i="51"/>
  <c r="CE53" i="51" s="1"/>
  <c r="CD172" i="2"/>
  <c r="CD75" i="51"/>
  <c r="CD79" i="51" s="1"/>
  <c r="DV33" i="51"/>
  <c r="DV46" i="51" s="1"/>
  <c r="CE75" i="51"/>
  <c r="CE79" i="51" s="1"/>
  <c r="DW33" i="51"/>
  <c r="DW46" i="51" s="1"/>
  <c r="CD148" i="2"/>
  <c r="CE148" i="2"/>
  <c r="CD175" i="2"/>
  <c r="CD177" i="2" s="1"/>
  <c r="CF171" i="2"/>
  <c r="CF180" i="2" s="1"/>
  <c r="CF142" i="2"/>
  <c r="CE172" i="2"/>
  <c r="CF60" i="1" l="1"/>
  <c r="CF61" i="1"/>
  <c r="CF58" i="1"/>
  <c r="CD59" i="1"/>
  <c r="CD23" i="51"/>
  <c r="CD55" i="51" s="1"/>
  <c r="CD53" i="51"/>
  <c r="CE23" i="51"/>
  <c r="CE55" i="51" s="1"/>
  <c r="CE24" i="51"/>
  <c r="CE30" i="51" s="1"/>
  <c r="CD30" i="51"/>
  <c r="DV36" i="51"/>
  <c r="DV49" i="51" s="1"/>
  <c r="CD56" i="51"/>
  <c r="CD20" i="73"/>
  <c r="CD21" i="73" s="1"/>
  <c r="DV34" i="51"/>
  <c r="DV47" i="51" s="1"/>
  <c r="CD22" i="51"/>
  <c r="CE20" i="73"/>
  <c r="DW34" i="51"/>
  <c r="DW47" i="51" s="1"/>
  <c r="CE22" i="51"/>
  <c r="CF75" i="51"/>
  <c r="CF79" i="51" s="1"/>
  <c r="CD149" i="2"/>
  <c r="CD156" i="2"/>
  <c r="CE156" i="2"/>
  <c r="CE149" i="2"/>
  <c r="CF148" i="2"/>
  <c r="CG12" i="2"/>
  <c r="CF172" i="2"/>
  <c r="CG15" i="2"/>
  <c r="CE175" i="2" l="1"/>
  <c r="CE177" i="2" s="1"/>
  <c r="DV35" i="51"/>
  <c r="DV48" i="51" s="1"/>
  <c r="CD29" i="51"/>
  <c r="CD62" i="1"/>
  <c r="DW35" i="51"/>
  <c r="DW48" i="51" s="1"/>
  <c r="CE29" i="51"/>
  <c r="DW36" i="51"/>
  <c r="DW49" i="51" s="1"/>
  <c r="CE56" i="51"/>
  <c r="CE54" i="51"/>
  <c r="CD54" i="51"/>
  <c r="CD25" i="51"/>
  <c r="CD28" i="51"/>
  <c r="CE25" i="51"/>
  <c r="CE28" i="51"/>
  <c r="CG29" i="2"/>
  <c r="CF156" i="2"/>
  <c r="CF149" i="2"/>
  <c r="CG14" i="2"/>
  <c r="DW12" i="51"/>
  <c r="DW20" i="51" s="1"/>
  <c r="CD76" i="51"/>
  <c r="CD80" i="51" s="1"/>
  <c r="CE21" i="73"/>
  <c r="CG148" i="2"/>
  <c r="DV12" i="51"/>
  <c r="DV20" i="51" s="1"/>
  <c r="CF59" i="1" l="1"/>
  <c r="CF175" i="2"/>
  <c r="CF177" i="2" s="1"/>
  <c r="DW37" i="51"/>
  <c r="DW50" i="51" s="1"/>
  <c r="DV37" i="51"/>
  <c r="DV50" i="51" s="1"/>
  <c r="CD63" i="1"/>
  <c r="CD86" i="1"/>
  <c r="CD57" i="51"/>
  <c r="CE57" i="51"/>
  <c r="CD81" i="51"/>
  <c r="CG156" i="2"/>
  <c r="CE76" i="51"/>
  <c r="CE80" i="51" s="1"/>
  <c r="CG149" i="2"/>
  <c r="CD173" i="2"/>
  <c r="CE81" i="51"/>
  <c r="CF62" i="1" l="1"/>
  <c r="CD29" i="1"/>
  <c r="CD30" i="1" s="1"/>
  <c r="CD97" i="2" s="1"/>
  <c r="CD100" i="2" s="1"/>
  <c r="CF86" i="1"/>
  <c r="CD143" i="2"/>
  <c r="CD169" i="2"/>
  <c r="CD181" i="2" s="1"/>
  <c r="CD67" i="51"/>
  <c r="CE173" i="2"/>
  <c r="CF76" i="51"/>
  <c r="CF80" i="51" s="1"/>
  <c r="CE67" i="51"/>
  <c r="CF63" i="1" l="1"/>
  <c r="CD31" i="1"/>
  <c r="CD95" i="1"/>
  <c r="CF29" i="1"/>
  <c r="CF30" i="1" s="1"/>
  <c r="CF97" i="2" s="1"/>
  <c r="CF100" i="2" s="1"/>
  <c r="CE143" i="2"/>
  <c r="CE169" i="2"/>
  <c r="CE181" i="2" s="1"/>
  <c r="CF173" i="2"/>
  <c r="CE20" i="3"/>
  <c r="CD145" i="2"/>
  <c r="CD146" i="2" s="1"/>
  <c r="CD147" i="2" s="1"/>
  <c r="CF31" i="1" l="1"/>
  <c r="CF95" i="1"/>
  <c r="CF143" i="2"/>
  <c r="CF169" i="2"/>
  <c r="CF181" i="2" s="1"/>
  <c r="CG30" i="2"/>
  <c r="CF20" i="3"/>
  <c r="CE145" i="2"/>
  <c r="CE146" i="2" s="1"/>
  <c r="CE147" i="2" s="1"/>
  <c r="CF145" i="2" l="1"/>
  <c r="CF146" i="2" s="1"/>
  <c r="CF147" i="2" s="1"/>
  <c r="CG9" i="1" l="1"/>
  <c r="CC55" i="1"/>
  <c r="CC56" i="1" s="1"/>
  <c r="CG91" i="2" l="1"/>
  <c r="CG90" i="2"/>
  <c r="CG77" i="2"/>
  <c r="CG89" i="2"/>
  <c r="CG107" i="2"/>
  <c r="CC62" i="4"/>
  <c r="CG27" i="1"/>
  <c r="CG49" i="1" s="1"/>
  <c r="CC32" i="51"/>
  <c r="CG13" i="1"/>
  <c r="CG54" i="1"/>
  <c r="CG48" i="1"/>
  <c r="CG14" i="1"/>
  <c r="CG10" i="1"/>
  <c r="CG78" i="2" l="1"/>
  <c r="CG80" i="2" s="1"/>
  <c r="CG79" i="2"/>
  <c r="CG11" i="1"/>
  <c r="CC57" i="1"/>
  <c r="CC60" i="51"/>
  <c r="CC21" i="51"/>
  <c r="CC53" i="51" s="1"/>
  <c r="CC63" i="4"/>
  <c r="CG32" i="51"/>
  <c r="CG44" i="1"/>
  <c r="CG61" i="1"/>
  <c r="CG58" i="1"/>
  <c r="CG39" i="1"/>
  <c r="CG43" i="1"/>
  <c r="CG60" i="1"/>
  <c r="CG171" i="2"/>
  <c r="CG180" i="2" s="1"/>
  <c r="CG142" i="2"/>
  <c r="CG28" i="4"/>
  <c r="E7" i="52"/>
  <c r="E8" i="52" s="1"/>
  <c r="CG452" i="73"/>
  <c r="DU33" i="51"/>
  <c r="DU46" i="51" s="1"/>
  <c r="CC75" i="51"/>
  <c r="CC79" i="51" s="1"/>
  <c r="CG15" i="3"/>
  <c r="CG16" i="3"/>
  <c r="CG40" i="1" l="1"/>
  <c r="CG41" i="1"/>
  <c r="CG12" i="1"/>
  <c r="CG24" i="3"/>
  <c r="DU34" i="51"/>
  <c r="DU47" i="51" s="1"/>
  <c r="CC22" i="51"/>
  <c r="CG175" i="2"/>
  <c r="CG177" i="2" s="1"/>
  <c r="CG75" i="51"/>
  <c r="CG79" i="51" s="1"/>
  <c r="CG21" i="3"/>
  <c r="CG162" i="2"/>
  <c r="CG172" i="2"/>
  <c r="CC40" i="3"/>
  <c r="CG59" i="1" l="1"/>
  <c r="CG42" i="1"/>
  <c r="CG16" i="1"/>
  <c r="CG92" i="2" s="1"/>
  <c r="CC54" i="51"/>
  <c r="CC28" i="51"/>
  <c r="CG25" i="3"/>
  <c r="CD158" i="2"/>
  <c r="EA41" i="1"/>
  <c r="CG446" i="73"/>
  <c r="CC25" i="2"/>
  <c r="CG23" i="3"/>
  <c r="DU12" i="51"/>
  <c r="DU20" i="51" s="1"/>
  <c r="CG447" i="73"/>
  <c r="CG62" i="1" l="1"/>
  <c r="CG17" i="1"/>
  <c r="CG70" i="1"/>
  <c r="CC76" i="51"/>
  <c r="CC80" i="51" s="1"/>
  <c r="CD152" i="2"/>
  <c r="CM16" i="3"/>
  <c r="CC81" i="51"/>
  <c r="CG63" i="1" l="1"/>
  <c r="CG45" i="1"/>
  <c r="CG47" i="1"/>
  <c r="CG72" i="1"/>
  <c r="CG84" i="1"/>
  <c r="CG83" i="1"/>
  <c r="CG76" i="51"/>
  <c r="CG80" i="51" s="1"/>
  <c r="CD151" i="2"/>
  <c r="CD25" i="2"/>
  <c r="CG46" i="2"/>
  <c r="CC67" i="51"/>
  <c r="CG74" i="1" l="1"/>
  <c r="CD162" i="2"/>
  <c r="CC35" i="2"/>
  <c r="CD20" i="3"/>
  <c r="CG173" i="2"/>
  <c r="CG169" i="2"/>
  <c r="CG181" i="2" s="1"/>
  <c r="CS16" i="3"/>
  <c r="CC29" i="1" l="1"/>
  <c r="CC30" i="1" s="1"/>
  <c r="CC85" i="1"/>
  <c r="CC33" i="1"/>
  <c r="CC32" i="1"/>
  <c r="CC41" i="2"/>
  <c r="CG26" i="3"/>
  <c r="CD141" i="2"/>
  <c r="CC20" i="3"/>
  <c r="E9" i="52"/>
  <c r="E10" i="52" s="1"/>
  <c r="CG143" i="2"/>
  <c r="CC103" i="1" l="1"/>
  <c r="CC95" i="1"/>
  <c r="CC174" i="2"/>
  <c r="CC97" i="2"/>
  <c r="CG97" i="2" s="1"/>
  <c r="CG29" i="1"/>
  <c r="CC65" i="1"/>
  <c r="CC31" i="1"/>
  <c r="CG20" i="3"/>
  <c r="CY16" i="3"/>
  <c r="CC100" i="2" l="1"/>
  <c r="CG100" i="2" s="1"/>
  <c r="CG101" i="2" s="1"/>
  <c r="E17" i="52"/>
  <c r="E18" i="52" s="1"/>
  <c r="CC101" i="2" l="1"/>
  <c r="CD95" i="2" s="1"/>
  <c r="CD101" i="2" s="1"/>
  <c r="CE95" i="2" s="1"/>
  <c r="CE101" i="2" s="1"/>
  <c r="CF95" i="2" s="1"/>
  <c r="CF101" i="2" s="1"/>
  <c r="CC29" i="3"/>
  <c r="CC84" i="2" s="1"/>
  <c r="CC61" i="3" l="1"/>
  <c r="CC85" i="2" s="1"/>
  <c r="CC49" i="2"/>
  <c r="CC195" i="2" s="1"/>
  <c r="CC53" i="3"/>
  <c r="CC83" i="2" s="1"/>
  <c r="CC64" i="3" l="1"/>
  <c r="CC62" i="3"/>
  <c r="CC68" i="2"/>
  <c r="CC60" i="2"/>
  <c r="CC56" i="3"/>
  <c r="CC51" i="2"/>
  <c r="CC65" i="3" l="1"/>
  <c r="CC86" i="2"/>
  <c r="CC10" i="2"/>
  <c r="CD55" i="3"/>
  <c r="CC56" i="2" l="1"/>
  <c r="CC198" i="2"/>
  <c r="CC57" i="3"/>
  <c r="CC72" i="2"/>
  <c r="CC73" i="2"/>
  <c r="CC17" i="2"/>
  <c r="CD78" i="54"/>
  <c r="CC202" i="2" l="1"/>
  <c r="CC205" i="2" s="1"/>
  <c r="CC62" i="2" s="1"/>
  <c r="CC201" i="2"/>
  <c r="CC204" i="2" s="1"/>
  <c r="CC57" i="2"/>
  <c r="CC67" i="2"/>
  <c r="CC71" i="2"/>
  <c r="CC74" i="2"/>
  <c r="CC26" i="2"/>
  <c r="CC61" i="2" s="1"/>
  <c r="CC52" i="2" l="1"/>
  <c r="CC37" i="4" l="1"/>
  <c r="DU28" i="51" l="1"/>
  <c r="DU41" i="51" s="1"/>
  <c r="CC61" i="51"/>
  <c r="CC38" i="4"/>
  <c r="CC8" i="51"/>
  <c r="CC38" i="51" l="1"/>
  <c r="DU8" i="51"/>
  <c r="DU16" i="51" s="1"/>
  <c r="CC68" i="51"/>
  <c r="CC9" i="51"/>
  <c r="DU29" i="51"/>
  <c r="DU42" i="51" s="1"/>
  <c r="CC39" i="51" l="1"/>
  <c r="CC32" i="4" l="1"/>
  <c r="CC33" i="4" s="1"/>
  <c r="CC51" i="4"/>
  <c r="CC45" i="4"/>
  <c r="CC39" i="4"/>
  <c r="CC34" i="4" l="1"/>
  <c r="CC316" i="73" s="1"/>
  <c r="CC315" i="73" s="1"/>
  <c r="CC46" i="4"/>
  <c r="CC47" i="4" s="1"/>
  <c r="CI63" i="51"/>
  <c r="CI62" i="51"/>
  <c r="CI69" i="51" s="1"/>
  <c r="CC57" i="4"/>
  <c r="CI61" i="4" s="1"/>
  <c r="CC52" i="4"/>
  <c r="CC53" i="4" s="1"/>
  <c r="CI64" i="51"/>
  <c r="CC40" i="4"/>
  <c r="CC41" i="4" s="1"/>
  <c r="CC64" i="4" l="1"/>
  <c r="CC39" i="73"/>
  <c r="CC38" i="73" s="1"/>
  <c r="CC89" i="73"/>
  <c r="CC35" i="73"/>
  <c r="CC34" i="73" s="1"/>
  <c r="CI70" i="51"/>
  <c r="CC58" i="4"/>
  <c r="CI71" i="51"/>
  <c r="CI34" i="51" l="1"/>
  <c r="CC59" i="4"/>
  <c r="CC43" i="73"/>
  <c r="CC47" i="73" s="1"/>
  <c r="CC396" i="73" s="1"/>
  <c r="CC194" i="73" l="1"/>
  <c r="CC193" i="73" s="1"/>
  <c r="CC33" i="51"/>
  <c r="CC186" i="73"/>
  <c r="CC185" i="73" s="1"/>
  <c r="CC190" i="73"/>
  <c r="CC189" i="73" s="1"/>
  <c r="CC120" i="73"/>
  <c r="CC119" i="73" s="1"/>
  <c r="CC127" i="73" s="1"/>
  <c r="CC246" i="73"/>
  <c r="CC245" i="73" s="1"/>
  <c r="CC248" i="73" s="1"/>
  <c r="CC250" i="73"/>
  <c r="CC249" i="73" s="1"/>
  <c r="CC252" i="73" s="1"/>
  <c r="CC287" i="73"/>
  <c r="CC286" i="73" s="1"/>
  <c r="CC296" i="73" s="1"/>
  <c r="CC236" i="73"/>
  <c r="CC235" i="73" s="1"/>
  <c r="CC145" i="73"/>
  <c r="CC144" i="73" s="1"/>
  <c r="CC333" i="73"/>
  <c r="CC368" i="73"/>
  <c r="CC148" i="73"/>
  <c r="CC147" i="73" s="1"/>
  <c r="CC116" i="73"/>
  <c r="CC115" i="73" s="1"/>
  <c r="CC337" i="73" s="1"/>
  <c r="CC197" i="73"/>
  <c r="CC196" i="73" s="1"/>
  <c r="CC93" i="73"/>
  <c r="CC356" i="73"/>
  <c r="CC110" i="73"/>
  <c r="CC109" i="73" s="1"/>
  <c r="CC154" i="73"/>
  <c r="CC153" i="73" s="1"/>
  <c r="CC239" i="73"/>
  <c r="CC238" i="73" s="1"/>
  <c r="CC319" i="73"/>
  <c r="CC318" i="73" s="1"/>
  <c r="CC41" i="73"/>
  <c r="CC44" i="73"/>
  <c r="CC45" i="73" s="1"/>
  <c r="CC205" i="73" l="1"/>
  <c r="CC202" i="73" s="1"/>
  <c r="CC203" i="73" s="1"/>
  <c r="CC204" i="73" s="1"/>
  <c r="CC35" i="51"/>
  <c r="CC255" i="73"/>
  <c r="CC340" i="73" s="1"/>
  <c r="CC158" i="73"/>
  <c r="CC159" i="73" s="1"/>
  <c r="CC160" i="73" s="1"/>
  <c r="CC199" i="73"/>
  <c r="CC200" i="73" s="1"/>
  <c r="CC201" i="73" s="1"/>
  <c r="CC206" i="73"/>
  <c r="CC361" i="73" s="1"/>
  <c r="CC125" i="73"/>
  <c r="CC371" i="73" s="1"/>
  <c r="CC132" i="73"/>
  <c r="CC399" i="73" s="1"/>
  <c r="CC379" i="73"/>
  <c r="CC134" i="73"/>
  <c r="CC448" i="73" s="1"/>
  <c r="CC334" i="73"/>
  <c r="CC42" i="73"/>
  <c r="CC357" i="73" s="1"/>
  <c r="CC338" i="73"/>
  <c r="CC294" i="73"/>
  <c r="CC112" i="73"/>
  <c r="CC297" i="73"/>
  <c r="CC298" i="73" s="1"/>
  <c r="CC211" i="73"/>
  <c r="CC257" i="73"/>
  <c r="CC253" i="73"/>
  <c r="CC254" i="73" s="1"/>
  <c r="CC97" i="73"/>
  <c r="CC398" i="73" s="1"/>
  <c r="CC91" i="73"/>
  <c r="CC336" i="73" s="1"/>
  <c r="CC94" i="73"/>
  <c r="CC95" i="73" s="1"/>
  <c r="CC162" i="73" l="1"/>
  <c r="CC401" i="73" s="1"/>
  <c r="CC156" i="73"/>
  <c r="CC339" i="73" s="1"/>
  <c r="CC261" i="73"/>
  <c r="CC207" i="73"/>
  <c r="CC208" i="73" s="1"/>
  <c r="CC209" i="73" s="1"/>
  <c r="CC372" i="73"/>
  <c r="CC380" i="73"/>
  <c r="CC217" i="73"/>
  <c r="CC223" i="73" s="1"/>
  <c r="CC400" i="73" s="1"/>
  <c r="CC408" i="73"/>
  <c r="CC136" i="73"/>
  <c r="CC429" i="73" s="1"/>
  <c r="CC438" i="73" s="1"/>
  <c r="CC376" i="73"/>
  <c r="CC369" i="73"/>
  <c r="CC295" i="73"/>
  <c r="CC341" i="73"/>
  <c r="CC256" i="73"/>
  <c r="CC258" i="73"/>
  <c r="CC259" i="73" s="1"/>
  <c r="CC113" i="73"/>
  <c r="CC114" i="73" s="1"/>
  <c r="CC126" i="73"/>
  <c r="CC128" i="73"/>
  <c r="CC24" i="51"/>
  <c r="CC11" i="51"/>
  <c r="CC20" i="51"/>
  <c r="CC50" i="51" s="1"/>
  <c r="CC14" i="51"/>
  <c r="CC17" i="51"/>
  <c r="CC300" i="73"/>
  <c r="CC403" i="73" s="1"/>
  <c r="CC92" i="73"/>
  <c r="CC157" i="73" l="1"/>
  <c r="CC381" i="73" s="1"/>
  <c r="CC410" i="73" s="1"/>
  <c r="CC409" i="73"/>
  <c r="CC137" i="73"/>
  <c r="CC405" i="73"/>
  <c r="CC383" i="73"/>
  <c r="CC364" i="73"/>
  <c r="CC375" i="73"/>
  <c r="CC359" i="73"/>
  <c r="CC378" i="73"/>
  <c r="CC407" i="73" s="1"/>
  <c r="CC370" i="73"/>
  <c r="CC363" i="73"/>
  <c r="CC382" i="73"/>
  <c r="CC374" i="73"/>
  <c r="CC224" i="73"/>
  <c r="CC47" i="51"/>
  <c r="CC267" i="73"/>
  <c r="CC41" i="51"/>
  <c r="CC56" i="51"/>
  <c r="CC30" i="51"/>
  <c r="DU36" i="51"/>
  <c r="DU49" i="51" s="1"/>
  <c r="CC23" i="51"/>
  <c r="CC10" i="51"/>
  <c r="CC16" i="51"/>
  <c r="CC18" i="51" s="1"/>
  <c r="CC44" i="51"/>
  <c r="CC129" i="73"/>
  <c r="CC130" i="73" s="1"/>
  <c r="CC123" i="73"/>
  <c r="CC122" i="73"/>
  <c r="CC124" i="73"/>
  <c r="CC24" i="73"/>
  <c r="CC373" i="73" l="1"/>
  <c r="CC362" i="73"/>
  <c r="CC412" i="73"/>
  <c r="CC384" i="73"/>
  <c r="CC106" i="73"/>
  <c r="CC105" i="73" s="1"/>
  <c r="CC29" i="51"/>
  <c r="CC55" i="51"/>
  <c r="CC25" i="51"/>
  <c r="DU35" i="51"/>
  <c r="DU48" i="51" s="1"/>
  <c r="CC273" i="73"/>
  <c r="CC402" i="73" s="1"/>
  <c r="CC411" i="73" s="1"/>
  <c r="CC25" i="73"/>
  <c r="CC26" i="73" s="1"/>
  <c r="CC48" i="51"/>
  <c r="CC12" i="51"/>
  <c r="CC40" i="51"/>
  <c r="CC42" i="51" l="1"/>
  <c r="CC57" i="51"/>
  <c r="DU37" i="51"/>
  <c r="DU50" i="51" s="1"/>
  <c r="CC274" i="73"/>
  <c r="CC10" i="73" l="1"/>
  <c r="CC11" i="73" s="1"/>
  <c r="CC311" i="73" l="1"/>
  <c r="CC312" i="73" l="1"/>
  <c r="CC313" i="73" s="1"/>
  <c r="CC299" i="73" l="1"/>
  <c r="CC96" i="73"/>
  <c r="CC314" i="73"/>
  <c r="CC131" i="73"/>
  <c r="CC210" i="73"/>
  <c r="CC260" i="73"/>
  <c r="CC27" i="73"/>
  <c r="CC46" i="73"/>
  <c r="CC37" i="73"/>
  <c r="CC161" i="73"/>
  <c r="CC118" i="73"/>
  <c r="CC12" i="73"/>
  <c r="CC13" i="73" l="1"/>
  <c r="CC343" i="73" l="1"/>
  <c r="CC344" i="73" l="1"/>
  <c r="CC345" i="73" s="1"/>
  <c r="CC346" i="73"/>
  <c r="CC347" i="73"/>
  <c r="CC324" i="73" l="1"/>
  <c r="CC385" i="73" s="1"/>
  <c r="CC392" i="73" l="1"/>
  <c r="CC404" i="73"/>
  <c r="CC413" i="73" s="1"/>
  <c r="CC386" i="73"/>
  <c r="CC387" i="73"/>
  <c r="CC14" i="73" s="1"/>
  <c r="CC15" i="73" s="1"/>
  <c r="CC394" i="73"/>
  <c r="CC388" i="73"/>
  <c r="CC395" i="73"/>
  <c r="CC390" i="73"/>
  <c r="CC393" i="73"/>
  <c r="CC391" i="73"/>
  <c r="CC325" i="73"/>
  <c r="CC16" i="73" l="1"/>
  <c r="CC17" i="73" s="1"/>
  <c r="CC20" i="73"/>
  <c r="CC21" i="73" s="1"/>
  <c r="CC18" i="73"/>
  <c r="CC19" i="73" s="1"/>
  <c r="CC447" i="73"/>
  <c r="CC446" i="73"/>
  <c r="CO446" i="73" l="1"/>
  <c r="CU446" i="73" s="1"/>
  <c r="CC164" i="73"/>
  <c r="CI445" i="73" l="1"/>
  <c r="CC451" i="73"/>
  <c r="CC167" i="73"/>
  <c r="CC166" i="73" s="1"/>
  <c r="CI303" i="73" l="1"/>
  <c r="CI50" i="73"/>
  <c r="CO445" i="73"/>
  <c r="CO303" i="73" s="1"/>
  <c r="CI350" i="73"/>
  <c r="CI100" i="73"/>
  <c r="CI220" i="73"/>
  <c r="CI214" i="73"/>
  <c r="CI327" i="73"/>
  <c r="CC168" i="73"/>
  <c r="CC450" i="73"/>
  <c r="CC449" i="73" s="1"/>
  <c r="CU445" i="73"/>
  <c r="CU76" i="73" s="1"/>
  <c r="CU75" i="73" s="1"/>
  <c r="CO100" i="73" l="1"/>
  <c r="CO350" i="73"/>
  <c r="CO50" i="73"/>
  <c r="CO214" i="73"/>
  <c r="CO220" i="73"/>
  <c r="CO327" i="73"/>
  <c r="CC270" i="73"/>
  <c r="CC269" i="73" s="1"/>
  <c r="CC264" i="73"/>
  <c r="CC263" i="73" s="1"/>
  <c r="CC445" i="73"/>
  <c r="CU220" i="73"/>
  <c r="CU303" i="73"/>
  <c r="CU100" i="73"/>
  <c r="CU50" i="73"/>
  <c r="CU214" i="73"/>
  <c r="CU350" i="73"/>
  <c r="CU327" i="73"/>
  <c r="CC431" i="73"/>
  <c r="CC169" i="73"/>
  <c r="CC303" i="73" l="1"/>
  <c r="CC302" i="73" s="1"/>
  <c r="CC350" i="73"/>
  <c r="CC349" i="73" s="1"/>
  <c r="CC100" i="73"/>
  <c r="CC99" i="73" s="1"/>
  <c r="CC50" i="73"/>
  <c r="CC49" i="73" s="1"/>
  <c r="CC220" i="73"/>
  <c r="CC219" i="73" s="1"/>
  <c r="CC214" i="73"/>
  <c r="CC213" i="73" s="1"/>
  <c r="CC276" i="73"/>
  <c r="CC277" i="73" s="1"/>
  <c r="CC265" i="73"/>
  <c r="CC271" i="73"/>
  <c r="CC272" i="73" s="1"/>
  <c r="CC440" i="73"/>
  <c r="CC266" i="73" l="1"/>
  <c r="CC278" i="73"/>
  <c r="CC51" i="73"/>
  <c r="CC101" i="73"/>
  <c r="CC215" i="73"/>
  <c r="CC225" i="73"/>
  <c r="CC226" i="73" s="1"/>
  <c r="CC221" i="73"/>
  <c r="CC222" i="73" s="1"/>
  <c r="CC351" i="73"/>
  <c r="CC304" i="73"/>
  <c r="CC426" i="73" l="1"/>
  <c r="CC52" i="73"/>
  <c r="CC227" i="73"/>
  <c r="CC279" i="73"/>
  <c r="CC432" i="73"/>
  <c r="CC352" i="73"/>
  <c r="CC305" i="73"/>
  <c r="CC433" i="73"/>
  <c r="CC102" i="73"/>
  <c r="CC428" i="73"/>
  <c r="CC442" i="73" l="1"/>
  <c r="CC430" i="73"/>
  <c r="CC328" i="73" s="1"/>
  <c r="CC228" i="73"/>
  <c r="CC437" i="73"/>
  <c r="CC435" i="73"/>
  <c r="CC441" i="73"/>
  <c r="CC326" i="73" l="1"/>
  <c r="CC329" i="73"/>
  <c r="CC415" i="73"/>
  <c r="CC439" i="73"/>
  <c r="CC425" i="73" l="1"/>
  <c r="CC434" i="73"/>
  <c r="CC443" i="73" s="1"/>
  <c r="CC423" i="73"/>
  <c r="CC421" i="73"/>
  <c r="CC417" i="73"/>
  <c r="CC416" i="73"/>
  <c r="CC420" i="73"/>
  <c r="CC418" i="73"/>
  <c r="CC424" i="73"/>
  <c r="CC327" i="73"/>
  <c r="CC422" i="73"/>
  <c r="CC8" i="54" l="1"/>
  <c r="CC35" i="54"/>
  <c r="CC34" i="54"/>
  <c r="CD8" i="54"/>
  <c r="CC74" i="54" l="1"/>
  <c r="CG34" i="54"/>
  <c r="CC82" i="54" l="1"/>
  <c r="CC83" i="54" s="1"/>
  <c r="CC84" i="54" s="1"/>
  <c r="CC85" i="54" s="1"/>
  <c r="CG74" i="54"/>
  <c r="CG82" i="54" s="1"/>
  <c r="CF8" i="54" l="1"/>
  <c r="CG32" i="54"/>
  <c r="CG35" i="54" l="1"/>
  <c r="CG8" i="54"/>
  <c r="CI32" i="54"/>
  <c r="CD176" i="2"/>
  <c r="CD182" i="2" s="1"/>
  <c r="CD183" i="2" s="1"/>
  <c r="CD184" i="2" s="1"/>
  <c r="CD185" i="2" l="1"/>
  <c r="CD66" i="1"/>
  <c r="CD167" i="2"/>
  <c r="CD99" i="1"/>
  <c r="CD102" i="1" s="1"/>
  <c r="CD79" i="54"/>
  <c r="CD174" i="2"/>
  <c r="CD33" i="1"/>
  <c r="CD103" i="1"/>
  <c r="CG22" i="1"/>
  <c r="CG66" i="2" s="1"/>
  <c r="CI8" i="54"/>
  <c r="CI35" i="54"/>
  <c r="CJ32" i="54"/>
  <c r="CD65" i="1" l="1"/>
  <c r="CJ8" i="54"/>
  <c r="CJ35" i="54"/>
  <c r="CJ75" i="54" s="1"/>
  <c r="CJ22" i="1" s="1"/>
  <c r="CK32" i="54"/>
  <c r="CI75" i="54"/>
  <c r="CI22" i="1" l="1"/>
  <c r="CK8" i="54"/>
  <c r="CK35" i="54"/>
  <c r="CL32" i="54"/>
  <c r="CD49" i="2"/>
  <c r="CD195" i="2" l="1"/>
  <c r="CD68" i="2"/>
  <c r="CD60" i="2"/>
  <c r="CL8" i="54"/>
  <c r="CL35" i="54"/>
  <c r="CL75" i="54" s="1"/>
  <c r="CL22" i="1" s="1"/>
  <c r="CM32" i="54"/>
  <c r="CK75" i="54"/>
  <c r="CM35" i="54" l="1"/>
  <c r="CK22" i="1"/>
  <c r="CM75" i="54"/>
  <c r="CO32" i="54"/>
  <c r="CM8" i="54"/>
  <c r="CO8" i="54" l="1"/>
  <c r="CO35" i="54"/>
  <c r="CP32" i="54"/>
  <c r="CM22" i="1"/>
  <c r="CO75" i="54" l="1"/>
  <c r="CP8" i="54"/>
  <c r="CP35" i="54"/>
  <c r="CP75" i="54" s="1"/>
  <c r="CP22" i="1" s="1"/>
  <c r="CQ32" i="54"/>
  <c r="CQ8" i="54" l="1"/>
  <c r="CQ35" i="54"/>
  <c r="CQ75" i="54" s="1"/>
  <c r="CQ22" i="1" s="1"/>
  <c r="CR32" i="54"/>
  <c r="CO22" i="1"/>
  <c r="CR8" i="54" l="1"/>
  <c r="CR35" i="54"/>
  <c r="CS32" i="54"/>
  <c r="CR75" i="54" l="1"/>
  <c r="CS35" i="54"/>
  <c r="CU32" i="54"/>
  <c r="CS8" i="54"/>
  <c r="CU8" i="54" l="1"/>
  <c r="CU35" i="54"/>
  <c r="CV32" i="54"/>
  <c r="CR22" i="1"/>
  <c r="CS75" i="54"/>
  <c r="CS22" i="1" l="1"/>
  <c r="CU75" i="54"/>
  <c r="CV8" i="54"/>
  <c r="CV35" i="54"/>
  <c r="CV75" i="54" s="1"/>
  <c r="CV22" i="1" s="1"/>
  <c r="CW32" i="54"/>
  <c r="CW8" i="54" l="1"/>
  <c r="CW35" i="54"/>
  <c r="CW75" i="54" s="1"/>
  <c r="CW22" i="1" s="1"/>
  <c r="CX32" i="54"/>
  <c r="CU22" i="1"/>
  <c r="CX8" i="54" l="1"/>
  <c r="CX35" i="54"/>
  <c r="CY32" i="54"/>
  <c r="CY8" i="54" s="1"/>
  <c r="CX75" i="54" l="1"/>
  <c r="CY35" i="54"/>
  <c r="CX22" i="1" l="1"/>
  <c r="CY75" i="54"/>
  <c r="CY22" i="1" l="1"/>
  <c r="CD10" i="73" l="1"/>
  <c r="CD11" i="73" s="1"/>
  <c r="CD311" i="73" l="1"/>
  <c r="CD16" i="73" l="1"/>
  <c r="CD17" i="73" s="1"/>
  <c r="CD264" i="73"/>
  <c r="CD263" i="73" s="1"/>
  <c r="CD270" i="73"/>
  <c r="CD269" i="73" s="1"/>
  <c r="CD314" i="73"/>
  <c r="CD312" i="73"/>
  <c r="CD313" i="73" s="1"/>
  <c r="CD325" i="73"/>
  <c r="CD27" i="73"/>
  <c r="CD210" i="73"/>
  <c r="CD299" i="73"/>
  <c r="CD118" i="73"/>
  <c r="CD14" i="73"/>
  <c r="CD15" i="73" s="1"/>
  <c r="CD46" i="73"/>
  <c r="CD131" i="73"/>
  <c r="CD161" i="73"/>
  <c r="CD260" i="73"/>
  <c r="CD96" i="73"/>
  <c r="CD37" i="73"/>
  <c r="CD18" i="73" l="1"/>
  <c r="CD19" i="73" s="1"/>
  <c r="CD271" i="73"/>
  <c r="CD272" i="73" s="1"/>
  <c r="CD276" i="73"/>
  <c r="CD277" i="73" s="1"/>
  <c r="CD265" i="73"/>
  <c r="CD266" i="73" l="1"/>
  <c r="CD278" i="73"/>
  <c r="CD279" i="73" l="1"/>
  <c r="CD432" i="73"/>
  <c r="CD441" i="73" l="1"/>
  <c r="CD328" i="73"/>
  <c r="CD329" i="73" l="1"/>
  <c r="CD326" i="73"/>
  <c r="CD415" i="73"/>
  <c r="CD327" i="73" l="1"/>
  <c r="CD417" i="73"/>
  <c r="CD434" i="73"/>
  <c r="CD443" i="73" s="1"/>
  <c r="CD420" i="73"/>
  <c r="CD422" i="73"/>
  <c r="CD423" i="73"/>
  <c r="CD418" i="73"/>
  <c r="CD416" i="73"/>
  <c r="CD421" i="73"/>
  <c r="CD425" i="73"/>
  <c r="CD424" i="73"/>
  <c r="CD150" i="2" l="1"/>
  <c r="CD154" i="2" s="1"/>
  <c r="CE150" i="2" l="1"/>
  <c r="CE152" i="2" l="1"/>
  <c r="CF150" i="2" l="1"/>
  <c r="CG16" i="2"/>
  <c r="CF152" i="2" l="1"/>
  <c r="CG23" i="2"/>
  <c r="CG150" i="2"/>
  <c r="CG152" i="2" l="1"/>
  <c r="CD157" i="2" l="1"/>
  <c r="CD159" i="2" s="1"/>
  <c r="CD161" i="2" s="1"/>
  <c r="CE162" i="2" s="1"/>
  <c r="CD35" i="2"/>
  <c r="CE35" i="2" l="1"/>
  <c r="CE189" i="2"/>
  <c r="CD41" i="2"/>
  <c r="CE157" i="2"/>
  <c r="CE141" i="2"/>
  <c r="CE41" i="2" l="1"/>
  <c r="CD51" i="2"/>
  <c r="CE158" i="2"/>
  <c r="CE159" i="2" s="1"/>
  <c r="CF35" i="2" l="1"/>
  <c r="CG34" i="2"/>
  <c r="CF157" i="2"/>
  <c r="CG18" i="3" l="1"/>
  <c r="CF189" i="2"/>
  <c r="CG35" i="2"/>
  <c r="CG157" i="2"/>
  <c r="CF41" i="2"/>
  <c r="CF158" i="2"/>
  <c r="CF159" i="2" s="1"/>
  <c r="CG39" i="2"/>
  <c r="CG158" i="2" l="1"/>
  <c r="CG159" i="2" s="1"/>
  <c r="CG189" i="2"/>
  <c r="CG41" i="2"/>
  <c r="CD18" i="1" l="1"/>
  <c r="CD20" i="1" s="1"/>
  <c r="CE18" i="1" l="1"/>
  <c r="CE20" i="1" s="1"/>
  <c r="CD81" i="54"/>
  <c r="CD40" i="3"/>
  <c r="CD80" i="54"/>
  <c r="CD29" i="3"/>
  <c r="CD84" i="2" s="1"/>
  <c r="CE65" i="2" l="1"/>
  <c r="CE46" i="1"/>
  <c r="CE64" i="1"/>
  <c r="CG32" i="3"/>
  <c r="CE40" i="3"/>
  <c r="CE81" i="54"/>
  <c r="CF40" i="3"/>
  <c r="CD83" i="54"/>
  <c r="CD84" i="54" s="1"/>
  <c r="CD85" i="54" s="1"/>
  <c r="CE80" i="54"/>
  <c r="CD64" i="1"/>
  <c r="CD168" i="2"/>
  <c r="CD46" i="1"/>
  <c r="CD65" i="2"/>
  <c r="CD53" i="3"/>
  <c r="CD83" i="2" s="1"/>
  <c r="CD61" i="3"/>
  <c r="CD85" i="2" s="1"/>
  <c r="CG81" i="54" l="1"/>
  <c r="CG40" i="3"/>
  <c r="E15" i="52"/>
  <c r="E16" i="52" s="1"/>
  <c r="CJ85" i="54"/>
  <c r="CK85" i="54" s="1"/>
  <c r="CL85" i="54" s="1"/>
  <c r="CP85" i="54" s="1"/>
  <c r="CQ85" i="54" s="1"/>
  <c r="CR85" i="54" s="1"/>
  <c r="CD56" i="3"/>
  <c r="CD10" i="2" s="1"/>
  <c r="CD198" i="2" s="1"/>
  <c r="CE168" i="2"/>
  <c r="CD64" i="3"/>
  <c r="CD62" i="3"/>
  <c r="CD86" i="2" s="1"/>
  <c r="CF18" i="1" l="1"/>
  <c r="CF20" i="1" s="1"/>
  <c r="CD201" i="2"/>
  <c r="CD204" i="2" s="1"/>
  <c r="CD202" i="2"/>
  <c r="CD205" i="2" s="1"/>
  <c r="CD62" i="2" s="1"/>
  <c r="CE25" i="2"/>
  <c r="CE151" i="2"/>
  <c r="CE154" i="2" s="1"/>
  <c r="CE161" i="2" s="1"/>
  <c r="CF162" i="2" s="1"/>
  <c r="CF141" i="2" s="1"/>
  <c r="CD56" i="2"/>
  <c r="CE78" i="54"/>
  <c r="CD17" i="2"/>
  <c r="CD73" i="2"/>
  <c r="CD72" i="2"/>
  <c r="CM105" i="2"/>
  <c r="CI105" i="2"/>
  <c r="CD65" i="3"/>
  <c r="CD57" i="3"/>
  <c r="CE55" i="3"/>
  <c r="CF46" i="1" l="1"/>
  <c r="CF65" i="2"/>
  <c r="CD57" i="2"/>
  <c r="CD67" i="2"/>
  <c r="CD26" i="2"/>
  <c r="CD71" i="2"/>
  <c r="CD74" i="2"/>
  <c r="CI113" i="2"/>
  <c r="CG18" i="1"/>
  <c r="CG20" i="1" s="1"/>
  <c r="CF25" i="2"/>
  <c r="CG20" i="2"/>
  <c r="CF151" i="2"/>
  <c r="CF154" i="2" s="1"/>
  <c r="CF161" i="2" s="1"/>
  <c r="CG11" i="3"/>
  <c r="CG80" i="54" s="1"/>
  <c r="CG65" i="2" l="1"/>
  <c r="CD61" i="2"/>
  <c r="CD52" i="2"/>
  <c r="CI18" i="1"/>
  <c r="CI11" i="3"/>
  <c r="CI80" i="54" s="1"/>
  <c r="E13" i="52"/>
  <c r="E14" i="52" s="1"/>
  <c r="CG25" i="2"/>
  <c r="CG151" i="2"/>
  <c r="CG154" i="2" s="1"/>
  <c r="CG161" i="2" s="1"/>
  <c r="CF64" i="1"/>
  <c r="CF168" i="2"/>
  <c r="CI112" i="2"/>
  <c r="CI116" i="2" s="1"/>
  <c r="CM112" i="2"/>
  <c r="CI121" i="2" l="1"/>
  <c r="CJ112" i="2"/>
  <c r="CG46" i="1"/>
  <c r="CG168" i="2"/>
  <c r="CG64" i="1"/>
  <c r="CG11" i="54"/>
  <c r="CE176" i="2" l="1"/>
  <c r="CE182" i="2" s="1"/>
  <c r="CE183" i="2" s="1"/>
  <c r="CE184" i="2" s="1"/>
  <c r="CE185" i="2" s="1"/>
  <c r="CE167" i="2" l="1"/>
  <c r="CE79" i="54"/>
  <c r="CE83" i="54" s="1"/>
  <c r="CE84" i="54" s="1"/>
  <c r="CE85" i="54" s="1"/>
  <c r="CE99" i="1"/>
  <c r="CE102" i="1" s="1"/>
  <c r="CE103" i="1" l="1"/>
  <c r="CE174" i="2"/>
  <c r="CE95" i="1"/>
  <c r="CE49" i="2" l="1"/>
  <c r="CE29" i="3"/>
  <c r="CE84" i="2" s="1"/>
  <c r="CE61" i="3" l="1"/>
  <c r="CE85" i="2" s="1"/>
  <c r="CE195" i="2"/>
  <c r="CE68" i="2"/>
  <c r="CE60" i="2"/>
  <c r="CE53" i="3"/>
  <c r="CE83" i="2" s="1"/>
  <c r="CE51" i="2"/>
  <c r="CE64" i="3" l="1"/>
  <c r="CE62" i="3"/>
  <c r="CE56" i="3"/>
  <c r="CE65" i="3" l="1"/>
  <c r="CE86" i="2"/>
  <c r="CE10" i="2"/>
  <c r="CF78" i="54" s="1"/>
  <c r="CF83" i="54" s="1"/>
  <c r="CF84" i="54" s="1"/>
  <c r="CF85" i="54" s="1"/>
  <c r="CF55" i="3"/>
  <c r="CE198" i="2" l="1"/>
  <c r="CE202" i="2" s="1"/>
  <c r="CE205" i="2" s="1"/>
  <c r="CE56" i="2"/>
  <c r="CE72" i="2"/>
  <c r="CE73" i="2"/>
  <c r="CE57" i="3"/>
  <c r="CE17" i="2"/>
  <c r="CE201" i="2" l="1"/>
  <c r="CE204" i="2" s="1"/>
  <c r="CE57" i="2"/>
  <c r="CE67" i="2"/>
  <c r="CE74" i="2"/>
  <c r="CE71" i="2"/>
  <c r="CE62" i="2"/>
  <c r="CE26" i="2"/>
  <c r="CE61" i="2" l="1"/>
  <c r="CG21" i="1"/>
  <c r="CG24" i="1" s="1"/>
  <c r="CE52" i="2"/>
  <c r="CG25" i="1" l="1"/>
  <c r="CG26" i="1" l="1"/>
  <c r="CF176" i="2"/>
  <c r="CF182" i="2" s="1"/>
  <c r="CF183" i="2" s="1"/>
  <c r="CF184" i="2" s="1"/>
  <c r="CF99" i="1" l="1"/>
  <c r="CF102" i="1" s="1"/>
  <c r="CF66" i="1"/>
  <c r="CF167" i="2"/>
  <c r="CF103" i="1"/>
  <c r="CF174" i="2"/>
  <c r="CF185" i="2"/>
  <c r="CG50" i="1"/>
  <c r="CG176" i="2"/>
  <c r="CG182" i="2" s="1"/>
  <c r="CG183" i="2" s="1"/>
  <c r="CG184" i="2" s="1"/>
  <c r="CG28" i="1"/>
  <c r="CF65" i="1"/>
  <c r="CG60" i="2" l="1"/>
  <c r="CG79" i="54"/>
  <c r="CG83" i="54" s="1"/>
  <c r="CG84" i="54" s="1"/>
  <c r="CG85" i="54" s="1"/>
  <c r="CG33" i="1"/>
  <c r="CG185" i="2"/>
  <c r="CG31" i="1"/>
  <c r="CG167" i="2"/>
  <c r="CG73" i="1"/>
  <c r="CG51" i="1"/>
  <c r="CG66" i="1"/>
  <c r="CG30" i="1"/>
  <c r="CG99" i="1"/>
  <c r="CG92" i="1"/>
  <c r="CG144" i="2" s="1"/>
  <c r="CG145" i="2" s="1"/>
  <c r="CG146" i="2" s="1"/>
  <c r="CG147" i="2" s="1"/>
  <c r="CG141" i="2" s="1"/>
  <c r="E11" i="52"/>
  <c r="E12" i="52" s="1"/>
  <c r="E19" i="52" s="1"/>
  <c r="CG35" i="1" l="1"/>
  <c r="CG65" i="1"/>
  <c r="CF29" i="3"/>
  <c r="CG9" i="3"/>
  <c r="CG29" i="3" s="1"/>
  <c r="CG32" i="1"/>
  <c r="CG103" i="1" s="1"/>
  <c r="CG166" i="2"/>
  <c r="CG101" i="1"/>
  <c r="CG102" i="1" s="1"/>
  <c r="CG87" i="1"/>
  <c r="CG95" i="1"/>
  <c r="CG174" i="2"/>
  <c r="CG86" i="1"/>
  <c r="CG85" i="1"/>
  <c r="CM95" i="2"/>
  <c r="CI95" i="2"/>
  <c r="CG47" i="2"/>
  <c r="CG49" i="2" s="1"/>
  <c r="CG195" i="2" s="1"/>
  <c r="CF49" i="2"/>
  <c r="CF195" i="2" s="1"/>
  <c r="CF61" i="3" l="1"/>
  <c r="CF84" i="2"/>
  <c r="CG61" i="3"/>
  <c r="CG84" i="2"/>
  <c r="CF53" i="3"/>
  <c r="CG53" i="3"/>
  <c r="CG83" i="2" s="1"/>
  <c r="CG51" i="2"/>
  <c r="CF51" i="2"/>
  <c r="CF56" i="3" l="1"/>
  <c r="CF83" i="2"/>
  <c r="CG85" i="2"/>
  <c r="CG64" i="3"/>
  <c r="CG62" i="3"/>
  <c r="CG65" i="3" s="1"/>
  <c r="CF85" i="2"/>
  <c r="CF62" i="3"/>
  <c r="CF64" i="3"/>
  <c r="CG86" i="2"/>
  <c r="CG63" i="3"/>
  <c r="CG56" i="3"/>
  <c r="CI55" i="3" s="1"/>
  <c r="CG88" i="3"/>
  <c r="CF10" i="2"/>
  <c r="CF65" i="3" l="1"/>
  <c r="CF86" i="2"/>
  <c r="CF198" i="2"/>
  <c r="CF201" i="2" s="1"/>
  <c r="CF73" i="2"/>
  <c r="CF72" i="2"/>
  <c r="CF56" i="2"/>
  <c r="CG10" i="2"/>
  <c r="CM55" i="3"/>
  <c r="CF202" i="2"/>
  <c r="CF17" i="2"/>
  <c r="CF57" i="3"/>
  <c r="CF57" i="2" l="1"/>
  <c r="CF67" i="2"/>
  <c r="CF71" i="2"/>
  <c r="CF74" i="2"/>
  <c r="CG198" i="2"/>
  <c r="CG73" i="2"/>
  <c r="CG72" i="2"/>
  <c r="CG56" i="2"/>
  <c r="CG57" i="3"/>
  <c r="CG10" i="54"/>
  <c r="CI78" i="54"/>
  <c r="CI86" i="54" s="1"/>
  <c r="CI21" i="1" s="1"/>
  <c r="CI24" i="1" s="1"/>
  <c r="CG17" i="2"/>
  <c r="CG201" i="2"/>
  <c r="CF204" i="2"/>
  <c r="CG204" i="2"/>
  <c r="CG202" i="2"/>
  <c r="CF205" i="2"/>
  <c r="CG205" i="2"/>
  <c r="CF26" i="2"/>
  <c r="CF61" i="2" s="1"/>
  <c r="CG67" i="2" l="1"/>
  <c r="CG57" i="2"/>
  <c r="CG71" i="2"/>
  <c r="CG74" i="2"/>
  <c r="CF62" i="2"/>
  <c r="CG62" i="2"/>
  <c r="CM78" i="54"/>
  <c r="CG26" i="2"/>
  <c r="CF52" i="2"/>
  <c r="CG52" i="2" l="1"/>
  <c r="CG61" i="2"/>
  <c r="CE10" i="73" l="1"/>
  <c r="CE11" i="73" s="1"/>
  <c r="CE311" i="73"/>
  <c r="CE312" i="73" l="1"/>
  <c r="CE313" i="73" s="1"/>
  <c r="CE16" i="73" l="1"/>
  <c r="CE17" i="73" s="1"/>
  <c r="CE18" i="73"/>
  <c r="CE19" i="73" s="1"/>
  <c r="CE12" i="73"/>
  <c r="CE343" i="73"/>
  <c r="CE366" i="73"/>
  <c r="CE372" i="73" l="1"/>
  <c r="CE446" i="73"/>
  <c r="CK446" i="73" s="1"/>
  <c r="CQ446" i="73" s="1"/>
  <c r="CW446" i="73" s="1"/>
  <c r="CE384" i="73"/>
  <c r="CE370" i="73"/>
  <c r="CE210" i="73"/>
  <c r="CE374" i="73"/>
  <c r="CE13" i="73"/>
  <c r="CE27" i="73"/>
  <c r="CE96" i="73"/>
  <c r="CE131" i="73"/>
  <c r="CE260" i="73"/>
  <c r="CE314" i="73"/>
  <c r="CE46" i="73"/>
  <c r="CE118" i="73"/>
  <c r="CE161" i="73"/>
  <c r="CE299" i="73"/>
  <c r="CE447" i="73"/>
  <c r="CE367" i="73"/>
  <c r="CE368" i="73" s="1"/>
  <c r="CE369" i="73"/>
  <c r="CE371" i="73"/>
  <c r="CE373" i="73"/>
  <c r="CE375" i="73"/>
  <c r="CE37" i="73"/>
  <c r="CE346" i="73"/>
  <c r="CE347" i="73"/>
  <c r="CE344" i="73"/>
  <c r="CE345" i="73" s="1"/>
  <c r="CE164" i="73" l="1"/>
  <c r="CE167" i="73" s="1"/>
  <c r="CE166" i="73" s="1"/>
  <c r="CE324" i="73"/>
  <c r="CE385" i="73" s="1"/>
  <c r="CK445" i="73"/>
  <c r="CE451" i="73" l="1"/>
  <c r="CE387" i="73"/>
  <c r="CE14" i="73" s="1"/>
  <c r="CE15" i="73" s="1"/>
  <c r="CE390" i="73"/>
  <c r="CE392" i="73"/>
  <c r="CE394" i="73"/>
  <c r="CE404" i="73"/>
  <c r="CE413" i="73" s="1"/>
  <c r="CE388" i="73"/>
  <c r="CE391" i="73"/>
  <c r="CE393" i="73"/>
  <c r="CE395" i="73"/>
  <c r="CE386" i="73"/>
  <c r="CE168" i="73"/>
  <c r="CE450" i="73"/>
  <c r="CE449" i="73" s="1"/>
  <c r="CK214" i="73"/>
  <c r="CK327" i="73"/>
  <c r="CK350" i="73"/>
  <c r="CK100" i="73"/>
  <c r="CK220" i="73"/>
  <c r="CK303" i="73"/>
  <c r="CK50" i="73"/>
  <c r="CQ445" i="73"/>
  <c r="CQ76" i="73" s="1"/>
  <c r="CQ75" i="73" s="1"/>
  <c r="CE325" i="73"/>
  <c r="CW445" i="73" l="1"/>
  <c r="CW76" i="73" s="1"/>
  <c r="CW75" i="73" s="1"/>
  <c r="CE264" i="73"/>
  <c r="CE263" i="73" s="1"/>
  <c r="CE270" i="73"/>
  <c r="CE269" i="73" s="1"/>
  <c r="CE445" i="73"/>
  <c r="CQ50" i="73"/>
  <c r="CQ214" i="73"/>
  <c r="CQ350" i="73"/>
  <c r="CQ327" i="73"/>
  <c r="CQ100" i="73"/>
  <c r="CQ220" i="73"/>
  <c r="CQ303" i="73"/>
  <c r="CE169" i="73"/>
  <c r="CE431" i="73"/>
  <c r="CE100" i="73" l="1"/>
  <c r="CE99" i="73" s="1"/>
  <c r="CE50" i="73"/>
  <c r="CE49" i="73" s="1"/>
  <c r="CE220" i="73"/>
  <c r="CE219" i="73" s="1"/>
  <c r="CE303" i="73"/>
  <c r="CE302" i="73" s="1"/>
  <c r="CE350" i="73"/>
  <c r="CE349" i="73" s="1"/>
  <c r="CE214" i="73"/>
  <c r="CE213" i="73" s="1"/>
  <c r="CE265" i="73"/>
  <c r="CE276" i="73"/>
  <c r="CE277" i="73" s="1"/>
  <c r="CW100" i="73"/>
  <c r="CW220" i="73"/>
  <c r="CW303" i="73"/>
  <c r="CW214" i="73"/>
  <c r="CW50" i="73"/>
  <c r="CW350" i="73"/>
  <c r="CW327" i="73"/>
  <c r="CE271" i="73"/>
  <c r="CE272" i="73" s="1"/>
  <c r="CE440" i="73"/>
  <c r="CE221" i="73" l="1"/>
  <c r="CE222" i="73" s="1"/>
  <c r="CE225" i="73"/>
  <c r="CE226" i="73" s="1"/>
  <c r="CE215" i="73"/>
  <c r="CE51" i="73"/>
  <c r="CE101" i="73"/>
  <c r="CE304" i="73"/>
  <c r="CE266" i="73"/>
  <c r="CE278" i="73"/>
  <c r="CE351" i="73"/>
  <c r="CE227" i="73" l="1"/>
  <c r="CE430" i="73" s="1"/>
  <c r="CE352" i="73"/>
  <c r="CE279" i="73"/>
  <c r="CE432" i="73"/>
  <c r="CE305" i="73"/>
  <c r="CE433" i="73"/>
  <c r="CE102" i="73"/>
  <c r="CE428" i="73"/>
  <c r="CE52" i="73"/>
  <c r="CE426" i="73"/>
  <c r="CE228" i="73" l="1"/>
  <c r="CE435" i="73"/>
  <c r="CE441" i="73"/>
  <c r="CE328" i="73"/>
  <c r="CE442" i="73"/>
  <c r="CE437" i="73"/>
  <c r="CE439" i="73"/>
  <c r="CE329" i="73" l="1"/>
  <c r="CE326" i="73"/>
  <c r="CE415" i="73"/>
  <c r="CE327" i="73" l="1"/>
  <c r="CE417" i="73"/>
  <c r="CE434" i="73"/>
  <c r="CE443" i="73" s="1"/>
  <c r="CE416" i="73"/>
  <c r="CE421" i="73"/>
  <c r="CE423" i="73"/>
  <c r="CE420" i="73"/>
  <c r="CE418" i="73"/>
  <c r="CE422" i="73"/>
  <c r="CE425" i="73"/>
  <c r="CE424" i="73"/>
  <c r="CI110" i="73" l="1"/>
  <c r="CI109" i="73" s="1"/>
  <c r="CJ110" i="73"/>
  <c r="CJ109" i="73" s="1"/>
  <c r="CK110" i="73"/>
  <c r="CK109" i="73" s="1"/>
  <c r="CL110" i="73"/>
  <c r="CI116" i="73"/>
  <c r="CI115" i="73" s="1"/>
  <c r="CO115" i="73" s="1"/>
  <c r="CJ116" i="73"/>
  <c r="CJ115" i="73" s="1"/>
  <c r="CJ134" i="73" s="1"/>
  <c r="CJ448" i="73" s="1"/>
  <c r="CK116" i="73"/>
  <c r="CK115" i="73" s="1"/>
  <c r="CL116" i="73"/>
  <c r="CI120" i="73"/>
  <c r="CI119" i="73" s="1"/>
  <c r="CO119" i="73" s="1"/>
  <c r="CJ120" i="73"/>
  <c r="CJ119" i="73" s="1"/>
  <c r="CJ127" i="73" s="1"/>
  <c r="CK120" i="73"/>
  <c r="CK119" i="73" s="1"/>
  <c r="CL120" i="73"/>
  <c r="CI145" i="73"/>
  <c r="CI144" i="73" s="1"/>
  <c r="CJ145" i="73"/>
  <c r="CJ144" i="73" s="1"/>
  <c r="CK145" i="73"/>
  <c r="CK144" i="73" s="1"/>
  <c r="CL145" i="73"/>
  <c r="CI148" i="73"/>
  <c r="CI147" i="73" s="1"/>
  <c r="CJ148" i="73"/>
  <c r="CJ147" i="73" s="1"/>
  <c r="CP147" i="73" s="1"/>
  <c r="CV147" i="73" s="1"/>
  <c r="CK148" i="73"/>
  <c r="CK147" i="73" s="1"/>
  <c r="CQ147" i="73" s="1"/>
  <c r="CW147" i="73" s="1"/>
  <c r="CL148" i="73"/>
  <c r="CI151" i="73"/>
  <c r="CI150" i="73" s="1"/>
  <c r="CJ151" i="73"/>
  <c r="CJ150" i="73" s="1"/>
  <c r="CP150" i="73" s="1"/>
  <c r="CV150" i="73" s="1"/>
  <c r="CK151" i="73"/>
  <c r="CK150" i="73" s="1"/>
  <c r="CQ150" i="73" s="1"/>
  <c r="CW150" i="73" s="1"/>
  <c r="CL151" i="73"/>
  <c r="CL150" i="73" s="1"/>
  <c r="CR150" i="73" s="1"/>
  <c r="CX150" i="73" s="1"/>
  <c r="CI154" i="73"/>
  <c r="CI153" i="73" s="1"/>
  <c r="CJ154" i="73"/>
  <c r="CJ153" i="73" s="1"/>
  <c r="CP153" i="73" s="1"/>
  <c r="CV153" i="73" s="1"/>
  <c r="CK154" i="73"/>
  <c r="CK153" i="73" s="1"/>
  <c r="CQ153" i="73" s="1"/>
  <c r="CW153" i="73" s="1"/>
  <c r="CL154" i="73"/>
  <c r="CI186" i="73"/>
  <c r="CI185" i="73" s="1"/>
  <c r="CJ186" i="73"/>
  <c r="CJ185" i="73" s="1"/>
  <c r="CP185" i="73" s="1"/>
  <c r="CV185" i="73" s="1"/>
  <c r="CK186" i="73"/>
  <c r="CK185" i="73" s="1"/>
  <c r="CQ185" i="73" s="1"/>
  <c r="CW185" i="73" s="1"/>
  <c r="CL186" i="73"/>
  <c r="CI190" i="73"/>
  <c r="CI189" i="73" s="1"/>
  <c r="CJ190" i="73"/>
  <c r="CJ189" i="73" s="1"/>
  <c r="CK190" i="73"/>
  <c r="CK189" i="73" s="1"/>
  <c r="CL190" i="73"/>
  <c r="CI194" i="73"/>
  <c r="CI193" i="73" s="1"/>
  <c r="CJ194" i="73"/>
  <c r="CJ193" i="73" s="1"/>
  <c r="CP193" i="73" s="1"/>
  <c r="CV193" i="73" s="1"/>
  <c r="CK194" i="73"/>
  <c r="CK193" i="73" s="1"/>
  <c r="CL194" i="73"/>
  <c r="CI197" i="73"/>
  <c r="CI196" i="73" s="1"/>
  <c r="CO196" i="73" s="1"/>
  <c r="CJ197" i="73"/>
  <c r="CJ196" i="73" s="1"/>
  <c r="CP196" i="73" s="1"/>
  <c r="CK197" i="73"/>
  <c r="CK196" i="73" s="1"/>
  <c r="CQ196" i="73" s="1"/>
  <c r="CL197" i="73"/>
  <c r="CI236" i="73"/>
  <c r="CI235" i="73" s="1"/>
  <c r="CJ236" i="73"/>
  <c r="CJ235" i="73" s="1"/>
  <c r="CP235" i="73" s="1"/>
  <c r="CV235" i="73" s="1"/>
  <c r="CK236" i="73"/>
  <c r="CK235" i="73" s="1"/>
  <c r="CQ235" i="73" s="1"/>
  <c r="CL236" i="73"/>
  <c r="CI239" i="73"/>
  <c r="CI238" i="73" s="1"/>
  <c r="CJ239" i="73"/>
  <c r="CJ238" i="73" s="1"/>
  <c r="CP238" i="73" s="1"/>
  <c r="CV238" i="73" s="1"/>
  <c r="CK239" i="73"/>
  <c r="CK238" i="73" s="1"/>
  <c r="CQ238" i="73" s="1"/>
  <c r="CW238" i="73" s="1"/>
  <c r="CL239" i="73"/>
  <c r="CI246" i="73"/>
  <c r="CI245" i="73" s="1"/>
  <c r="CJ246" i="73"/>
  <c r="CJ245" i="73" s="1"/>
  <c r="CK246" i="73"/>
  <c r="CK245" i="73" s="1"/>
  <c r="CK248" i="73" s="1"/>
  <c r="CL246" i="73"/>
  <c r="CI250" i="73"/>
  <c r="CI249" i="73" s="1"/>
  <c r="CI252" i="73" s="1"/>
  <c r="CJ250" i="73"/>
  <c r="CJ249" i="73" s="1"/>
  <c r="CK250" i="73"/>
  <c r="CK249" i="73" s="1"/>
  <c r="CL250" i="73"/>
  <c r="CI287" i="73"/>
  <c r="CI286" i="73" s="1"/>
  <c r="CJ287" i="73"/>
  <c r="CJ286" i="73" s="1"/>
  <c r="CK287" i="73"/>
  <c r="CK286" i="73" s="1"/>
  <c r="CL287" i="73"/>
  <c r="CI312" i="73"/>
  <c r="CI311" i="73" s="1"/>
  <c r="CJ312" i="73"/>
  <c r="CJ311" i="73" s="1"/>
  <c r="CK312" i="73"/>
  <c r="CK311" i="73" s="1"/>
  <c r="CL312" i="73"/>
  <c r="CI319" i="73"/>
  <c r="CI318" i="73" s="1"/>
  <c r="CJ319" i="73"/>
  <c r="CJ318" i="73" s="1"/>
  <c r="CP318" i="73" s="1"/>
  <c r="CV318" i="73" s="1"/>
  <c r="CK319" i="73"/>
  <c r="CK318" i="73" s="1"/>
  <c r="CQ318" i="73" s="1"/>
  <c r="CW318" i="73" s="1"/>
  <c r="CL319" i="73"/>
  <c r="CI322" i="73"/>
  <c r="CI321" i="73" s="1"/>
  <c r="CO321" i="73" s="1"/>
  <c r="CJ322" i="73"/>
  <c r="CJ321" i="73" s="1"/>
  <c r="CP321" i="73" s="1"/>
  <c r="CV321" i="73" s="1"/>
  <c r="CK322" i="73"/>
  <c r="CK321" i="73" s="1"/>
  <c r="CQ321" i="73" s="1"/>
  <c r="CW321" i="73" s="1"/>
  <c r="CL322" i="73"/>
  <c r="CL321" i="73" s="1"/>
  <c r="CR321" i="73" s="1"/>
  <c r="CX321" i="73" s="1"/>
  <c r="CI344" i="73"/>
  <c r="CI343" i="73" s="1"/>
  <c r="CJ344" i="73"/>
  <c r="CJ343" i="73" s="1"/>
  <c r="CK344" i="73"/>
  <c r="CK343" i="73" s="1"/>
  <c r="CL344" i="73"/>
  <c r="CI33" i="51"/>
  <c r="CJ33" i="51"/>
  <c r="CK33" i="51"/>
  <c r="CL33" i="51"/>
  <c r="CI34" i="4"/>
  <c r="CJ34" i="4"/>
  <c r="CK34" i="4"/>
  <c r="CL34" i="4"/>
  <c r="CI40" i="4"/>
  <c r="CI39" i="4" s="1"/>
  <c r="CJ41" i="4"/>
  <c r="CJ40" i="4" s="1"/>
  <c r="CJ39" i="4" s="1"/>
  <c r="CP39" i="4" s="1"/>
  <c r="CK41" i="4"/>
  <c r="CK40" i="4" s="1"/>
  <c r="CK39" i="4" s="1"/>
  <c r="CL41" i="4"/>
  <c r="CL40" i="4" s="1"/>
  <c r="CI47" i="4"/>
  <c r="CI46" i="4" s="1"/>
  <c r="CI45" i="4" s="1"/>
  <c r="CJ47" i="4"/>
  <c r="CK47" i="4"/>
  <c r="CK46" i="4" s="1"/>
  <c r="CK45" i="4" s="1"/>
  <c r="CL47" i="4"/>
  <c r="CI53" i="4"/>
  <c r="CI52" i="4" s="1"/>
  <c r="CI51" i="4" s="1"/>
  <c r="CJ53" i="4"/>
  <c r="CJ52" i="4" s="1"/>
  <c r="CJ51" i="4" s="1"/>
  <c r="CK53" i="4"/>
  <c r="CK52" i="4" s="1"/>
  <c r="CK51" i="4" s="1"/>
  <c r="CQ64" i="51" s="1"/>
  <c r="CL53" i="4"/>
  <c r="CL52" i="4" s="1"/>
  <c r="CM59" i="4"/>
  <c r="CQ343" i="73" l="1"/>
  <c r="CW343" i="73" s="1"/>
  <c r="CP343" i="73"/>
  <c r="CV343" i="73" s="1"/>
  <c r="CQ311" i="73"/>
  <c r="CW311" i="73" s="1"/>
  <c r="CP311" i="73"/>
  <c r="CP326" i="73" s="1"/>
  <c r="CO343" i="73"/>
  <c r="CO349" i="73" s="1"/>
  <c r="CK326" i="73"/>
  <c r="CI127" i="73"/>
  <c r="CI379" i="73"/>
  <c r="CO249" i="73"/>
  <c r="CO252" i="73" s="1"/>
  <c r="CQ245" i="73"/>
  <c r="CK15" i="4"/>
  <c r="CO132" i="73"/>
  <c r="CO399" i="73" s="1"/>
  <c r="CO379" i="73"/>
  <c r="CK134" i="73"/>
  <c r="CK448" i="73" s="1"/>
  <c r="CK379" i="73"/>
  <c r="CQ51" i="4"/>
  <c r="CQ15" i="4" s="1"/>
  <c r="CJ379" i="73"/>
  <c r="CM33" i="51"/>
  <c r="CO64" i="51"/>
  <c r="CI15" i="4"/>
  <c r="CO51" i="4"/>
  <c r="CP64" i="51"/>
  <c r="CJ15" i="4"/>
  <c r="CP51" i="4"/>
  <c r="CQ62" i="51"/>
  <c r="CQ39" i="4"/>
  <c r="CK11" i="4"/>
  <c r="CQ63" i="51"/>
  <c r="CK13" i="4"/>
  <c r="CQ45" i="4"/>
  <c r="CO63" i="51"/>
  <c r="CO45" i="4"/>
  <c r="CV62" i="51"/>
  <c r="CV39" i="4"/>
  <c r="CP93" i="73"/>
  <c r="CI13" i="4"/>
  <c r="CI93" i="73"/>
  <c r="CJ39" i="73"/>
  <c r="CJ38" i="73" s="1"/>
  <c r="CP38" i="73" s="1"/>
  <c r="CV38" i="73" s="1"/>
  <c r="CJ35" i="73"/>
  <c r="CJ34" i="73" s="1"/>
  <c r="CJ46" i="4"/>
  <c r="CJ45" i="4" s="1"/>
  <c r="CL39" i="73"/>
  <c r="CL35" i="73"/>
  <c r="CO62" i="51"/>
  <c r="CK93" i="73"/>
  <c r="CL89" i="73"/>
  <c r="CL316" i="73"/>
  <c r="CJ93" i="73"/>
  <c r="CI89" i="73"/>
  <c r="CI316" i="73"/>
  <c r="CI315" i="73" s="1"/>
  <c r="CL46" i="4"/>
  <c r="CK89" i="73"/>
  <c r="CK316" i="73"/>
  <c r="CK315" i="73" s="1"/>
  <c r="CQ315" i="73" s="1"/>
  <c r="CW315" i="73" s="1"/>
  <c r="CP11" i="4"/>
  <c r="CS321" i="73"/>
  <c r="CU321" i="73"/>
  <c r="CY321" i="73" s="1"/>
  <c r="CO153" i="73"/>
  <c r="CI11" i="4"/>
  <c r="CO39" i="4"/>
  <c r="CQ71" i="51"/>
  <c r="CP62" i="51"/>
  <c r="CJ11" i="4"/>
  <c r="CO235" i="73"/>
  <c r="CI255" i="73"/>
  <c r="CK39" i="73"/>
  <c r="CK38" i="73" s="1"/>
  <c r="CQ38" i="73" s="1"/>
  <c r="CW38" i="73" s="1"/>
  <c r="CK35" i="73"/>
  <c r="CK34" i="73" s="1"/>
  <c r="CJ89" i="73"/>
  <c r="CJ316" i="73"/>
  <c r="CJ315" i="73" s="1"/>
  <c r="CP315" i="73" s="1"/>
  <c r="CV315" i="73" s="1"/>
  <c r="CI35" i="73"/>
  <c r="CI34" i="73" s="1"/>
  <c r="CI39" i="73"/>
  <c r="CI38" i="73" s="1"/>
  <c r="CO127" i="73"/>
  <c r="CU119" i="73"/>
  <c r="CI349" i="73"/>
  <c r="CI347" i="73"/>
  <c r="CI324" i="73"/>
  <c r="CO311" i="73"/>
  <c r="CI326" i="73"/>
  <c r="CI296" i="73"/>
  <c r="CO286" i="73"/>
  <c r="CK252" i="73"/>
  <c r="CQ249" i="73"/>
  <c r="CO318" i="73"/>
  <c r="CJ296" i="73"/>
  <c r="CP286" i="73"/>
  <c r="CJ199" i="73"/>
  <c r="CJ200" i="73" s="1"/>
  <c r="CJ201" i="73" s="1"/>
  <c r="CJ206" i="73"/>
  <c r="CP189" i="73"/>
  <c r="CM321" i="73"/>
  <c r="CM322" i="73" s="1"/>
  <c r="CM323" i="73" s="1"/>
  <c r="CJ252" i="73"/>
  <c r="CP249" i="73"/>
  <c r="CK347" i="73"/>
  <c r="CK349" i="73"/>
  <c r="CJ349" i="73"/>
  <c r="CJ347" i="73"/>
  <c r="CI206" i="73"/>
  <c r="CO189" i="73"/>
  <c r="CI199" i="73"/>
  <c r="CI200" i="73" s="1"/>
  <c r="CI201" i="73" s="1"/>
  <c r="CJ324" i="73"/>
  <c r="CJ326" i="73"/>
  <c r="CJ248" i="73"/>
  <c r="CP245" i="73"/>
  <c r="CQ109" i="73"/>
  <c r="CI248" i="73"/>
  <c r="CI253" i="73" s="1"/>
  <c r="CI254" i="73" s="1"/>
  <c r="CO245" i="73"/>
  <c r="CK324" i="73"/>
  <c r="CK296" i="73"/>
  <c r="CQ286" i="73"/>
  <c r="CK205" i="73"/>
  <c r="CQ193" i="73"/>
  <c r="CW193" i="73" s="1"/>
  <c r="CO238" i="73"/>
  <c r="CP144" i="73"/>
  <c r="CJ158" i="73"/>
  <c r="CW196" i="73"/>
  <c r="CK199" i="73"/>
  <c r="CK200" i="73" s="1"/>
  <c r="CK201" i="73" s="1"/>
  <c r="CK206" i="73"/>
  <c r="CQ189" i="73"/>
  <c r="CM150" i="73"/>
  <c r="CM151" i="73" s="1"/>
  <c r="CM152" i="73" s="1"/>
  <c r="CO150" i="73"/>
  <c r="CW235" i="73"/>
  <c r="CQ144" i="73"/>
  <c r="CK158" i="73"/>
  <c r="CP109" i="73"/>
  <c r="CO185" i="73"/>
  <c r="CO134" i="73"/>
  <c r="CV196" i="73"/>
  <c r="CV205" i="73" s="1"/>
  <c r="CP205" i="73"/>
  <c r="CO193" i="73"/>
  <c r="CU196" i="73"/>
  <c r="CO109" i="73"/>
  <c r="CO125" i="73" s="1"/>
  <c r="CJ205" i="73"/>
  <c r="CI205" i="73"/>
  <c r="CO144" i="73"/>
  <c r="CI158" i="73"/>
  <c r="CU115" i="73"/>
  <c r="CP115" i="73"/>
  <c r="CJ125" i="73"/>
  <c r="CJ132" i="73"/>
  <c r="CO147" i="73"/>
  <c r="CP119" i="73"/>
  <c r="CI125" i="73"/>
  <c r="CI132" i="73"/>
  <c r="CI134" i="73"/>
  <c r="CQ115" i="73"/>
  <c r="CK125" i="73"/>
  <c r="CK132" i="73"/>
  <c r="CK127" i="73"/>
  <c r="CQ119" i="73"/>
  <c r="CQ349" i="73" l="1"/>
  <c r="CQ347" i="73"/>
  <c r="CQ351" i="73" s="1"/>
  <c r="CP347" i="73"/>
  <c r="CU343" i="73"/>
  <c r="CU347" i="73" s="1"/>
  <c r="CO347" i="73"/>
  <c r="CO351" i="73" s="1"/>
  <c r="CP324" i="73"/>
  <c r="CP328" i="73" s="1"/>
  <c r="CP329" i="73" s="1"/>
  <c r="CV311" i="73"/>
  <c r="CV326" i="73" s="1"/>
  <c r="CQ324" i="73"/>
  <c r="CQ326" i="73"/>
  <c r="CP349" i="73"/>
  <c r="CI77" i="73"/>
  <c r="CK77" i="73"/>
  <c r="CK427" i="73" s="1"/>
  <c r="CK436" i="73" s="1"/>
  <c r="CW51" i="4"/>
  <c r="CW15" i="4" s="1"/>
  <c r="CK328" i="73"/>
  <c r="CK329" i="73" s="1"/>
  <c r="CW64" i="51"/>
  <c r="CU249" i="73"/>
  <c r="CU252" i="73" s="1"/>
  <c r="CQ248" i="73"/>
  <c r="CW245" i="73"/>
  <c r="CW248" i="73" s="1"/>
  <c r="CJ351" i="73"/>
  <c r="CJ328" i="73"/>
  <c r="CJ329" i="73" s="1"/>
  <c r="CO408" i="73"/>
  <c r="CY322" i="73"/>
  <c r="CY323" i="73" s="1"/>
  <c r="CK156" i="73"/>
  <c r="CK162" i="73"/>
  <c r="CK159" i="73"/>
  <c r="CK160" i="73" s="1"/>
  <c r="CQ70" i="51"/>
  <c r="CU62" i="51"/>
  <c r="CO11" i="4"/>
  <c r="CU39" i="4"/>
  <c r="CW189" i="73"/>
  <c r="CQ206" i="73"/>
  <c r="CQ199" i="73"/>
  <c r="CQ200" i="73" s="1"/>
  <c r="CQ201" i="73" s="1"/>
  <c r="CU245" i="73"/>
  <c r="CU248" i="73" s="1"/>
  <c r="CO248" i="73"/>
  <c r="CO257" i="73" s="1"/>
  <c r="CO199" i="73"/>
  <c r="CO200" i="73" s="1"/>
  <c r="CO201" i="73" s="1"/>
  <c r="CO206" i="73"/>
  <c r="CU189" i="73"/>
  <c r="CW326" i="73"/>
  <c r="CW324" i="73"/>
  <c r="CV189" i="73"/>
  <c r="CP199" i="73"/>
  <c r="CP200" i="73" s="1"/>
  <c r="CP201" i="73" s="1"/>
  <c r="CP206" i="73"/>
  <c r="CP207" i="73" s="1"/>
  <c r="CU318" i="73"/>
  <c r="CU286" i="73"/>
  <c r="CU296" i="73" s="1"/>
  <c r="CO296" i="73"/>
  <c r="CI351" i="73"/>
  <c r="CO315" i="73"/>
  <c r="CO93" i="73"/>
  <c r="CU63" i="51"/>
  <c r="CU45" i="4"/>
  <c r="CO13" i="4"/>
  <c r="CO15" i="4"/>
  <c r="CU51" i="4"/>
  <c r="CU64" i="51"/>
  <c r="CP134" i="73"/>
  <c r="CP448" i="73" s="1"/>
  <c r="CP125" i="73"/>
  <c r="CV115" i="73"/>
  <c r="CP132" i="73"/>
  <c r="CP379" i="73"/>
  <c r="CJ207" i="73"/>
  <c r="CJ211" i="73"/>
  <c r="CJ213" i="73"/>
  <c r="CJ202" i="73"/>
  <c r="CJ203" i="73" s="1"/>
  <c r="CJ204" i="73" s="1"/>
  <c r="CV109" i="73"/>
  <c r="CK219" i="73"/>
  <c r="CK380" i="73"/>
  <c r="CK217" i="73"/>
  <c r="CP158" i="73"/>
  <c r="CV144" i="73"/>
  <c r="CV158" i="73" s="1"/>
  <c r="CK207" i="73"/>
  <c r="CK213" i="73"/>
  <c r="CK211" i="73"/>
  <c r="CK202" i="73"/>
  <c r="CK203" i="73" s="1"/>
  <c r="CK204" i="73" s="1"/>
  <c r="CW286" i="73"/>
  <c r="CW296" i="73" s="1"/>
  <c r="CQ296" i="73"/>
  <c r="CI257" i="73"/>
  <c r="CI217" i="73"/>
  <c r="CI219" i="73"/>
  <c r="CI380" i="73"/>
  <c r="CJ217" i="73"/>
  <c r="CJ380" i="73"/>
  <c r="CJ219" i="73"/>
  <c r="CI112" i="73"/>
  <c r="CI294" i="73"/>
  <c r="CI297" i="73"/>
  <c r="CI298" i="73" s="1"/>
  <c r="CO69" i="51"/>
  <c r="CI91" i="73"/>
  <c r="CI92" i="73" s="1"/>
  <c r="CI94" i="73"/>
  <c r="CI97" i="73"/>
  <c r="CI99" i="73"/>
  <c r="CV64" i="51"/>
  <c r="CP15" i="4"/>
  <c r="CV51" i="4"/>
  <c r="CV15" i="4" s="1"/>
  <c r="CJ399" i="73"/>
  <c r="CJ136" i="73"/>
  <c r="CJ253" i="73"/>
  <c r="CJ254" i="73" s="1"/>
  <c r="CJ255" i="73"/>
  <c r="CJ257" i="73"/>
  <c r="CU127" i="73"/>
  <c r="CJ94" i="73"/>
  <c r="CJ91" i="73"/>
  <c r="CJ92" i="73" s="1"/>
  <c r="CJ99" i="73"/>
  <c r="CJ97" i="73"/>
  <c r="CQ69" i="51"/>
  <c r="CW144" i="73"/>
  <c r="CW158" i="73" s="1"/>
  <c r="CQ158" i="73"/>
  <c r="CK136" i="73"/>
  <c r="CK399" i="73"/>
  <c r="CU238" i="73"/>
  <c r="CV347" i="73"/>
  <c r="CV349" i="73"/>
  <c r="CQ34" i="73"/>
  <c r="CK43" i="73"/>
  <c r="CP69" i="51"/>
  <c r="CO70" i="51"/>
  <c r="CQ132" i="73"/>
  <c r="CQ134" i="73"/>
  <c r="CQ448" i="73" s="1"/>
  <c r="CQ125" i="73"/>
  <c r="CW115" i="73"/>
  <c r="CQ379" i="73"/>
  <c r="CU147" i="73"/>
  <c r="CU109" i="73"/>
  <c r="CU125" i="73" s="1"/>
  <c r="CU193" i="73"/>
  <c r="CO205" i="73"/>
  <c r="CO448" i="73"/>
  <c r="CS150" i="73"/>
  <c r="CS151" i="73" s="1"/>
  <c r="CS152" i="73" s="1"/>
  <c r="CU150" i="73"/>
  <c r="CY150" i="73" s="1"/>
  <c r="CW205" i="73"/>
  <c r="CV286" i="73"/>
  <c r="CV296" i="73" s="1"/>
  <c r="CP296" i="73"/>
  <c r="CO38" i="73"/>
  <c r="CU235" i="73"/>
  <c r="CO255" i="73"/>
  <c r="CP91" i="73"/>
  <c r="CP92" i="73" s="1"/>
  <c r="CP97" i="73"/>
  <c r="CP99" i="73"/>
  <c r="CP94" i="73"/>
  <c r="CO71" i="51"/>
  <c r="CO158" i="73"/>
  <c r="CU144" i="73"/>
  <c r="CU185" i="73"/>
  <c r="CW109" i="73"/>
  <c r="CQ252" i="73"/>
  <c r="CW249" i="73"/>
  <c r="CW252" i="73" s="1"/>
  <c r="CW255" i="73" s="1"/>
  <c r="CI399" i="73"/>
  <c r="CI136" i="73"/>
  <c r="CI328" i="73"/>
  <c r="CI329" i="73" s="1"/>
  <c r="CS322" i="73"/>
  <c r="CS323" i="73" s="1"/>
  <c r="CI207" i="73"/>
  <c r="CI213" i="73"/>
  <c r="CI211" i="73"/>
  <c r="CI202" i="73"/>
  <c r="CI203" i="73" s="1"/>
  <c r="CI204" i="73" s="1"/>
  <c r="CJ156" i="73"/>
  <c r="CJ162" i="73"/>
  <c r="CJ159" i="73"/>
  <c r="CJ160" i="73" s="1"/>
  <c r="CP127" i="73"/>
  <c r="CV119" i="73"/>
  <c r="CK297" i="73"/>
  <c r="CK298" i="73" s="1"/>
  <c r="CK112" i="73"/>
  <c r="CK294" i="73"/>
  <c r="CI261" i="73"/>
  <c r="CV93" i="73"/>
  <c r="CI448" i="73"/>
  <c r="CU132" i="73"/>
  <c r="CU134" i="73"/>
  <c r="CU379" i="73"/>
  <c r="CQ205" i="73"/>
  <c r="CK351" i="73"/>
  <c r="CJ112" i="73"/>
  <c r="CJ294" i="73"/>
  <c r="CJ297" i="73"/>
  <c r="CJ298" i="73" s="1"/>
  <c r="CO34" i="73"/>
  <c r="CI43" i="73"/>
  <c r="CU153" i="73"/>
  <c r="CP63" i="51"/>
  <c r="CP45" i="4"/>
  <c r="CJ13" i="4"/>
  <c r="CV11" i="4"/>
  <c r="CW63" i="51"/>
  <c r="CW45" i="4"/>
  <c r="CW13" i="4" s="1"/>
  <c r="CQ13" i="4"/>
  <c r="CP71" i="51"/>
  <c r="CV213" i="73"/>
  <c r="CV202" i="73"/>
  <c r="CV211" i="73"/>
  <c r="CQ93" i="73"/>
  <c r="CV69" i="51"/>
  <c r="CV245" i="73"/>
  <c r="CV248" i="73" s="1"/>
  <c r="CP248" i="73"/>
  <c r="CK257" i="73"/>
  <c r="CK255" i="73"/>
  <c r="CK253" i="73"/>
  <c r="CK254" i="73" s="1"/>
  <c r="CK99" i="73"/>
  <c r="CK94" i="73"/>
  <c r="CK91" i="73"/>
  <c r="CK92" i="73" s="1"/>
  <c r="CK97" i="73"/>
  <c r="CQ127" i="73"/>
  <c r="CW119" i="73"/>
  <c r="CI162" i="73"/>
  <c r="CI156" i="73"/>
  <c r="CI157" i="73" s="1"/>
  <c r="CI159" i="73"/>
  <c r="CI160" i="73" s="1"/>
  <c r="CP211" i="73"/>
  <c r="CP202" i="73"/>
  <c r="CP213" i="73"/>
  <c r="CI14" i="51"/>
  <c r="CI17" i="51"/>
  <c r="CI20" i="51"/>
  <c r="CO136" i="73"/>
  <c r="CV249" i="73"/>
  <c r="CV252" i="73" s="1"/>
  <c r="CP252" i="73"/>
  <c r="CW347" i="73"/>
  <c r="CW349" i="73"/>
  <c r="CU311" i="73"/>
  <c r="CO326" i="73"/>
  <c r="CO324" i="73"/>
  <c r="CP34" i="73"/>
  <c r="CJ43" i="73"/>
  <c r="CW62" i="51"/>
  <c r="CW39" i="4"/>
  <c r="CQ11" i="4"/>
  <c r="CP351" i="73" l="1"/>
  <c r="CU349" i="73"/>
  <c r="CV324" i="73"/>
  <c r="CV328" i="73" s="1"/>
  <c r="CV329" i="73" s="1"/>
  <c r="CP352" i="73"/>
  <c r="CQ352" i="73"/>
  <c r="CJ352" i="73"/>
  <c r="CQ328" i="73"/>
  <c r="CQ329" i="73" s="1"/>
  <c r="CI295" i="73"/>
  <c r="CI383" i="73" s="1"/>
  <c r="CK78" i="73"/>
  <c r="CK79" i="73"/>
  <c r="CI78" i="73"/>
  <c r="CI79" i="73"/>
  <c r="CJ77" i="73"/>
  <c r="CW71" i="51"/>
  <c r="CU205" i="73"/>
  <c r="CU213" i="73" s="1"/>
  <c r="CP203" i="73"/>
  <c r="CP204" i="73" s="1"/>
  <c r="CW328" i="73"/>
  <c r="CW329" i="73" s="1"/>
  <c r="CK225" i="73"/>
  <c r="CK226" i="73" s="1"/>
  <c r="CK378" i="73"/>
  <c r="CJ378" i="73"/>
  <c r="CP378" i="73"/>
  <c r="CV257" i="73"/>
  <c r="CV255" i="73"/>
  <c r="CV253" i="73"/>
  <c r="CP70" i="51"/>
  <c r="CU315" i="73"/>
  <c r="CU112" i="73"/>
  <c r="CU297" i="73"/>
  <c r="CU298" i="73" s="1"/>
  <c r="CU294" i="73"/>
  <c r="CW206" i="73"/>
  <c r="CW207" i="73" s="1"/>
  <c r="CW199" i="73"/>
  <c r="CW200" i="73" s="1"/>
  <c r="CW201" i="73" s="1"/>
  <c r="CJ164" i="73"/>
  <c r="CJ401" i="73"/>
  <c r="CI256" i="73"/>
  <c r="CI258" i="73"/>
  <c r="CI259" i="73" s="1"/>
  <c r="CO219" i="73"/>
  <c r="CO217" i="73"/>
  <c r="CO380" i="73"/>
  <c r="CO43" i="73"/>
  <c r="CU34" i="73"/>
  <c r="CP112" i="73"/>
  <c r="CP294" i="73"/>
  <c r="CP297" i="73"/>
  <c r="CP298" i="73" s="1"/>
  <c r="CJ101" i="73"/>
  <c r="CJ398" i="73"/>
  <c r="CV156" i="73"/>
  <c r="CV157" i="73" s="1"/>
  <c r="CV162" i="73"/>
  <c r="CV159" i="73"/>
  <c r="CV160" i="73" s="1"/>
  <c r="CU11" i="4"/>
  <c r="CI50" i="51"/>
  <c r="CW127" i="73"/>
  <c r="CV112" i="73"/>
  <c r="CV128" i="73" s="1"/>
  <c r="CV122" i="73" s="1"/>
  <c r="CV297" i="73"/>
  <c r="CV298" i="73" s="1"/>
  <c r="CV294" i="73"/>
  <c r="CV295" i="73" s="1"/>
  <c r="CY151" i="73"/>
  <c r="CY152" i="73" s="1"/>
  <c r="CO211" i="73"/>
  <c r="CO202" i="73"/>
  <c r="CO203" i="73" s="1"/>
  <c r="CO204" i="73" s="1"/>
  <c r="CO213" i="73"/>
  <c r="CO207" i="73"/>
  <c r="CJ137" i="73"/>
  <c r="CJ429" i="73"/>
  <c r="CI221" i="73"/>
  <c r="CI222" i="73" s="1"/>
  <c r="CQ294" i="73"/>
  <c r="CQ112" i="73"/>
  <c r="CQ297" i="73"/>
  <c r="CQ298" i="73" s="1"/>
  <c r="CP159" i="73"/>
  <c r="CP160" i="73" s="1"/>
  <c r="CP162" i="73"/>
  <c r="CP156" i="73"/>
  <c r="CP157" i="73" s="1"/>
  <c r="CI381" i="73"/>
  <c r="CK261" i="73"/>
  <c r="CW70" i="51"/>
  <c r="CJ300" i="73"/>
  <c r="CJ302" i="73"/>
  <c r="CK113" i="73"/>
  <c r="CK114" i="73" s="1"/>
  <c r="CK128" i="73"/>
  <c r="CK126" i="73"/>
  <c r="CU38" i="73"/>
  <c r="CI49" i="73"/>
  <c r="CI44" i="73"/>
  <c r="CI45" i="73" s="1"/>
  <c r="CI47" i="73"/>
  <c r="CI41" i="73"/>
  <c r="CI331" i="73" s="1"/>
  <c r="CI335" i="73" s="1"/>
  <c r="CU448" i="73"/>
  <c r="CK408" i="73"/>
  <c r="CI95" i="73"/>
  <c r="CJ208" i="73"/>
  <c r="CJ209" i="73" s="1"/>
  <c r="CV199" i="73"/>
  <c r="CV200" i="73" s="1"/>
  <c r="CV201" i="73" s="1"/>
  <c r="CV206" i="73"/>
  <c r="CP215" i="73"/>
  <c r="CJ113" i="73"/>
  <c r="CJ114" i="73" s="1"/>
  <c r="CJ128" i="73"/>
  <c r="CJ126" i="73"/>
  <c r="CU136" i="73"/>
  <c r="CU399" i="73"/>
  <c r="CI47" i="51"/>
  <c r="CO328" i="73"/>
  <c r="CO329" i="73" s="1"/>
  <c r="CI44" i="51"/>
  <c r="CK95" i="73"/>
  <c r="CW93" i="73"/>
  <c r="CV215" i="73"/>
  <c r="CK302" i="73"/>
  <c r="CK300" i="73"/>
  <c r="CQ253" i="73"/>
  <c r="CQ254" i="73" s="1"/>
  <c r="CQ257" i="73"/>
  <c r="CQ255" i="73"/>
  <c r="CP95" i="73"/>
  <c r="CO261" i="73"/>
  <c r="CQ136" i="73"/>
  <c r="CQ399" i="73"/>
  <c r="CW159" i="73"/>
  <c r="CW160" i="73" s="1"/>
  <c r="CW156" i="73"/>
  <c r="CW157" i="73" s="1"/>
  <c r="CW162" i="73"/>
  <c r="CJ256" i="73"/>
  <c r="CJ258" i="73"/>
  <c r="CJ259" i="73" s="1"/>
  <c r="CJ221" i="73"/>
  <c r="CJ222" i="73" s="1"/>
  <c r="CK221" i="73"/>
  <c r="CK222" i="73" s="1"/>
  <c r="CV125" i="73"/>
  <c r="CV134" i="73"/>
  <c r="CV448" i="73" s="1"/>
  <c r="CV132" i="73"/>
  <c r="CV379" i="73"/>
  <c r="CU13" i="4"/>
  <c r="CI352" i="73"/>
  <c r="CJ215" i="73"/>
  <c r="CJ223" i="73"/>
  <c r="CJ295" i="73"/>
  <c r="CW261" i="73"/>
  <c r="CU324" i="73"/>
  <c r="CU326" i="73"/>
  <c r="CO137" i="73"/>
  <c r="CO429" i="73"/>
  <c r="CV127" i="73"/>
  <c r="CW202" i="73"/>
  <c r="CW213" i="73"/>
  <c r="CW211" i="73"/>
  <c r="CK137" i="73"/>
  <c r="CK429" i="73"/>
  <c r="CO258" i="73"/>
  <c r="CO259" i="73" s="1"/>
  <c r="CO256" i="73"/>
  <c r="CV71" i="51"/>
  <c r="CW112" i="73"/>
  <c r="CW126" i="73" s="1"/>
  <c r="CW297" i="73"/>
  <c r="CW298" i="73" s="1"/>
  <c r="CW294" i="73"/>
  <c r="CP136" i="73"/>
  <c r="CP399" i="73"/>
  <c r="CK164" i="73"/>
  <c r="CK401" i="73"/>
  <c r="CJ47" i="73"/>
  <c r="CJ49" i="73"/>
  <c r="CJ44" i="73"/>
  <c r="CJ45" i="73" s="1"/>
  <c r="CJ41" i="73"/>
  <c r="CJ42" i="73" s="1"/>
  <c r="CW351" i="73"/>
  <c r="CV203" i="73"/>
  <c r="CV204" i="73" s="1"/>
  <c r="CO352" i="73"/>
  <c r="CJ157" i="73"/>
  <c r="CI215" i="73"/>
  <c r="CI223" i="73"/>
  <c r="CI137" i="73"/>
  <c r="CI429" i="73"/>
  <c r="CU158" i="73"/>
  <c r="CU257" i="73"/>
  <c r="CJ261" i="73"/>
  <c r="CI113" i="73"/>
  <c r="CI114" i="73" s="1"/>
  <c r="CI126" i="73"/>
  <c r="CI128" i="73"/>
  <c r="CU71" i="51"/>
  <c r="CU70" i="51"/>
  <c r="CU93" i="73"/>
  <c r="CU69" i="51"/>
  <c r="CK157" i="73"/>
  <c r="CW11" i="4"/>
  <c r="CK101" i="73"/>
  <c r="CK398" i="73"/>
  <c r="CI208" i="73"/>
  <c r="CI209" i="73" s="1"/>
  <c r="CP101" i="73"/>
  <c r="CP398" i="73"/>
  <c r="CI101" i="73"/>
  <c r="CI398" i="73"/>
  <c r="CU199" i="73"/>
  <c r="CU200" i="73" s="1"/>
  <c r="CU201" i="73" s="1"/>
  <c r="CU206" i="73"/>
  <c r="CW69" i="51"/>
  <c r="CK256" i="73"/>
  <c r="CK258" i="73"/>
  <c r="CK259" i="73" s="1"/>
  <c r="CQ211" i="73"/>
  <c r="CQ202" i="73"/>
  <c r="CQ203" i="73" s="1"/>
  <c r="CQ204" i="73" s="1"/>
  <c r="CQ213" i="73"/>
  <c r="CQ207" i="73"/>
  <c r="CW34" i="73"/>
  <c r="CQ43" i="73"/>
  <c r="CK208" i="73"/>
  <c r="CK209" i="73" s="1"/>
  <c r="CI164" i="73"/>
  <c r="CI401" i="73"/>
  <c r="CK352" i="73"/>
  <c r="CV99" i="73"/>
  <c r="CV94" i="73"/>
  <c r="CV97" i="73"/>
  <c r="CV91" i="73"/>
  <c r="CV92" i="73" s="1"/>
  <c r="CW257" i="73"/>
  <c r="CW253" i="73"/>
  <c r="CQ162" i="73"/>
  <c r="CQ159" i="73"/>
  <c r="CQ160" i="73" s="1"/>
  <c r="CQ156" i="73"/>
  <c r="CQ157" i="73" s="1"/>
  <c r="CJ408" i="73"/>
  <c r="CI378" i="73"/>
  <c r="CI300" i="73"/>
  <c r="CI302" i="73"/>
  <c r="CO253" i="73"/>
  <c r="CO254" i="73" s="1"/>
  <c r="CP43" i="73"/>
  <c r="CV34" i="73"/>
  <c r="CP253" i="73"/>
  <c r="CP254" i="73" s="1"/>
  <c r="CP255" i="73"/>
  <c r="CP257" i="73"/>
  <c r="CP208" i="73"/>
  <c r="CP209" i="73" s="1"/>
  <c r="CK14" i="51"/>
  <c r="CK17" i="51"/>
  <c r="CK20" i="51"/>
  <c r="CQ91" i="73"/>
  <c r="CQ92" i="73" s="1"/>
  <c r="CQ97" i="73"/>
  <c r="CQ99" i="73"/>
  <c r="CQ94" i="73"/>
  <c r="CP13" i="4"/>
  <c r="CV45" i="4"/>
  <c r="CV63" i="51"/>
  <c r="CU253" i="73"/>
  <c r="CK295" i="73"/>
  <c r="CI225" i="73"/>
  <c r="CI226" i="73" s="1"/>
  <c r="CI408" i="73"/>
  <c r="CO159" i="73"/>
  <c r="CO160" i="73" s="1"/>
  <c r="CO162" i="73"/>
  <c r="CO156" i="73"/>
  <c r="CO157" i="73" s="1"/>
  <c r="CU255" i="73"/>
  <c r="CW132" i="73"/>
  <c r="CW134" i="73"/>
  <c r="CW448" i="73" s="1"/>
  <c r="CW125" i="73"/>
  <c r="CW379" i="73"/>
  <c r="CK47" i="73"/>
  <c r="CK49" i="73"/>
  <c r="CK41" i="73"/>
  <c r="CK331" i="73" s="1"/>
  <c r="CK335" i="73" s="1"/>
  <c r="CK44" i="73"/>
  <c r="CK45" i="73" s="1"/>
  <c r="CV351" i="73"/>
  <c r="CJ95" i="73"/>
  <c r="CJ14" i="51"/>
  <c r="CJ17" i="51"/>
  <c r="CJ20" i="51"/>
  <c r="CU351" i="73"/>
  <c r="CK215" i="73"/>
  <c r="CK223" i="73"/>
  <c r="CJ225" i="73"/>
  <c r="CJ226" i="73" s="1"/>
  <c r="CU15" i="4"/>
  <c r="CO97" i="73"/>
  <c r="CO99" i="73"/>
  <c r="CO94" i="73"/>
  <c r="CO91" i="73"/>
  <c r="CO92" i="73" s="1"/>
  <c r="CO112" i="73"/>
  <c r="CO294" i="73"/>
  <c r="CO297" i="73"/>
  <c r="CO298" i="73" s="1"/>
  <c r="CP219" i="73"/>
  <c r="CP225" i="73" s="1"/>
  <c r="CP226" i="73" s="1"/>
  <c r="CP217" i="73"/>
  <c r="CP380" i="73"/>
  <c r="CQ217" i="73"/>
  <c r="CQ219" i="73"/>
  <c r="CQ380" i="73"/>
  <c r="CW295" i="73" l="1"/>
  <c r="CW383" i="73" s="1"/>
  <c r="CO295" i="73"/>
  <c r="CP295" i="73"/>
  <c r="CJ354" i="73"/>
  <c r="CQ295" i="73"/>
  <c r="CQ383" i="73" s="1"/>
  <c r="CJ331" i="73"/>
  <c r="CJ78" i="73"/>
  <c r="CJ79" i="73"/>
  <c r="CQ77" i="73"/>
  <c r="CQ427" i="73" s="1"/>
  <c r="CW77" i="73"/>
  <c r="CV77" i="73"/>
  <c r="CU211" i="73"/>
  <c r="CU207" i="73"/>
  <c r="CU208" i="73" s="1"/>
  <c r="CU209" i="73" s="1"/>
  <c r="CU202" i="73"/>
  <c r="CU203" i="73" s="1"/>
  <c r="CU204" i="73" s="1"/>
  <c r="CK227" i="73"/>
  <c r="CK228" i="73" s="1"/>
  <c r="CW113" i="73"/>
  <c r="CW114" i="73" s="1"/>
  <c r="CW203" i="73"/>
  <c r="CW204" i="73" s="1"/>
  <c r="CV113" i="73"/>
  <c r="CV114" i="73" s="1"/>
  <c r="CV126" i="73"/>
  <c r="CP221" i="73"/>
  <c r="CP222" i="73" s="1"/>
  <c r="CK42" i="73"/>
  <c r="CU254" i="73"/>
  <c r="CU20" i="51" s="1"/>
  <c r="CV123" i="73"/>
  <c r="CK10" i="73"/>
  <c r="CK332" i="73"/>
  <c r="CK333" i="73" s="1"/>
  <c r="CK337" i="73"/>
  <c r="CK21" i="4"/>
  <c r="CK20" i="4" s="1"/>
  <c r="CK338" i="73"/>
  <c r="CK340" i="73"/>
  <c r="CK339" i="73"/>
  <c r="CK336" i="73"/>
  <c r="CK341" i="73"/>
  <c r="CQ378" i="73"/>
  <c r="CV383" i="73"/>
  <c r="CV378" i="73"/>
  <c r="CP14" i="51"/>
  <c r="CP44" i="51" s="1"/>
  <c r="CP17" i="51"/>
  <c r="CP47" i="51" s="1"/>
  <c r="CP20" i="51"/>
  <c r="CW43" i="73"/>
  <c r="CQ256" i="73"/>
  <c r="CQ258" i="73"/>
  <c r="CQ259" i="73" s="1"/>
  <c r="CV381" i="73"/>
  <c r="CJ16" i="51"/>
  <c r="CJ18" i="51" s="1"/>
  <c r="CW136" i="73"/>
  <c r="CW399" i="73"/>
  <c r="CK383" i="73"/>
  <c r="CV43" i="73"/>
  <c r="CP102" i="73"/>
  <c r="CP428" i="73"/>
  <c r="CQ14" i="51"/>
  <c r="CQ17" i="51"/>
  <c r="CQ47" i="51" s="1"/>
  <c r="CQ20" i="51"/>
  <c r="CQ50" i="51" s="1"/>
  <c r="CI167" i="73"/>
  <c r="CI166" i="73" s="1"/>
  <c r="CI451" i="73"/>
  <c r="CI102" i="73"/>
  <c r="CI428" i="73"/>
  <c r="CO438" i="73"/>
  <c r="CJ304" i="73"/>
  <c r="CJ403" i="73"/>
  <c r="CO208" i="73"/>
  <c r="CO209" i="73" s="1"/>
  <c r="CU302" i="73"/>
  <c r="CU300" i="73"/>
  <c r="CV258" i="73"/>
  <c r="CV259" i="73" s="1"/>
  <c r="CV256" i="73"/>
  <c r="CK400" i="73"/>
  <c r="CK224" i="73"/>
  <c r="CV352" i="73"/>
  <c r="CQ398" i="73"/>
  <c r="CQ101" i="73"/>
  <c r="CP44" i="73"/>
  <c r="CP45" i="73" s="1"/>
  <c r="CP41" i="73"/>
  <c r="CP331" i="73" s="1"/>
  <c r="CP335" i="73" s="1"/>
  <c r="CP49" i="73"/>
  <c r="CP47" i="73"/>
  <c r="CQ225" i="73"/>
  <c r="CQ226" i="73" s="1"/>
  <c r="CU99" i="73"/>
  <c r="CU94" i="73"/>
  <c r="CU97" i="73"/>
  <c r="CU91" i="73"/>
  <c r="CI224" i="73"/>
  <c r="CI400" i="73"/>
  <c r="CW352" i="73"/>
  <c r="CV124" i="73"/>
  <c r="CV106" i="73" s="1"/>
  <c r="CV105" i="73" s="1"/>
  <c r="CJ383" i="73"/>
  <c r="CV136" i="73"/>
  <c r="CV399" i="73"/>
  <c r="CW97" i="73"/>
  <c r="CW99" i="73"/>
  <c r="CW94" i="73"/>
  <c r="CW91" i="73"/>
  <c r="CJ129" i="73"/>
  <c r="CJ130" i="73" s="1"/>
  <c r="CJ123" i="73"/>
  <c r="CJ122" i="73"/>
  <c r="CJ124" i="73"/>
  <c r="CJ24" i="73"/>
  <c r="CP300" i="73"/>
  <c r="CP302" i="73"/>
  <c r="CO41" i="73"/>
  <c r="CO331" i="73" s="1"/>
  <c r="CO335" i="73" s="1"/>
  <c r="CO44" i="73"/>
  <c r="CO45" i="73" s="1"/>
  <c r="CO47" i="73"/>
  <c r="CO49" i="73"/>
  <c r="CU295" i="73"/>
  <c r="CO378" i="73"/>
  <c r="CK50" i="51"/>
  <c r="CJ376" i="73"/>
  <c r="CW215" i="73"/>
  <c r="CU137" i="73"/>
  <c r="CU429" i="73"/>
  <c r="CK47" i="51"/>
  <c r="CV101" i="73"/>
  <c r="CV398" i="73"/>
  <c r="CK267" i="73"/>
  <c r="CK273" i="73" s="1"/>
  <c r="CK382" i="73"/>
  <c r="CW302" i="73"/>
  <c r="CW300" i="73"/>
  <c r="CV13" i="4"/>
  <c r="CQ208" i="73"/>
  <c r="CQ209" i="73" s="1"/>
  <c r="CK381" i="73"/>
  <c r="CK410" i="73" s="1"/>
  <c r="CI227" i="73"/>
  <c r="CW164" i="73"/>
  <c r="CW401" i="73"/>
  <c r="CO113" i="73"/>
  <c r="CO114" i="73" s="1"/>
  <c r="CO128" i="73"/>
  <c r="CO126" i="73"/>
  <c r="CO101" i="73"/>
  <c r="CO398" i="73"/>
  <c r="CJ50" i="51"/>
  <c r="CI334" i="73"/>
  <c r="CW254" i="73"/>
  <c r="CU219" i="73"/>
  <c r="CU217" i="73"/>
  <c r="CU380" i="73"/>
  <c r="CU156" i="73"/>
  <c r="CU162" i="73"/>
  <c r="CU159" i="73"/>
  <c r="CU160" i="73" s="1"/>
  <c r="CJ400" i="73"/>
  <c r="CJ224" i="73"/>
  <c r="CK16" i="51"/>
  <c r="CK18" i="51" s="1"/>
  <c r="CP223" i="73"/>
  <c r="CI16" i="51"/>
  <c r="CI18" i="51" s="1"/>
  <c r="CI51" i="73"/>
  <c r="CI396" i="73"/>
  <c r="CQ113" i="73"/>
  <c r="CQ114" i="73" s="1"/>
  <c r="CQ128" i="73"/>
  <c r="CQ126" i="73"/>
  <c r="CJ102" i="73"/>
  <c r="CJ428" i="73"/>
  <c r="CP113" i="73"/>
  <c r="CP114" i="73" s="1"/>
  <c r="CP126" i="73"/>
  <c r="CP128" i="73"/>
  <c r="CU113" i="73"/>
  <c r="CU114" i="73" s="1"/>
  <c r="CU128" i="73"/>
  <c r="CU126" i="73"/>
  <c r="CQ95" i="73"/>
  <c r="CQ381" i="73"/>
  <c r="CP407" i="73"/>
  <c r="CI129" i="73"/>
  <c r="CI130" i="73" s="1"/>
  <c r="CI123" i="73"/>
  <c r="CI122" i="73"/>
  <c r="CI124" i="73"/>
  <c r="CI24" i="73"/>
  <c r="CP137" i="73"/>
  <c r="CP429" i="73"/>
  <c r="CJ267" i="73"/>
  <c r="CJ382" i="73"/>
  <c r="CU43" i="73"/>
  <c r="CV254" i="73"/>
  <c r="CQ221" i="73"/>
  <c r="CQ222" i="73" s="1"/>
  <c r="CO164" i="73"/>
  <c r="CO401" i="73"/>
  <c r="CI304" i="73"/>
  <c r="CI403" i="73"/>
  <c r="CI407" i="73"/>
  <c r="CO221" i="73"/>
  <c r="CO222" i="73" s="1"/>
  <c r="CO300" i="73"/>
  <c r="CO302" i="73"/>
  <c r="CO381" i="73"/>
  <c r="CV95" i="73"/>
  <c r="CJ51" i="73"/>
  <c r="CJ396" i="73"/>
  <c r="CP16" i="51"/>
  <c r="CJ407" i="73"/>
  <c r="CJ47" i="51"/>
  <c r="CU261" i="73"/>
  <c r="CP258" i="73"/>
  <c r="CP259" i="73" s="1"/>
  <c r="CP256" i="73"/>
  <c r="CO14" i="51"/>
  <c r="CO17" i="51"/>
  <c r="CO20" i="51"/>
  <c r="CW258" i="73"/>
  <c r="CW259" i="73" s="1"/>
  <c r="CW256" i="73"/>
  <c r="CQ223" i="73"/>
  <c r="CQ215" i="73"/>
  <c r="CK407" i="73"/>
  <c r="CJ381" i="73"/>
  <c r="CJ410" i="73" s="1"/>
  <c r="CJ227" i="73"/>
  <c r="CW381" i="73"/>
  <c r="CI42" i="73"/>
  <c r="CI354" i="73" s="1"/>
  <c r="CI358" i="73" s="1"/>
  <c r="CK123" i="73"/>
  <c r="CK129" i="73"/>
  <c r="CK130" i="73" s="1"/>
  <c r="CK122" i="73"/>
  <c r="CK124" i="73"/>
  <c r="CK24" i="73"/>
  <c r="CP381" i="73"/>
  <c r="CW128" i="73"/>
  <c r="CW24" i="73" s="1"/>
  <c r="CV164" i="73"/>
  <c r="CV401" i="73"/>
  <c r="CJ167" i="73"/>
  <c r="CJ166" i="73" s="1"/>
  <c r="CJ168" i="73" s="1"/>
  <c r="CJ451" i="73"/>
  <c r="CO267" i="73"/>
  <c r="CO273" i="73" s="1"/>
  <c r="CO382" i="73"/>
  <c r="CQ408" i="73"/>
  <c r="CP164" i="73"/>
  <c r="CP401" i="73"/>
  <c r="CV70" i="51"/>
  <c r="CQ137" i="73"/>
  <c r="CQ429" i="73"/>
  <c r="CV302" i="73"/>
  <c r="CV300" i="73"/>
  <c r="CV261" i="73"/>
  <c r="CO95" i="73"/>
  <c r="CK51" i="73"/>
  <c r="CK396" i="73"/>
  <c r="CK44" i="51"/>
  <c r="CQ164" i="73"/>
  <c r="CQ401" i="73"/>
  <c r="CK438" i="73"/>
  <c r="CO225" i="73"/>
  <c r="CO226" i="73" s="1"/>
  <c r="CU352" i="73"/>
  <c r="CJ44" i="51"/>
  <c r="CK334" i="73"/>
  <c r="CP261" i="73"/>
  <c r="CI410" i="73"/>
  <c r="CQ49" i="73"/>
  <c r="CQ44" i="73"/>
  <c r="CQ45" i="73" s="1"/>
  <c r="CQ41" i="73"/>
  <c r="CQ331" i="73" s="1"/>
  <c r="CQ335" i="73" s="1"/>
  <c r="CQ47" i="73"/>
  <c r="CK102" i="73"/>
  <c r="CK428" i="73"/>
  <c r="CU256" i="73"/>
  <c r="CU258" i="73"/>
  <c r="CU259" i="73" s="1"/>
  <c r="CI438" i="73"/>
  <c r="CK167" i="73"/>
  <c r="CK166" i="73" s="1"/>
  <c r="CK168" i="73" s="1"/>
  <c r="CK451" i="73"/>
  <c r="CP408" i="73"/>
  <c r="CW208" i="73"/>
  <c r="CW209" i="73" s="1"/>
  <c r="CU328" i="73"/>
  <c r="CU329" i="73" s="1"/>
  <c r="CQ261" i="73"/>
  <c r="CK304" i="73"/>
  <c r="CK403" i="73"/>
  <c r="CU408" i="73"/>
  <c r="CV217" i="73"/>
  <c r="CV219" i="73"/>
  <c r="CV225" i="73" s="1"/>
  <c r="CV380" i="73"/>
  <c r="CV207" i="73"/>
  <c r="CQ300" i="73"/>
  <c r="CQ302" i="73"/>
  <c r="CJ438" i="73"/>
  <c r="CO223" i="73"/>
  <c r="CO215" i="73"/>
  <c r="CI267" i="73"/>
  <c r="CI382" i="73"/>
  <c r="CW219" i="73"/>
  <c r="CW225" i="73" s="1"/>
  <c r="CW226" i="73" s="1"/>
  <c r="CW217" i="73"/>
  <c r="CW380" i="73"/>
  <c r="CQ436" i="73" l="1"/>
  <c r="CW78" i="73"/>
  <c r="CW427" i="73"/>
  <c r="CV78" i="73"/>
  <c r="CV427" i="73"/>
  <c r="CJ336" i="73"/>
  <c r="CJ335" i="73"/>
  <c r="CJ363" i="73"/>
  <c r="CJ358" i="73"/>
  <c r="CP383" i="73"/>
  <c r="CK354" i="73"/>
  <c r="CQ339" i="73"/>
  <c r="CO383" i="73"/>
  <c r="CO336" i="73"/>
  <c r="CQ78" i="73"/>
  <c r="CQ79" i="73"/>
  <c r="CU77" i="73"/>
  <c r="CK106" i="73"/>
  <c r="CK105" i="73" s="1"/>
  <c r="CI106" i="73"/>
  <c r="CI105" i="73" s="1"/>
  <c r="CJ106" i="73"/>
  <c r="CJ105" i="73" s="1"/>
  <c r="CU24" i="73"/>
  <c r="CK430" i="73"/>
  <c r="CK439" i="73" s="1"/>
  <c r="CU215" i="73"/>
  <c r="CU223" i="73"/>
  <c r="CU224" i="73" s="1"/>
  <c r="CU17" i="51"/>
  <c r="CU47" i="51" s="1"/>
  <c r="CU14" i="51"/>
  <c r="CU44" i="51" s="1"/>
  <c r="CO227" i="73"/>
  <c r="CO228" i="73" s="1"/>
  <c r="CV226" i="73"/>
  <c r="CJ341" i="73"/>
  <c r="CJ338" i="73"/>
  <c r="CJ339" i="73"/>
  <c r="CJ21" i="4"/>
  <c r="CJ20" i="4" s="1"/>
  <c r="CP21" i="4" s="1"/>
  <c r="CP20" i="4" s="1"/>
  <c r="CJ340" i="73"/>
  <c r="CJ337" i="73"/>
  <c r="CJ334" i="73"/>
  <c r="CJ332" i="73"/>
  <c r="CJ333" i="73" s="1"/>
  <c r="CJ10" i="73"/>
  <c r="CO341" i="73"/>
  <c r="CO339" i="73"/>
  <c r="CJ357" i="73"/>
  <c r="CP340" i="73"/>
  <c r="CP339" i="73"/>
  <c r="CP341" i="73"/>
  <c r="CJ362" i="73"/>
  <c r="CP227" i="73"/>
  <c r="CW221" i="73"/>
  <c r="CW222" i="73" s="1"/>
  <c r="CK376" i="73"/>
  <c r="CK405" i="73" s="1"/>
  <c r="CQ336" i="73"/>
  <c r="CK274" i="73"/>
  <c r="CK402" i="73"/>
  <c r="CK385" i="73" s="1"/>
  <c r="CV16" i="51"/>
  <c r="CO451" i="73"/>
  <c r="CO167" i="73"/>
  <c r="CO166" i="73" s="1"/>
  <c r="CV267" i="73"/>
  <c r="CV273" i="73" s="1"/>
  <c r="CV382" i="73"/>
  <c r="CI376" i="73"/>
  <c r="CU221" i="73"/>
  <c r="CU222" i="73" s="1"/>
  <c r="CJ25" i="73"/>
  <c r="CJ26" i="73" s="1"/>
  <c r="CJ305" i="73"/>
  <c r="CJ433" i="73"/>
  <c r="CI412" i="73"/>
  <c r="CW304" i="73"/>
  <c r="CW403" i="73"/>
  <c r="CP304" i="73"/>
  <c r="CP403" i="73"/>
  <c r="CJ12" i="73"/>
  <c r="CJ355" i="73"/>
  <c r="CJ356" i="73" s="1"/>
  <c r="CJ366" i="73"/>
  <c r="CJ24" i="4"/>
  <c r="CJ23" i="4" s="1"/>
  <c r="CJ361" i="73"/>
  <c r="CJ359" i="73"/>
  <c r="CP437" i="73"/>
  <c r="CV221" i="73"/>
  <c r="CV223" i="73"/>
  <c r="CQ410" i="73"/>
  <c r="CQ438" i="73"/>
  <c r="CV167" i="73"/>
  <c r="CV166" i="73" s="1"/>
  <c r="CV168" i="73" s="1"/>
  <c r="CV451" i="73"/>
  <c r="CU50" i="51"/>
  <c r="CO50" i="51"/>
  <c r="CU47" i="73"/>
  <c r="CU49" i="73"/>
  <c r="CU44" i="73"/>
  <c r="CU45" i="73" s="1"/>
  <c r="CU41" i="73"/>
  <c r="CU331" i="73" s="1"/>
  <c r="CU335" i="73" s="1"/>
  <c r="CI25" i="73"/>
  <c r="CI26" i="73" s="1"/>
  <c r="CQ16" i="51"/>
  <c r="CQ18" i="51" s="1"/>
  <c r="CQ48" i="51" s="1"/>
  <c r="CP129" i="73"/>
  <c r="CP130" i="73" s="1"/>
  <c r="CP24" i="73"/>
  <c r="CP124" i="73"/>
  <c r="CP122" i="73"/>
  <c r="CP123" i="73"/>
  <c r="CQ129" i="73"/>
  <c r="CQ130" i="73" s="1"/>
  <c r="CQ123" i="73"/>
  <c r="CQ122" i="73"/>
  <c r="CQ124" i="73"/>
  <c r="CQ24" i="73"/>
  <c r="CJ409" i="73"/>
  <c r="CO129" i="73"/>
  <c r="CO130" i="73" s="1"/>
  <c r="CO123" i="73"/>
  <c r="CO124" i="73"/>
  <c r="CO122" i="73"/>
  <c r="CO24" i="73"/>
  <c r="CU438" i="73"/>
  <c r="CJ364" i="73"/>
  <c r="CQ407" i="73"/>
  <c r="CK409" i="73"/>
  <c r="CU225" i="73"/>
  <c r="CU226" i="73" s="1"/>
  <c r="CO407" i="73"/>
  <c r="CJ412" i="73"/>
  <c r="CU157" i="73"/>
  <c r="CV410" i="73"/>
  <c r="CO403" i="73"/>
  <c r="CO304" i="73"/>
  <c r="CW398" i="73"/>
  <c r="CW101" i="73"/>
  <c r="CQ102" i="73"/>
  <c r="CQ428" i="73"/>
  <c r="CK305" i="73"/>
  <c r="CK433" i="73"/>
  <c r="CQ304" i="73"/>
  <c r="CQ403" i="73"/>
  <c r="CQ451" i="73"/>
  <c r="CQ167" i="73"/>
  <c r="CQ166" i="73" s="1"/>
  <c r="CQ168" i="73" s="1"/>
  <c r="CQ227" i="73"/>
  <c r="CO47" i="51"/>
  <c r="CO410" i="73"/>
  <c r="CI48" i="51"/>
  <c r="CI228" i="73"/>
  <c r="CI430" i="73"/>
  <c r="CU383" i="73"/>
  <c r="CO334" i="73"/>
  <c r="CW92" i="73"/>
  <c r="CI409" i="73"/>
  <c r="CP334" i="73"/>
  <c r="CU304" i="73"/>
  <c r="CU403" i="73"/>
  <c r="CW408" i="73"/>
  <c r="CO274" i="73"/>
  <c r="CO402" i="73"/>
  <c r="CQ51" i="73"/>
  <c r="CQ396" i="73"/>
  <c r="CI52" i="73"/>
  <c r="CI426" i="73"/>
  <c r="CI10" i="73"/>
  <c r="CI332" i="73"/>
  <c r="CI333" i="73" s="1"/>
  <c r="CI337" i="73"/>
  <c r="CI21" i="4"/>
  <c r="CI20" i="4" s="1"/>
  <c r="CO21" i="4" s="1"/>
  <c r="CO20" i="4" s="1"/>
  <c r="CI338" i="73"/>
  <c r="CI340" i="73"/>
  <c r="CI341" i="73"/>
  <c r="CI339" i="73"/>
  <c r="CI336" i="73"/>
  <c r="CP438" i="73"/>
  <c r="CO102" i="73"/>
  <c r="CO428" i="73"/>
  <c r="CO51" i="73"/>
  <c r="CO396" i="73"/>
  <c r="CV137" i="73"/>
  <c r="CV429" i="73"/>
  <c r="CU95" i="73"/>
  <c r="CP451" i="73"/>
  <c r="CP167" i="73"/>
  <c r="CP166" i="73" s="1"/>
  <c r="CP168" i="73" s="1"/>
  <c r="CJ228" i="73"/>
  <c r="CJ430" i="73"/>
  <c r="CJ405" i="73"/>
  <c r="CP51" i="73"/>
  <c r="CP396" i="73"/>
  <c r="CK412" i="73"/>
  <c r="CO16" i="51"/>
  <c r="CO18" i="51" s="1"/>
  <c r="CO48" i="51" s="1"/>
  <c r="CJ273" i="73"/>
  <c r="CW167" i="73"/>
  <c r="CW166" i="73" s="1"/>
  <c r="CW168" i="73" s="1"/>
  <c r="CW451" i="73"/>
  <c r="CQ340" i="73"/>
  <c r="CU267" i="73"/>
  <c r="CU273" i="73" s="1"/>
  <c r="CU382" i="73"/>
  <c r="CV304" i="73"/>
  <c r="CV403" i="73"/>
  <c r="CV208" i="73"/>
  <c r="CV209" i="73" s="1"/>
  <c r="CV24" i="73"/>
  <c r="CK169" i="73"/>
  <c r="CK431" i="73"/>
  <c r="CK437" i="73"/>
  <c r="CQ224" i="73"/>
  <c r="CQ400" i="73"/>
  <c r="CO44" i="51"/>
  <c r="CO10" i="73"/>
  <c r="CO337" i="73"/>
  <c r="CO332" i="73"/>
  <c r="CO333" i="73" s="1"/>
  <c r="CO340" i="73"/>
  <c r="CO338" i="73"/>
  <c r="CU129" i="73"/>
  <c r="CU130" i="73" s="1"/>
  <c r="CU123" i="73"/>
  <c r="CU124" i="73"/>
  <c r="CU122" i="73"/>
  <c r="CP224" i="73"/>
  <c r="CP400" i="73"/>
  <c r="CV129" i="73"/>
  <c r="CV130" i="73" s="1"/>
  <c r="CW223" i="73"/>
  <c r="CO42" i="73"/>
  <c r="CO354" i="73" s="1"/>
  <c r="CO358" i="73" s="1"/>
  <c r="CU101" i="73"/>
  <c r="CU398" i="73"/>
  <c r="CP42" i="73"/>
  <c r="CP354" i="73" s="1"/>
  <c r="CP358" i="73" s="1"/>
  <c r="CI437" i="73"/>
  <c r="CW137" i="73"/>
  <c r="CW429" i="73"/>
  <c r="CQ267" i="73"/>
  <c r="CQ273" i="73" s="1"/>
  <c r="CQ382" i="73"/>
  <c r="CW41" i="73"/>
  <c r="CW42" i="73" s="1"/>
  <c r="CW47" i="73"/>
  <c r="CW49" i="73"/>
  <c r="CW44" i="73"/>
  <c r="CW45" i="73" s="1"/>
  <c r="CJ169" i="73"/>
  <c r="CJ431" i="73"/>
  <c r="CV407" i="73"/>
  <c r="CV408" i="73"/>
  <c r="CI273" i="73"/>
  <c r="CK52" i="73"/>
  <c r="CK426" i="73"/>
  <c r="CP410" i="73"/>
  <c r="CK25" i="73"/>
  <c r="CK26" i="73" s="1"/>
  <c r="CW410" i="73"/>
  <c r="CV102" i="73"/>
  <c r="CV428" i="73"/>
  <c r="CI168" i="73"/>
  <c r="CQ10" i="73"/>
  <c r="CQ332" i="73"/>
  <c r="CQ333" i="73" s="1"/>
  <c r="CQ21" i="4"/>
  <c r="CQ20" i="4" s="1"/>
  <c r="CQ337" i="73"/>
  <c r="CQ338" i="73"/>
  <c r="CQ334" i="73"/>
  <c r="CV14" i="51"/>
  <c r="CV44" i="51" s="1"/>
  <c r="CV17" i="51"/>
  <c r="CV47" i="51" s="1"/>
  <c r="CV20" i="51"/>
  <c r="CV50" i="51" s="1"/>
  <c r="CQ341" i="73"/>
  <c r="CQ42" i="73"/>
  <c r="CQ354" i="73" s="1"/>
  <c r="CQ358" i="73" s="1"/>
  <c r="CJ52" i="73"/>
  <c r="CJ426" i="73"/>
  <c r="CI305" i="73"/>
  <c r="CI433" i="73"/>
  <c r="CI357" i="73"/>
  <c r="CO224" i="73"/>
  <c r="CO400" i="73"/>
  <c r="CQ44" i="51"/>
  <c r="CW129" i="73"/>
  <c r="CW130" i="73" s="1"/>
  <c r="CW124" i="73"/>
  <c r="CW122" i="73"/>
  <c r="CW123" i="73"/>
  <c r="CW382" i="73"/>
  <c r="CW267" i="73"/>
  <c r="CP267" i="73"/>
  <c r="CP382" i="73"/>
  <c r="CP18" i="51"/>
  <c r="CP48" i="51" s="1"/>
  <c r="CJ437" i="73"/>
  <c r="CK48" i="51"/>
  <c r="CU164" i="73"/>
  <c r="CU401" i="73"/>
  <c r="CW14" i="51"/>
  <c r="CW44" i="51" s="1"/>
  <c r="CW17" i="51"/>
  <c r="CW47" i="51" s="1"/>
  <c r="CW20" i="51"/>
  <c r="CW50" i="51" s="1"/>
  <c r="CP50" i="51"/>
  <c r="CP10" i="73"/>
  <c r="CP332" i="73"/>
  <c r="CP333" i="73" s="1"/>
  <c r="CP338" i="73"/>
  <c r="CP337" i="73"/>
  <c r="CP336" i="73"/>
  <c r="CW95" i="73"/>
  <c r="CU92" i="73"/>
  <c r="CV41" i="73"/>
  <c r="CV331" i="73" s="1"/>
  <c r="CV335" i="73" s="1"/>
  <c r="CV47" i="73"/>
  <c r="CV49" i="73"/>
  <c r="CV44" i="73"/>
  <c r="CV45" i="73" s="1"/>
  <c r="CJ48" i="51"/>
  <c r="CK11" i="73"/>
  <c r="CO385" i="73" l="1"/>
  <c r="CV436" i="73"/>
  <c r="CW436" i="73"/>
  <c r="CU78" i="73"/>
  <c r="CU427" i="73"/>
  <c r="CK357" i="73"/>
  <c r="CK358" i="73"/>
  <c r="CK364" i="73"/>
  <c r="CK24" i="4"/>
  <c r="CK23" i="4" s="1"/>
  <c r="CK29" i="4" s="1"/>
  <c r="CK25" i="4" s="1"/>
  <c r="CK359" i="73"/>
  <c r="CK363" i="73"/>
  <c r="CK362" i="73"/>
  <c r="CK361" i="73"/>
  <c r="CW354" i="73"/>
  <c r="CW358" i="73" s="1"/>
  <c r="CK355" i="73"/>
  <c r="CK356" i="73" s="1"/>
  <c r="CK366" i="73"/>
  <c r="CK367" i="73" s="1"/>
  <c r="CK368" i="73" s="1"/>
  <c r="CK12" i="73"/>
  <c r="CW331" i="73"/>
  <c r="CW335" i="73" s="1"/>
  <c r="CJ27" i="73"/>
  <c r="CU25" i="73"/>
  <c r="CU26" i="73" s="1"/>
  <c r="CU400" i="73"/>
  <c r="CU409" i="73" s="1"/>
  <c r="CO430" i="73"/>
  <c r="CO439" i="73" s="1"/>
  <c r="CW227" i="73"/>
  <c r="CW228" i="73" s="1"/>
  <c r="CU227" i="73"/>
  <c r="CU228" i="73" s="1"/>
  <c r="CP106" i="73"/>
  <c r="CP105" i="73" s="1"/>
  <c r="CJ11" i="73"/>
  <c r="CI405" i="73"/>
  <c r="CW106" i="73"/>
  <c r="CW105" i="73" s="1"/>
  <c r="CU106" i="73"/>
  <c r="CU105" i="73" s="1"/>
  <c r="CJ13" i="73"/>
  <c r="CP430" i="73"/>
  <c r="CP439" i="73" s="1"/>
  <c r="CP228" i="73"/>
  <c r="CP11" i="73"/>
  <c r="CU274" i="73"/>
  <c r="CU402" i="73"/>
  <c r="CO52" i="73"/>
  <c r="CO426" i="73"/>
  <c r="CI11" i="73"/>
  <c r="CO11" i="73"/>
  <c r="CQ274" i="73"/>
  <c r="CQ402" i="73"/>
  <c r="CQ385" i="73" s="1"/>
  <c r="CW102" i="73"/>
  <c r="CW428" i="73"/>
  <c r="CP25" i="73"/>
  <c r="CP26" i="73" s="1"/>
  <c r="CK411" i="73"/>
  <c r="CK435" i="73"/>
  <c r="CQ460" i="73"/>
  <c r="CP52" i="73"/>
  <c r="CP426" i="73"/>
  <c r="CU412" i="73"/>
  <c r="CQ412" i="73"/>
  <c r="CJ442" i="73"/>
  <c r="CW273" i="73"/>
  <c r="CI169" i="73"/>
  <c r="CI431" i="73"/>
  <c r="CI274" i="73"/>
  <c r="CI402" i="73"/>
  <c r="CI385" i="73" s="1"/>
  <c r="CV412" i="73"/>
  <c r="CU16" i="51"/>
  <c r="CU18" i="51" s="1"/>
  <c r="CU48" i="51" s="1"/>
  <c r="CU305" i="73"/>
  <c r="CU433" i="73"/>
  <c r="CQ433" i="73"/>
  <c r="CQ305" i="73"/>
  <c r="CO106" i="73"/>
  <c r="CO105" i="73" s="1"/>
  <c r="CO168" i="73"/>
  <c r="CW460" i="73"/>
  <c r="CV274" i="73"/>
  <c r="CV402" i="73"/>
  <c r="CW305" i="73"/>
  <c r="CW433" i="73"/>
  <c r="CW16" i="51"/>
  <c r="CW18" i="51" s="1"/>
  <c r="CW48" i="51" s="1"/>
  <c r="CO412" i="73"/>
  <c r="CV51" i="73"/>
  <c r="CV396" i="73"/>
  <c r="CP460" i="73"/>
  <c r="CW378" i="73"/>
  <c r="CW407" i="73" s="1"/>
  <c r="CO25" i="73"/>
  <c r="CO26" i="73" s="1"/>
  <c r="CP433" i="73"/>
  <c r="CP305" i="73"/>
  <c r="CP409" i="73"/>
  <c r="CU167" i="73"/>
  <c r="CU166" i="73" s="1"/>
  <c r="CU451" i="73"/>
  <c r="CO409" i="73"/>
  <c r="CQ376" i="73"/>
  <c r="CQ405" i="73" s="1"/>
  <c r="CJ440" i="73"/>
  <c r="CK440" i="73"/>
  <c r="CV305" i="73"/>
  <c r="CV433" i="73"/>
  <c r="CV438" i="73"/>
  <c r="CK442" i="73"/>
  <c r="CU51" i="73"/>
  <c r="CU396" i="73"/>
  <c r="CJ29" i="4"/>
  <c r="CJ25" i="4" s="1"/>
  <c r="CO460" i="73"/>
  <c r="CO411" i="73"/>
  <c r="CQ228" i="73"/>
  <c r="CQ430" i="73"/>
  <c r="CP169" i="73"/>
  <c r="CP431" i="73"/>
  <c r="CI435" i="73"/>
  <c r="CP412" i="73"/>
  <c r="CV18" i="51"/>
  <c r="CV48" i="51" s="1"/>
  <c r="CJ274" i="73"/>
  <c r="CJ402" i="73"/>
  <c r="CJ385" i="73" s="1"/>
  <c r="CJ435" i="73"/>
  <c r="CV42" i="73"/>
  <c r="CV354" i="73" s="1"/>
  <c r="CV358" i="73" s="1"/>
  <c r="CW51" i="73"/>
  <c r="CW396" i="73"/>
  <c r="CW438" i="73"/>
  <c r="CP376" i="73"/>
  <c r="CP405" i="73" s="1"/>
  <c r="CO376" i="73"/>
  <c r="CO405" i="73" s="1"/>
  <c r="CI439" i="73"/>
  <c r="CQ25" i="73"/>
  <c r="CQ26" i="73" s="1"/>
  <c r="CV460" i="73"/>
  <c r="CV224" i="73"/>
  <c r="CV400" i="73"/>
  <c r="CJ455" i="73"/>
  <c r="CJ454" i="73"/>
  <c r="CJ367" i="73"/>
  <c r="CJ368" i="73" s="1"/>
  <c r="CJ384" i="73"/>
  <c r="CJ314" i="73"/>
  <c r="CJ346" i="73"/>
  <c r="CJ118" i="73"/>
  <c r="CJ299" i="73"/>
  <c r="CJ37" i="73"/>
  <c r="CJ161" i="73"/>
  <c r="CJ372" i="73"/>
  <c r="CJ96" i="73"/>
  <c r="CJ371" i="73"/>
  <c r="CJ260" i="73"/>
  <c r="CJ46" i="73"/>
  <c r="CJ370" i="73"/>
  <c r="CJ210" i="73"/>
  <c r="CJ131" i="73"/>
  <c r="CJ375" i="73"/>
  <c r="CJ374" i="73"/>
  <c r="CJ369" i="73"/>
  <c r="CJ373" i="73"/>
  <c r="CK389" i="73"/>
  <c r="CW376" i="73"/>
  <c r="CV437" i="73"/>
  <c r="CP273" i="73"/>
  <c r="CW169" i="73"/>
  <c r="CW431" i="73"/>
  <c r="CQ169" i="73"/>
  <c r="CQ431" i="73"/>
  <c r="CU381" i="73"/>
  <c r="CU42" i="73"/>
  <c r="CQ11" i="73"/>
  <c r="CU102" i="73"/>
  <c r="CU428" i="73"/>
  <c r="CO437" i="73"/>
  <c r="CU378" i="73"/>
  <c r="CI12" i="73"/>
  <c r="CI355" i="73"/>
  <c r="CI356" i="73" s="1"/>
  <c r="CI366" i="73"/>
  <c r="CI24" i="4"/>
  <c r="CI23" i="4" s="1"/>
  <c r="CI361" i="73"/>
  <c r="CI359" i="73"/>
  <c r="CI362" i="73"/>
  <c r="CI364" i="73"/>
  <c r="CI363" i="73"/>
  <c r="CI442" i="73"/>
  <c r="CW224" i="73"/>
  <c r="CW400" i="73"/>
  <c r="CQ409" i="73"/>
  <c r="CV25" i="73"/>
  <c r="CV26" i="73" s="1"/>
  <c r="CJ439" i="73"/>
  <c r="CQ52" i="73"/>
  <c r="CQ426" i="73"/>
  <c r="CQ437" i="73"/>
  <c r="CO433" i="73"/>
  <c r="CO305" i="73"/>
  <c r="CQ106" i="73"/>
  <c r="CQ105" i="73" s="1"/>
  <c r="CV169" i="73"/>
  <c r="CV431" i="73"/>
  <c r="CV222" i="73"/>
  <c r="CV227" i="73"/>
  <c r="CW412" i="73"/>
  <c r="CW25" i="73"/>
  <c r="CW26" i="73" s="1"/>
  <c r="CU385" i="73" l="1"/>
  <c r="CU389" i="73" s="1"/>
  <c r="CV385" i="73"/>
  <c r="CK370" i="73"/>
  <c r="CK46" i="73"/>
  <c r="CK371" i="73"/>
  <c r="CK118" i="73"/>
  <c r="CU436" i="73"/>
  <c r="CQ395" i="73"/>
  <c r="CQ389" i="73"/>
  <c r="CO394" i="73"/>
  <c r="CO389" i="73"/>
  <c r="CW334" i="73"/>
  <c r="CK299" i="73"/>
  <c r="CK27" i="73"/>
  <c r="CK13" i="73"/>
  <c r="CW357" i="73"/>
  <c r="CK346" i="73"/>
  <c r="CK375" i="73"/>
  <c r="CK260" i="73"/>
  <c r="CK314" i="73"/>
  <c r="CK210" i="73"/>
  <c r="CK161" i="73"/>
  <c r="CK131" i="73"/>
  <c r="CK37" i="73"/>
  <c r="CK455" i="73"/>
  <c r="CK18" i="73" s="1"/>
  <c r="CK454" i="73"/>
  <c r="CK270" i="73" s="1"/>
  <c r="CK269" i="73" s="1"/>
  <c r="CK271" i="73" s="1"/>
  <c r="CK272" i="73" s="1"/>
  <c r="CK374" i="73"/>
  <c r="CK96" i="73"/>
  <c r="CK384" i="73"/>
  <c r="CK369" i="73"/>
  <c r="CK373" i="73"/>
  <c r="CK372" i="73"/>
  <c r="CU354" i="73"/>
  <c r="CU12" i="73" s="1"/>
  <c r="CU430" i="73"/>
  <c r="CU439" i="73" s="1"/>
  <c r="CW430" i="73"/>
  <c r="CW439" i="73" s="1"/>
  <c r="CO388" i="73"/>
  <c r="CO392" i="73"/>
  <c r="CQ388" i="73"/>
  <c r="CU407" i="73"/>
  <c r="CQ392" i="73"/>
  <c r="CQ435" i="73"/>
  <c r="CQ12" i="73"/>
  <c r="CQ366" i="73"/>
  <c r="CQ355" i="73"/>
  <c r="CQ356" i="73" s="1"/>
  <c r="CQ24" i="4"/>
  <c r="CQ23" i="4" s="1"/>
  <c r="CW24" i="4" s="1"/>
  <c r="CW23" i="4" s="1"/>
  <c r="CQ361" i="73"/>
  <c r="CQ362" i="73"/>
  <c r="CQ359" i="73"/>
  <c r="CQ364" i="73"/>
  <c r="CQ363" i="73"/>
  <c r="CW12" i="73"/>
  <c r="CW366" i="73"/>
  <c r="CW72" i="73" s="1"/>
  <c r="CW355" i="73"/>
  <c r="CW356" i="73" s="1"/>
  <c r="CW364" i="73"/>
  <c r="CW361" i="73"/>
  <c r="CW362" i="73"/>
  <c r="CW363" i="73"/>
  <c r="CV10" i="73"/>
  <c r="CV332" i="73"/>
  <c r="CV333" i="73" s="1"/>
  <c r="CV21" i="4"/>
  <c r="CV20" i="4" s="1"/>
  <c r="CV338" i="73"/>
  <c r="CV337" i="73"/>
  <c r="CV341" i="73"/>
  <c r="CV339" i="73"/>
  <c r="CV336" i="73"/>
  <c r="CV340" i="73"/>
  <c r="CQ440" i="73"/>
  <c r="CQ442" i="73"/>
  <c r="CW437" i="73"/>
  <c r="CU10" i="73"/>
  <c r="CU332" i="73"/>
  <c r="CU333" i="73" s="1"/>
  <c r="CU21" i="4"/>
  <c r="CU20" i="4" s="1"/>
  <c r="CU337" i="73"/>
  <c r="CU338" i="73"/>
  <c r="CU340" i="73"/>
  <c r="CU341" i="73"/>
  <c r="CU336" i="73"/>
  <c r="CU339" i="73"/>
  <c r="CO404" i="73"/>
  <c r="CO391" i="73"/>
  <c r="CO390" i="73"/>
  <c r="CO393" i="73"/>
  <c r="CJ18" i="73"/>
  <c r="CJ44" i="1"/>
  <c r="CO12" i="73"/>
  <c r="CO366" i="73"/>
  <c r="CO72" i="73" s="1"/>
  <c r="CO355" i="73"/>
  <c r="CO356" i="73" s="1"/>
  <c r="CO24" i="4"/>
  <c r="CO23" i="4" s="1"/>
  <c r="CO361" i="73"/>
  <c r="CO364" i="73"/>
  <c r="CO359" i="73"/>
  <c r="CO362" i="73"/>
  <c r="CO363" i="73"/>
  <c r="CU52" i="73"/>
  <c r="CU426" i="73"/>
  <c r="CU460" i="73"/>
  <c r="CU410" i="73"/>
  <c r="CQ394" i="73"/>
  <c r="CQ411" i="73"/>
  <c r="CP440" i="73"/>
  <c r="CI440" i="73"/>
  <c r="CV334" i="73"/>
  <c r="CP274" i="73"/>
  <c r="CP402" i="73"/>
  <c r="CP385" i="73" s="1"/>
  <c r="CV411" i="73"/>
  <c r="CJ16" i="73"/>
  <c r="CJ270" i="73"/>
  <c r="CJ269" i="73" s="1"/>
  <c r="CJ271" i="73" s="1"/>
  <c r="CJ272" i="73" s="1"/>
  <c r="CJ264" i="73"/>
  <c r="CJ263" i="73" s="1"/>
  <c r="CJ43" i="1"/>
  <c r="CQ357" i="73"/>
  <c r="CU442" i="73"/>
  <c r="CV228" i="73"/>
  <c r="CV430" i="73"/>
  <c r="CW409" i="73"/>
  <c r="CI13" i="73"/>
  <c r="CK387" i="73"/>
  <c r="CK404" i="73"/>
  <c r="CK386" i="73"/>
  <c r="CK391" i="73"/>
  <c r="CK393" i="73"/>
  <c r="CK390" i="73"/>
  <c r="CK388" i="73"/>
  <c r="CK392" i="73"/>
  <c r="CK395" i="73"/>
  <c r="CV409" i="73"/>
  <c r="CV376" i="73"/>
  <c r="CV405" i="73" s="1"/>
  <c r="CV357" i="73"/>
  <c r="CQ439" i="73"/>
  <c r="CP442" i="73"/>
  <c r="CU334" i="73"/>
  <c r="CO442" i="73"/>
  <c r="CV440" i="73"/>
  <c r="CJ35" i="4"/>
  <c r="CJ22" i="4"/>
  <c r="CV442" i="73"/>
  <c r="CI455" i="73"/>
  <c r="CI454" i="73"/>
  <c r="CI367" i="73"/>
  <c r="CI368" i="73" s="1"/>
  <c r="CI384" i="73"/>
  <c r="CI118" i="73"/>
  <c r="CI314" i="73"/>
  <c r="CI346" i="73"/>
  <c r="CI161" i="73"/>
  <c r="CI37" i="73"/>
  <c r="CI96" i="73"/>
  <c r="CI371" i="73"/>
  <c r="CI299" i="73"/>
  <c r="CI372" i="73"/>
  <c r="CI210" i="73"/>
  <c r="CI260" i="73"/>
  <c r="CI370" i="73"/>
  <c r="CI375" i="73"/>
  <c r="CI373" i="73"/>
  <c r="CI46" i="73"/>
  <c r="CI374" i="73"/>
  <c r="CI131" i="73"/>
  <c r="CI27" i="73"/>
  <c r="CI369" i="73"/>
  <c r="CU376" i="73"/>
  <c r="CQ386" i="73"/>
  <c r="CQ404" i="73"/>
  <c r="CQ391" i="73"/>
  <c r="CQ393" i="73"/>
  <c r="CQ390" i="73"/>
  <c r="CO357" i="73"/>
  <c r="CW405" i="73"/>
  <c r="CV52" i="73"/>
  <c r="CV426" i="73"/>
  <c r="CO395" i="73"/>
  <c r="CW442" i="73"/>
  <c r="CI411" i="73"/>
  <c r="CK394" i="73"/>
  <c r="CU411" i="73"/>
  <c r="CW440" i="73"/>
  <c r="CP12" i="73"/>
  <c r="CP366" i="73"/>
  <c r="CP72" i="73" s="1"/>
  <c r="CP355" i="73"/>
  <c r="CP356" i="73" s="1"/>
  <c r="CP24" i="4"/>
  <c r="CP23" i="4" s="1"/>
  <c r="CP359" i="73"/>
  <c r="CP361" i="73"/>
  <c r="CP362" i="73"/>
  <c r="CP364" i="73"/>
  <c r="CP363" i="73"/>
  <c r="CJ411" i="73"/>
  <c r="CJ389" i="73"/>
  <c r="CI29" i="4"/>
  <c r="CI25" i="4" s="1"/>
  <c r="CP357" i="73"/>
  <c r="CP435" i="73"/>
  <c r="CO435" i="73"/>
  <c r="CU437" i="73"/>
  <c r="CW359" i="73"/>
  <c r="CK35" i="4"/>
  <c r="CK22" i="4"/>
  <c r="CW10" i="73"/>
  <c r="CW21" i="4"/>
  <c r="CW20" i="4" s="1"/>
  <c r="CW332" i="73"/>
  <c r="CW333" i="73" s="1"/>
  <c r="CW338" i="73"/>
  <c r="CW337" i="73"/>
  <c r="CW340" i="73"/>
  <c r="CW339" i="73"/>
  <c r="CW341" i="73"/>
  <c r="CW336" i="73"/>
  <c r="CW52" i="73"/>
  <c r="CW426" i="73"/>
  <c r="CU168" i="73"/>
  <c r="CO169" i="73"/>
  <c r="CO431" i="73"/>
  <c r="CW274" i="73"/>
  <c r="CW402" i="73"/>
  <c r="CW385" i="73" s="1"/>
  <c r="CV394" i="73" l="1"/>
  <c r="CV389" i="73"/>
  <c r="CI394" i="73"/>
  <c r="CI389" i="73"/>
  <c r="CU359" i="73"/>
  <c r="CK16" i="73"/>
  <c r="CK43" i="1"/>
  <c r="CK44" i="1"/>
  <c r="CK19" i="73" s="1"/>
  <c r="CU363" i="73"/>
  <c r="CU24" i="4"/>
  <c r="CU23" i="4" s="1"/>
  <c r="CU13" i="73" s="1"/>
  <c r="CK264" i="73"/>
  <c r="CK263" i="73" s="1"/>
  <c r="CK276" i="73" s="1"/>
  <c r="CK277" i="73" s="1"/>
  <c r="CU355" i="73"/>
  <c r="CU356" i="73" s="1"/>
  <c r="CU358" i="73"/>
  <c r="CK413" i="73"/>
  <c r="CU364" i="73"/>
  <c r="CU357" i="73"/>
  <c r="CU361" i="73"/>
  <c r="CU362" i="73"/>
  <c r="CU366" i="73"/>
  <c r="CU371" i="73" s="1"/>
  <c r="CQ387" i="73"/>
  <c r="CQ40" i="1" s="1"/>
  <c r="CQ72" i="73"/>
  <c r="CV392" i="73"/>
  <c r="CV388" i="73"/>
  <c r="CV11" i="73"/>
  <c r="CW13" i="73"/>
  <c r="CU405" i="73"/>
  <c r="CQ13" i="73"/>
  <c r="CO386" i="73"/>
  <c r="CU11" i="73"/>
  <c r="CU386" i="73"/>
  <c r="CU404" i="73"/>
  <c r="CU391" i="73"/>
  <c r="CU395" i="73"/>
  <c r="CU392" i="73"/>
  <c r="CU390" i="73"/>
  <c r="CU393" i="73"/>
  <c r="CK14" i="73"/>
  <c r="CK40" i="1"/>
  <c r="CJ387" i="73"/>
  <c r="CJ386" i="73"/>
  <c r="CJ404" i="73"/>
  <c r="CJ413" i="73" s="1"/>
  <c r="CJ391" i="73"/>
  <c r="CJ390" i="73"/>
  <c r="CJ393" i="73"/>
  <c r="CJ392" i="73"/>
  <c r="CJ388" i="73"/>
  <c r="CJ395" i="73"/>
  <c r="CW11" i="73"/>
  <c r="CW435" i="73"/>
  <c r="CU388" i="73"/>
  <c r="CV12" i="73"/>
  <c r="CV355" i="73"/>
  <c r="CV356" i="73" s="1"/>
  <c r="CV366" i="73"/>
  <c r="CV72" i="73" s="1"/>
  <c r="CV24" i="4"/>
  <c r="CV23" i="4" s="1"/>
  <c r="CV361" i="73"/>
  <c r="CV359" i="73"/>
  <c r="CV362" i="73"/>
  <c r="CV364" i="73"/>
  <c r="CV363" i="73"/>
  <c r="CO384" i="73"/>
  <c r="CO413" i="73" s="1"/>
  <c r="CO454" i="73"/>
  <c r="CO455" i="73"/>
  <c r="CO367" i="73"/>
  <c r="CO368" i="73" s="1"/>
  <c r="CO118" i="73"/>
  <c r="CO346" i="73"/>
  <c r="CO314" i="73"/>
  <c r="CO371" i="73"/>
  <c r="CO372" i="73"/>
  <c r="CO161" i="73"/>
  <c r="CO96" i="73"/>
  <c r="CO260" i="73"/>
  <c r="CO299" i="73"/>
  <c r="CO37" i="73"/>
  <c r="CO374" i="73"/>
  <c r="CO375" i="73"/>
  <c r="CO46" i="73"/>
  <c r="CO373" i="73"/>
  <c r="CO210" i="73"/>
  <c r="CO370" i="73"/>
  <c r="CO131" i="73"/>
  <c r="CO27" i="73"/>
  <c r="CO369" i="73"/>
  <c r="CQ454" i="73"/>
  <c r="CQ455" i="73"/>
  <c r="CQ367" i="73"/>
  <c r="CQ368" i="73" s="1"/>
  <c r="CQ384" i="73"/>
  <c r="CQ413" i="73" s="1"/>
  <c r="CQ346" i="73"/>
  <c r="CQ314" i="73"/>
  <c r="CQ118" i="73"/>
  <c r="CQ372" i="73"/>
  <c r="CQ371" i="73"/>
  <c r="CQ37" i="73"/>
  <c r="CQ96" i="73"/>
  <c r="CQ299" i="73"/>
  <c r="CQ161" i="73"/>
  <c r="CQ260" i="73"/>
  <c r="CQ375" i="73"/>
  <c r="CQ370" i="73"/>
  <c r="CQ210" i="73"/>
  <c r="CQ373" i="73"/>
  <c r="CQ46" i="73"/>
  <c r="CQ131" i="73"/>
  <c r="CQ374" i="73"/>
  <c r="CQ27" i="73"/>
  <c r="CQ369" i="73"/>
  <c r="CV439" i="73"/>
  <c r="CO440" i="73"/>
  <c r="CU169" i="73"/>
  <c r="CU431" i="73"/>
  <c r="CJ394" i="73"/>
  <c r="CI18" i="73"/>
  <c r="CI44" i="1"/>
  <c r="CV404" i="73"/>
  <c r="CV393" i="73"/>
  <c r="CV391" i="73"/>
  <c r="CV390" i="73"/>
  <c r="CV395" i="73"/>
  <c r="CO387" i="73"/>
  <c r="CJ276" i="73"/>
  <c r="CJ277" i="73" s="1"/>
  <c r="CJ265" i="73"/>
  <c r="CJ19" i="73"/>
  <c r="CP454" i="73"/>
  <c r="CP367" i="73"/>
  <c r="CP368" i="73" s="1"/>
  <c r="CP346" i="73"/>
  <c r="CP384" i="73"/>
  <c r="CP455" i="73"/>
  <c r="CP314" i="73"/>
  <c r="CP96" i="73"/>
  <c r="CP118" i="73"/>
  <c r="CP210" i="73"/>
  <c r="CP299" i="73"/>
  <c r="CP370" i="73"/>
  <c r="CP372" i="73"/>
  <c r="CP161" i="73"/>
  <c r="CP37" i="73"/>
  <c r="CP371" i="73"/>
  <c r="CP46" i="73"/>
  <c r="CP373" i="73"/>
  <c r="CP260" i="73"/>
  <c r="CP375" i="73"/>
  <c r="CP374" i="73"/>
  <c r="CP131" i="73"/>
  <c r="CP369" i="73"/>
  <c r="CP27" i="73"/>
  <c r="CU394" i="73"/>
  <c r="CI387" i="73"/>
  <c r="CI386" i="73"/>
  <c r="CI404" i="73"/>
  <c r="CI413" i="73" s="1"/>
  <c r="CI391" i="73"/>
  <c r="CI390" i="73"/>
  <c r="CI393" i="73"/>
  <c r="CI395" i="73"/>
  <c r="CI388" i="73"/>
  <c r="CI392" i="73"/>
  <c r="CJ37" i="4"/>
  <c r="DZ28" i="51" s="1"/>
  <c r="DZ41" i="51" s="1"/>
  <c r="CJ33" i="4"/>
  <c r="CJ17" i="73"/>
  <c r="CO29" i="4"/>
  <c r="CO25" i="4" s="1"/>
  <c r="CW29" i="4"/>
  <c r="CW22" i="4" s="1"/>
  <c r="CQ29" i="4"/>
  <c r="CQ25" i="4" s="1"/>
  <c r="CO13" i="73"/>
  <c r="CW411" i="73"/>
  <c r="CP29" i="4"/>
  <c r="CI16" i="73"/>
  <c r="CI270" i="73"/>
  <c r="CI269" i="73" s="1"/>
  <c r="CI264" i="73"/>
  <c r="CI263" i="73" s="1"/>
  <c r="CI43" i="1"/>
  <c r="CK37" i="4"/>
  <c r="EA28" i="51" s="1"/>
  <c r="EA41" i="51" s="1"/>
  <c r="CK33" i="4"/>
  <c r="CI35" i="4"/>
  <c r="CI22" i="4"/>
  <c r="CP13" i="73"/>
  <c r="CV435" i="73"/>
  <c r="CP411" i="73"/>
  <c r="CU435" i="73"/>
  <c r="CW367" i="73"/>
  <c r="CW368" i="73" s="1"/>
  <c r="CW384" i="73"/>
  <c r="CW455" i="73"/>
  <c r="CW454" i="73"/>
  <c r="CW314" i="73"/>
  <c r="CW346" i="73"/>
  <c r="CW118" i="73"/>
  <c r="CW299" i="73"/>
  <c r="CW161" i="73"/>
  <c r="CW37" i="73"/>
  <c r="CW260" i="73"/>
  <c r="CW373" i="73"/>
  <c r="CW375" i="73"/>
  <c r="CW210" i="73"/>
  <c r="CW96" i="73"/>
  <c r="CW371" i="73"/>
  <c r="CW372" i="73"/>
  <c r="CW131" i="73"/>
  <c r="CW27" i="73"/>
  <c r="CW46" i="73"/>
  <c r="CW374" i="73"/>
  <c r="CW369" i="73"/>
  <c r="CW370" i="73"/>
  <c r="CP394" i="73" l="1"/>
  <c r="CP389" i="73"/>
  <c r="CW392" i="73"/>
  <c r="CW389" i="73"/>
  <c r="CU96" i="73"/>
  <c r="CU299" i="73"/>
  <c r="CU346" i="73"/>
  <c r="CU454" i="73"/>
  <c r="CU16" i="73" s="1"/>
  <c r="CU370" i="73"/>
  <c r="CU373" i="73"/>
  <c r="CU131" i="73"/>
  <c r="CU29" i="4"/>
  <c r="CU22" i="4" s="1"/>
  <c r="CK17" i="73"/>
  <c r="CU375" i="73"/>
  <c r="CU384" i="73"/>
  <c r="CU413" i="73" s="1"/>
  <c r="CU210" i="73"/>
  <c r="CK265" i="73"/>
  <c r="CK266" i="73" s="1"/>
  <c r="CU37" i="73"/>
  <c r="CU372" i="73"/>
  <c r="CU374" i="73"/>
  <c r="CU118" i="73"/>
  <c r="CQ14" i="73"/>
  <c r="CQ15" i="73" s="1"/>
  <c r="CU46" i="73"/>
  <c r="CU161" i="73"/>
  <c r="CU455" i="73"/>
  <c r="CU18" i="73" s="1"/>
  <c r="CU72" i="73"/>
  <c r="CU27" i="73"/>
  <c r="CU314" i="73"/>
  <c r="CU367" i="73"/>
  <c r="CU368" i="73" s="1"/>
  <c r="CU369" i="73"/>
  <c r="CU387" i="73"/>
  <c r="CU14" i="73" s="1"/>
  <c r="CU260" i="73"/>
  <c r="CW395" i="73"/>
  <c r="CW387" i="73"/>
  <c r="CW14" i="73" s="1"/>
  <c r="CW386" i="73"/>
  <c r="CW388" i="73"/>
  <c r="CW391" i="73"/>
  <c r="CW404" i="73"/>
  <c r="CW413" i="73" s="1"/>
  <c r="CW390" i="73"/>
  <c r="CW394" i="73"/>
  <c r="CW393" i="73"/>
  <c r="CK15" i="73"/>
  <c r="CI17" i="73"/>
  <c r="CI276" i="73"/>
  <c r="CI277" i="73" s="1"/>
  <c r="CI265" i="73"/>
  <c r="CO18" i="73"/>
  <c r="CO44" i="1"/>
  <c r="CK8" i="51"/>
  <c r="EA8" i="51" s="1"/>
  <c r="EA16" i="51" s="1"/>
  <c r="CK61" i="51"/>
  <c r="CK38" i="4"/>
  <c r="EA29" i="51" s="1"/>
  <c r="EA42" i="51" s="1"/>
  <c r="CV367" i="73"/>
  <c r="CV368" i="73" s="1"/>
  <c r="CV384" i="73"/>
  <c r="CV413" i="73" s="1"/>
  <c r="CV455" i="73"/>
  <c r="CV454" i="73"/>
  <c r="CV314" i="73"/>
  <c r="CV346" i="73"/>
  <c r="CV96" i="73"/>
  <c r="CV161" i="73"/>
  <c r="CV299" i="73"/>
  <c r="CV118" i="73"/>
  <c r="CV375" i="73"/>
  <c r="CV260" i="73"/>
  <c r="CV131" i="73"/>
  <c r="CV370" i="73"/>
  <c r="CV373" i="73"/>
  <c r="CV37" i="73"/>
  <c r="CV372" i="73"/>
  <c r="CV371" i="73"/>
  <c r="CV374" i="73"/>
  <c r="CV46" i="73"/>
  <c r="CV210" i="73"/>
  <c r="CV27" i="73"/>
  <c r="CV369" i="73"/>
  <c r="CP22" i="4"/>
  <c r="CI37" i="4"/>
  <c r="DY28" i="51" s="1"/>
  <c r="DY41" i="51" s="1"/>
  <c r="CI33" i="4"/>
  <c r="CV29" i="4"/>
  <c r="CV25" i="4" s="1"/>
  <c r="CW25" i="4"/>
  <c r="CQ18" i="73"/>
  <c r="CQ44" i="1"/>
  <c r="CV13" i="73"/>
  <c r="CJ32" i="4"/>
  <c r="CP36" i="4" s="1"/>
  <c r="CP18" i="73"/>
  <c r="CP44" i="1"/>
  <c r="CV387" i="73"/>
  <c r="CQ270" i="73"/>
  <c r="CQ269" i="73" s="1"/>
  <c r="CQ271" i="73" s="1"/>
  <c r="CQ272" i="73" s="1"/>
  <c r="CQ16" i="73"/>
  <c r="CQ264" i="73"/>
  <c r="CQ263" i="73" s="1"/>
  <c r="CQ43" i="1"/>
  <c r="CK32" i="4"/>
  <c r="CQ35" i="4" s="1"/>
  <c r="CP16" i="73"/>
  <c r="CP264" i="73"/>
  <c r="CP263" i="73" s="1"/>
  <c r="CP270" i="73"/>
  <c r="CP269" i="73" s="1"/>
  <c r="CP271" i="73" s="1"/>
  <c r="CP272" i="73" s="1"/>
  <c r="CP43" i="1"/>
  <c r="CI271" i="73"/>
  <c r="CI272" i="73" s="1"/>
  <c r="CO16" i="73"/>
  <c r="CO264" i="73"/>
  <c r="CO263" i="73" s="1"/>
  <c r="CO270" i="73"/>
  <c r="CO269" i="73" s="1"/>
  <c r="CO43" i="1"/>
  <c r="CI19" i="73"/>
  <c r="CP25" i="4"/>
  <c r="CJ8" i="51"/>
  <c r="DZ8" i="51" s="1"/>
  <c r="DZ16" i="51" s="1"/>
  <c r="CJ61" i="51"/>
  <c r="CJ38" i="4"/>
  <c r="DZ29" i="51" s="1"/>
  <c r="DZ42" i="51" s="1"/>
  <c r="CJ266" i="73"/>
  <c r="CJ278" i="73"/>
  <c r="CW16" i="73"/>
  <c r="CW264" i="73"/>
  <c r="CW263" i="73" s="1"/>
  <c r="CW270" i="73"/>
  <c r="CW269" i="73" s="1"/>
  <c r="CW271" i="73" s="1"/>
  <c r="CW272" i="73" s="1"/>
  <c r="CW43" i="1"/>
  <c r="CI14" i="73"/>
  <c r="CI40" i="1"/>
  <c r="CW18" i="73"/>
  <c r="CW44" i="1"/>
  <c r="CJ14" i="73"/>
  <c r="CJ40" i="1"/>
  <c r="CP387" i="73"/>
  <c r="CP386" i="73"/>
  <c r="CP404" i="73"/>
  <c r="CP413" i="73" s="1"/>
  <c r="CP390" i="73"/>
  <c r="CP391" i="73"/>
  <c r="CP393" i="73"/>
  <c r="CP392" i="73"/>
  <c r="CP388" i="73"/>
  <c r="CP395" i="73"/>
  <c r="CQ22" i="4"/>
  <c r="CO22" i="4"/>
  <c r="CO14" i="73"/>
  <c r="CO40" i="1"/>
  <c r="CV386" i="73"/>
  <c r="CU440" i="73"/>
  <c r="CU270" i="73" l="1"/>
  <c r="CU269" i="73" s="1"/>
  <c r="CU271" i="73" s="1"/>
  <c r="CU272" i="73" s="1"/>
  <c r="CU43" i="1"/>
  <c r="CU264" i="73"/>
  <c r="CU263" i="73" s="1"/>
  <c r="CU25" i="4"/>
  <c r="CK278" i="73"/>
  <c r="CK279" i="73" s="1"/>
  <c r="CU44" i="1"/>
  <c r="CU19" i="73" s="1"/>
  <c r="CU40" i="1"/>
  <c r="CU15" i="73" s="1"/>
  <c r="CP35" i="4"/>
  <c r="CP33" i="4" s="1"/>
  <c r="CW40" i="1"/>
  <c r="CW15" i="73" s="1"/>
  <c r="CI15" i="73"/>
  <c r="CQ19" i="73"/>
  <c r="CP19" i="73"/>
  <c r="CI61" i="51"/>
  <c r="CI8" i="51"/>
  <c r="DY8" i="51" s="1"/>
  <c r="DY16" i="51" s="1"/>
  <c r="CI38" i="4"/>
  <c r="DY29" i="51" s="1"/>
  <c r="DY42" i="51" s="1"/>
  <c r="CO15" i="73"/>
  <c r="CV14" i="73"/>
  <c r="CV40" i="1"/>
  <c r="CK9" i="4"/>
  <c r="CK57" i="4"/>
  <c r="CI32" i="4"/>
  <c r="CK38" i="51"/>
  <c r="CK11" i="51"/>
  <c r="CK10" i="51"/>
  <c r="CV16" i="73"/>
  <c r="CV264" i="73"/>
  <c r="CV263" i="73" s="1"/>
  <c r="CV270" i="73"/>
  <c r="CV269" i="73" s="1"/>
  <c r="CV271" i="73" s="1"/>
  <c r="CV272" i="73" s="1"/>
  <c r="CV43" i="1"/>
  <c r="CW19" i="73"/>
  <c r="CO276" i="73"/>
  <c r="CO277" i="73" s="1"/>
  <c r="CO265" i="73"/>
  <c r="CJ38" i="51"/>
  <c r="CJ11" i="51"/>
  <c r="CJ10" i="51"/>
  <c r="CO17" i="73"/>
  <c r="CP276" i="73"/>
  <c r="CP277" i="73" s="1"/>
  <c r="CP265" i="73"/>
  <c r="CQ276" i="73"/>
  <c r="CQ277" i="73" s="1"/>
  <c r="CQ265" i="73"/>
  <c r="CK9" i="51"/>
  <c r="CI266" i="73"/>
  <c r="CI278" i="73"/>
  <c r="CJ9" i="51"/>
  <c r="CJ9" i="4"/>
  <c r="CJ57" i="4"/>
  <c r="CV22" i="4"/>
  <c r="CP14" i="73"/>
  <c r="CP40" i="1"/>
  <c r="CW17" i="73"/>
  <c r="CO19" i="73"/>
  <c r="CJ15" i="73"/>
  <c r="CP17" i="73"/>
  <c r="CQ17" i="73"/>
  <c r="CO271" i="73"/>
  <c r="CO272" i="73" s="1"/>
  <c r="CW276" i="73"/>
  <c r="CW277" i="73" s="1"/>
  <c r="CW265" i="73"/>
  <c r="CJ68" i="51"/>
  <c r="CV18" i="73"/>
  <c r="CV44" i="1"/>
  <c r="CQ37" i="4"/>
  <c r="CQ61" i="51" s="1"/>
  <c r="CQ33" i="4"/>
  <c r="CJ279" i="73"/>
  <c r="CJ432" i="73"/>
  <c r="CJ415" i="73" s="1"/>
  <c r="CJ419" i="73" s="1"/>
  <c r="CK68" i="51"/>
  <c r="CU276" i="73" l="1"/>
  <c r="CU277" i="73" s="1"/>
  <c r="CU265" i="73"/>
  <c r="CU278" i="73" s="1"/>
  <c r="CO36" i="4"/>
  <c r="CK432" i="73"/>
  <c r="CU17" i="73"/>
  <c r="CP61" i="4"/>
  <c r="CP34" i="51" s="1"/>
  <c r="CP37" i="4"/>
  <c r="CP61" i="51" s="1"/>
  <c r="CP32" i="4"/>
  <c r="CV19" i="73"/>
  <c r="CK41" i="51"/>
  <c r="CQ38" i="4"/>
  <c r="CQ8" i="51"/>
  <c r="CJ40" i="51"/>
  <c r="CV15" i="73"/>
  <c r="CI279" i="73"/>
  <c r="CI432" i="73"/>
  <c r="CI415" i="73" s="1"/>
  <c r="CI419" i="73" s="1"/>
  <c r="CK40" i="51"/>
  <c r="CK9" i="1"/>
  <c r="CK58" i="4"/>
  <c r="CI38" i="51"/>
  <c r="CI11" i="51"/>
  <c r="CI10" i="51"/>
  <c r="CJ9" i="1"/>
  <c r="CJ58" i="4"/>
  <c r="CK17" i="4"/>
  <c r="CK10" i="4" s="1"/>
  <c r="CP15" i="73"/>
  <c r="CJ39" i="51"/>
  <c r="CJ12" i="51"/>
  <c r="CJ41" i="51"/>
  <c r="CW266" i="73"/>
  <c r="CW278" i="73"/>
  <c r="CV17" i="73"/>
  <c r="CP278" i="73"/>
  <c r="CP266" i="73"/>
  <c r="CV276" i="73"/>
  <c r="CV277" i="73" s="1"/>
  <c r="CV265" i="73"/>
  <c r="CO278" i="73"/>
  <c r="CO266" i="73"/>
  <c r="CQ266" i="73"/>
  <c r="CQ278" i="73"/>
  <c r="CQ68" i="51"/>
  <c r="CJ17" i="4"/>
  <c r="CJ10" i="4" s="1"/>
  <c r="CQ32" i="4"/>
  <c r="CI68" i="51"/>
  <c r="CK39" i="51"/>
  <c r="CK12" i="51"/>
  <c r="CI9" i="4"/>
  <c r="CI57" i="4"/>
  <c r="CO35" i="4"/>
  <c r="CJ441" i="73"/>
  <c r="CU266" i="73"/>
  <c r="CQ61" i="4"/>
  <c r="CI9" i="51"/>
  <c r="CO61" i="4" l="1"/>
  <c r="CO34" i="51" s="1"/>
  <c r="CK441" i="73"/>
  <c r="CK415" i="73"/>
  <c r="CK419" i="73" s="1"/>
  <c r="CP8" i="51"/>
  <c r="CP11" i="51" s="1"/>
  <c r="CP38" i="4"/>
  <c r="CP9" i="51" s="1"/>
  <c r="CP68" i="51"/>
  <c r="CP57" i="4"/>
  <c r="CP9" i="1" s="1"/>
  <c r="CV35" i="4"/>
  <c r="CV33" i="4" s="1"/>
  <c r="CP9" i="4"/>
  <c r="CJ417" i="73"/>
  <c r="CJ416" i="73"/>
  <c r="CJ434" i="73"/>
  <c r="CJ443" i="73" s="1"/>
  <c r="CJ421" i="73"/>
  <c r="CJ420" i="73"/>
  <c r="CJ422" i="73"/>
  <c r="CJ425" i="73"/>
  <c r="CJ423" i="73"/>
  <c r="CJ418" i="73"/>
  <c r="CI9" i="1"/>
  <c r="CI58" i="4"/>
  <c r="CQ279" i="73"/>
  <c r="CQ432" i="73"/>
  <c r="CQ415" i="73" s="1"/>
  <c r="CQ419" i="73" s="1"/>
  <c r="CW432" i="73"/>
  <c r="CW415" i="73" s="1"/>
  <c r="CW419" i="73" s="1"/>
  <c r="CW279" i="73"/>
  <c r="CK16" i="4"/>
  <c r="CK12" i="4"/>
  <c r="CK14" i="4"/>
  <c r="CK460" i="73"/>
  <c r="CI41" i="51"/>
  <c r="CQ9" i="4"/>
  <c r="CQ57" i="4"/>
  <c r="CW35" i="4"/>
  <c r="CI441" i="73"/>
  <c r="CK12" i="2"/>
  <c r="CK106" i="2"/>
  <c r="CK32" i="3" s="1"/>
  <c r="CK142" i="2"/>
  <c r="CK171" i="2"/>
  <c r="CK180" i="2" s="1"/>
  <c r="CK15" i="2"/>
  <c r="CK15" i="3"/>
  <c r="CK14" i="1"/>
  <c r="CK13" i="1"/>
  <c r="CK452" i="73"/>
  <c r="CK10" i="1"/>
  <c r="CK27" i="1"/>
  <c r="CK48" i="1"/>
  <c r="CK54" i="1"/>
  <c r="CK450" i="73"/>
  <c r="CI39" i="51"/>
  <c r="CI12" i="51"/>
  <c r="CV278" i="73"/>
  <c r="CV266" i="73"/>
  <c r="CJ42" i="51"/>
  <c r="CJ106" i="2"/>
  <c r="CJ32" i="3" s="1"/>
  <c r="CJ171" i="2"/>
  <c r="CJ180" i="2" s="1"/>
  <c r="CJ12" i="2"/>
  <c r="CJ15" i="2"/>
  <c r="CJ15" i="3"/>
  <c r="CJ142" i="2"/>
  <c r="CJ452" i="73"/>
  <c r="CJ13" i="1"/>
  <c r="CJ14" i="1"/>
  <c r="CJ10" i="1"/>
  <c r="CJ27" i="1"/>
  <c r="CJ54" i="1"/>
  <c r="CJ48" i="1"/>
  <c r="CJ450" i="73"/>
  <c r="CO432" i="73"/>
  <c r="CO415" i="73" s="1"/>
  <c r="CO419" i="73" s="1"/>
  <c r="CO279" i="73"/>
  <c r="CJ12" i="4"/>
  <c r="CJ16" i="4"/>
  <c r="CJ14" i="4"/>
  <c r="CJ460" i="73"/>
  <c r="CK42" i="51"/>
  <c r="CP279" i="73"/>
  <c r="CP432" i="73"/>
  <c r="CJ424" i="73"/>
  <c r="CQ9" i="51"/>
  <c r="CU279" i="73"/>
  <c r="CU432" i="73"/>
  <c r="CU415" i="73" s="1"/>
  <c r="CU419" i="73" s="1"/>
  <c r="CK60" i="4"/>
  <c r="CI17" i="4"/>
  <c r="CJ60" i="4"/>
  <c r="CQ34" i="51"/>
  <c r="CO37" i="4"/>
  <c r="CO33" i="4"/>
  <c r="CI40" i="51"/>
  <c r="CQ10" i="51"/>
  <c r="CQ11" i="51"/>
  <c r="CQ38" i="51"/>
  <c r="CK416" i="73" l="1"/>
  <c r="CK423" i="73"/>
  <c r="CK418" i="73"/>
  <c r="CK434" i="73"/>
  <c r="CK443" i="73" s="1"/>
  <c r="CP10" i="51"/>
  <c r="CP12" i="51" s="1"/>
  <c r="CP38" i="51"/>
  <c r="CK424" i="73"/>
  <c r="CK425" i="73"/>
  <c r="CK417" i="73"/>
  <c r="CK420" i="73"/>
  <c r="CK422" i="73"/>
  <c r="CK421" i="73"/>
  <c r="CP17" i="4"/>
  <c r="CP10" i="4" s="1"/>
  <c r="CV61" i="4"/>
  <c r="CV34" i="51" s="1"/>
  <c r="CP58" i="4"/>
  <c r="CP60" i="4" s="1"/>
  <c r="CV37" i="4"/>
  <c r="CV61" i="51" s="1"/>
  <c r="CJ456" i="73"/>
  <c r="CJ20" i="73" s="1"/>
  <c r="CK456" i="73"/>
  <c r="CK42" i="1" s="1"/>
  <c r="CI12" i="4"/>
  <c r="CI16" i="4"/>
  <c r="CI14" i="4"/>
  <c r="CI460" i="73"/>
  <c r="CQ40" i="51"/>
  <c r="CI10" i="4"/>
  <c r="CJ61" i="1"/>
  <c r="CP41" i="51"/>
  <c r="CK148" i="2"/>
  <c r="CK62" i="4"/>
  <c r="EA33" i="51" s="1"/>
  <c r="EA46" i="51" s="1"/>
  <c r="CK55" i="1"/>
  <c r="CK56" i="1" s="1"/>
  <c r="CQ41" i="51"/>
  <c r="CP39" i="51"/>
  <c r="CK21" i="3"/>
  <c r="CJ148" i="2"/>
  <c r="CK29" i="2"/>
  <c r="CK172" i="2"/>
  <c r="CK14" i="2"/>
  <c r="CK39" i="1"/>
  <c r="CK58" i="1"/>
  <c r="CW33" i="4"/>
  <c r="CW37" i="4"/>
  <c r="CJ29" i="2"/>
  <c r="CJ172" i="2"/>
  <c r="CJ14" i="2"/>
  <c r="CJ39" i="1"/>
  <c r="CJ58" i="1"/>
  <c r="CQ9" i="1"/>
  <c r="CQ58" i="4"/>
  <c r="CO32" i="4"/>
  <c r="CQ441" i="73"/>
  <c r="CQ424" i="73"/>
  <c r="CO8" i="51"/>
  <c r="CO38" i="4"/>
  <c r="CO61" i="51"/>
  <c r="CJ11" i="1"/>
  <c r="CI417" i="73"/>
  <c r="CI416" i="73"/>
  <c r="CI434" i="73"/>
  <c r="CI443" i="73" s="1"/>
  <c r="CI421" i="73"/>
  <c r="CI420" i="73"/>
  <c r="CI418" i="73"/>
  <c r="CI425" i="73"/>
  <c r="CI422" i="73"/>
  <c r="CI423" i="73"/>
  <c r="CP15" i="2"/>
  <c r="CP12" i="2"/>
  <c r="CP142" i="2"/>
  <c r="CP106" i="2"/>
  <c r="CP32" i="3" s="1"/>
  <c r="CP171" i="2"/>
  <c r="CP180" i="2" s="1"/>
  <c r="CP15" i="3"/>
  <c r="CP452" i="73"/>
  <c r="CP10" i="1"/>
  <c r="CP11" i="1" s="1"/>
  <c r="CP27" i="1"/>
  <c r="CP14" i="1"/>
  <c r="CP61" i="1" s="1"/>
  <c r="CP54" i="1"/>
  <c r="CP13" i="1"/>
  <c r="CP48" i="1"/>
  <c r="CP450" i="73"/>
  <c r="CJ175" i="2"/>
  <c r="CK11" i="1"/>
  <c r="CK61" i="1"/>
  <c r="CQ17" i="4"/>
  <c r="CQ10" i="4" s="1"/>
  <c r="CI16" i="2"/>
  <c r="CI34" i="2"/>
  <c r="CI39" i="2" s="1"/>
  <c r="CI142" i="2"/>
  <c r="CI106" i="2"/>
  <c r="CI171" i="2"/>
  <c r="CI180" i="2" s="1"/>
  <c r="CI15" i="2"/>
  <c r="CI15" i="3"/>
  <c r="CI12" i="2"/>
  <c r="CI452" i="73"/>
  <c r="CI10" i="1"/>
  <c r="CI27" i="1"/>
  <c r="CI13" i="1"/>
  <c r="CI54" i="1"/>
  <c r="CI14" i="1"/>
  <c r="CI48" i="1"/>
  <c r="CI450" i="73"/>
  <c r="CQ12" i="51"/>
  <c r="CQ39" i="51"/>
  <c r="CJ40" i="3"/>
  <c r="CJ81" i="54"/>
  <c r="CW61" i="4"/>
  <c r="CI60" i="4"/>
  <c r="CK32" i="51"/>
  <c r="CV32" i="4"/>
  <c r="CU441" i="73"/>
  <c r="CU424" i="73"/>
  <c r="CP441" i="73"/>
  <c r="CI42" i="51"/>
  <c r="CK40" i="3"/>
  <c r="CK81" i="54"/>
  <c r="CI424" i="73"/>
  <c r="CK75" i="51"/>
  <c r="CK79" i="51" s="1"/>
  <c r="CK60" i="1"/>
  <c r="CJ55" i="1"/>
  <c r="CJ56" i="1" s="1"/>
  <c r="CJ62" i="4"/>
  <c r="DZ33" i="51" s="1"/>
  <c r="DZ46" i="51" s="1"/>
  <c r="CO441" i="73"/>
  <c r="CJ32" i="51"/>
  <c r="CJ75" i="51"/>
  <c r="CJ79" i="51" s="1"/>
  <c r="CJ60" i="1"/>
  <c r="CK24" i="3"/>
  <c r="CV279" i="73"/>
  <c r="CV432" i="73"/>
  <c r="CV415" i="73" s="1"/>
  <c r="CV419" i="73" s="1"/>
  <c r="CK175" i="2"/>
  <c r="CW441" i="73"/>
  <c r="CW424" i="73"/>
  <c r="CP40" i="51" l="1"/>
  <c r="CP14" i="4"/>
  <c r="CP16" i="4"/>
  <c r="CP12" i="4"/>
  <c r="CV8" i="51"/>
  <c r="CV11" i="51" s="1"/>
  <c r="CV41" i="51" s="1"/>
  <c r="CV38" i="4"/>
  <c r="CJ42" i="1"/>
  <c r="CK20" i="73"/>
  <c r="CK21" i="73" s="1"/>
  <c r="CI456" i="73"/>
  <c r="CP41" i="1"/>
  <c r="CI158" i="2"/>
  <c r="CO416" i="73"/>
  <c r="CO434" i="73"/>
  <c r="CO443" i="73" s="1"/>
  <c r="CO417" i="73"/>
  <c r="CO421" i="73"/>
  <c r="CO422" i="73"/>
  <c r="CO420" i="73"/>
  <c r="CO425" i="73"/>
  <c r="CO418" i="73"/>
  <c r="CO423" i="73"/>
  <c r="CO9" i="4"/>
  <c r="CO57" i="4"/>
  <c r="CU61" i="4" s="1"/>
  <c r="CU35" i="4"/>
  <c r="CI162" i="2"/>
  <c r="CP81" i="54"/>
  <c r="CP40" i="3"/>
  <c r="CI29" i="2"/>
  <c r="CI172" i="2"/>
  <c r="CI14" i="2"/>
  <c r="CI39" i="1"/>
  <c r="CI58" i="1"/>
  <c r="CK23" i="3"/>
  <c r="CJ149" i="2"/>
  <c r="CK81" i="51"/>
  <c r="CK60" i="51"/>
  <c r="CK21" i="51"/>
  <c r="EA12" i="51" s="1"/>
  <c r="EA20" i="51" s="1"/>
  <c r="CK57" i="1"/>
  <c r="CK63" i="4"/>
  <c r="EA34" i="51" s="1"/>
  <c r="EA47" i="51" s="1"/>
  <c r="CJ60" i="51"/>
  <c r="CJ21" i="51"/>
  <c r="DZ12" i="51" s="1"/>
  <c r="DZ20" i="51" s="1"/>
  <c r="CJ57" i="1"/>
  <c r="CJ81" i="51"/>
  <c r="CJ63" i="4"/>
  <c r="DZ34" i="51" s="1"/>
  <c r="DZ47" i="51" s="1"/>
  <c r="CI75" i="51"/>
  <c r="CI79" i="51" s="1"/>
  <c r="CI60" i="1"/>
  <c r="CP456" i="73"/>
  <c r="CQ417" i="73"/>
  <c r="CQ416" i="73"/>
  <c r="CQ434" i="73"/>
  <c r="CQ443" i="73" s="1"/>
  <c r="CQ421" i="73"/>
  <c r="CQ420" i="73"/>
  <c r="CQ422" i="73"/>
  <c r="CQ425" i="73"/>
  <c r="CQ423" i="73"/>
  <c r="CQ418" i="73"/>
  <c r="CK156" i="2"/>
  <c r="CK25" i="3"/>
  <c r="CI110" i="2"/>
  <c r="CI32" i="3"/>
  <c r="CJ41" i="1"/>
  <c r="CU417" i="73"/>
  <c r="CU416" i="73"/>
  <c r="CU434" i="73"/>
  <c r="CU443" i="73" s="1"/>
  <c r="CU421" i="73"/>
  <c r="CU425" i="73"/>
  <c r="CU422" i="73"/>
  <c r="CU420" i="73"/>
  <c r="CU418" i="73"/>
  <c r="CU423" i="73"/>
  <c r="CV68" i="51"/>
  <c r="CP62" i="4"/>
  <c r="CP55" i="1"/>
  <c r="CP56" i="1" s="1"/>
  <c r="CQ15" i="2"/>
  <c r="CQ24" i="3" s="1"/>
  <c r="CQ12" i="2"/>
  <c r="CQ21" i="3" s="1"/>
  <c r="CQ142" i="2"/>
  <c r="CQ106" i="2"/>
  <c r="CQ32" i="3" s="1"/>
  <c r="CQ171" i="2"/>
  <c r="CQ180" i="2" s="1"/>
  <c r="CQ15" i="3"/>
  <c r="CQ452" i="73"/>
  <c r="CQ10" i="1"/>
  <c r="CQ27" i="1"/>
  <c r="CQ54" i="1"/>
  <c r="CQ14" i="1"/>
  <c r="CQ61" i="1" s="1"/>
  <c r="CQ48" i="1"/>
  <c r="CQ13" i="1"/>
  <c r="CQ450" i="73"/>
  <c r="CK12" i="1"/>
  <c r="CO424" i="73"/>
  <c r="CP60" i="1"/>
  <c r="CP75" i="51"/>
  <c r="CP79" i="51" s="1"/>
  <c r="CW417" i="73"/>
  <c r="CW416" i="73"/>
  <c r="CW434" i="73"/>
  <c r="CW443" i="73" s="1"/>
  <c r="CW421" i="73"/>
  <c r="CW425" i="73"/>
  <c r="CW422" i="73"/>
  <c r="CW420" i="73"/>
  <c r="CW423" i="73"/>
  <c r="CW418" i="73"/>
  <c r="CQ42" i="51"/>
  <c r="CI46" i="2"/>
  <c r="CI175" i="2"/>
  <c r="CO9" i="51"/>
  <c r="CJ156" i="2"/>
  <c r="CW32" i="4"/>
  <c r="CP42" i="51"/>
  <c r="CJ34" i="2"/>
  <c r="CW34" i="51"/>
  <c r="CJ21" i="3"/>
  <c r="CI148" i="2"/>
  <c r="CI21" i="3"/>
  <c r="CP148" i="2"/>
  <c r="CO68" i="51"/>
  <c r="CV9" i="4"/>
  <c r="CV57" i="4"/>
  <c r="CI61" i="1"/>
  <c r="CI23" i="2"/>
  <c r="CI18" i="3" s="1"/>
  <c r="CP32" i="51"/>
  <c r="CO11" i="51"/>
  <c r="CO10" i="51"/>
  <c r="CO38" i="51"/>
  <c r="CK149" i="2"/>
  <c r="CI55" i="1"/>
  <c r="CI56" i="1" s="1"/>
  <c r="CI62" i="4"/>
  <c r="DY33" i="51" s="1"/>
  <c r="DY46" i="51" s="1"/>
  <c r="CQ60" i="4"/>
  <c r="CP14" i="2"/>
  <c r="CP29" i="2"/>
  <c r="CP172" i="2"/>
  <c r="CP58" i="1"/>
  <c r="CP39" i="1"/>
  <c r="CV441" i="73"/>
  <c r="CI11" i="1"/>
  <c r="CK41" i="1"/>
  <c r="CW8" i="51"/>
  <c r="CW38" i="4"/>
  <c r="CW61" i="51"/>
  <c r="CI32" i="51"/>
  <c r="CI150" i="2"/>
  <c r="CI24" i="3"/>
  <c r="CJ24" i="3"/>
  <c r="CQ16" i="4"/>
  <c r="CQ12" i="4"/>
  <c r="CQ14" i="4"/>
  <c r="CP175" i="2"/>
  <c r="CQ456" i="73" l="1"/>
  <c r="CQ20" i="73" s="1"/>
  <c r="CV10" i="51"/>
  <c r="CV40" i="51" s="1"/>
  <c r="CI189" i="2"/>
  <c r="CV9" i="51"/>
  <c r="CJ12" i="1"/>
  <c r="CI42" i="1"/>
  <c r="CI20" i="73"/>
  <c r="CV38" i="51"/>
  <c r="CJ21" i="73"/>
  <c r="CO40" i="51"/>
  <c r="CP20" i="73"/>
  <c r="CP42" i="1"/>
  <c r="CI149" i="2"/>
  <c r="CJ23" i="3"/>
  <c r="CI23" i="3"/>
  <c r="CO41" i="51"/>
  <c r="CV424" i="73"/>
  <c r="CO12" i="51"/>
  <c r="CO39" i="51"/>
  <c r="CQ40" i="3"/>
  <c r="CQ81" i="54"/>
  <c r="CP156" i="2"/>
  <c r="CV58" i="4"/>
  <c r="CV9" i="1"/>
  <c r="CI40" i="3"/>
  <c r="CI81" i="54"/>
  <c r="CJ22" i="51"/>
  <c r="CJ28" i="51" s="1"/>
  <c r="CI41" i="1"/>
  <c r="CQ55" i="1"/>
  <c r="CQ56" i="1" s="1"/>
  <c r="CQ62" i="4"/>
  <c r="CQ14" i="2"/>
  <c r="CQ29" i="2"/>
  <c r="CQ172" i="2"/>
  <c r="CQ39" i="1"/>
  <c r="CQ58" i="1"/>
  <c r="CI156" i="2"/>
  <c r="CI25" i="3"/>
  <c r="CQ75" i="51"/>
  <c r="CQ79" i="51" s="1"/>
  <c r="CQ60" i="1"/>
  <c r="CP21" i="51"/>
  <c r="CP63" i="4"/>
  <c r="CP57" i="1"/>
  <c r="CP60" i="51"/>
  <c r="CP81" i="51"/>
  <c r="CP149" i="2"/>
  <c r="CI60" i="51"/>
  <c r="CI63" i="4"/>
  <c r="DY34" i="51" s="1"/>
  <c r="DY47" i="51" s="1"/>
  <c r="CI81" i="51"/>
  <c r="CI57" i="1"/>
  <c r="CI21" i="51"/>
  <c r="DY12" i="51" s="1"/>
  <c r="DY20" i="51" s="1"/>
  <c r="CP35" i="51"/>
  <c r="CV17" i="4"/>
  <c r="CV10" i="4" s="1"/>
  <c r="CK76" i="51"/>
  <c r="CK80" i="51" s="1"/>
  <c r="CK59" i="1"/>
  <c r="CK16" i="1"/>
  <c r="CQ148" i="2"/>
  <c r="CI118" i="2"/>
  <c r="CI20" i="2" s="1"/>
  <c r="CI120" i="2"/>
  <c r="CJ105" i="2"/>
  <c r="CU37" i="4"/>
  <c r="CU33" i="4"/>
  <c r="CO17" i="4"/>
  <c r="CO10" i="4" s="1"/>
  <c r="CW68" i="51"/>
  <c r="CI152" i="2"/>
  <c r="CJ46" i="2"/>
  <c r="CI96" i="2"/>
  <c r="CK24" i="51"/>
  <c r="CK53" i="51"/>
  <c r="CK35" i="51"/>
  <c r="CK23" i="51"/>
  <c r="CU34" i="51"/>
  <c r="CW11" i="51"/>
  <c r="CW41" i="51" s="1"/>
  <c r="CW10" i="51"/>
  <c r="CW40" i="51" s="1"/>
  <c r="CW38" i="51"/>
  <c r="CQ175" i="2"/>
  <c r="CV417" i="73"/>
  <c r="CV434" i="73"/>
  <c r="CV443" i="73" s="1"/>
  <c r="CV421" i="73"/>
  <c r="CV420" i="73"/>
  <c r="CV425" i="73"/>
  <c r="CV423" i="73"/>
  <c r="CV422" i="73"/>
  <c r="CV418" i="73"/>
  <c r="CJ67" i="51"/>
  <c r="CW9" i="4"/>
  <c r="CW57" i="4"/>
  <c r="CQ11" i="1"/>
  <c r="CK22" i="51"/>
  <c r="CK28" i="51" s="1"/>
  <c r="CW9" i="51"/>
  <c r="CJ39" i="2"/>
  <c r="CJ25" i="3"/>
  <c r="CQ32" i="51"/>
  <c r="CJ24" i="51"/>
  <c r="CJ23" i="51"/>
  <c r="CJ35" i="51"/>
  <c r="CJ53" i="51"/>
  <c r="CJ16" i="2"/>
  <c r="CK67" i="51"/>
  <c r="CO9" i="1"/>
  <c r="CO58" i="4"/>
  <c r="CQ42" i="1" l="1"/>
  <c r="CQ12" i="1" s="1"/>
  <c r="CV12" i="51"/>
  <c r="CV42" i="51" s="1"/>
  <c r="CJ30" i="51"/>
  <c r="DZ36" i="51"/>
  <c r="DZ49" i="51" s="1"/>
  <c r="CK29" i="51"/>
  <c r="EA35" i="51"/>
  <c r="EA48" i="51" s="1"/>
  <c r="CJ29" i="51"/>
  <c r="DZ35" i="51"/>
  <c r="DZ48" i="51" s="1"/>
  <c r="CK30" i="51"/>
  <c r="EA36" i="51"/>
  <c r="EA49" i="51" s="1"/>
  <c r="CV39" i="51"/>
  <c r="CJ16" i="1"/>
  <c r="CJ173" i="2" s="1"/>
  <c r="CJ76" i="51"/>
  <c r="CJ80" i="51" s="1"/>
  <c r="CI21" i="73"/>
  <c r="CI12" i="1"/>
  <c r="CJ59" i="1"/>
  <c r="CK34" i="2"/>
  <c r="CP21" i="73"/>
  <c r="CK56" i="51"/>
  <c r="CK30" i="2"/>
  <c r="CK173" i="2"/>
  <c r="CK62" i="1"/>
  <c r="CK70" i="1"/>
  <c r="CK17" i="1"/>
  <c r="CI67" i="51"/>
  <c r="CV12" i="2"/>
  <c r="CV15" i="2"/>
  <c r="CV142" i="2"/>
  <c r="CV106" i="2"/>
  <c r="CV32" i="3" s="1"/>
  <c r="CV171" i="2"/>
  <c r="CV180" i="2" s="1"/>
  <c r="CV15" i="3"/>
  <c r="CV452" i="73"/>
  <c r="CV14" i="1"/>
  <c r="CV61" i="1" s="1"/>
  <c r="CV13" i="1"/>
  <c r="CV48" i="1"/>
  <c r="CV10" i="1"/>
  <c r="CV11" i="1" s="1"/>
  <c r="CV27" i="1"/>
  <c r="CV54" i="1"/>
  <c r="CV450" i="73"/>
  <c r="CO15" i="2"/>
  <c r="CO12" i="2"/>
  <c r="CO142" i="2"/>
  <c r="CO106" i="2"/>
  <c r="CO171" i="2"/>
  <c r="CO180" i="2" s="1"/>
  <c r="CO15" i="3"/>
  <c r="CO452" i="73"/>
  <c r="CO13" i="1"/>
  <c r="CO14" i="1"/>
  <c r="CO10" i="1"/>
  <c r="CO27" i="1"/>
  <c r="CO54" i="1"/>
  <c r="CO48" i="1"/>
  <c r="CO450" i="73"/>
  <c r="CU32" i="4"/>
  <c r="CQ156" i="2"/>
  <c r="CQ25" i="3"/>
  <c r="CJ25" i="51"/>
  <c r="DZ37" i="51" s="1"/>
  <c r="DZ50" i="51" s="1"/>
  <c r="CJ54" i="51"/>
  <c r="CP24" i="51"/>
  <c r="CP30" i="51" s="1"/>
  <c r="CP23" i="51"/>
  <c r="CP55" i="51" s="1"/>
  <c r="CQ149" i="2"/>
  <c r="CQ35" i="51"/>
  <c r="CW9" i="1"/>
  <c r="CW58" i="4"/>
  <c r="CV60" i="4"/>
  <c r="CP12" i="1"/>
  <c r="CU8" i="51"/>
  <c r="CU38" i="4"/>
  <c r="CU61" i="51"/>
  <c r="CK46" i="2"/>
  <c r="CJ96" i="2"/>
  <c r="CI22" i="51"/>
  <c r="CI28" i="51" s="1"/>
  <c r="CW17" i="4"/>
  <c r="CK55" i="51"/>
  <c r="CJ113" i="2"/>
  <c r="CJ110" i="2"/>
  <c r="CP67" i="51"/>
  <c r="CO42" i="51"/>
  <c r="CI25" i="2"/>
  <c r="CI151" i="2"/>
  <c r="CI154" i="2" s="1"/>
  <c r="CV12" i="4"/>
  <c r="CV16" i="4"/>
  <c r="CV14" i="4"/>
  <c r="CQ41" i="1"/>
  <c r="CO12" i="4"/>
  <c r="CO14" i="4"/>
  <c r="CO16" i="4"/>
  <c r="CP22" i="51"/>
  <c r="CP28" i="51" s="1"/>
  <c r="CJ55" i="51"/>
  <c r="CJ23" i="2"/>
  <c r="CK16" i="2" s="1"/>
  <c r="CJ150" i="2"/>
  <c r="CJ56" i="51"/>
  <c r="CW12" i="51"/>
  <c r="CW39" i="51"/>
  <c r="CO60" i="4"/>
  <c r="CP53" i="51"/>
  <c r="CJ158" i="2"/>
  <c r="CK25" i="51"/>
  <c r="EA37" i="51" s="1"/>
  <c r="EA50" i="51" s="1"/>
  <c r="CK54" i="51"/>
  <c r="CI24" i="51"/>
  <c r="CI23" i="51"/>
  <c r="CI35" i="51"/>
  <c r="CI53" i="51"/>
  <c r="CQ23" i="3"/>
  <c r="CQ21" i="51"/>
  <c r="CQ63" i="4"/>
  <c r="CQ57" i="1"/>
  <c r="CQ81" i="51"/>
  <c r="CQ60" i="51"/>
  <c r="CQ21" i="73" l="1"/>
  <c r="CJ62" i="1"/>
  <c r="CJ70" i="1"/>
  <c r="CJ72" i="1" s="1"/>
  <c r="CJ84" i="1" s="1"/>
  <c r="CJ30" i="2"/>
  <c r="CJ35" i="2" s="1"/>
  <c r="CI30" i="51"/>
  <c r="DY36" i="51"/>
  <c r="DY49" i="51" s="1"/>
  <c r="CI29" i="51"/>
  <c r="DY35" i="51"/>
  <c r="DY48" i="51" s="1"/>
  <c r="CJ17" i="1"/>
  <c r="CK39" i="2"/>
  <c r="CK158" i="2" s="1"/>
  <c r="CI59" i="1"/>
  <c r="CI76" i="51"/>
  <c r="CI80" i="51" s="1"/>
  <c r="CI16" i="1"/>
  <c r="CI62" i="1" s="1"/>
  <c r="CJ189" i="2"/>
  <c r="CV456" i="73"/>
  <c r="CV42" i="1" s="1"/>
  <c r="CP29" i="51"/>
  <c r="CK57" i="51"/>
  <c r="CW16" i="4"/>
  <c r="CW14" i="4"/>
  <c r="CW12" i="4"/>
  <c r="CW60" i="4"/>
  <c r="CP54" i="51"/>
  <c r="CO32" i="51"/>
  <c r="CV41" i="1"/>
  <c r="CO148" i="2"/>
  <c r="CP21" i="3"/>
  <c r="CQ23" i="51"/>
  <c r="CQ24" i="51"/>
  <c r="CQ30" i="51" s="1"/>
  <c r="CQ53" i="51"/>
  <c r="CU11" i="51"/>
  <c r="CU41" i="51" s="1"/>
  <c r="CU10" i="51"/>
  <c r="CU40" i="51" s="1"/>
  <c r="CU38" i="51"/>
  <c r="CO14" i="2"/>
  <c r="CO29" i="2"/>
  <c r="CO172" i="2"/>
  <c r="CO39" i="1"/>
  <c r="CO58" i="1"/>
  <c r="CV32" i="51"/>
  <c r="CW42" i="51"/>
  <c r="CJ152" i="2"/>
  <c r="CK105" i="2"/>
  <c r="CJ120" i="2"/>
  <c r="CI54" i="51"/>
  <c r="CI25" i="51"/>
  <c r="DY37" i="51" s="1"/>
  <c r="DY50" i="51" s="1"/>
  <c r="CU68" i="51"/>
  <c r="CO11" i="1"/>
  <c r="CO32" i="3"/>
  <c r="CV175" i="2"/>
  <c r="CK66" i="2"/>
  <c r="CK143" i="2"/>
  <c r="CK169" i="2"/>
  <c r="CK181" i="2" s="1"/>
  <c r="CK47" i="1"/>
  <c r="CK45" i="1"/>
  <c r="CK63" i="1"/>
  <c r="CK96" i="2"/>
  <c r="CI55" i="51"/>
  <c r="CO62" i="4"/>
  <c r="CO55" i="1"/>
  <c r="CO56" i="1" s="1"/>
  <c r="CP56" i="51"/>
  <c r="CO456" i="73"/>
  <c r="CV14" i="2"/>
  <c r="CV29" i="2"/>
  <c r="CV172" i="2"/>
  <c r="CV58" i="1"/>
  <c r="CV39" i="1"/>
  <c r="CK157" i="2"/>
  <c r="CK35" i="2"/>
  <c r="CK23" i="2"/>
  <c r="CK150" i="2"/>
  <c r="CP25" i="51"/>
  <c r="CJ116" i="2"/>
  <c r="CJ118" i="2" s="1"/>
  <c r="CJ20" i="2" s="1"/>
  <c r="CJ11" i="3"/>
  <c r="CJ18" i="1"/>
  <c r="CV148" i="2"/>
  <c r="CQ22" i="51"/>
  <c r="CW15" i="2"/>
  <c r="CW24" i="3" s="1"/>
  <c r="CW12" i="2"/>
  <c r="CW21" i="3" s="1"/>
  <c r="CW106" i="2"/>
  <c r="CW32" i="3" s="1"/>
  <c r="CW142" i="2"/>
  <c r="CW171" i="2"/>
  <c r="CW180" i="2" s="1"/>
  <c r="CW15" i="3"/>
  <c r="CW14" i="1"/>
  <c r="CW61" i="1" s="1"/>
  <c r="CW452" i="73"/>
  <c r="CW48" i="1"/>
  <c r="CW10" i="1"/>
  <c r="CW11" i="1" s="1"/>
  <c r="CW27" i="1"/>
  <c r="CW13" i="1"/>
  <c r="CW54" i="1"/>
  <c r="CW450" i="73"/>
  <c r="CJ57" i="51"/>
  <c r="CV75" i="51"/>
  <c r="CV79" i="51" s="1"/>
  <c r="CV60" i="1"/>
  <c r="CI56" i="51"/>
  <c r="CJ18" i="3"/>
  <c r="CP76" i="51"/>
  <c r="CP80" i="51" s="1"/>
  <c r="CP59" i="1"/>
  <c r="CP16" i="1"/>
  <c r="CV55" i="1"/>
  <c r="CV56" i="1" s="1"/>
  <c r="CV62" i="4"/>
  <c r="CO61" i="1"/>
  <c r="CK72" i="1"/>
  <c r="CK84" i="1" s="1"/>
  <c r="CK83" i="1"/>
  <c r="CW10" i="4"/>
  <c r="CU9" i="51"/>
  <c r="CV81" i="54"/>
  <c r="CV40" i="3"/>
  <c r="CU9" i="4"/>
  <c r="CU57" i="4"/>
  <c r="CP24" i="3"/>
  <c r="CO175" i="2"/>
  <c r="CQ67" i="51"/>
  <c r="CQ59" i="1"/>
  <c r="CQ76" i="51"/>
  <c r="CQ80" i="51" s="1"/>
  <c r="CQ16" i="1"/>
  <c r="CO60" i="1"/>
  <c r="CO75" i="51"/>
  <c r="CO79" i="51" s="1"/>
  <c r="CJ66" i="2" l="1"/>
  <c r="CJ143" i="2"/>
  <c r="CJ145" i="2" s="1"/>
  <c r="CJ146" i="2" s="1"/>
  <c r="CJ147" i="2" s="1"/>
  <c r="CJ83" i="1"/>
  <c r="CJ74" i="1" s="1"/>
  <c r="CJ29" i="1" s="1"/>
  <c r="CI30" i="2"/>
  <c r="CI26" i="3" s="1"/>
  <c r="CJ169" i="2"/>
  <c r="CJ181" i="2" s="1"/>
  <c r="CJ157" i="2"/>
  <c r="CJ159" i="2" s="1"/>
  <c r="CJ45" i="1"/>
  <c r="CK26" i="3"/>
  <c r="CK20" i="3" s="1"/>
  <c r="CJ63" i="1"/>
  <c r="CJ47" i="1"/>
  <c r="CI173" i="2"/>
  <c r="CI17" i="1"/>
  <c r="CI66" i="2" s="1"/>
  <c r="CI70" i="1"/>
  <c r="CI83" i="1" s="1"/>
  <c r="CV20" i="73"/>
  <c r="CV21" i="73" s="1"/>
  <c r="CK189" i="2"/>
  <c r="CW456" i="73"/>
  <c r="CW42" i="1" s="1"/>
  <c r="CK74" i="1"/>
  <c r="CK29" i="1" s="1"/>
  <c r="CK159" i="2"/>
  <c r="CW32" i="51"/>
  <c r="CQ30" i="2"/>
  <c r="CQ173" i="2"/>
  <c r="CQ62" i="1"/>
  <c r="CQ70" i="1"/>
  <c r="CQ17" i="1"/>
  <c r="CW75" i="51"/>
  <c r="CW79" i="51" s="1"/>
  <c r="CW60" i="1"/>
  <c r="CK152" i="2"/>
  <c r="CO21" i="51"/>
  <c r="CO57" i="1"/>
  <c r="CO63" i="4"/>
  <c r="CO60" i="51"/>
  <c r="CO81" i="51"/>
  <c r="CV35" i="51"/>
  <c r="CO156" i="2"/>
  <c r="CP25" i="3"/>
  <c r="CK18" i="3"/>
  <c r="CV156" i="2"/>
  <c r="CJ25" i="2"/>
  <c r="CJ151" i="2"/>
  <c r="CJ154" i="2" s="1"/>
  <c r="CW41" i="1"/>
  <c r="CO20" i="73"/>
  <c r="CO42" i="1"/>
  <c r="CK110" i="2"/>
  <c r="CK113" i="2"/>
  <c r="CU9" i="1"/>
  <c r="CU58" i="4"/>
  <c r="CP30" i="2"/>
  <c r="CP173" i="2"/>
  <c r="CP62" i="1"/>
  <c r="CP70" i="1"/>
  <c r="CP17" i="1"/>
  <c r="CW81" i="54"/>
  <c r="CW40" i="3"/>
  <c r="CJ80" i="54"/>
  <c r="CO149" i="2"/>
  <c r="CP23" i="3"/>
  <c r="CQ56" i="51"/>
  <c r="CW62" i="4"/>
  <c r="CW55" i="1"/>
  <c r="CW56" i="1" s="1"/>
  <c r="CO40" i="3"/>
  <c r="CO81" i="54"/>
  <c r="CV57" i="1"/>
  <c r="CV63" i="4"/>
  <c r="CV21" i="51"/>
  <c r="CV60" i="51"/>
  <c r="CV81" i="51"/>
  <c r="CQ25" i="51"/>
  <c r="CQ54" i="51"/>
  <c r="CV149" i="2"/>
  <c r="CO41" i="1"/>
  <c r="CW14" i="2"/>
  <c r="CW23" i="3" s="1"/>
  <c r="CW29" i="2"/>
  <c r="CW172" i="2"/>
  <c r="CW39" i="1"/>
  <c r="CW58" i="1"/>
  <c r="CI57" i="51"/>
  <c r="CJ41" i="2"/>
  <c r="CQ28" i="51"/>
  <c r="CW175" i="2"/>
  <c r="CQ55" i="51"/>
  <c r="CU12" i="51"/>
  <c r="CU39" i="51"/>
  <c r="CV12" i="1"/>
  <c r="CK145" i="2"/>
  <c r="CK146" i="2" s="1"/>
  <c r="CK147" i="2" s="1"/>
  <c r="CO35" i="51"/>
  <c r="CU17" i="4"/>
  <c r="CU10" i="4" s="1"/>
  <c r="CP57" i="51"/>
  <c r="CW148" i="2"/>
  <c r="CK112" i="2"/>
  <c r="CJ121" i="2"/>
  <c r="CK41" i="2"/>
  <c r="CJ20" i="1"/>
  <c r="CQ29" i="51"/>
  <c r="CI157" i="2" l="1"/>
  <c r="CI159" i="2" s="1"/>
  <c r="CI161" i="2" s="1"/>
  <c r="CJ162" i="2" s="1"/>
  <c r="CJ26" i="3"/>
  <c r="CJ20" i="3" s="1"/>
  <c r="CI35" i="2"/>
  <c r="CI41" i="2" s="1"/>
  <c r="CI25" i="1"/>
  <c r="CI45" i="1"/>
  <c r="CI20" i="1"/>
  <c r="CI47" i="1"/>
  <c r="CI169" i="2"/>
  <c r="CI181" i="2" s="1"/>
  <c r="CI143" i="2"/>
  <c r="CI145" i="2" s="1"/>
  <c r="CI146" i="2" s="1"/>
  <c r="CI147" i="2" s="1"/>
  <c r="CI141" i="2" s="1"/>
  <c r="CI63" i="1"/>
  <c r="CJ161" i="2"/>
  <c r="CK162" i="2" s="1"/>
  <c r="CI72" i="1"/>
  <c r="CI84" i="1" s="1"/>
  <c r="CW20" i="73"/>
  <c r="CW21" i="73" s="1"/>
  <c r="CK116" i="2"/>
  <c r="CL112" i="2" s="1"/>
  <c r="CO21" i="73"/>
  <c r="CJ65" i="2"/>
  <c r="CJ168" i="2"/>
  <c r="CJ46" i="1"/>
  <c r="CJ64" i="1"/>
  <c r="CI20" i="3"/>
  <c r="CO12" i="1"/>
  <c r="CV76" i="51"/>
  <c r="CV80" i="51" s="1"/>
  <c r="CV59" i="1"/>
  <c r="CV16" i="1"/>
  <c r="CW21" i="51"/>
  <c r="CW63" i="4"/>
  <c r="CW57" i="1"/>
  <c r="CW60" i="51"/>
  <c r="CW81" i="51"/>
  <c r="CU60" i="4"/>
  <c r="CV67" i="51"/>
  <c r="CO67" i="51"/>
  <c r="CV23" i="51"/>
  <c r="CV55" i="51" s="1"/>
  <c r="CV24" i="51"/>
  <c r="CV56" i="51" s="1"/>
  <c r="CV53" i="51"/>
  <c r="CU14" i="4"/>
  <c r="CU12" i="4"/>
  <c r="CU16" i="4"/>
  <c r="CW25" i="3"/>
  <c r="CW156" i="2"/>
  <c r="CP66" i="2"/>
  <c r="CP143" i="2"/>
  <c r="CP169" i="2"/>
  <c r="CP181" i="2" s="1"/>
  <c r="CP47" i="1"/>
  <c r="CP63" i="1"/>
  <c r="CP45" i="1"/>
  <c r="CP72" i="1"/>
  <c r="CP84" i="1" s="1"/>
  <c r="CP83" i="1"/>
  <c r="CV22" i="51"/>
  <c r="CO22" i="51"/>
  <c r="CO28" i="51" s="1"/>
  <c r="CU42" i="51"/>
  <c r="CK11" i="3"/>
  <c r="CK18" i="1"/>
  <c r="CO24" i="51"/>
  <c r="CO30" i="51" s="1"/>
  <c r="CO23" i="51"/>
  <c r="CO29" i="51" s="1"/>
  <c r="CO53" i="51"/>
  <c r="CQ66" i="2"/>
  <c r="CQ143" i="2"/>
  <c r="CQ169" i="2"/>
  <c r="CQ181" i="2" s="1"/>
  <c r="CQ45" i="1"/>
  <c r="CQ63" i="1"/>
  <c r="CQ47" i="1"/>
  <c r="CW149" i="2"/>
  <c r="CU12" i="2"/>
  <c r="CU15" i="2"/>
  <c r="CU142" i="2"/>
  <c r="CU171" i="2"/>
  <c r="CU180" i="2" s="1"/>
  <c r="CU106" i="2"/>
  <c r="CU15" i="3"/>
  <c r="CU452" i="73"/>
  <c r="CU14" i="1"/>
  <c r="CU13" i="1"/>
  <c r="CU10" i="1"/>
  <c r="CU11" i="1" s="1"/>
  <c r="CU27" i="1"/>
  <c r="CU48" i="1"/>
  <c r="CU54" i="1"/>
  <c r="CU450" i="73"/>
  <c r="CQ26" i="3"/>
  <c r="CQ20" i="3" s="1"/>
  <c r="CW35" i="51"/>
  <c r="CQ57" i="51"/>
  <c r="CL105" i="2"/>
  <c r="CK120" i="2"/>
  <c r="CQ83" i="1"/>
  <c r="CQ72" i="1"/>
  <c r="CQ84" i="1" s="1"/>
  <c r="CW12" i="1"/>
  <c r="CI26" i="1" l="1"/>
  <c r="CI28" i="1" s="1"/>
  <c r="CI99" i="1" s="1"/>
  <c r="CI102" i="1" s="1"/>
  <c r="CJ141" i="2"/>
  <c r="CI65" i="2"/>
  <c r="CI46" i="1"/>
  <c r="CI168" i="2"/>
  <c r="CI64" i="1"/>
  <c r="CK141" i="2"/>
  <c r="CK118" i="2"/>
  <c r="CK20" i="2" s="1"/>
  <c r="CK25" i="2" s="1"/>
  <c r="CK121" i="2"/>
  <c r="CP74" i="1"/>
  <c r="CP29" i="1" s="1"/>
  <c r="CU456" i="73"/>
  <c r="CU20" i="73" s="1"/>
  <c r="CV29" i="51"/>
  <c r="CI74" i="1"/>
  <c r="CI29" i="1" s="1"/>
  <c r="CV30" i="51"/>
  <c r="CV173" i="2"/>
  <c r="CV30" i="2"/>
  <c r="CV70" i="1"/>
  <c r="CV62" i="1"/>
  <c r="CV17" i="1"/>
  <c r="CQ74" i="1"/>
  <c r="CQ29" i="1" s="1"/>
  <c r="CU14" i="2"/>
  <c r="CU172" i="2"/>
  <c r="CU29" i="2"/>
  <c r="CU39" i="1"/>
  <c r="CU58" i="1"/>
  <c r="CU175" i="2"/>
  <c r="CK20" i="1"/>
  <c r="CV25" i="51"/>
  <c r="CV54" i="51"/>
  <c r="CW67" i="51"/>
  <c r="CO76" i="51"/>
  <c r="CO80" i="51" s="1"/>
  <c r="CO59" i="1"/>
  <c r="CO16" i="1"/>
  <c r="CL113" i="2"/>
  <c r="CL116" i="2" s="1"/>
  <c r="CL121" i="2" s="1"/>
  <c r="CU61" i="1"/>
  <c r="CU148" i="2"/>
  <c r="CV21" i="3"/>
  <c r="CU75" i="51"/>
  <c r="CU79" i="51" s="1"/>
  <c r="CU60" i="1"/>
  <c r="CQ145" i="2"/>
  <c r="CQ146" i="2" s="1"/>
  <c r="CQ147" i="2" s="1"/>
  <c r="CK80" i="54"/>
  <c r="CV24" i="3"/>
  <c r="CU62" i="4"/>
  <c r="CU55" i="1"/>
  <c r="CU56" i="1" s="1"/>
  <c r="CW24" i="51"/>
  <c r="CW56" i="51" s="1"/>
  <c r="CW23" i="51"/>
  <c r="CW55" i="51" s="1"/>
  <c r="CW53" i="51"/>
  <c r="CU32" i="3"/>
  <c r="CU41" i="1"/>
  <c r="CO25" i="51"/>
  <c r="CO54" i="51"/>
  <c r="CP145" i="2"/>
  <c r="CP146" i="2" s="1"/>
  <c r="CP147" i="2" s="1"/>
  <c r="CW76" i="51"/>
  <c r="CW80" i="51" s="1"/>
  <c r="CW59" i="1"/>
  <c r="CW16" i="1"/>
  <c r="CO55" i="51"/>
  <c r="CW22" i="51"/>
  <c r="CW28" i="51" s="1"/>
  <c r="CU32" i="51"/>
  <c r="CO56" i="51"/>
  <c r="CV28" i="51"/>
  <c r="CI33" i="1" l="1"/>
  <c r="CI176" i="2"/>
  <c r="CI182" i="2" s="1"/>
  <c r="CI183" i="2" s="1"/>
  <c r="CI184" i="2" s="1"/>
  <c r="CI185" i="2" s="1"/>
  <c r="CI73" i="1"/>
  <c r="CI86" i="1" s="1"/>
  <c r="CI51" i="1"/>
  <c r="CI79" i="54"/>
  <c r="CI83" i="54" s="1"/>
  <c r="CI84" i="54" s="1"/>
  <c r="CI66" i="1"/>
  <c r="CI167" i="2"/>
  <c r="CI32" i="1"/>
  <c r="CI103" i="1" s="1"/>
  <c r="CI30" i="1"/>
  <c r="CI174" i="2" s="1"/>
  <c r="CK151" i="2"/>
  <c r="CK154" i="2" s="1"/>
  <c r="CK161" i="2" s="1"/>
  <c r="CU42" i="1"/>
  <c r="CU21" i="73" s="1"/>
  <c r="CV83" i="1"/>
  <c r="CV72" i="1"/>
  <c r="CV84" i="1" s="1"/>
  <c r="CW30" i="51"/>
  <c r="CV57" i="51"/>
  <c r="CU35" i="51"/>
  <c r="CW29" i="51"/>
  <c r="CV143" i="2"/>
  <c r="CV66" i="2"/>
  <c r="CV169" i="2"/>
  <c r="CV181" i="2" s="1"/>
  <c r="CV47" i="1"/>
  <c r="CV45" i="1"/>
  <c r="CV63" i="1"/>
  <c r="CO30" i="2"/>
  <c r="CO173" i="2"/>
  <c r="CO70" i="1"/>
  <c r="CO62" i="1"/>
  <c r="CO17" i="1"/>
  <c r="CW25" i="51"/>
  <c r="CW54" i="51"/>
  <c r="CW30" i="2"/>
  <c r="CW173" i="2"/>
  <c r="CW70" i="1"/>
  <c r="CW62" i="1"/>
  <c r="CW17" i="1"/>
  <c r="CU40" i="3"/>
  <c r="CU81" i="54"/>
  <c r="CU57" i="1"/>
  <c r="CU21" i="51"/>
  <c r="CU63" i="4"/>
  <c r="CU81" i="51"/>
  <c r="CU60" i="51"/>
  <c r="CK65" i="2"/>
  <c r="CK168" i="2"/>
  <c r="CK46" i="1"/>
  <c r="CK64" i="1"/>
  <c r="CU156" i="2"/>
  <c r="CV25" i="3"/>
  <c r="CV23" i="3"/>
  <c r="CU149" i="2"/>
  <c r="CO57" i="51"/>
  <c r="CL11" i="3"/>
  <c r="CL18" i="1"/>
  <c r="CM113" i="2"/>
  <c r="CI85" i="1" l="1"/>
  <c r="CI65" i="1"/>
  <c r="CI31" i="1"/>
  <c r="CI9" i="3"/>
  <c r="CI29" i="3" s="1"/>
  <c r="CI95" i="1"/>
  <c r="CI97" i="2"/>
  <c r="CI101" i="2" s="1"/>
  <c r="CJ95" i="2" s="1"/>
  <c r="CU12" i="1"/>
  <c r="CV74" i="1"/>
  <c r="CV29" i="1" s="1"/>
  <c r="CW26" i="3"/>
  <c r="CW20" i="3" s="1"/>
  <c r="CL80" i="54"/>
  <c r="CM11" i="3"/>
  <c r="CO72" i="1"/>
  <c r="CO83" i="1"/>
  <c r="CO66" i="2"/>
  <c r="CO143" i="2"/>
  <c r="CO169" i="2"/>
  <c r="CO181" i="2" s="1"/>
  <c r="CO47" i="1"/>
  <c r="CO45" i="1"/>
  <c r="CO63" i="1"/>
  <c r="CU22" i="51"/>
  <c r="CU28" i="51" s="1"/>
  <c r="CP26" i="3"/>
  <c r="CP20" i="3" s="1"/>
  <c r="CW72" i="1"/>
  <c r="CW84" i="1" s="1"/>
  <c r="CW83" i="1"/>
  <c r="CW57" i="51"/>
  <c r="CV145" i="2"/>
  <c r="CV146" i="2" s="1"/>
  <c r="CV147" i="2" s="1"/>
  <c r="CU67" i="51"/>
  <c r="CM116" i="2"/>
  <c r="CM114" i="2"/>
  <c r="CM18" i="1"/>
  <c r="CU24" i="51"/>
  <c r="CU56" i="51" s="1"/>
  <c r="CU23" i="51"/>
  <c r="CU55" i="51" s="1"/>
  <c r="CU53" i="51"/>
  <c r="CW66" i="2"/>
  <c r="CW143" i="2"/>
  <c r="CW169" i="2"/>
  <c r="CW181" i="2" s="1"/>
  <c r="CW63" i="1"/>
  <c r="CW47" i="1"/>
  <c r="CW45" i="1"/>
  <c r="CI47" i="2" l="1"/>
  <c r="CI49" i="2" s="1"/>
  <c r="CI195" i="2" s="1"/>
  <c r="CU16" i="1"/>
  <c r="CU173" i="2" s="1"/>
  <c r="CU76" i="51"/>
  <c r="CU80" i="51" s="1"/>
  <c r="CU59" i="1"/>
  <c r="CU30" i="51"/>
  <c r="CW74" i="1"/>
  <c r="CW29" i="1" s="1"/>
  <c r="CU25" i="51"/>
  <c r="CU54" i="51"/>
  <c r="F13" i="52"/>
  <c r="CM121" i="2"/>
  <c r="CS112" i="2"/>
  <c r="CO112" i="2"/>
  <c r="CM80" i="54"/>
  <c r="CU29" i="51"/>
  <c r="CI84" i="2"/>
  <c r="CI53" i="3"/>
  <c r="CI61" i="3"/>
  <c r="CW145" i="2"/>
  <c r="CW146" i="2" s="1"/>
  <c r="CW147" i="2" s="1"/>
  <c r="CO145" i="2"/>
  <c r="CO146" i="2" s="1"/>
  <c r="CO147" i="2" s="1"/>
  <c r="CO84" i="1"/>
  <c r="CU17" i="1" l="1"/>
  <c r="CU169" i="2" s="1"/>
  <c r="CU181" i="2" s="1"/>
  <c r="CU70" i="1"/>
  <c r="CU83" i="1" s="1"/>
  <c r="CU30" i="2"/>
  <c r="CV26" i="3" s="1"/>
  <c r="CV20" i="3" s="1"/>
  <c r="CU62" i="1"/>
  <c r="CI85" i="2"/>
  <c r="CI62" i="3"/>
  <c r="CI64" i="3"/>
  <c r="CI83" i="2"/>
  <c r="CI56" i="3"/>
  <c r="CI68" i="2"/>
  <c r="CI51" i="2"/>
  <c r="CI60" i="2"/>
  <c r="CO74" i="1"/>
  <c r="CO29" i="1" s="1"/>
  <c r="CU57" i="51"/>
  <c r="CU47" i="1" l="1"/>
  <c r="CU66" i="2"/>
  <c r="CU143" i="2"/>
  <c r="CU145" i="2" s="1"/>
  <c r="CU146" i="2" s="1"/>
  <c r="CU147" i="2" s="1"/>
  <c r="CU72" i="1"/>
  <c r="CU63" i="1"/>
  <c r="CU45" i="1"/>
  <c r="CI86" i="2"/>
  <c r="CI65" i="3"/>
  <c r="CI10" i="2"/>
  <c r="CJ55" i="3"/>
  <c r="CU84" i="1" l="1"/>
  <c r="CI57" i="3"/>
  <c r="CI198" i="2"/>
  <c r="CI72" i="2"/>
  <c r="CI17" i="2"/>
  <c r="CI56" i="2"/>
  <c r="CI73" i="2"/>
  <c r="CJ78" i="54"/>
  <c r="CU74" i="1" l="1"/>
  <c r="CU29" i="1" s="1"/>
  <c r="CI201" i="2"/>
  <c r="CI204" i="2" s="1"/>
  <c r="CI202" i="2"/>
  <c r="CI205" i="2" s="1"/>
  <c r="CI62" i="2" s="1"/>
  <c r="CI71" i="2"/>
  <c r="CI26" i="2"/>
  <c r="CI74" i="2"/>
  <c r="CJ86" i="54"/>
  <c r="CI57" i="2"/>
  <c r="CI67" i="2"/>
  <c r="CI52" i="2" l="1"/>
  <c r="CI61" i="2"/>
  <c r="CJ21" i="1"/>
  <c r="CJ24" i="1" l="1"/>
  <c r="CJ25" i="1" l="1"/>
  <c r="CJ26" i="1" l="1"/>
  <c r="CJ176" i="2" l="1"/>
  <c r="CJ182" i="2" s="1"/>
  <c r="CJ183" i="2" s="1"/>
  <c r="CJ184" i="2" s="1"/>
  <c r="CJ28" i="1"/>
  <c r="CJ185" i="2" l="1"/>
  <c r="CJ167" i="2"/>
  <c r="CJ79" i="54"/>
  <c r="CJ83" i="54" s="1"/>
  <c r="CJ84" i="54" s="1"/>
  <c r="CJ30" i="1"/>
  <c r="CJ51" i="1"/>
  <c r="CJ73" i="1"/>
  <c r="CJ32" i="1"/>
  <c r="CJ103" i="1" s="1"/>
  <c r="CJ66" i="1"/>
  <c r="CJ33" i="1"/>
  <c r="CJ99" i="1"/>
  <c r="CJ102" i="1" s="1"/>
  <c r="CJ85" i="1" l="1"/>
  <c r="CJ86" i="1"/>
  <c r="CJ97" i="2"/>
  <c r="CJ174" i="2"/>
  <c r="CJ9" i="3"/>
  <c r="CJ31" i="1"/>
  <c r="CJ95" i="1"/>
  <c r="CJ65" i="1"/>
  <c r="CJ29" i="3" l="1"/>
  <c r="CJ47" i="2"/>
  <c r="CJ101" i="2"/>
  <c r="CK95" i="2" s="1"/>
  <c r="CJ49" i="2" l="1"/>
  <c r="CJ195" i="2" s="1"/>
  <c r="CJ84" i="2"/>
  <c r="CJ53" i="3"/>
  <c r="CJ61" i="3"/>
  <c r="CJ83" i="2" l="1"/>
  <c r="CJ56" i="3"/>
  <c r="CJ68" i="2"/>
  <c r="CJ51" i="2"/>
  <c r="CJ60" i="2"/>
  <c r="CJ85" i="2"/>
  <c r="CJ62" i="3"/>
  <c r="CJ64" i="3"/>
  <c r="CJ10" i="2" l="1"/>
  <c r="CK55" i="3"/>
  <c r="CJ86" i="2"/>
  <c r="CJ65" i="3"/>
  <c r="CJ57" i="3" l="1"/>
  <c r="CJ198" i="2"/>
  <c r="CJ73" i="2"/>
  <c r="CJ72" i="2"/>
  <c r="CJ17" i="2"/>
  <c r="CJ56" i="2"/>
  <c r="CK78" i="54"/>
  <c r="CJ201" i="2" l="1"/>
  <c r="CJ204" i="2" s="1"/>
  <c r="CJ202" i="2"/>
  <c r="CJ205" i="2" s="1"/>
  <c r="CJ62" i="2" s="1"/>
  <c r="CK86" i="54"/>
  <c r="CJ57" i="2"/>
  <c r="CJ67" i="2"/>
  <c r="CJ71" i="2"/>
  <c r="CJ26" i="2"/>
  <c r="CJ74" i="2"/>
  <c r="CK21" i="1" l="1"/>
  <c r="CJ52" i="2"/>
  <c r="CJ61" i="2"/>
  <c r="CK24" i="1" l="1"/>
  <c r="CK25" i="1" l="1"/>
  <c r="CK26" i="1" l="1"/>
  <c r="CK176" i="2" l="1"/>
  <c r="CK182" i="2" s="1"/>
  <c r="CK183" i="2" s="1"/>
  <c r="CK184" i="2" s="1"/>
  <c r="CK28" i="1"/>
  <c r="CK185" i="2" l="1"/>
  <c r="CK167" i="2"/>
  <c r="CK79" i="54"/>
  <c r="CK83" i="54" s="1"/>
  <c r="CK84" i="54" s="1"/>
  <c r="CK30" i="1"/>
  <c r="CK32" i="1"/>
  <c r="CK103" i="1" s="1"/>
  <c r="CK66" i="1"/>
  <c r="CK99" i="1"/>
  <c r="CK102" i="1" s="1"/>
  <c r="CK51" i="1"/>
  <c r="CK73" i="1"/>
  <c r="CK33" i="1"/>
  <c r="CK97" i="2" l="1"/>
  <c r="CK174" i="2"/>
  <c r="CK9" i="3"/>
  <c r="CK31" i="1"/>
  <c r="CK95" i="1"/>
  <c r="CK65" i="1"/>
  <c r="CK86" i="1"/>
  <c r="CK85" i="1"/>
  <c r="CK29" i="3" l="1"/>
  <c r="CK47" i="2"/>
  <c r="CK101" i="2"/>
  <c r="CL95" i="2" s="1"/>
  <c r="CK49" i="2" l="1"/>
  <c r="CK195" i="2" s="1"/>
  <c r="CK84" i="2"/>
  <c r="CK53" i="3"/>
  <c r="CK61" i="3"/>
  <c r="CK83" i="2" l="1"/>
  <c r="CK56" i="3"/>
  <c r="CK68" i="2"/>
  <c r="CK51" i="2"/>
  <c r="CK60" i="2"/>
  <c r="CK85" i="2"/>
  <c r="CK62" i="3"/>
  <c r="CK64" i="3"/>
  <c r="CK10" i="2" l="1"/>
  <c r="CL55" i="3"/>
  <c r="CK86" i="2"/>
  <c r="CK65" i="3"/>
  <c r="CK57" i="3" l="1"/>
  <c r="CK198" i="2"/>
  <c r="CK73" i="2"/>
  <c r="CK72" i="2"/>
  <c r="CK56" i="2"/>
  <c r="CL78" i="54"/>
  <c r="CK17" i="2"/>
  <c r="CK201" i="2" l="1"/>
  <c r="CK204" i="2" s="1"/>
  <c r="CK202" i="2"/>
  <c r="CK205" i="2" s="1"/>
  <c r="CK62" i="2" s="1"/>
  <c r="CK26" i="2"/>
  <c r="CK74" i="2"/>
  <c r="CK71" i="2"/>
  <c r="CK57" i="2"/>
  <c r="CK67" i="2"/>
  <c r="CL86" i="54"/>
  <c r="CL21" i="1" l="1"/>
  <c r="CM86" i="54"/>
  <c r="CK52" i="2"/>
  <c r="CK61" i="2"/>
  <c r="CL24" i="1" l="1"/>
  <c r="CM21" i="1"/>
  <c r="CM24" i="1" l="1"/>
  <c r="CV85" i="54" l="1"/>
  <c r="CW85" i="54" s="1"/>
  <c r="CX85" i="54" s="1"/>
  <c r="CG35" i="4" l="1"/>
  <c r="CF8" i="51" l="1"/>
  <c r="CF61" i="51"/>
  <c r="DX28" i="51"/>
  <c r="DX41" i="51" s="1"/>
  <c r="CG37" i="4"/>
  <c r="CF68" i="51" l="1"/>
  <c r="CF38" i="51"/>
  <c r="DX8" i="51"/>
  <c r="DX16" i="51" s="1"/>
  <c r="CG61" i="51"/>
  <c r="CG8" i="51"/>
  <c r="DX29" i="51"/>
  <c r="DX42" i="51" s="1"/>
  <c r="CF9" i="51"/>
  <c r="CF39" i="51" l="1"/>
  <c r="CG68" i="51"/>
  <c r="CG38" i="51"/>
  <c r="CF55" i="1" l="1"/>
  <c r="CF56" i="1" s="1"/>
  <c r="CF81" i="51" l="1"/>
  <c r="CF57" i="1"/>
  <c r="DX33" i="51"/>
  <c r="DX46" i="51" s="1"/>
  <c r="CF21" i="51"/>
  <c r="CF60" i="51"/>
  <c r="CF53" i="51" l="1"/>
  <c r="DX12" i="51"/>
  <c r="DX20" i="51" s="1"/>
  <c r="CF67" i="51"/>
  <c r="CF22" i="51"/>
  <c r="DX34" i="51"/>
  <c r="DX47" i="51" s="1"/>
  <c r="CF28" i="51" l="1"/>
  <c r="CF54" i="51"/>
  <c r="CG20" i="4" l="1"/>
  <c r="CG21" i="4" s="1"/>
  <c r="CG22" i="4" l="1"/>
  <c r="CG23" i="4"/>
  <c r="CG29" i="4" s="1"/>
  <c r="CG25" i="4" l="1"/>
  <c r="CG24" i="4"/>
  <c r="CG15" i="4" l="1"/>
  <c r="CF32" i="4"/>
  <c r="CL36" i="4" s="1"/>
  <c r="CF45" i="4"/>
  <c r="CF46" i="4" s="1"/>
  <c r="CF47" i="4" s="1"/>
  <c r="CF51" i="4"/>
  <c r="CF39" i="4"/>
  <c r="CL39" i="4" s="1"/>
  <c r="CL51" i="4" l="1"/>
  <c r="CR51" i="4" s="1"/>
  <c r="CS43" i="4"/>
  <c r="CL11" i="4"/>
  <c r="CR62" i="51"/>
  <c r="CS42" i="4"/>
  <c r="CM39" i="4"/>
  <c r="CR39" i="4"/>
  <c r="CF57" i="4"/>
  <c r="CF64" i="4" s="1"/>
  <c r="CR64" i="51"/>
  <c r="CS54" i="4"/>
  <c r="CF52" i="4"/>
  <c r="CF53" i="4" s="1"/>
  <c r="CL64" i="51"/>
  <c r="CG51" i="4"/>
  <c r="CM54" i="4"/>
  <c r="CM55" i="4"/>
  <c r="CM43" i="4"/>
  <c r="CL62" i="51"/>
  <c r="CF40" i="4"/>
  <c r="CF41" i="4" s="1"/>
  <c r="CM42" i="4"/>
  <c r="CG39" i="4"/>
  <c r="CL63" i="51"/>
  <c r="CM49" i="4"/>
  <c r="CG45" i="4"/>
  <c r="CL45" i="4"/>
  <c r="CM48" i="4"/>
  <c r="CF33" i="4"/>
  <c r="CM36" i="4"/>
  <c r="CG32" i="4"/>
  <c r="CL15" i="4" l="1"/>
  <c r="CS55" i="4"/>
  <c r="CS56" i="4" s="1"/>
  <c r="CM51" i="4"/>
  <c r="CM52" i="4" s="1"/>
  <c r="CM53" i="4" s="1"/>
  <c r="CL61" i="4"/>
  <c r="CS44" i="4"/>
  <c r="CS62" i="51" s="1"/>
  <c r="CS49" i="4"/>
  <c r="CL13" i="4"/>
  <c r="CR63" i="51"/>
  <c r="CM45" i="4"/>
  <c r="CR45" i="4"/>
  <c r="CS48" i="4"/>
  <c r="CX64" i="51"/>
  <c r="CS51" i="4"/>
  <c r="CY54" i="4"/>
  <c r="CX51" i="4"/>
  <c r="CY55" i="4"/>
  <c r="CR15" i="4"/>
  <c r="CY43" i="4"/>
  <c r="CR11" i="4"/>
  <c r="CX62" i="51"/>
  <c r="CY42" i="4"/>
  <c r="CS39" i="4"/>
  <c r="CX39" i="4"/>
  <c r="CL70" i="51"/>
  <c r="CM40" i="4"/>
  <c r="CM41" i="4" s="1"/>
  <c r="CM11" i="4"/>
  <c r="CM56" i="4"/>
  <c r="CM64" i="51" s="1"/>
  <c r="CF34" i="4"/>
  <c r="CF316" i="73" s="1"/>
  <c r="CF315" i="73" s="1"/>
  <c r="CG40" i="4"/>
  <c r="CG41" i="4" s="1"/>
  <c r="CG11" i="4"/>
  <c r="CG57" i="4"/>
  <c r="CM61" i="4" s="1"/>
  <c r="CG52" i="4"/>
  <c r="CG53" i="4" s="1"/>
  <c r="CR69" i="51"/>
  <c r="CL69" i="51"/>
  <c r="CG13" i="4"/>
  <c r="CG46" i="4"/>
  <c r="CG47" i="4" s="1"/>
  <c r="CM15" i="4"/>
  <c r="CG9" i="4"/>
  <c r="CG33" i="4"/>
  <c r="CM44" i="4"/>
  <c r="CL71" i="51"/>
  <c r="CR71" i="51"/>
  <c r="CM50" i="4"/>
  <c r="CF58" i="4"/>
  <c r="CS64" i="51" l="1"/>
  <c r="CS19" i="51"/>
  <c r="CL34" i="51"/>
  <c r="CS13" i="51"/>
  <c r="CS50" i="4"/>
  <c r="CS15" i="51" s="1"/>
  <c r="CM71" i="51"/>
  <c r="CM34" i="51"/>
  <c r="CS52" i="4"/>
  <c r="CS53" i="4" s="1"/>
  <c r="CM13" i="51"/>
  <c r="CS15" i="4"/>
  <c r="CY49" i="4"/>
  <c r="CX63" i="51"/>
  <c r="CR13" i="4"/>
  <c r="CY48" i="4"/>
  <c r="CS45" i="4"/>
  <c r="CX45" i="4"/>
  <c r="CF59" i="4"/>
  <c r="CM15" i="51"/>
  <c r="CF89" i="73"/>
  <c r="CF39" i="73"/>
  <c r="CF38" i="73" s="1"/>
  <c r="CF35" i="73"/>
  <c r="CF34" i="73" s="1"/>
  <c r="CM46" i="4"/>
  <c r="CM47" i="4" s="1"/>
  <c r="CM13" i="4"/>
  <c r="CS63" i="51"/>
  <c r="CM63" i="51"/>
  <c r="CS40" i="4"/>
  <c r="CS41" i="4" s="1"/>
  <c r="CS11" i="4"/>
  <c r="CY51" i="4"/>
  <c r="CY52" i="4" s="1"/>
  <c r="CY53" i="4" s="1"/>
  <c r="CX15" i="4"/>
  <c r="CR70" i="51"/>
  <c r="CG58" i="4"/>
  <c r="CX71" i="51"/>
  <c r="CG34" i="4"/>
  <c r="CY44" i="4"/>
  <c r="CY62" i="51" s="1"/>
  <c r="CM19" i="51"/>
  <c r="CM62" i="51"/>
  <c r="CS69" i="51" s="1"/>
  <c r="CS71" i="51"/>
  <c r="CX11" i="4"/>
  <c r="CY39" i="4"/>
  <c r="CG17" i="4"/>
  <c r="CG12" i="4" s="1"/>
  <c r="CX69" i="51"/>
  <c r="CY56" i="4"/>
  <c r="CF333" i="73" l="1"/>
  <c r="CF356" i="73"/>
  <c r="CF368" i="73"/>
  <c r="CF323" i="73"/>
  <c r="CY50" i="4"/>
  <c r="CG14" i="4"/>
  <c r="CY69" i="51"/>
  <c r="CY19" i="51"/>
  <c r="CX13" i="4"/>
  <c r="CY45" i="4"/>
  <c r="CY40" i="4"/>
  <c r="CY41" i="4" s="1"/>
  <c r="CY11" i="4"/>
  <c r="CG16" i="4"/>
  <c r="CS45" i="51"/>
  <c r="CM45" i="51"/>
  <c r="CY64" i="51"/>
  <c r="CX70" i="51"/>
  <c r="CG38" i="73"/>
  <c r="CL38" i="73"/>
  <c r="CY13" i="51"/>
  <c r="CS46" i="4"/>
  <c r="CS47" i="4" s="1"/>
  <c r="CS13" i="4"/>
  <c r="CF43" i="73"/>
  <c r="CG34" i="73"/>
  <c r="CL34" i="73"/>
  <c r="CG10" i="4"/>
  <c r="CL315" i="73"/>
  <c r="CG315" i="73"/>
  <c r="CG316" i="73" s="1"/>
  <c r="CF33" i="51"/>
  <c r="CF186" i="73"/>
  <c r="CF185" i="73" s="1"/>
  <c r="CF148" i="73"/>
  <c r="CF147" i="73" s="1"/>
  <c r="CF110" i="73"/>
  <c r="CF109" i="73" s="1"/>
  <c r="CF246" i="73"/>
  <c r="CF245" i="73" s="1"/>
  <c r="CF154" i="73"/>
  <c r="CF153" i="73" s="1"/>
  <c r="CF194" i="73"/>
  <c r="CF193" i="73" s="1"/>
  <c r="CF319" i="73"/>
  <c r="CF318" i="73" s="1"/>
  <c r="CG59" i="4"/>
  <c r="CF116" i="73"/>
  <c r="CF115" i="73" s="1"/>
  <c r="CF239" i="73"/>
  <c r="CF238" i="73" s="1"/>
  <c r="CF287" i="73"/>
  <c r="CF286" i="73" s="1"/>
  <c r="CF197" i="73"/>
  <c r="CF196" i="73" s="1"/>
  <c r="CF190" i="73"/>
  <c r="CF189" i="73" s="1"/>
  <c r="CF236" i="73"/>
  <c r="CF235" i="73" s="1"/>
  <c r="CF250" i="73"/>
  <c r="CF249" i="73" s="1"/>
  <c r="CF120" i="73"/>
  <c r="CF119" i="73" s="1"/>
  <c r="CF145" i="73"/>
  <c r="CF144" i="73" s="1"/>
  <c r="CM43" i="51"/>
  <c r="CS43" i="51"/>
  <c r="CM70" i="51"/>
  <c r="CS70" i="51"/>
  <c r="CM49" i="51"/>
  <c r="CS49" i="51"/>
  <c r="CY15" i="4"/>
  <c r="CM69" i="51"/>
  <c r="CY63" i="51" l="1"/>
  <c r="CY70" i="51" s="1"/>
  <c r="CY15" i="51"/>
  <c r="CY45" i="51" s="1"/>
  <c r="CF379" i="73"/>
  <c r="CF337" i="73"/>
  <c r="CG317" i="73"/>
  <c r="CG196" i="73"/>
  <c r="CG197" i="73" s="1"/>
  <c r="CG198" i="73" s="1"/>
  <c r="CF205" i="73"/>
  <c r="CF338" i="73" s="1"/>
  <c r="CL196" i="73"/>
  <c r="CG35" i="73"/>
  <c r="CF44" i="73"/>
  <c r="CF45" i="73" s="1"/>
  <c r="CF41" i="73"/>
  <c r="CG43" i="73"/>
  <c r="CF47" i="73"/>
  <c r="CF396" i="73" s="1"/>
  <c r="CL193" i="73"/>
  <c r="CG193" i="73"/>
  <c r="CG194" i="73" s="1"/>
  <c r="CG195" i="73" s="1"/>
  <c r="CF35" i="51"/>
  <c r="CG144" i="73"/>
  <c r="CF158" i="73"/>
  <c r="CL144" i="73"/>
  <c r="CL153" i="73"/>
  <c r="CG153" i="73"/>
  <c r="CG154" i="73" s="1"/>
  <c r="CG155" i="73" s="1"/>
  <c r="CG318" i="73"/>
  <c r="CG319" i="73" s="1"/>
  <c r="CG320" i="73" s="1"/>
  <c r="CL318" i="73"/>
  <c r="CM38" i="73"/>
  <c r="CR38" i="73"/>
  <c r="CF296" i="73"/>
  <c r="CL286" i="73"/>
  <c r="CY46" i="4"/>
  <c r="CY47" i="4" s="1"/>
  <c r="CY13" i="4"/>
  <c r="CG249" i="73"/>
  <c r="CL249" i="73"/>
  <c r="CF252" i="73"/>
  <c r="CF255" i="73" s="1"/>
  <c r="CF340" i="73" s="1"/>
  <c r="CL185" i="73"/>
  <c r="CG185" i="73"/>
  <c r="CG186" i="73" s="1"/>
  <c r="CG187" i="73" s="1"/>
  <c r="CY71" i="51"/>
  <c r="CG39" i="73"/>
  <c r="CG40" i="73" s="1"/>
  <c r="CG238" i="73"/>
  <c r="CG239" i="73" s="1"/>
  <c r="CG240" i="73" s="1"/>
  <c r="CL238" i="73"/>
  <c r="CF127" i="73"/>
  <c r="CG119" i="73"/>
  <c r="CL119" i="73"/>
  <c r="CR315" i="73"/>
  <c r="CM315" i="73"/>
  <c r="CM316" i="73" s="1"/>
  <c r="CM317" i="73" s="1"/>
  <c r="CL245" i="73"/>
  <c r="CF248" i="73"/>
  <c r="CG248" i="73" s="1"/>
  <c r="CG235" i="73"/>
  <c r="CG236" i="73" s="1"/>
  <c r="CG237" i="73" s="1"/>
  <c r="CL235" i="73"/>
  <c r="CG33" i="51"/>
  <c r="CG323" i="73"/>
  <c r="CL109" i="73"/>
  <c r="CG109" i="73"/>
  <c r="CF93" i="73"/>
  <c r="CF125" i="73"/>
  <c r="CF134" i="73"/>
  <c r="CF448" i="73" s="1"/>
  <c r="CF132" i="73"/>
  <c r="CF399" i="73" s="1"/>
  <c r="CF408" i="73" s="1"/>
  <c r="CG115" i="73"/>
  <c r="CL115" i="73"/>
  <c r="CY49" i="51"/>
  <c r="CF199" i="73"/>
  <c r="CF200" i="73" s="1"/>
  <c r="CF201" i="73" s="1"/>
  <c r="CG189" i="73"/>
  <c r="CF206" i="73"/>
  <c r="CL189" i="73"/>
  <c r="CL147" i="73"/>
  <c r="CG147" i="73"/>
  <c r="CG148" i="73" s="1"/>
  <c r="CG149" i="73" s="1"/>
  <c r="CG60" i="4"/>
  <c r="CM34" i="73"/>
  <c r="CL43" i="73"/>
  <c r="CR34" i="73"/>
  <c r="CY43" i="51"/>
  <c r="CF446" i="73" l="1"/>
  <c r="CL446" i="73" s="1"/>
  <c r="CR446" i="73" s="1"/>
  <c r="CX446" i="73" s="1"/>
  <c r="CF447" i="73"/>
  <c r="CF42" i="73"/>
  <c r="CF334" i="73"/>
  <c r="CF380" i="73"/>
  <c r="CG380" i="73" s="1"/>
  <c r="CF372" i="73"/>
  <c r="CF361" i="73"/>
  <c r="CF371" i="73"/>
  <c r="CF257" i="73"/>
  <c r="CF256" i="73" s="1"/>
  <c r="CM235" i="73"/>
  <c r="CM236" i="73" s="1"/>
  <c r="CM237" i="73" s="1"/>
  <c r="CR235" i="73"/>
  <c r="CG110" i="73"/>
  <c r="CG111" i="73" s="1"/>
  <c r="CL199" i="73"/>
  <c r="CL200" i="73" s="1"/>
  <c r="CL201" i="73" s="1"/>
  <c r="CM189" i="73"/>
  <c r="CL206" i="73"/>
  <c r="CR189" i="73"/>
  <c r="CL127" i="73"/>
  <c r="CM119" i="73"/>
  <c r="CR119" i="73"/>
  <c r="CG250" i="73"/>
  <c r="CM39" i="73"/>
  <c r="CX34" i="73"/>
  <c r="CR43" i="73"/>
  <c r="CS34" i="73"/>
  <c r="CF217" i="73"/>
  <c r="CG206" i="73"/>
  <c r="CG125" i="73"/>
  <c r="CG379" i="73"/>
  <c r="CG116" i="73"/>
  <c r="CG120" i="73"/>
  <c r="CG121" i="73" s="1"/>
  <c r="CG127" i="73"/>
  <c r="CM318" i="73"/>
  <c r="CM319" i="73" s="1"/>
  <c r="CM320" i="73" s="1"/>
  <c r="CR318" i="73"/>
  <c r="CR193" i="73"/>
  <c r="CM193" i="73"/>
  <c r="CM194" i="73" s="1"/>
  <c r="CM195" i="73" s="1"/>
  <c r="CM35" i="73"/>
  <c r="CG44" i="73"/>
  <c r="CG255" i="73"/>
  <c r="CF261" i="73"/>
  <c r="CL125" i="73"/>
  <c r="CL379" i="73"/>
  <c r="CL134" i="73"/>
  <c r="CL132" i="73"/>
  <c r="CR115" i="73"/>
  <c r="CM115" i="73"/>
  <c r="CL44" i="73"/>
  <c r="CL45" i="73" s="1"/>
  <c r="CL41" i="73"/>
  <c r="CL42" i="73" s="1"/>
  <c r="CL47" i="73"/>
  <c r="CM43" i="73"/>
  <c r="CG190" i="73"/>
  <c r="CG191" i="73" s="1"/>
  <c r="CG199" i="73"/>
  <c r="CF136" i="73"/>
  <c r="CF429" i="73" s="1"/>
  <c r="CF438" i="73" s="1"/>
  <c r="CG132" i="73"/>
  <c r="CL93" i="73"/>
  <c r="CG35" i="51"/>
  <c r="CG47" i="73"/>
  <c r="CG36" i="73"/>
  <c r="CF91" i="73"/>
  <c r="CF336" i="73" s="1"/>
  <c r="CF97" i="73"/>
  <c r="CF398" i="73" s="1"/>
  <c r="CG93" i="73"/>
  <c r="CF94" i="73"/>
  <c r="CS315" i="73"/>
  <c r="CS316" i="73" s="1"/>
  <c r="CS317" i="73" s="1"/>
  <c r="CX315" i="73"/>
  <c r="CY315" i="73" s="1"/>
  <c r="CG252" i="73"/>
  <c r="CG253" i="73" s="1"/>
  <c r="CG254" i="73" s="1"/>
  <c r="CF253" i="73"/>
  <c r="CF254" i="73" s="1"/>
  <c r="CF297" i="73"/>
  <c r="CF298" i="73" s="1"/>
  <c r="CF112" i="73"/>
  <c r="CF294" i="73"/>
  <c r="CG296" i="73"/>
  <c r="CM153" i="73"/>
  <c r="CM154" i="73" s="1"/>
  <c r="CM155" i="73" s="1"/>
  <c r="CR153" i="73"/>
  <c r="CF159" i="73"/>
  <c r="CF160" i="73" s="1"/>
  <c r="CF156" i="73"/>
  <c r="CF339" i="73" s="1"/>
  <c r="CF162" i="73"/>
  <c r="CF401" i="73" s="1"/>
  <c r="CG41" i="73"/>
  <c r="CF202" i="73"/>
  <c r="CF203" i="73" s="1"/>
  <c r="CF204" i="73" s="1"/>
  <c r="CG205" i="73"/>
  <c r="CF207" i="73"/>
  <c r="CF211" i="73"/>
  <c r="CG134" i="73"/>
  <c r="CG135" i="73" s="1"/>
  <c r="CG448" i="73"/>
  <c r="CM238" i="73"/>
  <c r="CM239" i="73" s="1"/>
  <c r="CM240" i="73" s="1"/>
  <c r="CR238" i="73"/>
  <c r="CG55" i="1"/>
  <c r="CG62" i="4"/>
  <c r="CM109" i="73"/>
  <c r="CR109" i="73"/>
  <c r="CR185" i="73"/>
  <c r="CM185" i="73"/>
  <c r="CM186" i="73" s="1"/>
  <c r="CM187" i="73" s="1"/>
  <c r="CL296" i="73"/>
  <c r="CR286" i="73"/>
  <c r="CM144" i="73"/>
  <c r="CR144" i="73"/>
  <c r="CL158" i="73"/>
  <c r="CM196" i="73"/>
  <c r="CM197" i="73" s="1"/>
  <c r="CM198" i="73" s="1"/>
  <c r="CR196" i="73"/>
  <c r="CL205" i="73"/>
  <c r="CR147" i="73"/>
  <c r="CM147" i="73"/>
  <c r="CM148" i="73" s="1"/>
  <c r="CM149" i="73" s="1"/>
  <c r="CL248" i="73"/>
  <c r="CM248" i="73" s="1"/>
  <c r="CR245" i="73"/>
  <c r="CM249" i="73"/>
  <c r="CR249" i="73"/>
  <c r="CL252" i="73"/>
  <c r="CX38" i="73"/>
  <c r="CY38" i="73" s="1"/>
  <c r="CS38" i="73"/>
  <c r="CS39" i="73" s="1"/>
  <c r="CG145" i="73"/>
  <c r="CG146" i="73" s="1"/>
  <c r="CG158" i="73"/>
  <c r="CF24" i="73" l="1"/>
  <c r="CF25" i="73" s="1"/>
  <c r="CF26" i="73" s="1"/>
  <c r="CG257" i="73"/>
  <c r="CF258" i="73"/>
  <c r="CF259" i="73" s="1"/>
  <c r="CF376" i="73"/>
  <c r="CF369" i="73"/>
  <c r="CF357" i="73"/>
  <c r="CF363" i="73"/>
  <c r="CF382" i="73"/>
  <c r="CG382" i="73" s="1"/>
  <c r="CF374" i="73"/>
  <c r="CL445" i="73"/>
  <c r="CM75" i="73" s="1"/>
  <c r="CM76" i="73" s="1"/>
  <c r="CF295" i="73"/>
  <c r="CG295" i="73" s="1"/>
  <c r="CF341" i="73"/>
  <c r="CY316" i="73"/>
  <c r="CY317" i="73" s="1"/>
  <c r="CL257" i="73"/>
  <c r="CL258" i="73" s="1"/>
  <c r="CL259" i="73" s="1"/>
  <c r="CG48" i="73"/>
  <c r="CM44" i="73"/>
  <c r="CR93" i="73"/>
  <c r="CR125" i="73"/>
  <c r="CR379" i="73"/>
  <c r="CS115" i="73"/>
  <c r="CR134" i="73"/>
  <c r="CR132" i="73"/>
  <c r="CX115" i="73"/>
  <c r="CS147" i="73"/>
  <c r="CS148" i="73" s="1"/>
  <c r="CS149" i="73" s="1"/>
  <c r="CX147" i="73"/>
  <c r="CY147" i="73" s="1"/>
  <c r="CM47" i="73"/>
  <c r="CL396" i="73"/>
  <c r="CG261" i="73"/>
  <c r="CX153" i="73"/>
  <c r="CY153" i="73" s="1"/>
  <c r="CS153" i="73"/>
  <c r="CS154" i="73" s="1"/>
  <c r="CS155" i="73" s="1"/>
  <c r="CG117" i="73"/>
  <c r="CG217" i="73"/>
  <c r="CR199" i="73"/>
  <c r="CR200" i="73" s="1"/>
  <c r="CR201" i="73" s="1"/>
  <c r="CS189" i="73"/>
  <c r="CR206" i="73"/>
  <c r="CX189" i="73"/>
  <c r="CS185" i="73"/>
  <c r="CS186" i="73" s="1"/>
  <c r="CS187" i="73" s="1"/>
  <c r="CX185" i="73"/>
  <c r="CY185" i="73" s="1"/>
  <c r="CG20" i="51"/>
  <c r="CG17" i="51"/>
  <c r="CG14" i="51"/>
  <c r="CG11" i="51"/>
  <c r="CF95" i="73"/>
  <c r="CF137" i="73"/>
  <c r="CS238" i="73"/>
  <c r="CS239" i="73" s="1"/>
  <c r="CS240" i="73" s="1"/>
  <c r="CX238" i="73"/>
  <c r="CG297" i="73"/>
  <c r="CG88" i="73"/>
  <c r="CG94" i="73"/>
  <c r="CG38" i="4"/>
  <c r="CG45" i="73"/>
  <c r="CX193" i="73"/>
  <c r="CY193" i="73" s="1"/>
  <c r="CS193" i="73"/>
  <c r="CS194" i="73" s="1"/>
  <c r="CS195" i="73" s="1"/>
  <c r="CG251" i="73"/>
  <c r="CM190" i="73"/>
  <c r="CM191" i="73" s="1"/>
  <c r="CM199" i="73"/>
  <c r="CL255" i="73"/>
  <c r="CG56" i="1"/>
  <c r="CL94" i="73"/>
  <c r="CL91" i="73"/>
  <c r="CM93" i="73"/>
  <c r="CL97" i="73"/>
  <c r="CM125" i="73"/>
  <c r="CM379" i="73"/>
  <c r="CM116" i="73"/>
  <c r="CS318" i="73"/>
  <c r="CS319" i="73" s="1"/>
  <c r="CS320" i="73" s="1"/>
  <c r="CX318" i="73"/>
  <c r="CY318" i="73" s="1"/>
  <c r="CR44" i="73"/>
  <c r="CR45" i="73" s="1"/>
  <c r="CR41" i="73"/>
  <c r="CS43" i="73"/>
  <c r="CR47" i="73"/>
  <c r="CY39" i="73"/>
  <c r="CY34" i="73"/>
  <c r="CX43" i="73"/>
  <c r="CL202" i="73"/>
  <c r="CL203" i="73" s="1"/>
  <c r="CL204" i="73" s="1"/>
  <c r="CM205" i="73"/>
  <c r="CL207" i="73"/>
  <c r="CL211" i="73"/>
  <c r="CF208" i="73"/>
  <c r="CF209" i="73" s="1"/>
  <c r="CG207" i="73"/>
  <c r="CG133" i="73"/>
  <c r="CG399" i="73"/>
  <c r="CG136" i="73"/>
  <c r="CL448" i="73"/>
  <c r="CM448" i="73" s="1"/>
  <c r="CM134" i="73"/>
  <c r="CM135" i="73" s="1"/>
  <c r="CS196" i="73"/>
  <c r="CS197" i="73" s="1"/>
  <c r="CS198" i="73" s="1"/>
  <c r="CR205" i="73"/>
  <c r="CX196" i="73"/>
  <c r="CG202" i="73"/>
  <c r="CM41" i="73"/>
  <c r="CR248" i="73"/>
  <c r="CS248" i="73" s="1"/>
  <c r="CX245" i="73"/>
  <c r="CX248" i="73" s="1"/>
  <c r="CY248" i="73" s="1"/>
  <c r="CL159" i="73"/>
  <c r="CL160" i="73" s="1"/>
  <c r="CL156" i="73"/>
  <c r="CL157" i="73" s="1"/>
  <c r="CL162" i="73"/>
  <c r="CG162" i="73"/>
  <c r="CF164" i="73"/>
  <c r="CF451" i="73" s="1"/>
  <c r="CG258" i="73"/>
  <c r="CG97" i="73"/>
  <c r="CG200" i="73"/>
  <c r="CG201" i="73" s="1"/>
  <c r="CR127" i="73"/>
  <c r="CS119" i="73"/>
  <c r="CX119" i="73"/>
  <c r="CS235" i="73"/>
  <c r="CS236" i="73" s="1"/>
  <c r="CS237" i="73" s="1"/>
  <c r="CX235" i="73"/>
  <c r="CG156" i="73"/>
  <c r="CG157" i="73" s="1"/>
  <c r="CG159" i="73"/>
  <c r="CM145" i="73"/>
  <c r="CM146" i="73" s="1"/>
  <c r="CM158" i="73"/>
  <c r="CF113" i="73"/>
  <c r="CF114" i="73" s="1"/>
  <c r="CG112" i="73"/>
  <c r="CF128" i="73"/>
  <c r="CF126" i="73"/>
  <c r="CG91" i="73"/>
  <c r="CG92" i="73" s="1"/>
  <c r="CR296" i="73"/>
  <c r="CX286" i="73"/>
  <c r="CX296" i="73" s="1"/>
  <c r="CL376" i="73"/>
  <c r="CM376" i="73" s="1"/>
  <c r="CM252" i="73"/>
  <c r="CM253" i="73" s="1"/>
  <c r="CM254" i="73" s="1"/>
  <c r="CL253" i="73"/>
  <c r="CL254" i="73" s="1"/>
  <c r="CL297" i="73"/>
  <c r="CL298" i="73" s="1"/>
  <c r="CL112" i="73"/>
  <c r="CL294" i="73"/>
  <c r="CL295" i="73" s="1"/>
  <c r="CM296" i="73"/>
  <c r="CG211" i="73"/>
  <c r="CF223" i="73"/>
  <c r="CF400" i="73" s="1"/>
  <c r="CF409" i="73" s="1"/>
  <c r="CL399" i="73"/>
  <c r="CL136" i="73"/>
  <c r="CM132" i="73"/>
  <c r="CS249" i="73"/>
  <c r="CS250" i="73" s="1"/>
  <c r="CS251" i="73" s="1"/>
  <c r="CX249" i="73"/>
  <c r="CR252" i="73"/>
  <c r="CF14" i="51"/>
  <c r="CF20" i="51"/>
  <c r="CF17" i="51"/>
  <c r="CF11" i="51"/>
  <c r="CF24" i="51"/>
  <c r="CM250" i="73"/>
  <c r="CL217" i="73"/>
  <c r="CL380" i="73"/>
  <c r="CM380" i="73" s="1"/>
  <c r="CM206" i="73"/>
  <c r="CS109" i="73"/>
  <c r="CX109" i="73"/>
  <c r="CG81" i="51"/>
  <c r="CG60" i="51"/>
  <c r="CG21" i="51"/>
  <c r="CG63" i="4"/>
  <c r="CG57" i="1"/>
  <c r="CS144" i="73"/>
  <c r="CX144" i="73"/>
  <c r="CR158" i="73"/>
  <c r="CM110" i="73"/>
  <c r="CM111" i="73" s="1"/>
  <c r="CF157" i="73"/>
  <c r="CG294" i="73"/>
  <c r="CF300" i="73"/>
  <c r="CF403" i="73" s="1"/>
  <c r="CG256" i="73"/>
  <c r="CF267" i="73"/>
  <c r="CF92" i="73"/>
  <c r="CG396" i="73"/>
  <c r="CG42" i="73"/>
  <c r="CS35" i="73"/>
  <c r="CM120" i="73"/>
  <c r="CM121" i="73" s="1"/>
  <c r="CM127" i="73"/>
  <c r="CM77" i="73" l="1"/>
  <c r="CL77" i="73"/>
  <c r="CL427" i="73" s="1"/>
  <c r="CL436" i="73" s="1"/>
  <c r="CF378" i="73"/>
  <c r="CF407" i="73" s="1"/>
  <c r="CF359" i="73"/>
  <c r="CF370" i="73"/>
  <c r="CF381" i="73"/>
  <c r="CF410" i="73" s="1"/>
  <c r="CF373" i="73"/>
  <c r="CF362" i="73"/>
  <c r="CL327" i="73"/>
  <c r="CL350" i="73"/>
  <c r="CL100" i="73"/>
  <c r="CL99" i="73" s="1"/>
  <c r="CM99" i="73" s="1"/>
  <c r="CM100" i="73" s="1"/>
  <c r="CL303" i="73"/>
  <c r="CL302" i="73" s="1"/>
  <c r="CM302" i="73" s="1"/>
  <c r="CL50" i="73"/>
  <c r="CL49" i="73" s="1"/>
  <c r="CL220" i="73"/>
  <c r="CL219" i="73" s="1"/>
  <c r="CM219" i="73" s="1"/>
  <c r="CM220" i="73" s="1"/>
  <c r="CL214" i="73"/>
  <c r="CL213" i="73" s="1"/>
  <c r="CL215" i="73" s="1"/>
  <c r="CF383" i="73"/>
  <c r="CG383" i="73" s="1"/>
  <c r="CF375" i="73"/>
  <c r="CF364" i="73"/>
  <c r="CX445" i="73"/>
  <c r="CR445" i="73"/>
  <c r="CF405" i="73"/>
  <c r="CG376" i="73"/>
  <c r="CF450" i="73"/>
  <c r="CF449" i="73" s="1"/>
  <c r="CF445" i="73" s="1"/>
  <c r="CG451" i="73"/>
  <c r="CG450" i="73" s="1"/>
  <c r="CR257" i="73"/>
  <c r="CR258" i="73" s="1"/>
  <c r="CR259" i="73" s="1"/>
  <c r="CM257" i="73"/>
  <c r="CM258" i="73" s="1"/>
  <c r="CY148" i="73"/>
  <c r="CY149" i="73" s="1"/>
  <c r="CY319" i="73"/>
  <c r="CY320" i="73" s="1"/>
  <c r="CR297" i="73"/>
  <c r="CR298" i="73" s="1"/>
  <c r="CS296" i="73"/>
  <c r="CR112" i="73"/>
  <c r="CR294" i="73"/>
  <c r="CR295" i="73" s="1"/>
  <c r="CG47" i="51"/>
  <c r="CF44" i="51"/>
  <c r="CY119" i="73"/>
  <c r="CX127" i="73"/>
  <c r="CM162" i="73"/>
  <c r="CL401" i="73"/>
  <c r="CL164" i="73"/>
  <c r="CG44" i="51"/>
  <c r="CS125" i="73"/>
  <c r="CS379" i="73"/>
  <c r="CS116" i="73"/>
  <c r="CS117" i="73" s="1"/>
  <c r="CY35" i="73"/>
  <c r="CM200" i="73"/>
  <c r="CM201" i="73" s="1"/>
  <c r="CS199" i="73"/>
  <c r="CS200" i="73" s="1"/>
  <c r="CS201" i="73" s="1"/>
  <c r="CS190" i="73"/>
  <c r="CS191" i="73" s="1"/>
  <c r="CG267" i="73"/>
  <c r="CG300" i="73"/>
  <c r="CY144" i="73"/>
  <c r="CX158" i="73"/>
  <c r="CL20" i="51"/>
  <c r="CL50" i="51" s="1"/>
  <c r="CL14" i="51"/>
  <c r="CL44" i="51" s="1"/>
  <c r="CL17" i="51"/>
  <c r="CL47" i="51" s="1"/>
  <c r="CS47" i="73"/>
  <c r="CR396" i="73"/>
  <c r="CG50" i="51"/>
  <c r="CY154" i="73"/>
  <c r="CY155" i="73" s="1"/>
  <c r="CG245" i="73"/>
  <c r="CG286" i="73"/>
  <c r="CS145" i="73"/>
  <c r="CS146" i="73" s="1"/>
  <c r="CS158" i="73"/>
  <c r="CG67" i="51"/>
  <c r="CS252" i="73"/>
  <c r="CS253" i="73" s="1"/>
  <c r="CS254" i="73" s="1"/>
  <c r="CR253" i="73"/>
  <c r="CR254" i="73" s="1"/>
  <c r="CM17" i="51"/>
  <c r="CM20" i="51"/>
  <c r="CM14" i="51"/>
  <c r="CM44" i="51" s="1"/>
  <c r="CG160" i="73"/>
  <c r="CG398" i="73"/>
  <c r="CG203" i="73"/>
  <c r="CM211" i="73"/>
  <c r="CL223" i="73"/>
  <c r="CS44" i="73"/>
  <c r="CM97" i="73"/>
  <c r="CL398" i="73"/>
  <c r="CG9" i="51"/>
  <c r="CY186" i="73"/>
  <c r="CY187" i="73" s="1"/>
  <c r="CG218" i="73"/>
  <c r="CG208" i="73"/>
  <c r="CX44" i="73"/>
  <c r="CX45" i="73" s="1"/>
  <c r="CX41" i="73"/>
  <c r="CX42" i="73" s="1"/>
  <c r="CX47" i="73"/>
  <c r="CY43" i="73"/>
  <c r="CR380" i="73"/>
  <c r="CS380" i="73" s="1"/>
  <c r="CR217" i="73"/>
  <c r="CS206" i="73"/>
  <c r="CM48" i="73"/>
  <c r="CR159" i="73"/>
  <c r="CR160" i="73" s="1"/>
  <c r="CR156" i="73"/>
  <c r="CR162" i="73"/>
  <c r="CM251" i="73"/>
  <c r="CG212" i="73"/>
  <c r="CG223" i="73"/>
  <c r="CG224" i="73" s="1"/>
  <c r="CF30" i="51"/>
  <c r="CF56" i="51"/>
  <c r="DX36" i="51"/>
  <c r="DX49" i="51" s="1"/>
  <c r="CY249" i="73"/>
  <c r="CY250" i="73" s="1"/>
  <c r="CY251" i="73" s="1"/>
  <c r="CX252" i="73"/>
  <c r="CX255" i="73" s="1"/>
  <c r="CM297" i="73"/>
  <c r="CF129" i="73"/>
  <c r="CF130" i="73" s="1"/>
  <c r="CG128" i="73"/>
  <c r="CF124" i="73"/>
  <c r="CF122" i="73"/>
  <c r="CF123" i="73"/>
  <c r="CG98" i="73"/>
  <c r="CG137" i="73"/>
  <c r="CG429" i="73"/>
  <c r="CS41" i="73"/>
  <c r="CM94" i="73"/>
  <c r="CM88" i="73"/>
  <c r="CG298" i="73"/>
  <c r="CL383" i="73"/>
  <c r="CM383" i="73" s="1"/>
  <c r="CM295" i="73"/>
  <c r="CM202" i="73"/>
  <c r="CY194" i="73"/>
  <c r="CY195" i="73" s="1"/>
  <c r="CF16" i="51"/>
  <c r="CF18" i="51" s="1"/>
  <c r="CF10" i="51"/>
  <c r="CF23" i="51"/>
  <c r="CY109" i="73"/>
  <c r="CF47" i="51"/>
  <c r="CL408" i="73"/>
  <c r="CM294" i="73"/>
  <c r="CL300" i="73"/>
  <c r="CR255" i="73"/>
  <c r="CG259" i="73"/>
  <c r="CG164" i="73"/>
  <c r="CG449" i="73" s="1"/>
  <c r="CF167" i="73"/>
  <c r="CF166" i="73" s="1"/>
  <c r="CR202" i="73"/>
  <c r="CR203" i="73" s="1"/>
  <c r="CR204" i="73" s="1"/>
  <c r="CS205" i="73"/>
  <c r="CR207" i="73"/>
  <c r="CR211" i="73"/>
  <c r="CG408" i="73"/>
  <c r="CL95" i="73"/>
  <c r="CG89" i="73"/>
  <c r="CL405" i="73"/>
  <c r="CM396" i="73"/>
  <c r="CR399" i="73"/>
  <c r="CR136" i="73"/>
  <c r="CS132" i="73"/>
  <c r="CM42" i="73"/>
  <c r="CG53" i="51"/>
  <c r="CG24" i="51"/>
  <c r="CG30" i="51" s="1"/>
  <c r="CM255" i="73"/>
  <c r="CL261" i="73"/>
  <c r="CR94" i="73"/>
  <c r="CR91" i="73"/>
  <c r="CR97" i="73"/>
  <c r="CS93" i="73"/>
  <c r="CS120" i="73"/>
  <c r="CS121" i="73" s="1"/>
  <c r="CS127" i="73"/>
  <c r="CL381" i="73"/>
  <c r="CM381" i="73" s="1"/>
  <c r="CM133" i="73"/>
  <c r="CM399" i="73"/>
  <c r="CM136" i="73"/>
  <c r="CL208" i="73"/>
  <c r="CL209" i="73" s="1"/>
  <c r="CM207" i="73"/>
  <c r="CM117" i="73"/>
  <c r="CG262" i="73"/>
  <c r="CM217" i="73"/>
  <c r="CF41" i="51"/>
  <c r="CL137" i="73"/>
  <c r="CL429" i="73"/>
  <c r="CG113" i="73"/>
  <c r="CG114" i="73" s="1"/>
  <c r="CG126" i="73"/>
  <c r="CY235" i="73"/>
  <c r="CY236" i="73" s="1"/>
  <c r="CY237" i="73" s="1"/>
  <c r="CG401" i="73"/>
  <c r="CY196" i="73"/>
  <c r="CY197" i="73" s="1"/>
  <c r="CY198" i="73" s="1"/>
  <c r="CX205" i="73"/>
  <c r="CR42" i="73"/>
  <c r="CM91" i="73"/>
  <c r="CG95" i="73"/>
  <c r="CF273" i="73"/>
  <c r="CF402" i="73" s="1"/>
  <c r="CF411" i="73" s="1"/>
  <c r="CX125" i="73"/>
  <c r="CX379" i="73"/>
  <c r="CX134" i="73"/>
  <c r="CY115" i="73"/>
  <c r="CX132" i="73"/>
  <c r="CL256" i="73"/>
  <c r="CG22" i="51"/>
  <c r="CG28" i="51" s="1"/>
  <c r="CS110" i="73"/>
  <c r="CS111" i="73" s="1"/>
  <c r="CF50" i="51"/>
  <c r="CF224" i="73"/>
  <c r="CL113" i="73"/>
  <c r="CL114" i="73" s="1"/>
  <c r="CM112" i="73"/>
  <c r="CL128" i="73"/>
  <c r="CL126" i="73"/>
  <c r="CX297" i="73"/>
  <c r="CX298" i="73" s="1"/>
  <c r="CY296" i="73"/>
  <c r="CX112" i="73"/>
  <c r="CX128" i="73" s="1"/>
  <c r="CX294" i="73"/>
  <c r="CX295" i="73" s="1"/>
  <c r="CM159" i="73"/>
  <c r="CM156" i="73"/>
  <c r="CM157" i="73" s="1"/>
  <c r="CG163" i="73"/>
  <c r="CL92" i="73"/>
  <c r="CY238" i="73"/>
  <c r="CY239" i="73" s="1"/>
  <c r="CY240" i="73" s="1"/>
  <c r="CG41" i="51"/>
  <c r="CX199" i="73"/>
  <c r="CX200" i="73" s="1"/>
  <c r="CX201" i="73" s="1"/>
  <c r="CY189" i="73"/>
  <c r="CX206" i="73"/>
  <c r="CR448" i="73"/>
  <c r="CS448" i="73" s="1"/>
  <c r="CS134" i="73"/>
  <c r="CS135" i="73" s="1"/>
  <c r="CX93" i="73"/>
  <c r="CM78" i="73" l="1"/>
  <c r="CM427" i="73"/>
  <c r="CM436" i="73" s="1"/>
  <c r="CG405" i="73"/>
  <c r="CF412" i="73"/>
  <c r="CL78" i="73"/>
  <c r="CL79" i="73"/>
  <c r="CM79" i="73" s="1"/>
  <c r="CM213" i="73"/>
  <c r="CM215" i="73" s="1"/>
  <c r="CS257" i="73"/>
  <c r="CS258" i="73" s="1"/>
  <c r="CS259" i="73" s="1"/>
  <c r="CL101" i="73"/>
  <c r="CL102" i="73" s="1"/>
  <c r="CL225" i="73"/>
  <c r="CL226" i="73" s="1"/>
  <c r="CG378" i="73"/>
  <c r="CX76" i="73"/>
  <c r="CX350" i="73"/>
  <c r="CX214" i="73"/>
  <c r="CX213" i="73" s="1"/>
  <c r="CX327" i="73"/>
  <c r="CX303" i="73"/>
  <c r="CX302" i="73" s="1"/>
  <c r="CY302" i="73" s="1"/>
  <c r="CX220" i="73"/>
  <c r="CX219" i="73" s="1"/>
  <c r="CY219" i="73" s="1"/>
  <c r="CX100" i="73"/>
  <c r="CX99" i="73" s="1"/>
  <c r="CY99" i="73" s="1"/>
  <c r="CX50" i="73"/>
  <c r="CX49" i="73" s="1"/>
  <c r="CY49" i="73" s="1"/>
  <c r="CY445" i="73" s="1"/>
  <c r="CG381" i="73"/>
  <c r="CR76" i="73"/>
  <c r="CR75" i="73" s="1"/>
  <c r="CR350" i="73"/>
  <c r="CR214" i="73"/>
  <c r="CR213" i="73" s="1"/>
  <c r="CS213" i="73" s="1"/>
  <c r="CR220" i="73"/>
  <c r="CR219" i="73" s="1"/>
  <c r="CS219" i="73" s="1"/>
  <c r="CS220" i="73" s="1"/>
  <c r="CR327" i="73"/>
  <c r="CR100" i="73"/>
  <c r="CR99" i="73" s="1"/>
  <c r="CS99" i="73" s="1"/>
  <c r="CS100" i="73" s="1"/>
  <c r="CR50" i="73"/>
  <c r="CR49" i="73" s="1"/>
  <c r="CR303" i="73"/>
  <c r="CR302" i="73" s="1"/>
  <c r="CS302" i="73" s="1"/>
  <c r="CM49" i="73"/>
  <c r="CL51" i="73"/>
  <c r="CL221" i="73"/>
  <c r="CL222" i="73" s="1"/>
  <c r="CS73" i="73"/>
  <c r="CS74" i="73" s="1"/>
  <c r="CF384" i="73"/>
  <c r="CF350" i="73"/>
  <c r="CF303" i="73"/>
  <c r="CF302" i="73" s="1"/>
  <c r="CF220" i="73"/>
  <c r="CF219" i="73" s="1"/>
  <c r="CF214" i="73"/>
  <c r="CF213" i="73" s="1"/>
  <c r="CF100" i="73"/>
  <c r="CF99" i="73" s="1"/>
  <c r="CF50" i="73"/>
  <c r="CF49" i="73" s="1"/>
  <c r="CG165" i="73"/>
  <c r="CX126" i="73"/>
  <c r="CX123" i="73"/>
  <c r="CX124" i="73"/>
  <c r="CX122" i="73"/>
  <c r="CR208" i="73"/>
  <c r="CR209" i="73" s="1"/>
  <c r="CS207" i="73"/>
  <c r="CL224" i="73"/>
  <c r="CL400" i="73"/>
  <c r="CS297" i="73"/>
  <c r="CS298" i="73" s="1"/>
  <c r="CX383" i="73"/>
  <c r="CY383" i="73" s="1"/>
  <c r="CY295" i="73"/>
  <c r="CG16" i="51"/>
  <c r="CG18" i="51" s="1"/>
  <c r="CG10" i="51"/>
  <c r="CG12" i="51" s="1"/>
  <c r="CM259" i="73"/>
  <c r="CS48" i="73"/>
  <c r="CY128" i="73"/>
  <c r="CY123" i="73" s="1"/>
  <c r="CY294" i="73"/>
  <c r="CX300" i="73"/>
  <c r="CS202" i="73"/>
  <c r="CS203" i="73" s="1"/>
  <c r="CS204" i="73" s="1"/>
  <c r="CM89" i="73"/>
  <c r="CF106" i="73"/>
  <c r="CM398" i="73"/>
  <c r="CM223" i="73"/>
  <c r="CM224" i="73" s="1"/>
  <c r="CM212" i="73"/>
  <c r="CM164" i="73"/>
  <c r="CM165" i="73" s="1"/>
  <c r="CL167" i="73"/>
  <c r="CL166" i="73" s="1"/>
  <c r="CL451" i="73"/>
  <c r="CY190" i="73"/>
  <c r="CY191" i="73" s="1"/>
  <c r="CY199" i="73"/>
  <c r="CY200" i="73" s="1"/>
  <c r="CY201" i="73" s="1"/>
  <c r="CX113" i="73"/>
  <c r="CX114" i="73" s="1"/>
  <c r="CY112" i="73"/>
  <c r="CX399" i="73"/>
  <c r="CX136" i="73"/>
  <c r="CY132" i="73"/>
  <c r="CX202" i="73"/>
  <c r="CX203" i="73" s="1"/>
  <c r="CX204" i="73" s="1"/>
  <c r="CY205" i="73"/>
  <c r="CX207" i="73"/>
  <c r="CX211" i="73"/>
  <c r="CM208" i="73"/>
  <c r="CM408" i="73"/>
  <c r="CM261" i="73"/>
  <c r="CG438" i="73"/>
  <c r="CG129" i="73"/>
  <c r="CG122" i="73"/>
  <c r="CG123" i="73"/>
  <c r="CG124" i="73"/>
  <c r="CG24" i="73"/>
  <c r="CG204" i="73"/>
  <c r="CS159" i="73"/>
  <c r="CS160" i="73" s="1"/>
  <c r="CS156" i="73"/>
  <c r="CS157" i="73" s="1"/>
  <c r="CY255" i="73"/>
  <c r="CX261" i="73"/>
  <c r="CS91" i="73"/>
  <c r="CS92" i="73" s="1"/>
  <c r="CM405" i="73"/>
  <c r="CY252" i="73"/>
  <c r="CY253" i="73" s="1"/>
  <c r="CY254" i="73" s="1"/>
  <c r="CX253" i="73"/>
  <c r="CX254" i="73" s="1"/>
  <c r="CG301" i="73"/>
  <c r="CL129" i="73"/>
  <c r="CL130" i="73" s="1"/>
  <c r="CM128" i="73"/>
  <c r="CL123" i="73"/>
  <c r="CL124" i="73"/>
  <c r="CL122" i="73"/>
  <c r="CL24" i="73"/>
  <c r="CS255" i="73"/>
  <c r="CR261" i="73"/>
  <c r="CM203" i="73"/>
  <c r="CX94" i="73"/>
  <c r="CX91" i="73"/>
  <c r="CX97" i="73"/>
  <c r="CY93" i="73"/>
  <c r="CG400" i="73"/>
  <c r="CF274" i="73"/>
  <c r="CG90" i="73"/>
  <c r="CG209" i="73"/>
  <c r="CL410" i="73"/>
  <c r="CM401" i="73"/>
  <c r="CY134" i="73"/>
  <c r="CY135" i="73" s="1"/>
  <c r="CX448" i="73"/>
  <c r="CY448" i="73" s="1"/>
  <c r="CM218" i="73"/>
  <c r="CM221" i="73"/>
  <c r="CM222" i="73" s="1"/>
  <c r="CG23" i="51"/>
  <c r="CS133" i="73"/>
  <c r="CS399" i="73"/>
  <c r="CS136" i="73"/>
  <c r="CL16" i="51"/>
  <c r="CL18" i="51" s="1"/>
  <c r="CL48" i="51" s="1"/>
  <c r="CG166" i="73"/>
  <c r="CF168" i="73"/>
  <c r="CF431" i="73" s="1"/>
  <c r="CM300" i="73"/>
  <c r="CL403" i="73"/>
  <c r="CL304" i="73"/>
  <c r="CF40" i="51"/>
  <c r="CF12" i="51"/>
  <c r="CY47" i="73"/>
  <c r="CX396" i="73"/>
  <c r="CR17" i="51"/>
  <c r="CR20" i="51"/>
  <c r="CR50" i="51" s="1"/>
  <c r="CR14" i="51"/>
  <c r="CG287" i="73"/>
  <c r="CY145" i="73"/>
  <c r="CY146" i="73" s="1"/>
  <c r="CY158" i="73"/>
  <c r="CM163" i="73"/>
  <c r="CR383" i="73"/>
  <c r="CS383" i="73" s="1"/>
  <c r="CS295" i="73"/>
  <c r="CR376" i="73"/>
  <c r="CS376" i="73" s="1"/>
  <c r="CG268" i="73"/>
  <c r="CX380" i="73"/>
  <c r="CY380" i="73" s="1"/>
  <c r="CX217" i="73"/>
  <c r="CY206" i="73"/>
  <c r="CL382" i="73"/>
  <c r="CM382" i="73" s="1"/>
  <c r="CM256" i="73"/>
  <c r="CL267" i="73"/>
  <c r="CL273" i="73" s="1"/>
  <c r="CR92" i="73"/>
  <c r="CG273" i="73"/>
  <c r="CG274" i="73" s="1"/>
  <c r="CY44" i="73"/>
  <c r="CM98" i="73"/>
  <c r="CM101" i="73"/>
  <c r="CM102" i="73" s="1"/>
  <c r="CX159" i="73"/>
  <c r="CX160" i="73" s="1"/>
  <c r="CX156" i="73"/>
  <c r="CX162" i="73"/>
  <c r="CS88" i="73"/>
  <c r="CS89" i="73" s="1"/>
  <c r="CS94" i="73"/>
  <c r="CG56" i="51"/>
  <c r="CR137" i="73"/>
  <c r="CR429" i="73"/>
  <c r="CM286" i="73"/>
  <c r="CF48" i="51"/>
  <c r="CM92" i="73"/>
  <c r="CR157" i="73"/>
  <c r="CY41" i="73"/>
  <c r="CG39" i="51"/>
  <c r="CS42" i="73"/>
  <c r="CS20" i="51"/>
  <c r="CS50" i="51" s="1"/>
  <c r="CS14" i="51"/>
  <c r="CS44" i="51" s="1"/>
  <c r="CS17" i="51"/>
  <c r="CM50" i="51"/>
  <c r="CM47" i="51"/>
  <c r="CS294" i="73"/>
  <c r="CR300" i="73"/>
  <c r="CL378" i="73"/>
  <c r="CM378" i="73" s="1"/>
  <c r="CL438" i="73"/>
  <c r="CR95" i="73"/>
  <c r="CM113" i="73"/>
  <c r="CM114" i="73" s="1"/>
  <c r="CM126" i="73"/>
  <c r="CM137" i="73"/>
  <c r="CM429" i="73"/>
  <c r="CY297" i="73"/>
  <c r="CY298" i="73" s="1"/>
  <c r="CG54" i="51"/>
  <c r="CY379" i="73"/>
  <c r="CY116" i="73"/>
  <c r="CY117" i="73" s="1"/>
  <c r="CY125" i="73"/>
  <c r="DX35" i="51"/>
  <c r="DX48" i="51" s="1"/>
  <c r="CF29" i="51"/>
  <c r="CF55" i="51"/>
  <c r="CF25" i="51"/>
  <c r="CS162" i="73"/>
  <c r="CR401" i="73"/>
  <c r="CR164" i="73"/>
  <c r="CX257" i="73"/>
  <c r="CM160" i="73"/>
  <c r="CS97" i="73"/>
  <c r="CR398" i="73"/>
  <c r="CR256" i="73"/>
  <c r="CR408" i="73"/>
  <c r="CS211" i="73"/>
  <c r="CR223" i="73"/>
  <c r="CM303" i="73"/>
  <c r="CY110" i="73"/>
  <c r="CY111" i="73" s="1"/>
  <c r="CM298" i="73"/>
  <c r="CS217" i="73"/>
  <c r="CX376" i="73"/>
  <c r="CY376" i="73" s="1"/>
  <c r="CG246" i="73"/>
  <c r="CG247" i="73" s="1"/>
  <c r="CS396" i="73"/>
  <c r="CG403" i="73"/>
  <c r="CY120" i="73"/>
  <c r="CY121" i="73" s="1"/>
  <c r="CY127" i="73"/>
  <c r="CR113" i="73"/>
  <c r="CR114" i="73" s="1"/>
  <c r="CS112" i="73"/>
  <c r="CR126" i="73"/>
  <c r="CR128" i="73"/>
  <c r="CM225" i="73" l="1"/>
  <c r="CM226" i="73" s="1"/>
  <c r="CL428" i="73"/>
  <c r="CL437" i="73" s="1"/>
  <c r="CX75" i="73"/>
  <c r="CY75" i="73" s="1"/>
  <c r="CY76" i="73" s="1"/>
  <c r="CM214" i="73"/>
  <c r="CR215" i="73"/>
  <c r="CY100" i="73"/>
  <c r="CL227" i="73"/>
  <c r="CL430" i="73" s="1"/>
  <c r="CL439" i="73" s="1"/>
  <c r="CR221" i="73"/>
  <c r="CR222" i="73" s="1"/>
  <c r="CG407" i="73"/>
  <c r="CR225" i="73"/>
  <c r="CR226" i="73" s="1"/>
  <c r="CX51" i="73"/>
  <c r="CX426" i="73" s="1"/>
  <c r="CY50" i="73"/>
  <c r="CR77" i="73"/>
  <c r="CR427" i="73" s="1"/>
  <c r="CG410" i="73"/>
  <c r="CS49" i="73"/>
  <c r="CR51" i="73"/>
  <c r="CL52" i="73"/>
  <c r="CL426" i="73"/>
  <c r="CM50" i="73"/>
  <c r="CM445" i="73"/>
  <c r="CM51" i="73"/>
  <c r="CR101" i="73"/>
  <c r="CR428" i="73" s="1"/>
  <c r="CL106" i="73"/>
  <c r="CL105" i="73" s="1"/>
  <c r="CG49" i="73"/>
  <c r="CF51" i="73"/>
  <c r="CG99" i="73"/>
  <c r="CF101" i="73"/>
  <c r="CG219" i="73"/>
  <c r="CF221" i="73"/>
  <c r="CF222" i="73" s="1"/>
  <c r="CF440" i="73"/>
  <c r="CG213" i="73"/>
  <c r="CF225" i="73"/>
  <c r="CF226" i="73" s="1"/>
  <c r="CF215" i="73"/>
  <c r="CG302" i="73"/>
  <c r="CF304" i="73"/>
  <c r="CR405" i="73"/>
  <c r="CY122" i="73"/>
  <c r="CY124" i="73"/>
  <c r="CX106" i="73"/>
  <c r="CY106" i="73" s="1"/>
  <c r="CY113" i="73"/>
  <c r="CY114" i="73" s="1"/>
  <c r="CL407" i="73"/>
  <c r="CS164" i="73"/>
  <c r="CS165" i="73" s="1"/>
  <c r="CR167" i="73"/>
  <c r="CR166" i="73" s="1"/>
  <c r="CR451" i="73"/>
  <c r="CG42" i="51"/>
  <c r="CX408" i="73"/>
  <c r="CS223" i="73"/>
  <c r="CS224" i="73" s="1"/>
  <c r="CS212" i="73"/>
  <c r="CS215" i="73"/>
  <c r="CY51" i="73"/>
  <c r="CY52" i="73" s="1"/>
  <c r="CY48" i="73"/>
  <c r="CS401" i="73"/>
  <c r="CY94" i="73"/>
  <c r="CY88" i="73"/>
  <c r="CY89" i="73" s="1"/>
  <c r="CY20" i="51"/>
  <c r="CY50" i="51" s="1"/>
  <c r="CY14" i="51"/>
  <c r="CY44" i="51" s="1"/>
  <c r="CY17" i="51"/>
  <c r="CY47" i="51" s="1"/>
  <c r="CG25" i="73"/>
  <c r="CG26" i="73" s="1"/>
  <c r="CL274" i="73"/>
  <c r="CL402" i="73"/>
  <c r="CY202" i="73"/>
  <c r="CY203" i="73" s="1"/>
  <c r="CY204" i="73" s="1"/>
  <c r="CF105" i="73"/>
  <c r="CG105" i="73" s="1"/>
  <c r="CG106" i="73"/>
  <c r="CS163" i="73"/>
  <c r="CM287" i="73"/>
  <c r="CG167" i="73"/>
  <c r="CG168" i="73"/>
  <c r="CG169" i="73" s="1"/>
  <c r="CM410" i="73"/>
  <c r="CG402" i="73"/>
  <c r="CY97" i="73"/>
  <c r="CX101" i="73"/>
  <c r="CX398" i="73"/>
  <c r="CY261" i="73"/>
  <c r="CS47" i="51"/>
  <c r="CG40" i="51"/>
  <c r="CR224" i="73"/>
  <c r="CR400" i="73"/>
  <c r="CS300" i="73"/>
  <c r="CR403" i="73"/>
  <c r="CR304" i="73"/>
  <c r="CX225" i="73"/>
  <c r="CX226" i="73" s="1"/>
  <c r="CY213" i="73"/>
  <c r="CX157" i="73"/>
  <c r="CG55" i="51"/>
  <c r="CG29" i="51"/>
  <c r="CS208" i="73"/>
  <c r="CS209" i="73" s="1"/>
  <c r="CG412" i="73"/>
  <c r="CR382" i="73"/>
  <c r="CS382" i="73" s="1"/>
  <c r="CS256" i="73"/>
  <c r="CR267" i="73"/>
  <c r="CR273" i="73" s="1"/>
  <c r="CY91" i="73"/>
  <c r="CM227" i="73"/>
  <c r="CM228" i="73" s="1"/>
  <c r="CM216" i="73"/>
  <c r="CG48" i="51"/>
  <c r="CL409" i="73"/>
  <c r="CM400" i="73"/>
  <c r="CR129" i="73"/>
  <c r="CR130" i="73" s="1"/>
  <c r="CS128" i="73"/>
  <c r="CY129" i="73" s="1"/>
  <c r="CY130" i="73" s="1"/>
  <c r="CR122" i="73"/>
  <c r="CR124" i="73"/>
  <c r="CR123" i="73"/>
  <c r="CR24" i="73"/>
  <c r="CR47" i="51"/>
  <c r="CY126" i="73"/>
  <c r="CR438" i="73"/>
  <c r="CR378" i="73"/>
  <c r="CS378" i="73" s="1"/>
  <c r="CY220" i="73"/>
  <c r="CR44" i="51"/>
  <c r="CY159" i="73"/>
  <c r="CY160" i="73" s="1"/>
  <c r="CY156" i="73"/>
  <c r="CX95" i="73"/>
  <c r="CS261" i="73"/>
  <c r="CM451" i="73"/>
  <c r="CX129" i="73"/>
  <c r="CX130" i="73" s="1"/>
  <c r="CL412" i="73"/>
  <c r="CM403" i="73"/>
  <c r="CS286" i="73"/>
  <c r="CS287" i="73" s="1"/>
  <c r="CS288" i="73" s="1"/>
  <c r="CM301" i="73"/>
  <c r="CM304" i="73"/>
  <c r="CM305" i="73" s="1"/>
  <c r="CX208" i="73"/>
  <c r="CX209" i="73" s="1"/>
  <c r="CY207" i="73"/>
  <c r="CS214" i="73"/>
  <c r="CS225" i="73"/>
  <c r="CS226" i="73" s="1"/>
  <c r="CS303" i="73"/>
  <c r="CF169" i="73"/>
  <c r="CF57" i="51"/>
  <c r="DX37" i="51"/>
  <c r="DX50" i="51" s="1"/>
  <c r="CG25" i="51"/>
  <c r="CF42" i="51"/>
  <c r="CM204" i="73"/>
  <c r="CS405" i="73"/>
  <c r="CS218" i="73"/>
  <c r="CS221" i="73"/>
  <c r="CS222" i="73" s="1"/>
  <c r="CS398" i="73"/>
  <c r="CM267" i="73"/>
  <c r="CM273" i="73" s="1"/>
  <c r="CM274" i="73" s="1"/>
  <c r="CS137" i="73"/>
  <c r="CS429" i="73"/>
  <c r="CG409" i="73"/>
  <c r="CX24" i="73"/>
  <c r="CG130" i="73"/>
  <c r="CM209" i="73"/>
  <c r="CY133" i="73"/>
  <c r="CY399" i="73"/>
  <c r="CY136" i="73"/>
  <c r="CM166" i="73"/>
  <c r="CL168" i="73"/>
  <c r="CM438" i="73"/>
  <c r="CL25" i="73"/>
  <c r="CL26" i="73" s="1"/>
  <c r="CY286" i="73"/>
  <c r="CX17" i="51"/>
  <c r="CX47" i="51" s="1"/>
  <c r="CX14" i="51"/>
  <c r="CX44" i="51" s="1"/>
  <c r="CX20" i="51"/>
  <c r="CX50" i="51" s="1"/>
  <c r="CM262" i="73"/>
  <c r="CY303" i="73"/>
  <c r="CR16" i="51"/>
  <c r="CR18" i="51" s="1"/>
  <c r="CX221" i="73"/>
  <c r="CX222" i="73" s="1"/>
  <c r="CY217" i="73"/>
  <c r="CM129" i="73"/>
  <c r="CM130" i="73" s="1"/>
  <c r="CM123" i="73"/>
  <c r="CM124" i="73"/>
  <c r="CM122" i="73"/>
  <c r="CM24" i="73"/>
  <c r="CS113" i="73"/>
  <c r="CS114" i="73" s="1"/>
  <c r="CS126" i="73"/>
  <c r="CS98" i="73"/>
  <c r="CS101" i="73"/>
  <c r="CS102" i="73" s="1"/>
  <c r="CX258" i="73"/>
  <c r="CX259" i="73" s="1"/>
  <c r="CY257" i="73"/>
  <c r="CX256" i="73"/>
  <c r="CR381" i="73"/>
  <c r="CS381" i="73" s="1"/>
  <c r="CY162" i="73"/>
  <c r="CX401" i="73"/>
  <c r="CX164" i="73"/>
  <c r="CY42" i="73"/>
  <c r="CM245" i="73"/>
  <c r="CG288" i="73"/>
  <c r="CX405" i="73"/>
  <c r="CY396" i="73"/>
  <c r="CL305" i="73"/>
  <c r="CL433" i="73"/>
  <c r="CS408" i="73"/>
  <c r="CX92" i="73"/>
  <c r="CY211" i="73"/>
  <c r="CX223" i="73"/>
  <c r="CX215" i="73"/>
  <c r="CX137" i="73"/>
  <c r="CX429" i="73"/>
  <c r="CM407" i="73"/>
  <c r="CY300" i="73"/>
  <c r="CX403" i="73"/>
  <c r="CX304" i="73"/>
  <c r="CM428" i="73" l="1"/>
  <c r="CR436" i="73"/>
  <c r="CX77" i="73"/>
  <c r="CR78" i="73"/>
  <c r="CR79" i="73"/>
  <c r="CR102" i="73"/>
  <c r="CX52" i="73"/>
  <c r="CL228" i="73"/>
  <c r="CR227" i="73"/>
  <c r="CR430" i="73" s="1"/>
  <c r="CM430" i="73"/>
  <c r="CM439" i="73" s="1"/>
  <c r="CR52" i="73"/>
  <c r="CR426" i="73"/>
  <c r="CS445" i="73"/>
  <c r="CS50" i="73"/>
  <c r="CS51" i="73"/>
  <c r="CS52" i="73" s="1"/>
  <c r="CY77" i="73"/>
  <c r="CM52" i="73"/>
  <c r="CM426" i="73"/>
  <c r="CL435" i="73"/>
  <c r="CF433" i="73"/>
  <c r="CF305" i="73"/>
  <c r="CG220" i="73"/>
  <c r="CG221" i="73"/>
  <c r="CG222" i="73" s="1"/>
  <c r="CF428" i="73"/>
  <c r="CF102" i="73"/>
  <c r="CF227" i="73"/>
  <c r="CG100" i="73"/>
  <c r="CG101" i="73"/>
  <c r="CG102" i="73" s="1"/>
  <c r="CF426" i="73"/>
  <c r="CF52" i="73"/>
  <c r="CG303" i="73"/>
  <c r="CG304" i="73"/>
  <c r="CG305" i="73" s="1"/>
  <c r="CG225" i="73"/>
  <c r="CG226" i="73" s="1"/>
  <c r="CG215" i="73"/>
  <c r="CG214" i="73"/>
  <c r="CG445" i="73"/>
  <c r="CG50" i="73"/>
  <c r="CG51" i="73"/>
  <c r="CX227" i="73"/>
  <c r="CX228" i="73" s="1"/>
  <c r="CX105" i="73"/>
  <c r="CY105" i="73" s="1"/>
  <c r="CR106" i="73"/>
  <c r="CS106" i="73" s="1"/>
  <c r="CY24" i="73"/>
  <c r="CR407" i="73"/>
  <c r="CX438" i="73"/>
  <c r="CR25" i="73"/>
  <c r="CR26" i="73" s="1"/>
  <c r="CM105" i="73"/>
  <c r="CM106" i="73"/>
  <c r="CM246" i="73"/>
  <c r="CM247" i="73" s="1"/>
  <c r="CG57" i="51"/>
  <c r="CR274" i="73"/>
  <c r="CR402" i="73"/>
  <c r="CR412" i="73"/>
  <c r="CS403" i="73"/>
  <c r="CS410" i="73"/>
  <c r="CS216" i="73"/>
  <c r="CS227" i="73"/>
  <c r="CS228" i="73" s="1"/>
  <c r="CX412" i="73"/>
  <c r="CY403" i="73"/>
  <c r="CX224" i="73"/>
  <c r="CX400" i="73"/>
  <c r="CY405" i="73"/>
  <c r="CY287" i="73"/>
  <c r="CY288" i="73" s="1"/>
  <c r="CS262" i="73"/>
  <c r="CS267" i="73"/>
  <c r="CS273" i="73" s="1"/>
  <c r="CS274" i="73" s="1"/>
  <c r="CS301" i="73"/>
  <c r="CS304" i="73"/>
  <c r="CS305" i="73" s="1"/>
  <c r="CM25" i="73"/>
  <c r="CY408" i="73"/>
  <c r="CY98" i="73"/>
  <c r="CY101" i="73"/>
  <c r="CY102" i="73" s="1"/>
  <c r="CL442" i="73"/>
  <c r="CM433" i="73"/>
  <c r="CS407" i="73"/>
  <c r="CR305" i="73"/>
  <c r="CR433" i="73"/>
  <c r="CG411" i="73"/>
  <c r="CY208" i="73"/>
  <c r="CY209" i="73" s="1"/>
  <c r="CX381" i="73"/>
  <c r="CY381" i="73" s="1"/>
  <c r="CY262" i="73"/>
  <c r="CR410" i="73"/>
  <c r="CL169" i="73"/>
  <c r="CL431" i="73"/>
  <c r="CR437" i="73"/>
  <c r="CS428" i="73"/>
  <c r="CY214" i="73"/>
  <c r="CY225" i="73"/>
  <c r="CY226" i="73" s="1"/>
  <c r="CM288" i="73"/>
  <c r="CL411" i="73"/>
  <c r="CM402" i="73"/>
  <c r="CY301" i="73"/>
  <c r="CY304" i="73"/>
  <c r="CY305" i="73" s="1"/>
  <c r="CY164" i="73"/>
  <c r="CY165" i="73" s="1"/>
  <c r="CX167" i="73"/>
  <c r="CX166" i="73" s="1"/>
  <c r="CX451" i="73"/>
  <c r="CX382" i="73"/>
  <c r="CY382" i="73" s="1"/>
  <c r="CY256" i="73"/>
  <c r="CX267" i="73"/>
  <c r="CM167" i="73"/>
  <c r="CM168" i="73"/>
  <c r="CM169" i="73" s="1"/>
  <c r="CX25" i="73"/>
  <c r="CX26" i="73" s="1"/>
  <c r="CR48" i="51"/>
  <c r="CY398" i="73"/>
  <c r="CR460" i="73"/>
  <c r="CS451" i="73"/>
  <c r="CY163" i="73"/>
  <c r="CY218" i="73"/>
  <c r="CY221" i="73"/>
  <c r="CY222" i="73" s="1"/>
  <c r="CS166" i="73"/>
  <c r="CR168" i="73"/>
  <c r="CX305" i="73"/>
  <c r="CX433" i="73"/>
  <c r="CY426" i="73"/>
  <c r="CX435" i="73"/>
  <c r="CY223" i="73"/>
  <c r="CY224" i="73" s="1"/>
  <c r="CY212" i="73"/>
  <c r="CY215" i="73"/>
  <c r="CS438" i="73"/>
  <c r="CX16" i="51"/>
  <c r="CX18" i="51" s="1"/>
  <c r="CX48" i="51" s="1"/>
  <c r="CS129" i="73"/>
  <c r="CS130" i="73" s="1"/>
  <c r="CS123" i="73"/>
  <c r="CS124" i="73"/>
  <c r="CS122" i="73"/>
  <c r="CS24" i="73"/>
  <c r="CS245" i="73"/>
  <c r="CS246" i="73" s="1"/>
  <c r="CS247" i="73" s="1"/>
  <c r="CR409" i="73"/>
  <c r="CS400" i="73"/>
  <c r="CY92" i="73"/>
  <c r="CX378" i="73"/>
  <c r="CY378" i="73" s="1"/>
  <c r="CY401" i="73"/>
  <c r="CY258" i="73"/>
  <c r="CY259" i="73" s="1"/>
  <c r="CY137" i="73"/>
  <c r="CY429" i="73"/>
  <c r="CM268" i="73"/>
  <c r="CG431" i="73"/>
  <c r="CM412" i="73"/>
  <c r="CY157" i="73"/>
  <c r="CM409" i="73"/>
  <c r="CX102" i="73"/>
  <c r="CX428" i="73"/>
  <c r="CM437" i="73" l="1"/>
  <c r="CX78" i="73"/>
  <c r="CX427" i="73"/>
  <c r="CY78" i="73"/>
  <c r="CY427" i="73"/>
  <c r="CY436" i="73" s="1"/>
  <c r="CR228" i="73"/>
  <c r="CR105" i="73"/>
  <c r="CS105" i="73" s="1"/>
  <c r="CX430" i="73"/>
  <c r="CY430" i="73" s="1"/>
  <c r="CM435" i="73"/>
  <c r="CS426" i="73"/>
  <c r="CS435" i="73" s="1"/>
  <c r="CR435" i="73"/>
  <c r="CF437" i="73"/>
  <c r="CG428" i="73"/>
  <c r="CG52" i="73"/>
  <c r="CG227" i="73"/>
  <c r="CG228" i="73" s="1"/>
  <c r="CG216" i="73"/>
  <c r="CF435" i="73"/>
  <c r="CG426" i="73"/>
  <c r="CF430" i="73"/>
  <c r="CF228" i="73"/>
  <c r="CF442" i="73"/>
  <c r="CG433" i="73"/>
  <c r="CY25" i="73"/>
  <c r="CY435" i="73"/>
  <c r="CS412" i="73"/>
  <c r="CG440" i="73"/>
  <c r="CY407" i="73"/>
  <c r="CM411" i="73"/>
  <c r="CR411" i="73"/>
  <c r="CS402" i="73"/>
  <c r="CS437" i="73"/>
  <c r="CY410" i="73"/>
  <c r="CX460" i="73"/>
  <c r="CY451" i="73"/>
  <c r="CR439" i="73"/>
  <c r="CS430" i="73"/>
  <c r="CY438" i="73"/>
  <c r="CY267" i="73"/>
  <c r="CX273" i="73"/>
  <c r="CX407" i="73"/>
  <c r="CY227" i="73"/>
  <c r="CY228" i="73" s="1"/>
  <c r="CY216" i="73"/>
  <c r="CY166" i="73"/>
  <c r="CX168" i="73"/>
  <c r="CR442" i="73"/>
  <c r="CS433" i="73"/>
  <c r="CS268" i="73"/>
  <c r="CX409" i="73"/>
  <c r="CY400" i="73"/>
  <c r="CY412" i="73"/>
  <c r="CY245" i="73"/>
  <c r="CY246" i="73" s="1"/>
  <c r="CY247" i="73" s="1"/>
  <c r="CS25" i="73"/>
  <c r="CX442" i="73"/>
  <c r="CY433" i="73"/>
  <c r="CX437" i="73"/>
  <c r="CY428" i="73"/>
  <c r="CS409" i="73"/>
  <c r="CR169" i="73"/>
  <c r="CR431" i="73"/>
  <c r="CX410" i="73"/>
  <c r="CS167" i="73"/>
  <c r="CS168" i="73"/>
  <c r="CS169" i="73" s="1"/>
  <c r="CM431" i="73"/>
  <c r="CL440" i="73"/>
  <c r="CM442" i="73"/>
  <c r="CX436" i="73" l="1"/>
  <c r="CX439" i="73"/>
  <c r="CF439" i="73"/>
  <c r="CG430" i="73"/>
  <c r="CG437" i="73"/>
  <c r="CG435" i="73"/>
  <c r="CG442" i="73"/>
  <c r="CY442" i="73"/>
  <c r="CS439" i="73"/>
  <c r="CR440" i="73"/>
  <c r="CS431" i="73"/>
  <c r="CS442" i="73"/>
  <c r="CX402" i="73"/>
  <c r="CX274" i="73"/>
  <c r="CY437" i="73"/>
  <c r="CY268" i="73"/>
  <c r="CY273" i="73"/>
  <c r="CY274" i="73" s="1"/>
  <c r="CX169" i="73"/>
  <c r="CX431" i="73"/>
  <c r="CY439" i="73"/>
  <c r="CM440" i="73"/>
  <c r="CY167" i="73"/>
  <c r="CY168" i="73"/>
  <c r="CY169" i="73" s="1"/>
  <c r="CY409" i="73"/>
  <c r="CS411" i="73"/>
  <c r="CG439" i="73" l="1"/>
  <c r="CX411" i="73"/>
  <c r="CY402" i="73"/>
  <c r="CS440" i="73"/>
  <c r="CY431" i="73"/>
  <c r="CX440" i="73"/>
  <c r="CY411" i="73" l="1"/>
  <c r="CY440" i="73"/>
  <c r="CG331" i="73" l="1"/>
  <c r="CF10" i="73"/>
  <c r="CG10" i="73" s="1"/>
  <c r="CG11" i="73" s="1"/>
  <c r="CG336" i="73" l="1"/>
  <c r="CG335" i="73"/>
  <c r="CF11" i="73"/>
  <c r="CG332" i="73"/>
  <c r="CG333" i="73" s="1"/>
  <c r="CG338" i="73"/>
  <c r="CG340" i="73"/>
  <c r="CG334" i="73"/>
  <c r="CG339" i="73"/>
  <c r="CG337" i="73"/>
  <c r="CG341" i="73"/>
  <c r="CF311" i="73"/>
  <c r="CL311" i="73" l="1"/>
  <c r="CM311" i="73" s="1"/>
  <c r="CG311" i="73"/>
  <c r="CG312" i="73" s="1"/>
  <c r="CG313" i="73" s="1"/>
  <c r="CF312" i="73"/>
  <c r="CF313" i="73" s="1"/>
  <c r="CL324" i="73" l="1"/>
  <c r="CL326" i="73"/>
  <c r="CM326" i="73" s="1"/>
  <c r="CM327" i="73" s="1"/>
  <c r="CR311" i="73"/>
  <c r="CL331" i="73"/>
  <c r="CL10" i="73" s="1"/>
  <c r="CM312" i="73"/>
  <c r="CM313" i="73" s="1"/>
  <c r="CL21" i="4" l="1"/>
  <c r="CL20" i="4" s="1"/>
  <c r="CM20" i="4" s="1"/>
  <c r="CL336" i="73"/>
  <c r="CL328" i="73"/>
  <c r="CL329" i="73" s="1"/>
  <c r="CM324" i="73"/>
  <c r="CM328" i="73" s="1"/>
  <c r="CM329" i="73" s="1"/>
  <c r="CL337" i="73"/>
  <c r="CL341" i="73"/>
  <c r="CL332" i="73"/>
  <c r="CL333" i="73" s="1"/>
  <c r="CL339" i="73"/>
  <c r="CL340" i="73"/>
  <c r="CL338" i="73"/>
  <c r="CL335" i="73"/>
  <c r="CM331" i="73"/>
  <c r="CM335" i="73" s="1"/>
  <c r="CL334" i="73"/>
  <c r="CR331" i="73"/>
  <c r="CR335" i="73" s="1"/>
  <c r="CX311" i="73"/>
  <c r="CR326" i="73"/>
  <c r="CS326" i="73" s="1"/>
  <c r="CS311" i="73"/>
  <c r="CS312" i="73" s="1"/>
  <c r="CS313" i="73" s="1"/>
  <c r="CR324" i="73"/>
  <c r="CM10" i="73"/>
  <c r="CL11" i="73" l="1"/>
  <c r="CM325" i="73"/>
  <c r="CM338" i="73"/>
  <c r="CM332" i="73"/>
  <c r="CM333" i="73" s="1"/>
  <c r="CM340" i="73"/>
  <c r="CM339" i="73"/>
  <c r="CM334" i="73"/>
  <c r="CM341" i="73"/>
  <c r="CM337" i="73"/>
  <c r="CM336" i="73"/>
  <c r="CM11" i="73"/>
  <c r="CS324" i="73"/>
  <c r="CR328" i="73"/>
  <c r="CR329" i="73" s="1"/>
  <c r="CX331" i="73"/>
  <c r="CX335" i="73" s="1"/>
  <c r="CX326" i="73"/>
  <c r="CY326" i="73" s="1"/>
  <c r="CY311" i="73"/>
  <c r="CY312" i="73" s="1"/>
  <c r="CY313" i="73" s="1"/>
  <c r="CX324" i="73"/>
  <c r="CS331" i="73"/>
  <c r="CS335" i="73" s="1"/>
  <c r="CR338" i="73"/>
  <c r="CR341" i="73"/>
  <c r="CR339" i="73"/>
  <c r="CR10" i="73"/>
  <c r="CR332" i="73"/>
  <c r="CR333" i="73" s="1"/>
  <c r="CR337" i="73"/>
  <c r="CR334" i="73"/>
  <c r="CR340" i="73"/>
  <c r="CR336" i="73"/>
  <c r="CS327" i="73"/>
  <c r="CR21" i="4"/>
  <c r="CR20" i="4" s="1"/>
  <c r="CS20" i="4" s="1"/>
  <c r="CS21" i="4" s="1"/>
  <c r="CM21" i="4"/>
  <c r="CY327" i="73" l="1"/>
  <c r="CS339" i="73"/>
  <c r="CS341" i="73"/>
  <c r="CS338" i="73"/>
  <c r="CS332" i="73"/>
  <c r="CS333" i="73" s="1"/>
  <c r="CS336" i="73"/>
  <c r="CS340" i="73"/>
  <c r="CS337" i="73"/>
  <c r="CS334" i="73"/>
  <c r="CY324" i="73"/>
  <c r="CX328" i="73"/>
  <c r="CX329" i="73" s="1"/>
  <c r="CR11" i="73"/>
  <c r="CS10" i="73"/>
  <c r="CS11" i="73" s="1"/>
  <c r="CY331" i="73"/>
  <c r="CY335" i="73" s="1"/>
  <c r="CX341" i="73"/>
  <c r="CX337" i="73"/>
  <c r="CX340" i="73"/>
  <c r="CX10" i="73"/>
  <c r="CX21" i="4"/>
  <c r="CX20" i="4" s="1"/>
  <c r="CY20" i="4" s="1"/>
  <c r="CY21" i="4" s="1"/>
  <c r="CX339" i="73"/>
  <c r="CX332" i="73"/>
  <c r="CX333" i="73" s="1"/>
  <c r="CX336" i="73"/>
  <c r="CX334" i="73"/>
  <c r="CX338" i="73"/>
  <c r="CS328" i="73"/>
  <c r="CS329" i="73" s="1"/>
  <c r="CS325" i="73"/>
  <c r="CF299" i="73"/>
  <c r="CF37" i="73"/>
  <c r="CF314" i="73"/>
  <c r="CF161" i="73"/>
  <c r="CF96" i="73"/>
  <c r="CF118" i="73"/>
  <c r="CF131" i="73"/>
  <c r="CF27" i="73"/>
  <c r="CF260" i="73"/>
  <c r="CF210" i="73"/>
  <c r="CF46" i="73"/>
  <c r="CG354" i="73"/>
  <c r="CF12" i="73"/>
  <c r="CG12" i="73" s="1"/>
  <c r="CG13" i="73" s="1"/>
  <c r="CF18" i="73"/>
  <c r="CF19" i="73" s="1"/>
  <c r="CF16" i="73"/>
  <c r="CF17" i="73" s="1"/>
  <c r="CG362" i="73" l="1"/>
  <c r="CG358" i="73"/>
  <c r="CY338" i="73"/>
  <c r="CY341" i="73"/>
  <c r="CY336" i="73"/>
  <c r="CY334" i="73"/>
  <c r="CY332" i="73"/>
  <c r="CY333" i="73" s="1"/>
  <c r="CY340" i="73"/>
  <c r="CY339" i="73"/>
  <c r="CY337" i="73"/>
  <c r="CY10" i="73"/>
  <c r="CY11" i="73" s="1"/>
  <c r="CX11" i="73"/>
  <c r="CY328" i="73"/>
  <c r="CY329" i="73" s="1"/>
  <c r="CY325" i="73"/>
  <c r="CF13" i="73"/>
  <c r="CG359" i="73"/>
  <c r="CG364" i="73"/>
  <c r="CG363" i="73"/>
  <c r="CG355" i="73"/>
  <c r="CG356" i="73" s="1"/>
  <c r="CG361" i="73"/>
  <c r="CG357" i="73"/>
  <c r="CG366" i="73"/>
  <c r="CG161" i="73" l="1"/>
  <c r="CG314" i="73"/>
  <c r="CG372" i="73"/>
  <c r="CG367" i="73"/>
  <c r="CG368" i="73" s="1"/>
  <c r="CG369" i="73"/>
  <c r="CG370" i="73"/>
  <c r="CG27" i="73"/>
  <c r="CG455" i="73"/>
  <c r="CG18" i="73" s="1"/>
  <c r="CG19" i="73" s="1"/>
  <c r="CG373" i="73"/>
  <c r="CG454" i="73"/>
  <c r="CG16" i="73" s="1"/>
  <c r="CG17" i="73" s="1"/>
  <c r="CG456" i="73"/>
  <c r="CG20" i="73" s="1"/>
  <c r="CG21" i="73" s="1"/>
  <c r="CG384" i="73"/>
  <c r="CG371" i="73"/>
  <c r="CG375" i="73"/>
  <c r="CG131" i="73"/>
  <c r="CG46" i="73"/>
  <c r="CG374" i="73"/>
  <c r="CG299" i="73"/>
  <c r="CG37" i="73"/>
  <c r="CG96" i="73"/>
  <c r="CG118" i="73"/>
  <c r="CG210" i="73"/>
  <c r="CG260" i="73"/>
  <c r="CF270" i="73"/>
  <c r="CF269" i="73" s="1"/>
  <c r="CF271" i="73" l="1"/>
  <c r="CF272" i="73" s="1"/>
  <c r="CG269" i="73"/>
  <c r="CG270" i="73" l="1"/>
  <c r="CG271" i="73"/>
  <c r="CG272" i="73" s="1"/>
  <c r="CF264" i="73"/>
  <c r="CF263" i="73" s="1"/>
  <c r="CF343" i="73"/>
  <c r="CL343" i="73" s="1"/>
  <c r="CL354" i="73" l="1"/>
  <c r="CL362" i="73" s="1"/>
  <c r="CG343" i="73"/>
  <c r="CF344" i="73"/>
  <c r="CF345" i="73" s="1"/>
  <c r="CF346" i="73"/>
  <c r="CF349" i="73"/>
  <c r="CG349" i="73" s="1"/>
  <c r="CF347" i="73"/>
  <c r="CL349" i="73"/>
  <c r="CM349" i="73" s="1"/>
  <c r="CM343" i="73"/>
  <c r="CL347" i="73"/>
  <c r="CL385" i="73" s="1"/>
  <c r="CM385" i="73" s="1"/>
  <c r="CR343" i="73"/>
  <c r="CR354" i="73" s="1"/>
  <c r="CF276" i="73"/>
  <c r="CF277" i="73" s="1"/>
  <c r="CG263" i="73"/>
  <c r="CF265" i="73"/>
  <c r="CL366" i="73" l="1"/>
  <c r="CL373" i="73" s="1"/>
  <c r="CL364" i="73"/>
  <c r="CL363" i="73"/>
  <c r="CM354" i="73"/>
  <c r="CM358" i="73" s="1"/>
  <c r="CL357" i="73"/>
  <c r="CL355" i="73"/>
  <c r="CL356" i="73" s="1"/>
  <c r="CL359" i="73"/>
  <c r="CS354" i="73"/>
  <c r="CS358" i="73" s="1"/>
  <c r="CR358" i="73"/>
  <c r="CL24" i="4"/>
  <c r="CL23" i="4" s="1"/>
  <c r="CM23" i="4" s="1"/>
  <c r="CM24" i="4" s="1"/>
  <c r="CL358" i="73"/>
  <c r="CL12" i="73"/>
  <c r="CL361" i="73"/>
  <c r="CM350" i="73"/>
  <c r="CR349" i="73"/>
  <c r="CS349" i="73" s="1"/>
  <c r="CS343" i="73"/>
  <c r="CR347" i="73"/>
  <c r="CR385" i="73" s="1"/>
  <c r="CS385" i="73" s="1"/>
  <c r="CX343" i="73"/>
  <c r="CX354" i="73" s="1"/>
  <c r="CG344" i="73"/>
  <c r="CG345" i="73" s="1"/>
  <c r="CG346" i="73"/>
  <c r="CM344" i="73"/>
  <c r="CM345" i="73" s="1"/>
  <c r="CF266" i="73"/>
  <c r="CF278" i="73"/>
  <c r="CF324" i="73"/>
  <c r="CF385" i="73" s="1"/>
  <c r="CG347" i="73"/>
  <c r="CF351" i="73"/>
  <c r="CL389" i="73"/>
  <c r="CL351" i="73"/>
  <c r="CM347" i="73"/>
  <c r="CL27" i="73"/>
  <c r="CG276" i="73"/>
  <c r="CG277" i="73" s="1"/>
  <c r="CG265" i="73"/>
  <c r="CG264" i="73"/>
  <c r="CG350" i="73"/>
  <c r="CM366" i="73" l="1"/>
  <c r="CL370" i="73"/>
  <c r="CL384" i="73"/>
  <c r="CL37" i="73"/>
  <c r="CL260" i="73"/>
  <c r="CL299" i="73"/>
  <c r="CL455" i="73"/>
  <c r="CL18" i="73" s="1"/>
  <c r="CL372" i="73"/>
  <c r="CL375" i="73"/>
  <c r="CL13" i="73"/>
  <c r="CM361" i="73"/>
  <c r="CL369" i="73"/>
  <c r="CL374" i="73"/>
  <c r="CL131" i="73"/>
  <c r="CL346" i="73"/>
  <c r="CL46" i="73"/>
  <c r="CL161" i="73"/>
  <c r="CM357" i="73"/>
  <c r="CL454" i="73"/>
  <c r="CL264" i="73" s="1"/>
  <c r="CL263" i="73" s="1"/>
  <c r="CL96" i="73"/>
  <c r="CL210" i="73"/>
  <c r="CM355" i="73"/>
  <c r="CM356" i="73" s="1"/>
  <c r="CL371" i="73"/>
  <c r="CL118" i="73"/>
  <c r="CM362" i="73"/>
  <c r="CL367" i="73"/>
  <c r="CL368" i="73" s="1"/>
  <c r="CL314" i="73"/>
  <c r="CM364" i="73"/>
  <c r="CM359" i="73"/>
  <c r="CM363" i="73"/>
  <c r="CM12" i="73"/>
  <c r="CM13" i="73" s="1"/>
  <c r="CL29" i="4"/>
  <c r="CL35" i="4" s="1"/>
  <c r="CL37" i="4" s="1"/>
  <c r="CY354" i="73"/>
  <c r="CY358" i="73" s="1"/>
  <c r="CX358" i="73"/>
  <c r="CM29" i="4"/>
  <c r="CM346" i="73"/>
  <c r="CF390" i="73"/>
  <c r="CF387" i="73"/>
  <c r="CF14" i="73" s="1"/>
  <c r="CF15" i="73" s="1"/>
  <c r="CF404" i="73"/>
  <c r="CF413" i="73" s="1"/>
  <c r="CF386" i="73"/>
  <c r="CF391" i="73"/>
  <c r="CF388" i="73"/>
  <c r="CF394" i="73"/>
  <c r="CF395" i="73"/>
  <c r="CF393" i="73"/>
  <c r="CF392" i="73"/>
  <c r="CL352" i="73"/>
  <c r="CY343" i="73"/>
  <c r="CX349" i="73"/>
  <c r="CY349" i="73" s="1"/>
  <c r="CX347" i="73"/>
  <c r="CX385" i="73" s="1"/>
  <c r="CY385" i="73" s="1"/>
  <c r="CM351" i="73"/>
  <c r="CM352" i="73" s="1"/>
  <c r="CM348" i="73"/>
  <c r="CM389" i="73"/>
  <c r="CR357" i="73"/>
  <c r="CR361" i="73"/>
  <c r="CR12" i="73"/>
  <c r="CR362" i="73"/>
  <c r="CR363" i="73"/>
  <c r="CR355" i="73"/>
  <c r="CR356" i="73" s="1"/>
  <c r="CR359" i="73"/>
  <c r="CR364" i="73"/>
  <c r="CR24" i="4"/>
  <c r="CR23" i="4" s="1"/>
  <c r="CR366" i="73"/>
  <c r="CR72" i="73" s="1"/>
  <c r="CG278" i="73"/>
  <c r="CG279" i="73" s="1"/>
  <c r="CG266" i="73"/>
  <c r="CS344" i="73"/>
  <c r="CS345" i="73" s="1"/>
  <c r="CL386" i="73"/>
  <c r="CL393" i="73"/>
  <c r="CL391" i="73"/>
  <c r="CL392" i="73"/>
  <c r="CL388" i="73"/>
  <c r="CL404" i="73"/>
  <c r="CL413" i="73" s="1"/>
  <c r="CL390" i="73"/>
  <c r="CL395" i="73"/>
  <c r="CL394" i="73"/>
  <c r="CL387" i="73"/>
  <c r="CR389" i="73"/>
  <c r="CR351" i="73"/>
  <c r="CS347" i="73"/>
  <c r="CF352" i="73"/>
  <c r="CF325" i="73"/>
  <c r="CG324" i="73"/>
  <c r="CF432" i="73"/>
  <c r="CF279" i="73"/>
  <c r="CM373" i="73"/>
  <c r="CM369" i="73"/>
  <c r="CM367" i="73"/>
  <c r="CM368" i="73" s="1"/>
  <c r="CM371" i="73"/>
  <c r="CM27" i="73"/>
  <c r="CM314" i="73"/>
  <c r="CM131" i="73"/>
  <c r="CM370" i="73"/>
  <c r="CM375" i="73"/>
  <c r="CM384" i="73"/>
  <c r="CM374" i="73"/>
  <c r="CM260" i="73"/>
  <c r="CM372" i="73"/>
  <c r="CM37" i="73"/>
  <c r="CM210" i="73"/>
  <c r="CM299" i="73"/>
  <c r="CM96" i="73"/>
  <c r="CM46" i="73"/>
  <c r="CM161" i="73"/>
  <c r="CM118" i="73"/>
  <c r="CG351" i="73"/>
  <c r="CG352" i="73" s="1"/>
  <c r="CG348" i="73"/>
  <c r="CS350" i="73"/>
  <c r="CL44" i="1" l="1"/>
  <c r="CM455" i="73"/>
  <c r="CM18" i="73" s="1"/>
  <c r="CM454" i="73"/>
  <c r="CM16" i="73" s="1"/>
  <c r="CL270" i="73"/>
  <c r="CL269" i="73" s="1"/>
  <c r="CL271" i="73" s="1"/>
  <c r="CL272" i="73" s="1"/>
  <c r="CL16" i="73"/>
  <c r="CL43" i="1"/>
  <c r="CM35" i="4"/>
  <c r="CL33" i="4"/>
  <c r="CL25" i="4"/>
  <c r="CL22" i="4"/>
  <c r="CL19" i="73"/>
  <c r="CS351" i="73"/>
  <c r="CS352" i="73" s="1"/>
  <c r="CS348" i="73"/>
  <c r="CS389" i="73"/>
  <c r="CS362" i="73"/>
  <c r="CS355" i="73"/>
  <c r="CS356" i="73" s="1"/>
  <c r="CS357" i="73"/>
  <c r="CS364" i="73"/>
  <c r="CS359" i="73"/>
  <c r="CS363" i="73"/>
  <c r="CS361" i="73"/>
  <c r="CX389" i="73"/>
  <c r="CX351" i="73"/>
  <c r="CY347" i="73"/>
  <c r="CL38" i="4"/>
  <c r="CL61" i="51"/>
  <c r="EB28" i="51"/>
  <c r="EB41" i="51" s="1"/>
  <c r="CL8" i="51"/>
  <c r="CR352" i="73"/>
  <c r="CY350" i="73"/>
  <c r="CG325" i="73"/>
  <c r="CF441" i="73"/>
  <c r="CG432" i="73"/>
  <c r="CM395" i="73"/>
  <c r="CM404" i="73"/>
  <c r="CM413" i="73" s="1"/>
  <c r="CM392" i="73"/>
  <c r="CM390" i="73"/>
  <c r="CM394" i="73"/>
  <c r="CM393" i="73"/>
  <c r="CM388" i="73"/>
  <c r="CM391" i="73"/>
  <c r="CM387" i="73"/>
  <c r="CM14" i="73" s="1"/>
  <c r="CG385" i="73"/>
  <c r="CM386" i="73" s="1"/>
  <c r="CF328" i="73"/>
  <c r="CM263" i="73"/>
  <c r="CL265" i="73"/>
  <c r="CR27" i="73"/>
  <c r="CR299" i="73"/>
  <c r="CR371" i="73"/>
  <c r="CR118" i="73"/>
  <c r="CR210" i="73"/>
  <c r="CR373" i="73"/>
  <c r="CR375" i="73"/>
  <c r="CR260" i="73"/>
  <c r="CR37" i="73"/>
  <c r="CR314" i="73"/>
  <c r="CR374" i="73"/>
  <c r="CR370" i="73"/>
  <c r="CR46" i="73"/>
  <c r="CR131" i="73"/>
  <c r="CR372" i="73"/>
  <c r="CR96" i="73"/>
  <c r="CR161" i="73"/>
  <c r="CR367" i="73"/>
  <c r="CR368" i="73" s="1"/>
  <c r="CR369" i="73"/>
  <c r="CR384" i="73"/>
  <c r="CS366" i="73"/>
  <c r="CS72" i="73" s="1"/>
  <c r="CR454" i="73"/>
  <c r="CR455" i="73"/>
  <c r="CR346" i="73"/>
  <c r="CR13" i="73"/>
  <c r="CS12" i="73"/>
  <c r="CR392" i="73"/>
  <c r="CR393" i="73"/>
  <c r="CR387" i="73"/>
  <c r="CR391" i="73"/>
  <c r="CR395" i="73"/>
  <c r="CR390" i="73"/>
  <c r="CR388" i="73"/>
  <c r="CR386" i="73"/>
  <c r="CR394" i="73"/>
  <c r="CR404" i="73"/>
  <c r="CY344" i="73"/>
  <c r="CY345" i="73" s="1"/>
  <c r="CL14" i="73"/>
  <c r="CL40" i="1"/>
  <c r="CM269" i="73"/>
  <c r="CS23" i="4"/>
  <c r="CR29" i="4"/>
  <c r="CX363" i="73"/>
  <c r="CX355" i="73"/>
  <c r="CX356" i="73" s="1"/>
  <c r="CX364" i="73"/>
  <c r="CX361" i="73"/>
  <c r="CX359" i="73"/>
  <c r="CX362" i="73"/>
  <c r="CX357" i="73"/>
  <c r="CX12" i="73"/>
  <c r="CX24" i="4"/>
  <c r="CX23" i="4" s="1"/>
  <c r="CX366" i="73"/>
  <c r="CX72" i="73" s="1"/>
  <c r="CL276" i="73" l="1"/>
  <c r="CL277" i="73" s="1"/>
  <c r="CL32" i="4"/>
  <c r="CL9" i="4" s="1"/>
  <c r="CL17" i="73"/>
  <c r="CM37" i="4"/>
  <c r="CR413" i="73"/>
  <c r="CY12" i="73"/>
  <c r="CX13" i="73"/>
  <c r="CR43" i="1"/>
  <c r="CR16" i="73"/>
  <c r="CR270" i="73"/>
  <c r="CR269" i="73" s="1"/>
  <c r="CR264" i="73"/>
  <c r="CR263" i="73" s="1"/>
  <c r="CS454" i="73"/>
  <c r="CS16" i="73" s="1"/>
  <c r="CM265" i="73"/>
  <c r="CM276" i="73"/>
  <c r="CM277" i="73" s="1"/>
  <c r="CM264" i="73"/>
  <c r="CG441" i="73"/>
  <c r="CY351" i="73"/>
  <c r="CY352" i="73" s="1"/>
  <c r="CY348" i="73"/>
  <c r="CY389" i="73"/>
  <c r="CY23" i="4"/>
  <c r="CX29" i="4"/>
  <c r="CL266" i="73"/>
  <c r="CL278" i="73"/>
  <c r="CR22" i="4"/>
  <c r="CR35" i="4"/>
  <c r="CS29" i="4"/>
  <c r="CS24" i="4"/>
  <c r="CR25" i="4"/>
  <c r="CR14" i="73"/>
  <c r="CR40" i="1"/>
  <c r="CX352" i="73"/>
  <c r="CL38" i="51"/>
  <c r="CL10" i="51"/>
  <c r="EB8" i="51"/>
  <c r="EB16" i="51" s="1"/>
  <c r="CL11" i="51"/>
  <c r="CX391" i="73"/>
  <c r="CX392" i="73"/>
  <c r="CX388" i="73"/>
  <c r="CX387" i="73"/>
  <c r="CX390" i="73"/>
  <c r="CX394" i="73"/>
  <c r="CX386" i="73"/>
  <c r="CX395" i="73"/>
  <c r="CX404" i="73"/>
  <c r="CX393" i="73"/>
  <c r="CS388" i="73"/>
  <c r="CS386" i="73"/>
  <c r="CS394" i="73"/>
  <c r="CS390" i="73"/>
  <c r="CS404" i="73"/>
  <c r="CS393" i="73"/>
  <c r="CS392" i="73"/>
  <c r="CS391" i="73"/>
  <c r="CS395" i="73"/>
  <c r="CS387" i="73"/>
  <c r="CS14" i="73" s="1"/>
  <c r="CL15" i="73"/>
  <c r="CM270" i="73"/>
  <c r="CM271" i="73"/>
  <c r="CM272" i="73" s="1"/>
  <c r="EB29" i="51"/>
  <c r="EB42" i="51" s="1"/>
  <c r="CL9" i="51"/>
  <c r="CR18" i="73"/>
  <c r="CR44" i="1"/>
  <c r="CS455" i="73"/>
  <c r="CS18" i="73" s="1"/>
  <c r="CS210" i="73"/>
  <c r="CS314" i="73"/>
  <c r="CS37" i="73"/>
  <c r="CS370" i="73"/>
  <c r="CS372" i="73"/>
  <c r="CS260" i="73"/>
  <c r="CS131" i="73"/>
  <c r="CS384" i="73"/>
  <c r="CS371" i="73"/>
  <c r="CS373" i="73"/>
  <c r="CS374" i="73"/>
  <c r="CS46" i="73"/>
  <c r="CS299" i="73"/>
  <c r="CS118" i="73"/>
  <c r="CS161" i="73"/>
  <c r="CS375" i="73"/>
  <c r="CS367" i="73"/>
  <c r="CS368" i="73" s="1"/>
  <c r="CS96" i="73"/>
  <c r="CS369" i="73"/>
  <c r="CS27" i="73"/>
  <c r="CS346" i="73"/>
  <c r="CF329" i="73"/>
  <c r="CF415" i="73"/>
  <c r="CF326" i="73"/>
  <c r="CX210" i="73"/>
  <c r="CX161" i="73"/>
  <c r="CX314" i="73"/>
  <c r="CX374" i="73"/>
  <c r="CX370" i="73"/>
  <c r="CX373" i="73"/>
  <c r="CY366" i="73"/>
  <c r="CY72" i="73" s="1"/>
  <c r="CX260" i="73"/>
  <c r="CX37" i="73"/>
  <c r="CX372" i="73"/>
  <c r="CX131" i="73"/>
  <c r="CX375" i="73"/>
  <c r="CX118" i="73"/>
  <c r="CX384" i="73"/>
  <c r="CX96" i="73"/>
  <c r="CX299" i="73"/>
  <c r="CX371" i="73"/>
  <c r="CX27" i="73"/>
  <c r="CX46" i="73"/>
  <c r="CX369" i="73"/>
  <c r="CX367" i="73"/>
  <c r="CX368" i="73" s="1"/>
  <c r="CX455" i="73"/>
  <c r="CX454" i="73"/>
  <c r="CX346" i="73"/>
  <c r="CY362" i="73"/>
  <c r="CY364" i="73"/>
  <c r="CY357" i="73"/>
  <c r="CY361" i="73"/>
  <c r="CY355" i="73"/>
  <c r="CY356" i="73" s="1"/>
  <c r="CY359" i="73"/>
  <c r="CY363" i="73"/>
  <c r="CS13" i="73"/>
  <c r="CG393" i="73"/>
  <c r="CG391" i="73"/>
  <c r="CG392" i="73"/>
  <c r="CG395" i="73"/>
  <c r="CG394" i="73"/>
  <c r="CG390" i="73"/>
  <c r="CG386" i="73"/>
  <c r="CG388" i="73"/>
  <c r="CG387" i="73"/>
  <c r="CG14" i="73" s="1"/>
  <c r="CG15" i="73" s="1"/>
  <c r="CG404" i="73"/>
  <c r="CG413" i="73" s="1"/>
  <c r="CL68" i="51"/>
  <c r="CS36" i="4" l="1"/>
  <c r="CM32" i="4"/>
  <c r="CL57" i="4"/>
  <c r="CR61" i="4" s="1"/>
  <c r="CR34" i="51" s="1"/>
  <c r="CM61" i="51"/>
  <c r="CM68" i="51" s="1"/>
  <c r="CM8" i="51"/>
  <c r="CM38" i="51" s="1"/>
  <c r="CR17" i="73"/>
  <c r="CR15" i="73"/>
  <c r="CX413" i="73"/>
  <c r="CY390" i="73"/>
  <c r="CY388" i="73"/>
  <c r="CY394" i="73"/>
  <c r="CY393" i="73"/>
  <c r="CY391" i="73"/>
  <c r="CY395" i="73"/>
  <c r="CY386" i="73"/>
  <c r="CY404" i="73"/>
  <c r="CY392" i="73"/>
  <c r="CY387" i="73"/>
  <c r="CY14" i="73" s="1"/>
  <c r="CR276" i="73"/>
  <c r="CR277" i="73" s="1"/>
  <c r="CR265" i="73"/>
  <c r="CS263" i="73"/>
  <c r="CL279" i="73"/>
  <c r="CL432" i="73"/>
  <c r="CL415" i="73" s="1"/>
  <c r="CL419" i="73" s="1"/>
  <c r="CS269" i="73"/>
  <c r="CR271" i="73"/>
  <c r="CR272" i="73" s="1"/>
  <c r="CM266" i="73"/>
  <c r="CM278" i="73"/>
  <c r="CM279" i="73" s="1"/>
  <c r="CM33" i="4"/>
  <c r="CG326" i="73"/>
  <c r="CF327" i="73"/>
  <c r="CL17" i="4"/>
  <c r="CL10" i="4" s="1"/>
  <c r="CX270" i="73"/>
  <c r="CX269" i="73" s="1"/>
  <c r="CX16" i="73"/>
  <c r="CX43" i="1"/>
  <c r="CX264" i="73"/>
  <c r="CX263" i="73" s="1"/>
  <c r="CY454" i="73"/>
  <c r="CY16" i="73" s="1"/>
  <c r="CY374" i="73"/>
  <c r="CY210" i="73"/>
  <c r="CY369" i="73"/>
  <c r="CY118" i="73"/>
  <c r="CY37" i="73"/>
  <c r="CY260" i="73"/>
  <c r="CY27" i="73"/>
  <c r="CY96" i="73"/>
  <c r="CY131" i="73"/>
  <c r="CY367" i="73"/>
  <c r="CY368" i="73" s="1"/>
  <c r="CY384" i="73"/>
  <c r="CY161" i="73"/>
  <c r="CY375" i="73"/>
  <c r="CY371" i="73"/>
  <c r="CY372" i="73"/>
  <c r="CY373" i="73"/>
  <c r="CY314" i="73"/>
  <c r="CY46" i="73"/>
  <c r="CY299" i="73"/>
  <c r="CY370" i="73"/>
  <c r="CY346" i="73"/>
  <c r="CF417" i="73"/>
  <c r="CF434" i="73"/>
  <c r="CF443" i="73" s="1"/>
  <c r="CF416" i="73"/>
  <c r="CF421" i="73"/>
  <c r="CF423" i="73"/>
  <c r="CF420" i="73"/>
  <c r="CF418" i="73"/>
  <c r="CF425" i="73"/>
  <c r="CF422" i="73"/>
  <c r="CG415" i="73"/>
  <c r="CF424" i="73"/>
  <c r="CS413" i="73"/>
  <c r="CX22" i="4"/>
  <c r="CX18" i="73"/>
  <c r="CX44" i="1"/>
  <c r="CY455" i="73"/>
  <c r="CY18" i="73" s="1"/>
  <c r="CR19" i="73"/>
  <c r="CY29" i="4"/>
  <c r="CY24" i="4"/>
  <c r="CX14" i="73"/>
  <c r="CX40" i="1"/>
  <c r="CR33" i="4"/>
  <c r="CR37" i="4"/>
  <c r="CS35" i="4"/>
  <c r="CL41" i="51"/>
  <c r="CL12" i="51"/>
  <c r="CL39" i="51"/>
  <c r="CL40" i="51"/>
  <c r="CX25" i="4"/>
  <c r="CY13" i="73"/>
  <c r="CM9" i="4" l="1"/>
  <c r="CM57" i="4"/>
  <c r="CS61" i="4" s="1"/>
  <c r="CL58" i="4"/>
  <c r="CL9" i="1"/>
  <c r="CL27" i="1" s="1"/>
  <c r="CM27" i="1" s="1"/>
  <c r="CM11" i="51"/>
  <c r="CM41" i="51" s="1"/>
  <c r="CX17" i="73"/>
  <c r="CX15" i="73"/>
  <c r="CX19" i="73"/>
  <c r="CS37" i="4"/>
  <c r="CX276" i="73"/>
  <c r="CX277" i="73" s="1"/>
  <c r="CY263" i="73"/>
  <c r="CX265" i="73"/>
  <c r="CX271" i="73"/>
  <c r="CX272" i="73" s="1"/>
  <c r="CY269" i="73"/>
  <c r="CM34" i="4"/>
  <c r="CS270" i="73"/>
  <c r="CS271" i="73"/>
  <c r="CS272" i="73" s="1"/>
  <c r="CL441" i="73"/>
  <c r="CM432" i="73"/>
  <c r="CG425" i="73"/>
  <c r="CG423" i="73"/>
  <c r="CG416" i="73"/>
  <c r="CG422" i="73"/>
  <c r="CG418" i="73"/>
  <c r="CG420" i="73"/>
  <c r="CG417" i="73"/>
  <c r="CG421" i="73"/>
  <c r="CG434" i="73"/>
  <c r="CG443" i="73" s="1"/>
  <c r="CG424" i="73"/>
  <c r="CL42" i="51"/>
  <c r="CR32" i="4"/>
  <c r="CL460" i="73"/>
  <c r="CL12" i="4"/>
  <c r="CL14" i="4"/>
  <c r="CL16" i="4"/>
  <c r="CM58" i="4"/>
  <c r="CR266" i="73"/>
  <c r="CR278" i="73"/>
  <c r="CG327" i="73"/>
  <c r="CG328" i="73"/>
  <c r="CG329" i="73" s="1"/>
  <c r="CR38" i="4"/>
  <c r="CR8" i="51"/>
  <c r="CR61" i="51"/>
  <c r="CS34" i="51"/>
  <c r="CM17" i="4"/>
  <c r="CM10" i="4" s="1"/>
  <c r="CS264" i="73"/>
  <c r="CS276" i="73"/>
  <c r="CS277" i="73" s="1"/>
  <c r="CS265" i="73"/>
  <c r="CY413" i="73"/>
  <c r="CL12" i="2" l="1"/>
  <c r="CM12" i="2" s="1"/>
  <c r="CM77" i="2" s="1"/>
  <c r="CL450" i="73"/>
  <c r="CL16" i="2"/>
  <c r="CM16" i="2" s="1"/>
  <c r="CL106" i="2"/>
  <c r="CL142" i="2"/>
  <c r="CL48" i="1"/>
  <c r="CL10" i="1"/>
  <c r="CL39" i="1" s="1"/>
  <c r="CL452" i="73"/>
  <c r="CM9" i="1"/>
  <c r="CM22" i="4" s="1"/>
  <c r="CL15" i="3"/>
  <c r="CL175" i="2" s="1"/>
  <c r="CL14" i="1"/>
  <c r="CL61" i="1" s="1"/>
  <c r="CL171" i="2"/>
  <c r="CL180" i="2" s="1"/>
  <c r="CL60" i="4"/>
  <c r="CL34" i="2"/>
  <c r="CL39" i="2" s="1"/>
  <c r="CM39" i="2" s="1"/>
  <c r="CL13" i="1"/>
  <c r="CL15" i="2"/>
  <c r="CM15" i="2" s="1"/>
  <c r="CL54" i="1"/>
  <c r="CL32" i="51" s="1"/>
  <c r="CM40" i="73"/>
  <c r="CM26" i="73"/>
  <c r="CM45" i="73"/>
  <c r="CM90" i="73"/>
  <c r="CM36" i="73"/>
  <c r="CM95" i="73"/>
  <c r="CL58" i="1"/>
  <c r="CL172" i="2"/>
  <c r="CS266" i="73"/>
  <c r="CS278" i="73"/>
  <c r="CS279" i="73" s="1"/>
  <c r="CM441" i="73"/>
  <c r="CR9" i="51"/>
  <c r="CY264" i="73"/>
  <c r="CY276" i="73"/>
  <c r="CY277" i="73" s="1"/>
  <c r="CY265" i="73"/>
  <c r="CY36" i="4"/>
  <c r="CS32" i="4"/>
  <c r="CR9" i="4"/>
  <c r="CR57" i="4"/>
  <c r="CX35" i="4"/>
  <c r="CL417" i="73"/>
  <c r="CL420" i="73"/>
  <c r="CL416" i="73"/>
  <c r="CL434" i="73"/>
  <c r="CL443" i="73" s="1"/>
  <c r="CL418" i="73"/>
  <c r="CL422" i="73"/>
  <c r="CL421" i="73"/>
  <c r="CM415" i="73"/>
  <c r="CL425" i="73"/>
  <c r="CL423" i="73"/>
  <c r="CR279" i="73"/>
  <c r="CR432" i="73"/>
  <c r="CR415" i="73" s="1"/>
  <c r="CR419" i="73" s="1"/>
  <c r="CL424" i="73"/>
  <c r="CL55" i="1"/>
  <c r="CL62" i="4"/>
  <c r="CM171" i="2"/>
  <c r="CM180" i="2" s="1"/>
  <c r="CM60" i="4"/>
  <c r="CY271" i="73"/>
  <c r="CY272" i="73" s="1"/>
  <c r="CY270" i="73"/>
  <c r="CL32" i="3"/>
  <c r="CM106" i="2"/>
  <c r="CL110" i="2"/>
  <c r="CR68" i="51"/>
  <c r="CL23" i="2"/>
  <c r="CS8" i="51"/>
  <c r="CS61" i="51"/>
  <c r="CM14" i="4"/>
  <c r="CM12" i="4"/>
  <c r="CM16" i="4"/>
  <c r="CL21" i="3"/>
  <c r="CR11" i="51"/>
  <c r="CR10" i="51"/>
  <c r="CR38" i="51"/>
  <c r="CX266" i="73"/>
  <c r="CX278" i="73"/>
  <c r="CL150" i="2"/>
  <c r="CL11" i="1"/>
  <c r="CL14" i="2" l="1"/>
  <c r="CM28" i="4"/>
  <c r="CM10" i="1"/>
  <c r="CM25" i="4"/>
  <c r="CL29" i="2"/>
  <c r="CL156" i="2" s="1"/>
  <c r="CL46" i="2"/>
  <c r="CL148" i="2"/>
  <c r="CL456" i="73"/>
  <c r="CL42" i="1" s="1"/>
  <c r="CL12" i="1" s="1"/>
  <c r="CM13" i="1"/>
  <c r="CL60" i="1"/>
  <c r="CM34" i="2"/>
  <c r="CL158" i="2"/>
  <c r="CL162" i="2"/>
  <c r="F7" i="52"/>
  <c r="F8" i="52" s="1"/>
  <c r="CM15" i="3"/>
  <c r="CL75" i="51"/>
  <c r="CL79" i="51" s="1"/>
  <c r="CL24" i="3"/>
  <c r="CM24" i="3" s="1"/>
  <c r="CM142" i="2"/>
  <c r="CM450" i="73"/>
  <c r="CM14" i="1"/>
  <c r="CM452" i="73"/>
  <c r="CL56" i="1"/>
  <c r="CM54" i="1"/>
  <c r="CM32" i="51" s="1"/>
  <c r="CM48" i="1"/>
  <c r="CM11" i="1"/>
  <c r="CM49" i="1"/>
  <c r="CM424" i="73"/>
  <c r="CM419" i="73"/>
  <c r="CM41" i="1"/>
  <c r="CM40" i="1"/>
  <c r="CR40" i="51"/>
  <c r="CL152" i="2"/>
  <c r="CM23" i="2"/>
  <c r="CM152" i="2" s="1"/>
  <c r="CM150" i="2"/>
  <c r="CM89" i="2"/>
  <c r="CO24" i="3"/>
  <c r="CL96" i="2"/>
  <c r="CM46" i="2"/>
  <c r="CM16" i="51"/>
  <c r="CM18" i="51" s="1"/>
  <c r="CM10" i="51"/>
  <c r="CM423" i="73"/>
  <c r="CM434" i="73"/>
  <c r="CM443" i="73" s="1"/>
  <c r="CM421" i="73"/>
  <c r="CM420" i="73"/>
  <c r="CM422" i="73"/>
  <c r="CM425" i="73"/>
  <c r="CM416" i="73"/>
  <c r="CM417" i="73"/>
  <c r="CM418" i="73"/>
  <c r="CR58" i="4"/>
  <c r="CR9" i="1"/>
  <c r="CM158" i="2"/>
  <c r="CL25" i="3"/>
  <c r="CM25" i="3" s="1"/>
  <c r="CM29" i="2"/>
  <c r="CM79" i="2" s="1"/>
  <c r="CM38" i="4"/>
  <c r="CM21" i="3"/>
  <c r="CL18" i="3"/>
  <c r="CM18" i="3" s="1"/>
  <c r="CL41" i="1"/>
  <c r="CR41" i="51"/>
  <c r="CM91" i="2"/>
  <c r="CO34" i="2"/>
  <c r="CM172" i="2"/>
  <c r="CM58" i="1"/>
  <c r="CM39" i="1"/>
  <c r="CX37" i="4"/>
  <c r="CX33" i="4"/>
  <c r="CY35" i="4"/>
  <c r="CL189" i="2"/>
  <c r="CX279" i="73"/>
  <c r="CX432" i="73"/>
  <c r="CX415" i="73" s="1"/>
  <c r="CS432" i="73"/>
  <c r="CR441" i="73"/>
  <c r="CR17" i="4"/>
  <c r="CR10" i="4" s="1"/>
  <c r="CM107" i="2"/>
  <c r="CM110" i="2"/>
  <c r="CM162" i="2"/>
  <c r="CS33" i="4"/>
  <c r="CS57" i="4"/>
  <c r="CY61" i="4" s="1"/>
  <c r="CS9" i="4"/>
  <c r="CY266" i="73"/>
  <c r="CY278" i="73"/>
  <c r="CY279" i="73" s="1"/>
  <c r="CR12" i="51"/>
  <c r="CR39" i="51"/>
  <c r="CS68" i="51"/>
  <c r="CM148" i="2"/>
  <c r="CO21" i="3"/>
  <c r="CS11" i="51"/>
  <c r="CS38" i="51"/>
  <c r="CM55" i="1"/>
  <c r="CM62" i="4"/>
  <c r="CL120" i="2"/>
  <c r="CL118" i="2"/>
  <c r="CL20" i="2" s="1"/>
  <c r="CL40" i="3"/>
  <c r="CL81" i="54"/>
  <c r="CM32" i="3"/>
  <c r="CL60" i="51"/>
  <c r="CL57" i="1"/>
  <c r="EB33" i="51"/>
  <c r="EB46" i="51" s="1"/>
  <c r="CL81" i="51"/>
  <c r="CL63" i="4"/>
  <c r="CL21" i="51"/>
  <c r="CX61" i="4"/>
  <c r="CL149" i="2"/>
  <c r="CL23" i="3"/>
  <c r="CM23" i="3" s="1"/>
  <c r="CM14" i="2"/>
  <c r="CL20" i="73" l="1"/>
  <c r="CL21" i="73" s="1"/>
  <c r="CM456" i="73"/>
  <c r="CM20" i="73" s="1"/>
  <c r="F14" i="52"/>
  <c r="CM175" i="2"/>
  <c r="CM177" i="2" s="1"/>
  <c r="CM60" i="1"/>
  <c r="CM43" i="1"/>
  <c r="CM56" i="1"/>
  <c r="CM61" i="1"/>
  <c r="CM75" i="51"/>
  <c r="CM79" i="51" s="1"/>
  <c r="CM44" i="1"/>
  <c r="CM19" i="73" s="1"/>
  <c r="CY415" i="73"/>
  <c r="CY419" i="73" s="1"/>
  <c r="CX419" i="73"/>
  <c r="CM90" i="2"/>
  <c r="CM189" i="2"/>
  <c r="CM149" i="2"/>
  <c r="CO23" i="3"/>
  <c r="CL53" i="51"/>
  <c r="CL23" i="51"/>
  <c r="EB12" i="51"/>
  <c r="EB20" i="51" s="1"/>
  <c r="CL24" i="51"/>
  <c r="CL30" i="51" s="1"/>
  <c r="CL35" i="51"/>
  <c r="CM60" i="51"/>
  <c r="CM21" i="51"/>
  <c r="CM63" i="4"/>
  <c r="CM81" i="51"/>
  <c r="CM57" i="1"/>
  <c r="CR42" i="51"/>
  <c r="CS58" i="4"/>
  <c r="CX441" i="73"/>
  <c r="CY432" i="73"/>
  <c r="CX424" i="73"/>
  <c r="CL22" i="51"/>
  <c r="CL28" i="51" s="1"/>
  <c r="EB34" i="51"/>
  <c r="EB47" i="51" s="1"/>
  <c r="CM35" i="51"/>
  <c r="CL151" i="2"/>
  <c r="CL154" i="2" s="1"/>
  <c r="CM20" i="2"/>
  <c r="CL25" i="2"/>
  <c r="CS34" i="4"/>
  <c r="CM446" i="73"/>
  <c r="CO25" i="3"/>
  <c r="CM156" i="2"/>
  <c r="CM40" i="51"/>
  <c r="CS41" i="51"/>
  <c r="CS17" i="4"/>
  <c r="CS10" i="4" s="1"/>
  <c r="CO35" i="2"/>
  <c r="CO39" i="2"/>
  <c r="CP34" i="2" s="1"/>
  <c r="CO157" i="2"/>
  <c r="CL76" i="51"/>
  <c r="CL80" i="51" s="1"/>
  <c r="CL59" i="1"/>
  <c r="CM12" i="1"/>
  <c r="CL16" i="1"/>
  <c r="CR423" i="73"/>
  <c r="CR422" i="73"/>
  <c r="CR420" i="73"/>
  <c r="CR416" i="73"/>
  <c r="CR418" i="73"/>
  <c r="CR434" i="73"/>
  <c r="CR443" i="73" s="1"/>
  <c r="CR421" i="73"/>
  <c r="CR417" i="73"/>
  <c r="CR425" i="73"/>
  <c r="CM48" i="51"/>
  <c r="CR424" i="73"/>
  <c r="CR60" i="4"/>
  <c r="CO16" i="2"/>
  <c r="CX32" i="4"/>
  <c r="CO46" i="2"/>
  <c r="CY34" i="51"/>
  <c r="CR16" i="4"/>
  <c r="CR12" i="4"/>
  <c r="CR14" i="4"/>
  <c r="CM120" i="2"/>
  <c r="CM118" i="2"/>
  <c r="CO105" i="2"/>
  <c r="CS105" i="2"/>
  <c r="CR48" i="1"/>
  <c r="CR452" i="73"/>
  <c r="CR142" i="2"/>
  <c r="CR171" i="2"/>
  <c r="CR180" i="2" s="1"/>
  <c r="CR15" i="2"/>
  <c r="CR12" i="2"/>
  <c r="CR106" i="2"/>
  <c r="CR450" i="73"/>
  <c r="CR10" i="1"/>
  <c r="CR11" i="1" s="1"/>
  <c r="CR15" i="3"/>
  <c r="CS9" i="1"/>
  <c r="CR27" i="1"/>
  <c r="CS27" i="1" s="1"/>
  <c r="CR54" i="1"/>
  <c r="CR13" i="1"/>
  <c r="CR14" i="1"/>
  <c r="CM15" i="73"/>
  <c r="CM40" i="3"/>
  <c r="CM81" i="54"/>
  <c r="F15" i="52"/>
  <c r="F16" i="52" s="1"/>
  <c r="CY37" i="4"/>
  <c r="CX34" i="51"/>
  <c r="CL67" i="51"/>
  <c r="CS441" i="73"/>
  <c r="CX8" i="51"/>
  <c r="CX38" i="4"/>
  <c r="CX61" i="51"/>
  <c r="CM78" i="2"/>
  <c r="CM80" i="2" s="1"/>
  <c r="CM9" i="51"/>
  <c r="CM96" i="2"/>
  <c r="CM447" i="73" l="1"/>
  <c r="EG41" i="1"/>
  <c r="EG40" i="1" s="1"/>
  <c r="CM17" i="73"/>
  <c r="CS63" i="73"/>
  <c r="CS66" i="73"/>
  <c r="CR456" i="73"/>
  <c r="CR20" i="73" s="1"/>
  <c r="CS49" i="1"/>
  <c r="CS71" i="73"/>
  <c r="CR41" i="1"/>
  <c r="CX68" i="51"/>
  <c r="CX9" i="51"/>
  <c r="CO110" i="2"/>
  <c r="CO113" i="2"/>
  <c r="CP46" i="2"/>
  <c r="CO96" i="2"/>
  <c r="CL56" i="51"/>
  <c r="EB36" i="51"/>
  <c r="EB49" i="51" s="1"/>
  <c r="CY8" i="51"/>
  <c r="CY61" i="51"/>
  <c r="CL54" i="51"/>
  <c r="CL25" i="51"/>
  <c r="CO41" i="2"/>
  <c r="CR32" i="51"/>
  <c r="CX10" i="51"/>
  <c r="CX40" i="51" s="1"/>
  <c r="CX11" i="51"/>
  <c r="CX41" i="51" s="1"/>
  <c r="CX38" i="51"/>
  <c r="CS106" i="2"/>
  <c r="CS107" i="2" s="1"/>
  <c r="CR32" i="3"/>
  <c r="CL55" i="51"/>
  <c r="EB35" i="51"/>
  <c r="EB48" i="51" s="1"/>
  <c r="CR148" i="2"/>
  <c r="CR21" i="3"/>
  <c r="CS12" i="2"/>
  <c r="CS77" i="2" s="1"/>
  <c r="CX9" i="4"/>
  <c r="CY32" i="4"/>
  <c r="CX57" i="4"/>
  <c r="CL62" i="1"/>
  <c r="CL173" i="2"/>
  <c r="CL70" i="1"/>
  <c r="CL30" i="2"/>
  <c r="CL17" i="1"/>
  <c r="CR61" i="1"/>
  <c r="CS14" i="1"/>
  <c r="CR175" i="2"/>
  <c r="CS15" i="3"/>
  <c r="CR24" i="3"/>
  <c r="CS24" i="3" s="1"/>
  <c r="CS15" i="2"/>
  <c r="CR55" i="1"/>
  <c r="CR56" i="1" s="1"/>
  <c r="CR62" i="4"/>
  <c r="CM59" i="1"/>
  <c r="CM449" i="73"/>
  <c r="CM42" i="1"/>
  <c r="CM76" i="51"/>
  <c r="CM80" i="51" s="1"/>
  <c r="CM16" i="1"/>
  <c r="CP39" i="2"/>
  <c r="CQ34" i="2" s="1"/>
  <c r="CP35" i="2"/>
  <c r="CP157" i="2"/>
  <c r="CS40" i="73"/>
  <c r="CS45" i="73"/>
  <c r="CS26" i="73"/>
  <c r="CS36" i="73"/>
  <c r="CS38" i="4" s="1"/>
  <c r="CS90" i="73"/>
  <c r="CS95" i="73"/>
  <c r="CS60" i="4"/>
  <c r="CM24" i="51"/>
  <c r="CM30" i="51" s="1"/>
  <c r="CM53" i="51"/>
  <c r="CM23" i="51"/>
  <c r="CM29" i="51" s="1"/>
  <c r="CL29" i="51"/>
  <c r="CR60" i="1"/>
  <c r="CR75" i="51"/>
  <c r="CR79" i="51" s="1"/>
  <c r="CS13" i="1"/>
  <c r="CY441" i="73"/>
  <c r="CM39" i="51"/>
  <c r="CM12" i="51"/>
  <c r="CS48" i="1"/>
  <c r="CS22" i="4"/>
  <c r="CS28" i="4"/>
  <c r="CS142" i="2"/>
  <c r="CS452" i="73"/>
  <c r="CS171" i="2"/>
  <c r="CS180" i="2" s="1"/>
  <c r="CS450" i="73"/>
  <c r="CS54" i="1"/>
  <c r="G7" i="52"/>
  <c r="G8" i="52" s="1"/>
  <c r="CS25" i="4"/>
  <c r="CM151" i="2"/>
  <c r="CM154" i="2" s="1"/>
  <c r="CM25" i="2"/>
  <c r="CM22" i="51"/>
  <c r="CR58" i="1"/>
  <c r="CR39" i="1"/>
  <c r="CR172" i="2"/>
  <c r="CR14" i="2"/>
  <c r="CS10" i="1"/>
  <c r="CS11" i="1" s="1"/>
  <c r="CR29" i="2"/>
  <c r="CO23" i="2"/>
  <c r="CO152" i="2" s="1"/>
  <c r="CO150" i="2"/>
  <c r="CO158" i="2"/>
  <c r="CO159" i="2" s="1"/>
  <c r="CS12" i="4"/>
  <c r="CS14" i="4"/>
  <c r="CS16" i="4"/>
  <c r="CX425" i="73"/>
  <c r="CX420" i="73"/>
  <c r="CX417" i="73"/>
  <c r="CX421" i="73"/>
  <c r="CX423" i="73"/>
  <c r="CX418" i="73"/>
  <c r="CX422" i="73"/>
  <c r="CX416" i="73"/>
  <c r="CX434" i="73"/>
  <c r="CX443" i="73" s="1"/>
  <c r="CM67" i="51"/>
  <c r="CR42" i="1" l="1"/>
  <c r="CR21" i="73" s="1"/>
  <c r="CS456" i="73"/>
  <c r="CS20" i="73" s="1"/>
  <c r="CO189" i="2"/>
  <c r="CQ35" i="2"/>
  <c r="CQ157" i="2"/>
  <c r="CQ39" i="2"/>
  <c r="CR34" i="2" s="1"/>
  <c r="CO11" i="3"/>
  <c r="CO116" i="2"/>
  <c r="CO18" i="1"/>
  <c r="CS89" i="2"/>
  <c r="CU24" i="3"/>
  <c r="CY33" i="4"/>
  <c r="CY9" i="4"/>
  <c r="CY57" i="4"/>
  <c r="CY68" i="51"/>
  <c r="CO120" i="2"/>
  <c r="CP105" i="2"/>
  <c r="CY421" i="73"/>
  <c r="CY425" i="73"/>
  <c r="CY417" i="73"/>
  <c r="CY418" i="73"/>
  <c r="CY423" i="73"/>
  <c r="CY420" i="73"/>
  <c r="CY422" i="73"/>
  <c r="CY434" i="73"/>
  <c r="CY443" i="73" s="1"/>
  <c r="CP41" i="2"/>
  <c r="CL47" i="1"/>
  <c r="CL45" i="1"/>
  <c r="CL66" i="2"/>
  <c r="CL143" i="2"/>
  <c r="CL63" i="1"/>
  <c r="CL169" i="2"/>
  <c r="CL181" i="2" s="1"/>
  <c r="CL25" i="1"/>
  <c r="CL20" i="1"/>
  <c r="CX12" i="51"/>
  <c r="CX39" i="51"/>
  <c r="CS9" i="51"/>
  <c r="CP158" i="2"/>
  <c r="CP159" i="2" s="1"/>
  <c r="CS175" i="2"/>
  <c r="CS177" i="2" s="1"/>
  <c r="CL157" i="2"/>
  <c r="CL159" i="2" s="1"/>
  <c r="CL161" i="2" s="1"/>
  <c r="CL26" i="3"/>
  <c r="CM30" i="2"/>
  <c r="CL35" i="2"/>
  <c r="CX17" i="4"/>
  <c r="CX10" i="4" s="1"/>
  <c r="CR81" i="54"/>
  <c r="CR40" i="3"/>
  <c r="CS32" i="3"/>
  <c r="CS110" i="2"/>
  <c r="CL57" i="51"/>
  <c r="EB37" i="51"/>
  <c r="EB50" i="51" s="1"/>
  <c r="CM54" i="51"/>
  <c r="CM25" i="51"/>
  <c r="CS16" i="51"/>
  <c r="CS18" i="51" s="1"/>
  <c r="CS10" i="51"/>
  <c r="CM42" i="51"/>
  <c r="CM56" i="51"/>
  <c r="CM62" i="1"/>
  <c r="CM173" i="2"/>
  <c r="CM17" i="1"/>
  <c r="CM70" i="1"/>
  <c r="CL72" i="1"/>
  <c r="CL83" i="1"/>
  <c r="CU21" i="3"/>
  <c r="CS148" i="2"/>
  <c r="CR35" i="51"/>
  <c r="CY11" i="51"/>
  <c r="CY41" i="51" s="1"/>
  <c r="CY38" i="51"/>
  <c r="CS21" i="3"/>
  <c r="CO18" i="3"/>
  <c r="CY424" i="73"/>
  <c r="CM55" i="51"/>
  <c r="CS55" i="1"/>
  <c r="CS56" i="1" s="1"/>
  <c r="CS62" i="4"/>
  <c r="CM21" i="73"/>
  <c r="CS61" i="1"/>
  <c r="CS44" i="1"/>
  <c r="CR149" i="2"/>
  <c r="CR23" i="3"/>
  <c r="CS23" i="3" s="1"/>
  <c r="CS14" i="2"/>
  <c r="CS78" i="2" s="1"/>
  <c r="CS60" i="1"/>
  <c r="CS43" i="1"/>
  <c r="CS75" i="51"/>
  <c r="CS79" i="51" s="1"/>
  <c r="CX58" i="4"/>
  <c r="CX9" i="1"/>
  <c r="CR12" i="1"/>
  <c r="CS41" i="1"/>
  <c r="CS40" i="1"/>
  <c r="CS15" i="73" s="1"/>
  <c r="CR25" i="3"/>
  <c r="CS25" i="3" s="1"/>
  <c r="CR156" i="2"/>
  <c r="CS29" i="2"/>
  <c r="CS79" i="2" s="1"/>
  <c r="CR57" i="1"/>
  <c r="CR63" i="4"/>
  <c r="CR21" i="51"/>
  <c r="CR60" i="51"/>
  <c r="CR81" i="51"/>
  <c r="CP16" i="2"/>
  <c r="CS172" i="2"/>
  <c r="CS39" i="1"/>
  <c r="CS58" i="1"/>
  <c r="CS32" i="51"/>
  <c r="CM28" i="51"/>
  <c r="CP96" i="2"/>
  <c r="CQ46" i="2"/>
  <c r="CS80" i="2" l="1"/>
  <c r="CS34" i="2"/>
  <c r="CR39" i="2"/>
  <c r="CR59" i="1"/>
  <c r="CR76" i="51"/>
  <c r="CR80" i="51" s="1"/>
  <c r="CS12" i="1"/>
  <c r="CR16" i="1"/>
  <c r="CL41" i="2"/>
  <c r="CS57" i="1"/>
  <c r="CS21" i="51"/>
  <c r="CS63" i="4"/>
  <c r="CS60" i="51"/>
  <c r="CS81" i="51"/>
  <c r="CM26" i="3"/>
  <c r="CL20" i="3"/>
  <c r="CS12" i="51"/>
  <c r="CS39" i="51"/>
  <c r="CP113" i="2"/>
  <c r="CP110" i="2"/>
  <c r="CS35" i="51"/>
  <c r="CR22" i="51"/>
  <c r="CX60" i="4"/>
  <c r="CL64" i="1"/>
  <c r="CL168" i="2"/>
  <c r="CL46" i="1"/>
  <c r="CL65" i="2"/>
  <c r="DA60" i="4"/>
  <c r="CY58" i="4"/>
  <c r="CM57" i="51"/>
  <c r="CO121" i="2"/>
  <c r="CP112" i="2"/>
  <c r="CR67" i="51"/>
  <c r="CO26" i="3"/>
  <c r="CM157" i="2"/>
  <c r="CM159" i="2" s="1"/>
  <c r="CM161" i="2" s="1"/>
  <c r="CM92" i="2"/>
  <c r="CM35" i="2"/>
  <c r="CL145" i="2"/>
  <c r="CL146" i="2" s="1"/>
  <c r="CL147" i="2" s="1"/>
  <c r="CL141" i="2" s="1"/>
  <c r="CO80" i="54"/>
  <c r="CR23" i="51"/>
  <c r="CR29" i="51" s="1"/>
  <c r="CR24" i="51"/>
  <c r="CR30" i="51" s="1"/>
  <c r="CR53" i="51"/>
  <c r="CP23" i="2"/>
  <c r="CQ16" i="2" s="1"/>
  <c r="CP150" i="2"/>
  <c r="CS40" i="51"/>
  <c r="CO118" i="2"/>
  <c r="CO20" i="2" s="1"/>
  <c r="CQ158" i="2"/>
  <c r="CQ159" i="2" s="1"/>
  <c r="CS48" i="51"/>
  <c r="CY17" i="4"/>
  <c r="CY10" i="4" s="1"/>
  <c r="CS447" i="73"/>
  <c r="CS19" i="73"/>
  <c r="CY105" i="2"/>
  <c r="CU105" i="2"/>
  <c r="CY34" i="4"/>
  <c r="CO20" i="1"/>
  <c r="CQ41" i="2"/>
  <c r="CX42" i="51"/>
  <c r="CX452" i="73"/>
  <c r="CX48" i="1"/>
  <c r="CX15" i="2"/>
  <c r="CX14" i="1"/>
  <c r="CX54" i="1"/>
  <c r="CX13" i="1"/>
  <c r="CX106" i="2"/>
  <c r="CX27" i="1"/>
  <c r="CY27" i="1" s="1"/>
  <c r="CX10" i="1"/>
  <c r="CX11" i="1" s="1"/>
  <c r="CX12" i="2"/>
  <c r="CX450" i="73"/>
  <c r="CX15" i="3"/>
  <c r="CX171" i="2"/>
  <c r="CX180" i="2" s="1"/>
  <c r="CX142" i="2"/>
  <c r="CY9" i="1"/>
  <c r="CM83" i="1"/>
  <c r="CL26" i="1"/>
  <c r="CL28" i="1" s="1"/>
  <c r="CM72" i="1"/>
  <c r="CL84" i="1"/>
  <c r="CM84" i="1" s="1"/>
  <c r="CQ96" i="2"/>
  <c r="CR46" i="2"/>
  <c r="CS156" i="2"/>
  <c r="CU25" i="3"/>
  <c r="CS446" i="73"/>
  <c r="CS17" i="73"/>
  <c r="CS149" i="2"/>
  <c r="CU23" i="3"/>
  <c r="CM66" i="2"/>
  <c r="CM63" i="1"/>
  <c r="CM45" i="1"/>
  <c r="CM47" i="1"/>
  <c r="CM143" i="2"/>
  <c r="CM25" i="1"/>
  <c r="F9" i="52"/>
  <c r="CM169" i="2"/>
  <c r="CM181" i="2" s="1"/>
  <c r="CM20" i="1"/>
  <c r="CS40" i="3"/>
  <c r="CS81" i="54"/>
  <c r="G15" i="52"/>
  <c r="G16" i="52" s="1"/>
  <c r="CX14" i="4"/>
  <c r="CX16" i="4"/>
  <c r="CX12" i="4"/>
  <c r="CY49" i="1" l="1"/>
  <c r="CY66" i="73"/>
  <c r="CY63" i="73"/>
  <c r="CP116" i="2"/>
  <c r="CQ112" i="2" s="1"/>
  <c r="CP18" i="3"/>
  <c r="CX456" i="73"/>
  <c r="CY456" i="73" s="1"/>
  <c r="CY20" i="73" s="1"/>
  <c r="CY71" i="73"/>
  <c r="CX41" i="1"/>
  <c r="CR25" i="51"/>
  <c r="CR54" i="51"/>
  <c r="CY26" i="73"/>
  <c r="CY45" i="73"/>
  <c r="CY40" i="73"/>
  <c r="CY90" i="73"/>
  <c r="CY95" i="73"/>
  <c r="CY36" i="73"/>
  <c r="CY38" i="4" s="1"/>
  <c r="CM41" i="2"/>
  <c r="CM20" i="3"/>
  <c r="CL176" i="2"/>
  <c r="CL182" i="2" s="1"/>
  <c r="CL183" i="2" s="1"/>
  <c r="CL184" i="2" s="1"/>
  <c r="CM26" i="1"/>
  <c r="CX175" i="2"/>
  <c r="CY15" i="3"/>
  <c r="CO151" i="2"/>
  <c r="CO154" i="2" s="1"/>
  <c r="CO161" i="2" s="1"/>
  <c r="CP162" i="2" s="1"/>
  <c r="CO25" i="2"/>
  <c r="CQ23" i="2"/>
  <c r="CQ150" i="2"/>
  <c r="CR28" i="51"/>
  <c r="CO162" i="2"/>
  <c r="CS162" i="2"/>
  <c r="CS67" i="51"/>
  <c r="CR96" i="2"/>
  <c r="CS96" i="2" s="1"/>
  <c r="CS46" i="2"/>
  <c r="CY14" i="1"/>
  <c r="CX61" i="1"/>
  <c r="CY15" i="2"/>
  <c r="CX24" i="3"/>
  <c r="CY24" i="3" s="1"/>
  <c r="CM168" i="2"/>
  <c r="CM65" i="2"/>
  <c r="CM64" i="1"/>
  <c r="CM11" i="54"/>
  <c r="CM46" i="1"/>
  <c r="CL74" i="1"/>
  <c r="CL29" i="1" s="1"/>
  <c r="CM29" i="1" s="1"/>
  <c r="CP120" i="2"/>
  <c r="CQ105" i="2"/>
  <c r="CS22" i="51"/>
  <c r="CS28" i="51" s="1"/>
  <c r="CY16" i="4"/>
  <c r="CY14" i="4"/>
  <c r="CY12" i="4"/>
  <c r="CP152" i="2"/>
  <c r="CP189" i="2"/>
  <c r="CP11" i="3"/>
  <c r="CP18" i="1"/>
  <c r="CS24" i="51"/>
  <c r="CS23" i="51"/>
  <c r="CS29" i="51" s="1"/>
  <c r="CS53" i="51"/>
  <c r="CR158" i="2"/>
  <c r="CS39" i="2"/>
  <c r="CL66" i="1"/>
  <c r="CL167" i="2"/>
  <c r="CL51" i="1"/>
  <c r="CL32" i="1"/>
  <c r="CL103" i="1" s="1"/>
  <c r="CL73" i="1"/>
  <c r="CL99" i="1"/>
  <c r="CL102" i="1" s="1"/>
  <c r="CL33" i="1"/>
  <c r="CL79" i="54"/>
  <c r="CL83" i="54" s="1"/>
  <c r="CL84" i="54" s="1"/>
  <c r="CY60" i="4"/>
  <c r="CM74" i="1"/>
  <c r="F10" i="52"/>
  <c r="DL9" i="1"/>
  <c r="CY452" i="73"/>
  <c r="CY450" i="73"/>
  <c r="CY48" i="1"/>
  <c r="CY22" i="4"/>
  <c r="CY28" i="4"/>
  <c r="CY142" i="2"/>
  <c r="CY54" i="1"/>
  <c r="H7" i="52"/>
  <c r="CY171" i="2"/>
  <c r="CY180" i="2" s="1"/>
  <c r="CY25" i="4"/>
  <c r="CO65" i="2"/>
  <c r="CO64" i="1"/>
  <c r="CO168" i="2"/>
  <c r="CO46" i="1"/>
  <c r="CX55" i="1"/>
  <c r="CX56" i="1" s="1"/>
  <c r="CX62" i="4"/>
  <c r="CR55" i="51"/>
  <c r="CS59" i="1"/>
  <c r="CS42" i="1"/>
  <c r="CS449" i="73"/>
  <c r="CS76" i="51"/>
  <c r="CS80" i="51" s="1"/>
  <c r="CS16" i="1"/>
  <c r="CX58" i="1"/>
  <c r="CX172" i="2"/>
  <c r="CX14" i="2"/>
  <c r="CX39" i="1"/>
  <c r="CY10" i="1"/>
  <c r="CY11" i="1" s="1"/>
  <c r="CX29" i="2"/>
  <c r="CX32" i="3"/>
  <c r="CY106" i="2"/>
  <c r="CY107" i="2" s="1"/>
  <c r="CU110" i="2"/>
  <c r="CU113" i="2"/>
  <c r="CO20" i="3"/>
  <c r="CX60" i="1"/>
  <c r="CX75" i="51"/>
  <c r="CX79" i="51" s="1"/>
  <c r="CY13" i="1"/>
  <c r="CY12" i="2"/>
  <c r="CY77" i="2" s="1"/>
  <c r="CX148" i="2"/>
  <c r="CX21" i="3"/>
  <c r="CX32" i="51"/>
  <c r="CR56" i="51"/>
  <c r="CS42" i="51"/>
  <c r="CR62" i="1"/>
  <c r="CR70" i="1"/>
  <c r="CR30" i="2"/>
  <c r="CR173" i="2"/>
  <c r="CR17" i="1"/>
  <c r="CX42" i="1" l="1"/>
  <c r="CX12" i="1" s="1"/>
  <c r="CP121" i="2"/>
  <c r="CX20" i="73"/>
  <c r="CP118" i="2"/>
  <c r="CP20" i="2" s="1"/>
  <c r="CL30" i="1"/>
  <c r="CL174" i="2" s="1"/>
  <c r="CY41" i="1"/>
  <c r="CY40" i="1"/>
  <c r="CY15" i="73" s="1"/>
  <c r="CX21" i="51"/>
  <c r="CX57" i="1"/>
  <c r="CX63" i="4"/>
  <c r="CX60" i="51"/>
  <c r="CX81" i="51"/>
  <c r="CY14" i="2"/>
  <c r="CY78" i="2" s="1"/>
  <c r="CX149" i="2"/>
  <c r="CX23" i="3"/>
  <c r="CY23" i="3" s="1"/>
  <c r="CY89" i="2"/>
  <c r="CQ152" i="2"/>
  <c r="CQ18" i="3"/>
  <c r="CQ189" i="2"/>
  <c r="CM50" i="1"/>
  <c r="CM176" i="2"/>
  <c r="CM182" i="2" s="1"/>
  <c r="CM183" i="2" s="1"/>
  <c r="CM184" i="2" s="1"/>
  <c r="CY16" i="51"/>
  <c r="CY18" i="51" s="1"/>
  <c r="CY48" i="51" s="1"/>
  <c r="CY10" i="51"/>
  <c r="CY40" i="51" s="1"/>
  <c r="CY21" i="3"/>
  <c r="CU18" i="1"/>
  <c r="CU11" i="3"/>
  <c r="CS21" i="73"/>
  <c r="CL185" i="2"/>
  <c r="F17" i="52"/>
  <c r="F18" i="52" s="1"/>
  <c r="CS158" i="2"/>
  <c r="CY32" i="51"/>
  <c r="CS25" i="51"/>
  <c r="CS54" i="51"/>
  <c r="CY43" i="1"/>
  <c r="CY446" i="73" s="1"/>
  <c r="CY60" i="1"/>
  <c r="CY75" i="51"/>
  <c r="CY79" i="51" s="1"/>
  <c r="CU120" i="2"/>
  <c r="CV105" i="2"/>
  <c r="CS55" i="51"/>
  <c r="CP141" i="2"/>
  <c r="CS91" i="2"/>
  <c r="CS56" i="51"/>
  <c r="CP80" i="54"/>
  <c r="CY110" i="2"/>
  <c r="CY61" i="1"/>
  <c r="CY44" i="1"/>
  <c r="CO141" i="2"/>
  <c r="CY55" i="1"/>
  <c r="CY56" i="1" s="1"/>
  <c r="CY62" i="4"/>
  <c r="CY9" i="51"/>
  <c r="CR47" i="1"/>
  <c r="CR66" i="2"/>
  <c r="CR63" i="1"/>
  <c r="CR45" i="1"/>
  <c r="CR143" i="2"/>
  <c r="CR169" i="2"/>
  <c r="CR181" i="2" s="1"/>
  <c r="CU34" i="2"/>
  <c r="CL65" i="1"/>
  <c r="CM33" i="1"/>
  <c r="CP20" i="1"/>
  <c r="CR26" i="3"/>
  <c r="CR157" i="2"/>
  <c r="CR159" i="2" s="1"/>
  <c r="CS30" i="2"/>
  <c r="CR35" i="2"/>
  <c r="CY148" i="2"/>
  <c r="CX81" i="54"/>
  <c r="CX40" i="3"/>
  <c r="CY32" i="3"/>
  <c r="CX25" i="3"/>
  <c r="CY25" i="3" s="1"/>
  <c r="CX156" i="2"/>
  <c r="CY29" i="2"/>
  <c r="CY79" i="2" s="1"/>
  <c r="CS62" i="1"/>
  <c r="CS173" i="2"/>
  <c r="CS17" i="1"/>
  <c r="H8" i="52"/>
  <c r="I8" i="52" s="1"/>
  <c r="J8" i="52" s="1"/>
  <c r="K8" i="52" s="1"/>
  <c r="L8" i="52" s="1"/>
  <c r="M8" i="52" s="1"/>
  <c r="N8" i="52" s="1"/>
  <c r="O8" i="52" s="1"/>
  <c r="CS30" i="51"/>
  <c r="CL85" i="1"/>
  <c r="CL86" i="1"/>
  <c r="CR57" i="51"/>
  <c r="CX35" i="51"/>
  <c r="CQ113" i="2"/>
  <c r="CQ116" i="2" s="1"/>
  <c r="CQ110" i="2"/>
  <c r="CS70" i="1"/>
  <c r="CR72" i="1"/>
  <c r="CR83" i="1"/>
  <c r="CM28" i="1"/>
  <c r="CY172" i="2"/>
  <c r="CY58" i="1"/>
  <c r="CY39" i="1"/>
  <c r="CU46" i="2"/>
  <c r="CR16" i="2"/>
  <c r="CY175" i="2"/>
  <c r="CY177" i="2" s="1"/>
  <c r="CX21" i="73" l="1"/>
  <c r="CP151" i="2"/>
  <c r="CP154" i="2" s="1"/>
  <c r="CP161" i="2" s="1"/>
  <c r="CQ162" i="2" s="1"/>
  <c r="CP25" i="2"/>
  <c r="CL95" i="1"/>
  <c r="CL9" i="3"/>
  <c r="CM9" i="3" s="1"/>
  <c r="CM29" i="3" s="1"/>
  <c r="CL97" i="2"/>
  <c r="CM97" i="2" s="1"/>
  <c r="CM101" i="2" s="1"/>
  <c r="CL31" i="1"/>
  <c r="I7" i="52"/>
  <c r="I15" i="52" s="1"/>
  <c r="CS83" i="1"/>
  <c r="CX59" i="1"/>
  <c r="CX76" i="51"/>
  <c r="CX80" i="51" s="1"/>
  <c r="CY12" i="1"/>
  <c r="CX16" i="1"/>
  <c r="CV46" i="2"/>
  <c r="CU96" i="2"/>
  <c r="CR84" i="1"/>
  <c r="CS84" i="1" s="1"/>
  <c r="CS72" i="1"/>
  <c r="CY447" i="73"/>
  <c r="CY19" i="73"/>
  <c r="CY156" i="2"/>
  <c r="CR20" i="3"/>
  <c r="CS26" i="3"/>
  <c r="CY12" i="51"/>
  <c r="CY39" i="51"/>
  <c r="CU80" i="54"/>
  <c r="CM185" i="2"/>
  <c r="CY81" i="54"/>
  <c r="CY40" i="3"/>
  <c r="H15" i="52"/>
  <c r="H16" i="52" s="1"/>
  <c r="CM65" i="1"/>
  <c r="DK33" i="1"/>
  <c r="CY17" i="73"/>
  <c r="CX24" i="51"/>
  <c r="CX56" i="51" s="1"/>
  <c r="CX23" i="51"/>
  <c r="CX55" i="51" s="1"/>
  <c r="CX53" i="51"/>
  <c r="CY149" i="2"/>
  <c r="CV113" i="2"/>
  <c r="CV110" i="2"/>
  <c r="CQ120" i="2"/>
  <c r="CQ118" i="2"/>
  <c r="CQ20" i="2" s="1"/>
  <c r="CR105" i="2"/>
  <c r="CY21" i="51"/>
  <c r="CY57" i="1"/>
  <c r="CY63" i="4"/>
  <c r="CY81" i="51"/>
  <c r="CY60" i="51"/>
  <c r="CX22" i="51"/>
  <c r="CX28" i="51" s="1"/>
  <c r="CQ121" i="2"/>
  <c r="CR112" i="2"/>
  <c r="CU20" i="1"/>
  <c r="CX67" i="51"/>
  <c r="CY80" i="2"/>
  <c r="CQ11" i="3"/>
  <c r="CQ18" i="1"/>
  <c r="CP168" i="2"/>
  <c r="CP64" i="1"/>
  <c r="CP65" i="2"/>
  <c r="CP46" i="1"/>
  <c r="CR41" i="2"/>
  <c r="CS157" i="2"/>
  <c r="CS159" i="2" s="1"/>
  <c r="CS92" i="2"/>
  <c r="CU26" i="3"/>
  <c r="CS35" i="2"/>
  <c r="CY35" i="51"/>
  <c r="CU157" i="2"/>
  <c r="CU35" i="2"/>
  <c r="CU39" i="2"/>
  <c r="CV34" i="2" s="1"/>
  <c r="F11" i="52"/>
  <c r="F12" i="52" s="1"/>
  <c r="F19" i="52" s="1"/>
  <c r="CM92" i="1"/>
  <c r="CM144" i="2" s="1"/>
  <c r="CM145" i="2" s="1"/>
  <c r="CM146" i="2" s="1"/>
  <c r="CM147" i="2" s="1"/>
  <c r="CM141" i="2" s="1"/>
  <c r="CS16" i="2"/>
  <c r="CR23" i="2"/>
  <c r="CR18" i="3" s="1"/>
  <c r="CS18" i="3" s="1"/>
  <c r="CR150" i="2"/>
  <c r="CM30" i="1"/>
  <c r="CM51" i="1"/>
  <c r="CM167" i="2"/>
  <c r="CM66" i="1"/>
  <c r="CM79" i="54"/>
  <c r="CM83" i="54" s="1"/>
  <c r="CM84" i="54" s="1"/>
  <c r="CM85" i="54" s="1"/>
  <c r="CM35" i="1"/>
  <c r="B39" i="52" s="1"/>
  <c r="CM73" i="1"/>
  <c r="CM99" i="1"/>
  <c r="CS45" i="1"/>
  <c r="CS47" i="1"/>
  <c r="CS66" i="2"/>
  <c r="G9" i="52"/>
  <c r="CS63" i="1"/>
  <c r="CS143" i="2"/>
  <c r="CS169" i="2"/>
  <c r="CS181" i="2" s="1"/>
  <c r="CR145" i="2"/>
  <c r="CR146" i="2" s="1"/>
  <c r="CR147" i="2" s="1"/>
  <c r="CS57" i="51"/>
  <c r="CQ141" i="2" l="1"/>
  <c r="CL47" i="2"/>
  <c r="CL49" i="2" s="1"/>
  <c r="CL29" i="3"/>
  <c r="CL84" i="2" s="1"/>
  <c r="CL101" i="2"/>
  <c r="CM31" i="1"/>
  <c r="I17" i="52"/>
  <c r="J7" i="52"/>
  <c r="J15" i="52" s="1"/>
  <c r="CX29" i="51"/>
  <c r="CX30" i="51"/>
  <c r="CM84" i="2"/>
  <c r="CM61" i="3"/>
  <c r="CM53" i="3"/>
  <c r="CX25" i="51"/>
  <c r="CX54" i="51"/>
  <c r="CO95" i="2"/>
  <c r="CS95" i="2"/>
  <c r="CS150" i="2"/>
  <c r="CR113" i="2"/>
  <c r="CR116" i="2" s="1"/>
  <c r="CR121" i="2" s="1"/>
  <c r="CR110" i="2"/>
  <c r="CU65" i="2"/>
  <c r="CU64" i="1"/>
  <c r="CU168" i="2"/>
  <c r="CU46" i="1"/>
  <c r="CX62" i="1"/>
  <c r="CX30" i="2"/>
  <c r="CX173" i="2"/>
  <c r="CX70" i="1"/>
  <c r="CX17" i="1"/>
  <c r="CM95" i="1"/>
  <c r="CM174" i="2"/>
  <c r="CQ25" i="2"/>
  <c r="CQ151" i="2"/>
  <c r="CQ154" i="2" s="1"/>
  <c r="CQ161" i="2" s="1"/>
  <c r="CR162" i="2" s="1"/>
  <c r="CY42" i="51"/>
  <c r="CV35" i="2"/>
  <c r="CV157" i="2"/>
  <c r="CV39" i="2"/>
  <c r="CY449" i="73"/>
  <c r="CY59" i="1"/>
  <c r="CY76" i="51"/>
  <c r="CY80" i="51" s="1"/>
  <c r="CY42" i="1"/>
  <c r="CY16" i="1"/>
  <c r="CY67" i="51"/>
  <c r="CU158" i="2"/>
  <c r="CU159" i="2" s="1"/>
  <c r="CS41" i="2"/>
  <c r="CQ20" i="1"/>
  <c r="CY22" i="51"/>
  <c r="CY28" i="51" s="1"/>
  <c r="CV120" i="2"/>
  <c r="CW105" i="2"/>
  <c r="CS20" i="3"/>
  <c r="CR74" i="1"/>
  <c r="CR29" i="1" s="1"/>
  <c r="CS29" i="1" s="1"/>
  <c r="CM85" i="1"/>
  <c r="CM86" i="1"/>
  <c r="CY23" i="51"/>
  <c r="CY55" i="51" s="1"/>
  <c r="CY24" i="51"/>
  <c r="CY56" i="51" s="1"/>
  <c r="CY53" i="51"/>
  <c r="CS23" i="2"/>
  <c r="CS152" i="2" s="1"/>
  <c r="CR152" i="2"/>
  <c r="CM87" i="1"/>
  <c r="CM166" i="2"/>
  <c r="CM101" i="1"/>
  <c r="CM102" i="1" s="1"/>
  <c r="G10" i="52"/>
  <c r="CM32" i="1"/>
  <c r="CM103" i="1" s="1"/>
  <c r="CR189" i="2"/>
  <c r="CU41" i="2"/>
  <c r="CU20" i="3"/>
  <c r="CQ80" i="54"/>
  <c r="CV18" i="1"/>
  <c r="CV11" i="3"/>
  <c r="CW46" i="2"/>
  <c r="CV96" i="2"/>
  <c r="CS74" i="1"/>
  <c r="CL53" i="3" l="1"/>
  <c r="CM47" i="2"/>
  <c r="CM49" i="2" s="1"/>
  <c r="CL61" i="3"/>
  <c r="CL85" i="2" s="1"/>
  <c r="K7" i="52"/>
  <c r="K17" i="52" s="1"/>
  <c r="J17" i="52"/>
  <c r="CY30" i="51"/>
  <c r="CY29" i="51"/>
  <c r="CR141" i="2"/>
  <c r="CV158" i="2"/>
  <c r="CV159" i="2" s="1"/>
  <c r="CL195" i="2"/>
  <c r="CL68" i="2"/>
  <c r="CL60" i="2"/>
  <c r="CL51" i="2"/>
  <c r="CQ168" i="2"/>
  <c r="CQ65" i="2"/>
  <c r="CQ64" i="1"/>
  <c r="CQ46" i="1"/>
  <c r="CV41" i="2"/>
  <c r="CS90" i="2"/>
  <c r="CM88" i="3"/>
  <c r="CM64" i="3"/>
  <c r="CM85" i="2"/>
  <c r="CM62" i="3"/>
  <c r="CM83" i="2"/>
  <c r="CM56" i="3"/>
  <c r="CX57" i="51"/>
  <c r="CW96" i="2"/>
  <c r="CX46" i="2"/>
  <c r="CR11" i="3"/>
  <c r="CR18" i="1"/>
  <c r="CS113" i="2"/>
  <c r="CV80" i="54"/>
  <c r="CW113" i="2"/>
  <c r="CW110" i="2"/>
  <c r="CY21" i="73"/>
  <c r="CX45" i="1"/>
  <c r="CX66" i="2"/>
  <c r="CX47" i="1"/>
  <c r="CX63" i="1"/>
  <c r="CX143" i="2"/>
  <c r="CX169" i="2"/>
  <c r="CX181" i="2" s="1"/>
  <c r="CW34" i="2"/>
  <c r="CY70" i="1"/>
  <c r="CX83" i="1"/>
  <c r="CX72" i="1"/>
  <c r="G17" i="52"/>
  <c r="G18" i="52" s="1"/>
  <c r="CX26" i="3"/>
  <c r="CY30" i="2"/>
  <c r="CY25" i="51"/>
  <c r="CY54" i="51"/>
  <c r="CV20" i="1"/>
  <c r="CU16" i="2"/>
  <c r="CR120" i="2"/>
  <c r="CR118" i="2"/>
  <c r="CR20" i="2" s="1"/>
  <c r="CL83" i="2"/>
  <c r="CL56" i="3"/>
  <c r="CY62" i="1"/>
  <c r="CY173" i="2"/>
  <c r="CY17" i="1"/>
  <c r="CS189" i="2"/>
  <c r="CL64" i="3" l="1"/>
  <c r="CL62" i="3"/>
  <c r="CL65" i="3" s="1"/>
  <c r="K15" i="52"/>
  <c r="L7" i="52"/>
  <c r="L17" i="52" s="1"/>
  <c r="CY45" i="1"/>
  <c r="CY63" i="1"/>
  <c r="CY66" i="2"/>
  <c r="CY47" i="1"/>
  <c r="CY143" i="2"/>
  <c r="H9" i="52"/>
  <c r="CY169" i="2"/>
  <c r="CY181" i="2" s="1"/>
  <c r="CW39" i="2"/>
  <c r="CX34" i="2" s="1"/>
  <c r="CW157" i="2"/>
  <c r="CW35" i="2"/>
  <c r="CR20" i="1"/>
  <c r="CS18" i="1"/>
  <c r="CM68" i="2"/>
  <c r="CM195" i="2"/>
  <c r="CM51" i="2"/>
  <c r="CM60" i="2"/>
  <c r="CX145" i="2"/>
  <c r="CX146" i="2" s="1"/>
  <c r="CX147" i="2" s="1"/>
  <c r="CR80" i="54"/>
  <c r="CS11" i="3"/>
  <c r="CV64" i="1"/>
  <c r="CV168" i="2"/>
  <c r="CV46" i="1"/>
  <c r="CV65" i="2"/>
  <c r="CS114" i="2"/>
  <c r="CS116" i="2"/>
  <c r="CS120" i="2"/>
  <c r="CY72" i="1"/>
  <c r="CX84" i="1"/>
  <c r="CY84" i="1" s="1"/>
  <c r="CX105" i="2"/>
  <c r="CW120" i="2"/>
  <c r="CX20" i="3"/>
  <c r="CY26" i="3"/>
  <c r="CM67" i="3"/>
  <c r="CM63" i="3"/>
  <c r="CM65" i="3"/>
  <c r="CM86" i="2"/>
  <c r="CL10" i="2"/>
  <c r="CL57" i="3" s="1"/>
  <c r="CY57" i="51"/>
  <c r="CY83" i="1"/>
  <c r="CW18" i="1"/>
  <c r="CW11" i="3"/>
  <c r="CX96" i="2"/>
  <c r="CY96" i="2" s="1"/>
  <c r="CY46" i="2"/>
  <c r="CR151" i="2"/>
  <c r="CR154" i="2" s="1"/>
  <c r="CR161" i="2" s="1"/>
  <c r="CR25" i="2"/>
  <c r="CS20" i="2"/>
  <c r="CO55" i="3"/>
  <c r="CS55" i="3"/>
  <c r="CM10" i="2"/>
  <c r="B37" i="52" s="1"/>
  <c r="CU150" i="2"/>
  <c r="CU23" i="2"/>
  <c r="CU152" i="2" s="1"/>
  <c r="CY92" i="2"/>
  <c r="CL86" i="2" l="1"/>
  <c r="M7" i="52"/>
  <c r="N7" i="52" s="1"/>
  <c r="L15" i="52"/>
  <c r="CY34" i="2"/>
  <c r="CX39" i="2"/>
  <c r="CX35" i="2"/>
  <c r="CX157" i="2"/>
  <c r="CS25" i="2"/>
  <c r="CS151" i="2"/>
  <c r="CS154" i="2" s="1"/>
  <c r="CS161" i="2" s="1"/>
  <c r="CW41" i="2"/>
  <c r="CM72" i="2"/>
  <c r="CM73" i="2"/>
  <c r="CM56" i="2"/>
  <c r="CM17" i="2"/>
  <c r="CM198" i="2"/>
  <c r="CO78" i="54"/>
  <c r="CW80" i="54"/>
  <c r="CL72" i="2"/>
  <c r="CL198" i="2"/>
  <c r="CL17" i="2"/>
  <c r="CL73" i="2"/>
  <c r="CL56" i="2"/>
  <c r="G13" i="52"/>
  <c r="G14" i="52" s="1"/>
  <c r="CS20" i="1"/>
  <c r="CW158" i="2"/>
  <c r="CW159" i="2" s="1"/>
  <c r="CY20" i="3"/>
  <c r="CW20" i="1"/>
  <c r="CR65" i="2"/>
  <c r="CR168" i="2"/>
  <c r="CR64" i="1"/>
  <c r="CR46" i="1"/>
  <c r="CS121" i="2"/>
  <c r="CY112" i="2"/>
  <c r="CU112" i="2"/>
  <c r="CU116" i="2" s="1"/>
  <c r="CS118" i="2"/>
  <c r="CU189" i="2"/>
  <c r="CX74" i="1"/>
  <c r="CX29" i="1" s="1"/>
  <c r="CY29" i="1" s="1"/>
  <c r="CS80" i="54"/>
  <c r="H10" i="52"/>
  <c r="I10" i="52" s="1"/>
  <c r="CX113" i="2"/>
  <c r="CX110" i="2"/>
  <c r="CM57" i="3"/>
  <c r="CU18" i="3"/>
  <c r="CV16" i="2"/>
  <c r="CY74" i="1"/>
  <c r="M15" i="52" l="1"/>
  <c r="M17" i="52"/>
  <c r="CL57" i="2"/>
  <c r="CL67" i="2"/>
  <c r="CM67" i="2"/>
  <c r="CM57" i="2"/>
  <c r="CU162" i="2"/>
  <c r="CY162" i="2"/>
  <c r="H17" i="52"/>
  <c r="H18" i="52" s="1"/>
  <c r="CL74" i="2"/>
  <c r="CL71" i="2"/>
  <c r="CL26" i="2"/>
  <c r="CS78" i="54"/>
  <c r="CO86" i="54"/>
  <c r="CX158" i="2"/>
  <c r="CX159" i="2" s="1"/>
  <c r="CY39" i="2"/>
  <c r="CV23" i="2"/>
  <c r="CV152" i="2" s="1"/>
  <c r="CV150" i="2"/>
  <c r="CX120" i="2"/>
  <c r="CW64" i="1"/>
  <c r="CW168" i="2"/>
  <c r="CW65" i="2"/>
  <c r="CW46" i="1"/>
  <c r="CX11" i="3"/>
  <c r="CX18" i="1"/>
  <c r="CY113" i="2"/>
  <c r="CY157" i="2"/>
  <c r="CY35" i="2"/>
  <c r="CU121" i="2"/>
  <c r="CV112" i="2"/>
  <c r="CV116" i="2" s="1"/>
  <c r="CU118" i="2"/>
  <c r="CU20" i="2" s="1"/>
  <c r="CM71" i="2"/>
  <c r="CM74" i="2"/>
  <c r="CM26" i="2"/>
  <c r="CS168" i="2"/>
  <c r="CS64" i="1"/>
  <c r="CS11" i="54"/>
  <c r="CS65" i="2"/>
  <c r="CS46" i="1"/>
  <c r="CX41" i="2"/>
  <c r="J10" i="52"/>
  <c r="I9" i="52"/>
  <c r="N17" i="52"/>
  <c r="N15" i="52"/>
  <c r="O7" i="52"/>
  <c r="CL201" i="2"/>
  <c r="CL202" i="2"/>
  <c r="K10" i="52" l="1"/>
  <c r="J9" i="52"/>
  <c r="CU25" i="2"/>
  <c r="CU151" i="2"/>
  <c r="CU154" i="2" s="1"/>
  <c r="CU161" i="2" s="1"/>
  <c r="CV162" i="2" s="1"/>
  <c r="CX20" i="1"/>
  <c r="CY18" i="1"/>
  <c r="CW16" i="2"/>
  <c r="CM201" i="2"/>
  <c r="CL204" i="2"/>
  <c r="CM204" i="2"/>
  <c r="CV18" i="3"/>
  <c r="CV121" i="2"/>
  <c r="CW112" i="2"/>
  <c r="CW116" i="2" s="1"/>
  <c r="CV118" i="2"/>
  <c r="CV20" i="2" s="1"/>
  <c r="CY41" i="2"/>
  <c r="CY158" i="2"/>
  <c r="CY159" i="2" s="1"/>
  <c r="CM52" i="2"/>
  <c r="CM61" i="2"/>
  <c r="CY91" i="2"/>
  <c r="CV189" i="2"/>
  <c r="CO21" i="1"/>
  <c r="CU141" i="2"/>
  <c r="CM202" i="2"/>
  <c r="CL205" i="2"/>
  <c r="CL62" i="2" s="1"/>
  <c r="CM205" i="2"/>
  <c r="CM62" i="2" s="1"/>
  <c r="CX80" i="54"/>
  <c r="CY11" i="3"/>
  <c r="CY80" i="54" s="1"/>
  <c r="CL52" i="2"/>
  <c r="CL61" i="2"/>
  <c r="O15" i="52"/>
  <c r="O17" i="52"/>
  <c r="P7" i="52"/>
  <c r="CY114" i="2"/>
  <c r="CY120" i="2"/>
  <c r="CY116" i="2"/>
  <c r="CX168" i="2" l="1"/>
  <c r="CX65" i="2"/>
  <c r="CX64" i="1"/>
  <c r="CX46" i="1"/>
  <c r="CO24" i="1"/>
  <c r="CY121" i="2"/>
  <c r="CY118" i="2"/>
  <c r="P15" i="52"/>
  <c r="P13" i="52" s="1"/>
  <c r="P14" i="52" s="1"/>
  <c r="P17" i="52"/>
  <c r="CV25" i="2"/>
  <c r="CV151" i="2"/>
  <c r="CV154" i="2" s="1"/>
  <c r="CV161" i="2" s="1"/>
  <c r="CW162" i="2" s="1"/>
  <c r="CW23" i="2"/>
  <c r="CW152" i="2" s="1"/>
  <c r="CW150" i="2"/>
  <c r="L10" i="52"/>
  <c r="K9" i="52"/>
  <c r="CV141" i="2"/>
  <c r="CW121" i="2"/>
  <c r="CX112" i="2"/>
  <c r="CX116" i="2" s="1"/>
  <c r="CW118" i="2"/>
  <c r="CW20" i="2" s="1"/>
  <c r="H13" i="52"/>
  <c r="CY20" i="1"/>
  <c r="CX16" i="2" l="1"/>
  <c r="CY16" i="2" s="1"/>
  <c r="CW18" i="3"/>
  <c r="CW189" i="2"/>
  <c r="H14" i="52"/>
  <c r="I13" i="52"/>
  <c r="M10" i="52"/>
  <c r="L9" i="52"/>
  <c r="CX121" i="2"/>
  <c r="CX118" i="2"/>
  <c r="CX20" i="2" s="1"/>
  <c r="CW141" i="2"/>
  <c r="CO25" i="1"/>
  <c r="CW151" i="2"/>
  <c r="CW154" i="2" s="1"/>
  <c r="CW161" i="2" s="1"/>
  <c r="CX162" i="2" s="1"/>
  <c r="CW25" i="2"/>
  <c r="CY11" i="54"/>
  <c r="CY64" i="1"/>
  <c r="CY65" i="2"/>
  <c r="CY168" i="2"/>
  <c r="CY46" i="1"/>
  <c r="CX150" i="2" l="1"/>
  <c r="CX23" i="2"/>
  <c r="CX18" i="3" s="1"/>
  <c r="CY18" i="3" s="1"/>
  <c r="CO26" i="1"/>
  <c r="I14" i="52"/>
  <c r="J13" i="52"/>
  <c r="CY150" i="2"/>
  <c r="CX141" i="2"/>
  <c r="N10" i="52"/>
  <c r="M9" i="52"/>
  <c r="CX151" i="2"/>
  <c r="CY20" i="2"/>
  <c r="CX25" i="2" l="1"/>
  <c r="CY23" i="2"/>
  <c r="CY152" i="2" s="1"/>
  <c r="CX189" i="2"/>
  <c r="CX152" i="2"/>
  <c r="CX154" i="2" s="1"/>
  <c r="CX161" i="2" s="1"/>
  <c r="CY151" i="2"/>
  <c r="CO176" i="2"/>
  <c r="CO182" i="2" s="1"/>
  <c r="CO183" i="2" s="1"/>
  <c r="CO184" i="2" s="1"/>
  <c r="CO28" i="1"/>
  <c r="O10" i="52"/>
  <c r="N9" i="52"/>
  <c r="K13" i="52"/>
  <c r="J14" i="52"/>
  <c r="CY25" i="2" l="1"/>
  <c r="CY154" i="2"/>
  <c r="CY161" i="2" s="1"/>
  <c r="CY90" i="2"/>
  <c r="CY189" i="2"/>
  <c r="CO185" i="2"/>
  <c r="P10" i="52"/>
  <c r="P9" i="52" s="1"/>
  <c r="O9" i="52"/>
  <c r="CO66" i="1"/>
  <c r="CO73" i="1"/>
  <c r="CO51" i="1"/>
  <c r="CO79" i="54"/>
  <c r="CO83" i="54" s="1"/>
  <c r="CO84" i="54" s="1"/>
  <c r="CO167" i="2"/>
  <c r="CO32" i="1"/>
  <c r="CO103" i="1" s="1"/>
  <c r="CO33" i="1"/>
  <c r="CO99" i="1"/>
  <c r="CO102" i="1" s="1"/>
  <c r="CO30" i="1"/>
  <c r="K14" i="52"/>
  <c r="L13" i="52"/>
  <c r="CO65" i="1" l="1"/>
  <c r="CO95" i="1"/>
  <c r="CO174" i="2"/>
  <c r="CO9" i="3"/>
  <c r="CO31" i="1"/>
  <c r="CO97" i="2"/>
  <c r="L14" i="52"/>
  <c r="M13" i="52"/>
  <c r="CO85" i="1"/>
  <c r="CO86" i="1"/>
  <c r="M14" i="52" l="1"/>
  <c r="N13" i="52"/>
  <c r="CO29" i="3"/>
  <c r="CO47" i="2"/>
  <c r="CO101" i="2"/>
  <c r="CP95" i="2" s="1"/>
  <c r="CO84" i="2" l="1"/>
  <c r="CO53" i="3"/>
  <c r="CO61" i="3"/>
  <c r="CO49" i="2"/>
  <c r="N14" i="52"/>
  <c r="O13" i="52"/>
  <c r="O14" i="52" s="1"/>
  <c r="CO195" i="2" l="1"/>
  <c r="CO68" i="2"/>
  <c r="CO51" i="2"/>
  <c r="CO60" i="2"/>
  <c r="CO85" i="2"/>
  <c r="CO64" i="3"/>
  <c r="CO62" i="3"/>
  <c r="CO83" i="2"/>
  <c r="CO56" i="3"/>
  <c r="CP55" i="3" l="1"/>
  <c r="CO10" i="2"/>
  <c r="CO57" i="3" s="1"/>
  <c r="CO86" i="2"/>
  <c r="CO65" i="3"/>
  <c r="CO73" i="2" l="1"/>
  <c r="CO72" i="2"/>
  <c r="CO198" i="2"/>
  <c r="CO56" i="2"/>
  <c r="CO17" i="2"/>
  <c r="CP78" i="54"/>
  <c r="CO71" i="2" l="1"/>
  <c r="CO74" i="2"/>
  <c r="CO26" i="2"/>
  <c r="CP86" i="54"/>
  <c r="CO57" i="2"/>
  <c r="CO67" i="2"/>
  <c r="CO202" i="2"/>
  <c r="CO205" i="2" s="1"/>
  <c r="CO62" i="2" s="1"/>
  <c r="CO201" i="2"/>
  <c r="CO204" i="2" s="1"/>
  <c r="CP21" i="1" l="1"/>
  <c r="CO52" i="2"/>
  <c r="CO61" i="2"/>
  <c r="CP24" i="1" l="1"/>
  <c r="CP25" i="1" l="1"/>
  <c r="CP26" i="1" l="1"/>
  <c r="CP28" i="1" s="1"/>
  <c r="CP51" i="1" l="1"/>
  <c r="CP167" i="2"/>
  <c r="CP66" i="1"/>
  <c r="CP79" i="54"/>
  <c r="CP83" i="54" s="1"/>
  <c r="CP84" i="54" s="1"/>
  <c r="CP99" i="1"/>
  <c r="CP102" i="1" s="1"/>
  <c r="CP73" i="1"/>
  <c r="CP33" i="1"/>
  <c r="CP30" i="1"/>
  <c r="CP32" i="1"/>
  <c r="CP103" i="1" s="1"/>
  <c r="CP176" i="2"/>
  <c r="CP182" i="2" s="1"/>
  <c r="CP183" i="2" s="1"/>
  <c r="CP184" i="2" s="1"/>
  <c r="CP185" i="2" l="1"/>
  <c r="CP97" i="2"/>
  <c r="CP174" i="2"/>
  <c r="CP95" i="1"/>
  <c r="CP9" i="3"/>
  <c r="CP31" i="1"/>
  <c r="CP65" i="1"/>
  <c r="CP86" i="1"/>
  <c r="CP85" i="1"/>
  <c r="CP29" i="3" l="1"/>
  <c r="CP47" i="2"/>
  <c r="CP101" i="2"/>
  <c r="CQ95" i="2" s="1"/>
  <c r="CP49" i="2" l="1"/>
  <c r="CP61" i="3"/>
  <c r="CP84" i="2"/>
  <c r="CP53" i="3"/>
  <c r="CP83" i="2" l="1"/>
  <c r="CP56" i="3"/>
  <c r="CP195" i="2"/>
  <c r="CP68" i="2"/>
  <c r="CP51" i="2"/>
  <c r="CP60" i="2"/>
  <c r="CP85" i="2"/>
  <c r="CP62" i="3"/>
  <c r="CP64" i="3"/>
  <c r="CQ55" i="3" l="1"/>
  <c r="CP10" i="2"/>
  <c r="CP65" i="3"/>
  <c r="CP86" i="2"/>
  <c r="CP198" i="2" l="1"/>
  <c r="CP72" i="2"/>
  <c r="CP73" i="2"/>
  <c r="CQ78" i="54"/>
  <c r="CP56" i="2"/>
  <c r="CP17" i="2"/>
  <c r="CP57" i="3"/>
  <c r="CP67" i="2" l="1"/>
  <c r="CP57" i="2"/>
  <c r="CQ86" i="54"/>
  <c r="CP74" i="2"/>
  <c r="CP26" i="2"/>
  <c r="CP71" i="2"/>
  <c r="CP202" i="2"/>
  <c r="CP205" i="2" s="1"/>
  <c r="CP62" i="2" s="1"/>
  <c r="CP201" i="2"/>
  <c r="CP204" i="2" s="1"/>
  <c r="CP52" i="2" l="1"/>
  <c r="CP61" i="2"/>
  <c r="CQ21" i="1"/>
  <c r="CQ24" i="1" l="1"/>
  <c r="CQ25" i="1" l="1"/>
  <c r="CQ26" i="1" l="1"/>
  <c r="CQ176" i="2" l="1"/>
  <c r="CQ182" i="2" s="1"/>
  <c r="CQ183" i="2" s="1"/>
  <c r="CQ184" i="2" s="1"/>
  <c r="CQ28" i="1"/>
  <c r="CQ167" i="2" l="1"/>
  <c r="CQ66" i="1"/>
  <c r="CQ51" i="1"/>
  <c r="CQ73" i="1"/>
  <c r="CQ79" i="54"/>
  <c r="CQ83" i="54" s="1"/>
  <c r="CQ84" i="54" s="1"/>
  <c r="CQ33" i="1"/>
  <c r="CQ32" i="1"/>
  <c r="CQ103" i="1" s="1"/>
  <c r="CQ30" i="1"/>
  <c r="CQ99" i="1"/>
  <c r="CQ102" i="1" s="1"/>
  <c r="CQ185" i="2"/>
  <c r="CQ65" i="1" l="1"/>
  <c r="CQ86" i="1"/>
  <c r="CQ85" i="1"/>
  <c r="CQ95" i="1"/>
  <c r="CQ9" i="3"/>
  <c r="CQ174" i="2"/>
  <c r="CQ97" i="2"/>
  <c r="CQ31" i="1"/>
  <c r="CQ29" i="3" l="1"/>
  <c r="CQ47" i="2"/>
  <c r="CQ101" i="2"/>
  <c r="CR95" i="2" s="1"/>
  <c r="CQ84" i="2" l="1"/>
  <c r="CQ53" i="3"/>
  <c r="CQ61" i="3"/>
  <c r="CQ49" i="2"/>
  <c r="CQ64" i="3" l="1"/>
  <c r="CQ85" i="2"/>
  <c r="CQ62" i="3"/>
  <c r="CQ195" i="2"/>
  <c r="CQ68" i="2"/>
  <c r="CQ51" i="2"/>
  <c r="CQ60" i="2"/>
  <c r="CQ83" i="2"/>
  <c r="CQ56" i="3"/>
  <c r="CQ10" i="2" l="1"/>
  <c r="CQ57" i="3" s="1"/>
  <c r="CR55" i="3"/>
  <c r="CQ86" i="2"/>
  <c r="CQ65" i="3"/>
  <c r="CQ72" i="2" l="1"/>
  <c r="CQ73" i="2"/>
  <c r="CQ17" i="2"/>
  <c r="CQ56" i="2"/>
  <c r="CR78" i="54"/>
  <c r="CQ198" i="2"/>
  <c r="CQ201" i="2" l="1"/>
  <c r="CQ204" i="2" s="1"/>
  <c r="CQ202" i="2"/>
  <c r="CQ205" i="2" s="1"/>
  <c r="CQ62" i="2" s="1"/>
  <c r="CQ57" i="2"/>
  <c r="CQ67" i="2"/>
  <c r="CR86" i="54"/>
  <c r="CQ71" i="2"/>
  <c r="CQ26" i="2"/>
  <c r="CQ74" i="2"/>
  <c r="CR21" i="1" l="1"/>
  <c r="CS86" i="54"/>
  <c r="CQ52" i="2"/>
  <c r="CQ61" i="2"/>
  <c r="CR24" i="1" l="1"/>
  <c r="CS21" i="1"/>
  <c r="CS24" i="1" s="1"/>
  <c r="CS25" i="1" l="1"/>
  <c r="CR25" i="1"/>
  <c r="CR26" i="1" l="1"/>
  <c r="CR28" i="1" s="1"/>
  <c r="CR79" i="54" l="1"/>
  <c r="CR83" i="54" s="1"/>
  <c r="CR84" i="54" s="1"/>
  <c r="CR66" i="1"/>
  <c r="CR51" i="1"/>
  <c r="CR167" i="2"/>
  <c r="CR73" i="1"/>
  <c r="CR33" i="1"/>
  <c r="CR99" i="1"/>
  <c r="CR102" i="1" s="1"/>
  <c r="CR32" i="1"/>
  <c r="CR103" i="1" s="1"/>
  <c r="CR30" i="1"/>
  <c r="CR176" i="2"/>
  <c r="CR182" i="2" s="1"/>
  <c r="CR183" i="2" s="1"/>
  <c r="CR184" i="2" s="1"/>
  <c r="CS26" i="1"/>
  <c r="CR95" i="1" l="1"/>
  <c r="CR9" i="3"/>
  <c r="CR174" i="2"/>
  <c r="CR97" i="2"/>
  <c r="CR31" i="1"/>
  <c r="CS50" i="1"/>
  <c r="CS176" i="2"/>
  <c r="CS182" i="2" s="1"/>
  <c r="CS183" i="2" s="1"/>
  <c r="CS184" i="2" s="1"/>
  <c r="CS28" i="1"/>
  <c r="CR65" i="1"/>
  <c r="CS33" i="1"/>
  <c r="CR185" i="2"/>
  <c r="CR86" i="1"/>
  <c r="CR85" i="1"/>
  <c r="CS92" i="1" l="1"/>
  <c r="CS144" i="2" s="1"/>
  <c r="CS145" i="2" s="1"/>
  <c r="CS146" i="2" s="1"/>
  <c r="CS147" i="2" s="1"/>
  <c r="CS141" i="2" s="1"/>
  <c r="G11" i="52"/>
  <c r="G12" i="52" s="1"/>
  <c r="G19" i="52" s="1"/>
  <c r="CS65" i="1"/>
  <c r="CS66" i="1"/>
  <c r="CS51" i="1"/>
  <c r="CS167" i="2"/>
  <c r="CS79" i="54"/>
  <c r="CS83" i="54" s="1"/>
  <c r="CS84" i="54" s="1"/>
  <c r="CS85" i="54" s="1"/>
  <c r="CS30" i="1"/>
  <c r="CS99" i="1"/>
  <c r="CS35" i="1"/>
  <c r="CS32" i="1" s="1"/>
  <c r="CS103" i="1" s="1"/>
  <c r="CS73" i="1"/>
  <c r="CR29" i="3"/>
  <c r="CS9" i="3"/>
  <c r="CS29" i="3" s="1"/>
  <c r="CR47" i="2"/>
  <c r="CS31" i="1"/>
  <c r="CS97" i="2"/>
  <c r="CS101" i="2" s="1"/>
  <c r="CR101" i="2"/>
  <c r="CS185" i="2"/>
  <c r="CS174" i="2" l="1"/>
  <c r="CS95" i="1"/>
  <c r="CS84" i="2"/>
  <c r="CS61" i="3"/>
  <c r="CS53" i="3"/>
  <c r="CS47" i="2"/>
  <c r="CR49" i="2"/>
  <c r="CR84" i="2"/>
  <c r="CR61" i="3"/>
  <c r="CR53" i="3"/>
  <c r="CS85" i="1"/>
  <c r="CS86" i="1"/>
  <c r="CU95" i="2"/>
  <c r="CY95" i="2"/>
  <c r="CS101" i="1"/>
  <c r="CS102" i="1" s="1"/>
  <c r="CS87" i="1"/>
  <c r="CS166" i="2"/>
  <c r="CR62" i="3" l="1"/>
  <c r="CR64" i="3"/>
  <c r="CR85" i="2"/>
  <c r="CR195" i="2"/>
  <c r="CR68" i="2"/>
  <c r="CR51" i="2"/>
  <c r="CR60" i="2"/>
  <c r="CS64" i="3"/>
  <c r="CS85" i="2"/>
  <c r="CS88" i="3"/>
  <c r="CS62" i="3"/>
  <c r="CR56" i="3"/>
  <c r="CR83" i="2"/>
  <c r="CS49" i="2"/>
  <c r="CS83" i="2"/>
  <c r="CS56" i="3"/>
  <c r="CR86" i="2" l="1"/>
  <c r="CR65" i="3"/>
  <c r="CU55" i="3"/>
  <c r="CY55" i="3"/>
  <c r="CS10" i="2"/>
  <c r="CS57" i="3" s="1"/>
  <c r="CR10" i="2"/>
  <c r="CS86" i="2"/>
  <c r="CS67" i="3"/>
  <c r="CS63" i="3"/>
  <c r="CS65" i="3"/>
  <c r="CS68" i="2"/>
  <c r="CS195" i="2"/>
  <c r="CS51" i="2"/>
  <c r="CS60" i="2"/>
  <c r="CR72" i="2" l="1"/>
  <c r="CR73" i="2"/>
  <c r="CR198" i="2"/>
  <c r="CR17" i="2"/>
  <c r="CR56" i="2"/>
  <c r="CR57" i="3"/>
  <c r="CS72" i="2"/>
  <c r="CS198" i="2"/>
  <c r="CS73" i="2"/>
  <c r="CS56" i="2"/>
  <c r="CS17" i="2"/>
  <c r="CU78" i="54"/>
  <c r="CR26" i="2" l="1"/>
  <c r="CR71" i="2"/>
  <c r="CR74" i="2"/>
  <c r="CS57" i="2"/>
  <c r="CS67" i="2"/>
  <c r="CR202" i="2"/>
  <c r="CR201" i="2"/>
  <c r="CY78" i="54"/>
  <c r="CU86" i="54"/>
  <c r="CS74" i="2"/>
  <c r="CS71" i="2"/>
  <c r="CS26" i="2"/>
  <c r="CR67" i="2"/>
  <c r="CR57" i="2"/>
  <c r="CR52" i="2" l="1"/>
  <c r="CR61" i="2"/>
  <c r="CS202" i="2"/>
  <c r="CR205" i="2"/>
  <c r="CR62" i="2" s="1"/>
  <c r="CS205" i="2"/>
  <c r="CS62" i="2" s="1"/>
  <c r="CU21" i="1"/>
  <c r="CS52" i="2"/>
  <c r="CS61" i="2"/>
  <c r="CS201" i="2"/>
  <c r="CR204" i="2"/>
  <c r="CS204" i="2"/>
  <c r="CU24" i="1" l="1"/>
  <c r="CU25" i="1" l="1"/>
  <c r="CU26" i="1" l="1"/>
  <c r="CU176" i="2" l="1"/>
  <c r="CU182" i="2" s="1"/>
  <c r="CU183" i="2" s="1"/>
  <c r="CU184" i="2" s="1"/>
  <c r="CU28" i="1"/>
  <c r="CU167" i="2" l="1"/>
  <c r="CU73" i="1"/>
  <c r="CU79" i="54"/>
  <c r="CU83" i="54" s="1"/>
  <c r="CU84" i="54" s="1"/>
  <c r="CU51" i="1"/>
  <c r="CU66" i="1"/>
  <c r="CU32" i="1"/>
  <c r="CU103" i="1" s="1"/>
  <c r="CU99" i="1"/>
  <c r="CU102" i="1" s="1"/>
  <c r="CU30" i="1"/>
  <c r="CU33" i="1"/>
  <c r="CU185" i="2"/>
  <c r="CU85" i="1" l="1"/>
  <c r="CU86" i="1"/>
  <c r="CU65" i="1"/>
  <c r="CU95" i="1"/>
  <c r="CU97" i="2"/>
  <c r="CU174" i="2"/>
  <c r="CU31" i="1"/>
  <c r="CU9" i="3"/>
  <c r="CU101" i="2" l="1"/>
  <c r="CV95" i="2" s="1"/>
  <c r="CU29" i="3"/>
  <c r="CU47" i="2"/>
  <c r="CU84" i="2" l="1"/>
  <c r="CU53" i="3"/>
  <c r="CU61" i="3"/>
  <c r="CU49" i="2"/>
  <c r="CU68" i="2" l="1"/>
  <c r="CU195" i="2"/>
  <c r="CU51" i="2"/>
  <c r="CU60" i="2"/>
  <c r="CU85" i="2"/>
  <c r="CU62" i="3"/>
  <c r="CU64" i="3"/>
  <c r="CU83" i="2"/>
  <c r="CU56" i="3"/>
  <c r="CU65" i="3" l="1"/>
  <c r="CU86" i="2"/>
  <c r="CV55" i="3"/>
  <c r="CU10" i="2"/>
  <c r="CU17" i="2" l="1"/>
  <c r="CU73" i="2"/>
  <c r="CU56" i="2"/>
  <c r="CU198" i="2"/>
  <c r="CU72" i="2"/>
  <c r="CV78" i="54"/>
  <c r="CU57" i="3"/>
  <c r="CV86" i="54" l="1"/>
  <c r="CU202" i="2"/>
  <c r="CU205" i="2" s="1"/>
  <c r="CU62" i="2" s="1"/>
  <c r="CU201" i="2"/>
  <c r="CU204" i="2" s="1"/>
  <c r="CU67" i="2"/>
  <c r="CU57" i="2"/>
  <c r="CU74" i="2"/>
  <c r="CU71" i="2"/>
  <c r="CU26" i="2"/>
  <c r="CV21" i="1" l="1"/>
  <c r="CU52" i="2"/>
  <c r="CU61" i="2"/>
  <c r="CV24" i="1" l="1"/>
  <c r="CV25" i="1" l="1"/>
  <c r="CV26" i="1" l="1"/>
  <c r="CV28" i="1" s="1"/>
  <c r="CV167" i="2" l="1"/>
  <c r="CV66" i="1"/>
  <c r="CV51" i="1"/>
  <c r="CV73" i="1"/>
  <c r="CV33" i="1"/>
  <c r="CV79" i="54"/>
  <c r="CV83" i="54" s="1"/>
  <c r="CV84" i="54" s="1"/>
  <c r="CV99" i="1"/>
  <c r="CV102" i="1" s="1"/>
  <c r="CV32" i="1"/>
  <c r="CV103" i="1" s="1"/>
  <c r="CV30" i="1"/>
  <c r="CV176" i="2"/>
  <c r="CV182" i="2" s="1"/>
  <c r="CV183" i="2" s="1"/>
  <c r="CV184" i="2" s="1"/>
  <c r="CV65" i="1" l="1"/>
  <c r="CV174" i="2"/>
  <c r="CV97" i="2"/>
  <c r="CV95" i="1"/>
  <c r="CV9" i="3"/>
  <c r="CV31" i="1"/>
  <c r="CV185" i="2"/>
  <c r="CV85" i="1"/>
  <c r="CV86" i="1"/>
  <c r="CV29" i="3" l="1"/>
  <c r="CV47" i="2"/>
  <c r="CV101" i="2"/>
  <c r="CW95" i="2" s="1"/>
  <c r="CV49" i="2" l="1"/>
  <c r="CV84" i="2"/>
  <c r="CV61" i="3"/>
  <c r="CV53" i="3"/>
  <c r="CV62" i="3" l="1"/>
  <c r="CV85" i="2"/>
  <c r="CV64" i="3"/>
  <c r="CV83" i="2"/>
  <c r="CV56" i="3"/>
  <c r="CV68" i="2"/>
  <c r="CV195" i="2"/>
  <c r="CV51" i="2"/>
  <c r="CV60" i="2"/>
  <c r="CV65" i="3" l="1"/>
  <c r="CV86" i="2"/>
  <c r="CW55" i="3"/>
  <c r="CV10" i="2"/>
  <c r="CV198" i="2" l="1"/>
  <c r="CV17" i="2"/>
  <c r="CV72" i="2"/>
  <c r="CV56" i="2"/>
  <c r="CV73" i="2"/>
  <c r="CW78" i="54"/>
  <c r="CV57" i="3"/>
  <c r="CW86" i="54" l="1"/>
  <c r="CV67" i="2"/>
  <c r="CV57" i="2"/>
  <c r="CV202" i="2"/>
  <c r="CV205" i="2" s="1"/>
  <c r="CV62" i="2" s="1"/>
  <c r="CV201" i="2"/>
  <c r="CV204" i="2" s="1"/>
  <c r="CV26" i="2"/>
  <c r="CV71" i="2"/>
  <c r="CV74" i="2"/>
  <c r="CW21" i="1" l="1"/>
  <c r="CV52" i="2"/>
  <c r="CV61" i="2"/>
  <c r="CW24" i="1" l="1"/>
  <c r="CW25" i="1" l="1"/>
  <c r="CW26" i="1" l="1"/>
  <c r="CW176" i="2" l="1"/>
  <c r="CW182" i="2" s="1"/>
  <c r="CW183" i="2" s="1"/>
  <c r="CW184" i="2" s="1"/>
  <c r="CW28" i="1"/>
  <c r="CW79" i="54" l="1"/>
  <c r="CW83" i="54" s="1"/>
  <c r="CW84" i="54" s="1"/>
  <c r="CW66" i="1"/>
  <c r="CW51" i="1"/>
  <c r="CW167" i="2"/>
  <c r="CW73" i="1"/>
  <c r="CW99" i="1"/>
  <c r="CW102" i="1" s="1"/>
  <c r="CW30" i="1"/>
  <c r="CW32" i="1"/>
  <c r="CW103" i="1" s="1"/>
  <c r="CW33" i="1"/>
  <c r="CW185" i="2"/>
  <c r="CW65" i="1" l="1"/>
  <c r="CW86" i="1"/>
  <c r="CW85" i="1"/>
  <c r="CW174" i="2"/>
  <c r="CW9" i="3"/>
  <c r="CW97" i="2"/>
  <c r="CW31" i="1"/>
  <c r="CW95" i="1"/>
  <c r="CW29" i="3" l="1"/>
  <c r="CW47" i="2"/>
  <c r="CW101" i="2"/>
  <c r="CX95" i="2" s="1"/>
  <c r="CW49" i="2" l="1"/>
  <c r="CW84" i="2"/>
  <c r="CW61" i="3"/>
  <c r="CW53" i="3"/>
  <c r="CW64" i="3" l="1"/>
  <c r="CW62" i="3"/>
  <c r="CW85" i="2"/>
  <c r="CW83" i="2"/>
  <c r="CW56" i="3"/>
  <c r="CW68" i="2"/>
  <c r="CW195" i="2"/>
  <c r="CW51" i="2"/>
  <c r="CW60" i="2"/>
  <c r="CW86" i="2" l="1"/>
  <c r="CW65" i="3"/>
  <c r="CX55" i="3"/>
  <c r="CW10" i="2"/>
  <c r="CW57" i="3" s="1"/>
  <c r="CW73" i="2" l="1"/>
  <c r="CW198" i="2"/>
  <c r="CW72" i="2"/>
  <c r="CW17" i="2"/>
  <c r="CW56" i="2"/>
  <c r="CX78" i="54"/>
  <c r="CW57" i="2" l="1"/>
  <c r="CW67" i="2"/>
  <c r="CX86" i="54"/>
  <c r="CW71" i="2"/>
  <c r="CW26" i="2"/>
  <c r="CW74" i="2"/>
  <c r="CW202" i="2"/>
  <c r="CW205" i="2" s="1"/>
  <c r="CW62" i="2" s="1"/>
  <c r="CW201" i="2"/>
  <c r="CW204" i="2" s="1"/>
  <c r="CW52" i="2" l="1"/>
  <c r="CW61" i="2"/>
  <c r="CX21" i="1"/>
  <c r="CY86" i="54"/>
  <c r="CX24" i="1" l="1"/>
  <c r="CY21" i="1"/>
  <c r="CY24" i="1" s="1"/>
  <c r="CY25" i="1" l="1"/>
  <c r="CX25" i="1"/>
  <c r="CX26" i="1" l="1"/>
  <c r="CX28" i="1" s="1"/>
  <c r="CX167" i="2" l="1"/>
  <c r="CX51" i="1"/>
  <c r="CX79" i="54"/>
  <c r="CX83" i="54" s="1"/>
  <c r="CX84" i="54" s="1"/>
  <c r="CX66" i="1"/>
  <c r="CX73" i="1"/>
  <c r="CX33" i="1"/>
  <c r="CX32" i="1"/>
  <c r="CX103" i="1" s="1"/>
  <c r="CX30" i="1"/>
  <c r="CX99" i="1"/>
  <c r="CX102" i="1" s="1"/>
  <c r="CX176" i="2"/>
  <c r="CX182" i="2" s="1"/>
  <c r="CX183" i="2" s="1"/>
  <c r="CX184" i="2" s="1"/>
  <c r="CY26" i="1"/>
  <c r="CX65" i="1" l="1"/>
  <c r="CY33" i="1"/>
  <c r="CX185" i="2"/>
  <c r="CX85" i="1"/>
  <c r="CX86" i="1"/>
  <c r="CX95" i="1"/>
  <c r="CX174" i="2"/>
  <c r="CX9" i="3"/>
  <c r="CX97" i="2"/>
  <c r="CX31" i="1"/>
  <c r="CY176" i="2"/>
  <c r="CY182" i="2" s="1"/>
  <c r="CY183" i="2" s="1"/>
  <c r="CY184" i="2" s="1"/>
  <c r="CY50" i="1"/>
  <c r="CY28" i="1"/>
  <c r="CY31" i="1" l="1"/>
  <c r="CY65" i="1"/>
  <c r="DL33" i="1"/>
  <c r="CX29" i="3"/>
  <c r="CY9" i="3"/>
  <c r="CY29" i="3" s="1"/>
  <c r="CX47" i="2"/>
  <c r="CY185" i="2"/>
  <c r="CY97" i="2"/>
  <c r="CY101" i="2" s="1"/>
  <c r="CX101" i="2"/>
  <c r="CY51" i="1"/>
  <c r="CY66" i="1"/>
  <c r="CY79" i="54"/>
  <c r="CY83" i="54" s="1"/>
  <c r="CY84" i="54" s="1"/>
  <c r="CY85" i="54" s="1"/>
  <c r="CY99" i="1"/>
  <c r="CY167" i="2"/>
  <c r="CY35" i="1"/>
  <c r="CY32" i="1" s="1"/>
  <c r="CY103" i="1" s="1"/>
  <c r="CY73" i="1"/>
  <c r="CY30" i="1"/>
  <c r="CY92" i="1"/>
  <c r="CY144" i="2" s="1"/>
  <c r="CY145" i="2" s="1"/>
  <c r="CY146" i="2" s="1"/>
  <c r="CY147" i="2" s="1"/>
  <c r="CY141" i="2" s="1"/>
  <c r="H11" i="52"/>
  <c r="CX84" i="2" l="1"/>
  <c r="CX53" i="3"/>
  <c r="CX61" i="3"/>
  <c r="I11" i="52"/>
  <c r="H12" i="52"/>
  <c r="H19" i="52" s="1"/>
  <c r="CY86" i="1"/>
  <c r="CY85" i="1"/>
  <c r="CY84" i="2"/>
  <c r="CY61" i="3"/>
  <c r="CY53" i="3"/>
  <c r="CY95" i="1"/>
  <c r="CY174" i="2"/>
  <c r="CY166" i="2"/>
  <c r="CY101" i="1"/>
  <c r="CY102" i="1" s="1"/>
  <c r="CY87" i="1"/>
  <c r="CY47" i="2"/>
  <c r="CY49" i="2" s="1"/>
  <c r="CX49" i="2"/>
  <c r="CY83" i="2" l="1"/>
  <c r="CY56" i="3"/>
  <c r="CY85" i="2"/>
  <c r="CY88" i="3"/>
  <c r="CY64" i="3"/>
  <c r="CY62" i="3"/>
  <c r="CY67" i="3" s="1"/>
  <c r="J11" i="52"/>
  <c r="I12" i="52"/>
  <c r="I19" i="52" s="1"/>
  <c r="CX195" i="2"/>
  <c r="CX68" i="2"/>
  <c r="CX51" i="2"/>
  <c r="CX60" i="2"/>
  <c r="CX56" i="3"/>
  <c r="CX83" i="2"/>
  <c r="CY195" i="2"/>
  <c r="CY68" i="2"/>
  <c r="CY51" i="2"/>
  <c r="CY60" i="2"/>
  <c r="CX64" i="3"/>
  <c r="CX85" i="2"/>
  <c r="CX62" i="3"/>
  <c r="CY63" i="3" l="1"/>
  <c r="CY65" i="3"/>
  <c r="CY86" i="2"/>
  <c r="CX10" i="2"/>
  <c r="CX57" i="3" s="1"/>
  <c r="K11" i="52"/>
  <c r="J12" i="52"/>
  <c r="J19" i="52" s="1"/>
  <c r="CY10" i="2"/>
  <c r="CX86" i="2"/>
  <c r="CX65" i="3"/>
  <c r="CY17" i="2" l="1"/>
  <c r="CY73" i="2"/>
  <c r="CY72" i="2"/>
  <c r="CY198" i="2"/>
  <c r="CY56" i="2"/>
  <c r="CY57" i="3"/>
  <c r="L11" i="52"/>
  <c r="K12" i="52"/>
  <c r="K19" i="52" s="1"/>
  <c r="CX72" i="2"/>
  <c r="CX198" i="2"/>
  <c r="CX56" i="2"/>
  <c r="CX73" i="2"/>
  <c r="CX17" i="2"/>
  <c r="CY67" i="2" l="1"/>
  <c r="CY57" i="2"/>
  <c r="CX26" i="2"/>
  <c r="CX71" i="2"/>
  <c r="CX74" i="2"/>
  <c r="CX57" i="2"/>
  <c r="CX67" i="2"/>
  <c r="CX202" i="2"/>
  <c r="CX201" i="2"/>
  <c r="M11" i="52"/>
  <c r="L12" i="52"/>
  <c r="L19" i="52" s="1"/>
  <c r="CY26" i="2"/>
  <c r="CY71" i="2"/>
  <c r="CY74" i="2"/>
  <c r="CX52" i="2" l="1"/>
  <c r="CX61" i="2"/>
  <c r="CY52" i="2"/>
  <c r="CY61" i="2"/>
  <c r="CY201" i="2"/>
  <c r="CX204" i="2"/>
  <c r="CY204" i="2"/>
  <c r="N11" i="52"/>
  <c r="M12" i="52"/>
  <c r="M19" i="52" s="1"/>
  <c r="CY202" i="2"/>
  <c r="CX205" i="2"/>
  <c r="CX62" i="2" s="1"/>
  <c r="CY205" i="2"/>
  <c r="CY62" i="2" s="1"/>
  <c r="O11" i="52" l="1"/>
  <c r="N12" i="52"/>
  <c r="N19" i="52" s="1"/>
  <c r="P11" i="52" l="1"/>
  <c r="O12" i="52"/>
  <c r="O19" i="52" s="1"/>
  <c r="B48" i="52" l="1"/>
  <c r="B49" i="52" s="1"/>
  <c r="B52" i="52" s="1"/>
  <c r="P12" i="52"/>
  <c r="P19" i="52" s="1"/>
  <c r="P21" i="52" l="1"/>
  <c r="B32" i="52"/>
  <c r="B33" i="52" s="1"/>
  <c r="C21" i="52"/>
  <c r="D21" i="52"/>
  <c r="E21" i="52"/>
  <c r="P58" i="52"/>
  <c r="P61" i="52" s="1"/>
  <c r="B21" i="52"/>
  <c r="F21" i="52"/>
  <c r="G21" i="52"/>
  <c r="H21" i="52"/>
  <c r="I21" i="52"/>
  <c r="J21" i="52"/>
  <c r="K21" i="52"/>
  <c r="L21" i="52"/>
  <c r="M21" i="52"/>
  <c r="N21" i="52"/>
  <c r="O21" i="52"/>
  <c r="P74" i="52" l="1"/>
  <c r="J28" i="52" s="1"/>
  <c r="B31" i="52"/>
  <c r="B34" i="52" s="1"/>
  <c r="B38" i="52" s="1"/>
  <c r="B40" i="52" s="1"/>
  <c r="P71" i="52"/>
  <c r="J25" i="52" s="1"/>
  <c r="Q58" i="52"/>
  <c r="O58" i="52"/>
  <c r="P63" i="52"/>
  <c r="P76" i="52" s="1"/>
  <c r="J30" i="52" s="1"/>
  <c r="P66" i="52"/>
  <c r="P79" i="52" s="1"/>
  <c r="J33" i="52" s="1"/>
  <c r="P67" i="52"/>
  <c r="P80" i="52" s="1"/>
  <c r="J34" i="52" s="1"/>
  <c r="P64" i="52"/>
  <c r="P77" i="52" s="1"/>
  <c r="J31" i="52" s="1"/>
  <c r="P65" i="52"/>
  <c r="P78" i="52" s="1"/>
  <c r="J32" i="52" s="1"/>
  <c r="P60" i="52"/>
  <c r="P73" i="52" s="1"/>
  <c r="J27" i="52" s="1"/>
  <c r="P59" i="52"/>
  <c r="P72" i="52" s="1"/>
  <c r="J26" i="52" s="1"/>
  <c r="P62" i="52"/>
  <c r="P75" i="52" s="1"/>
  <c r="J29" i="52" s="1"/>
  <c r="O71" i="52" l="1"/>
  <c r="I25" i="52" s="1"/>
  <c r="N58" i="52"/>
  <c r="O59" i="52"/>
  <c r="O72" i="52" s="1"/>
  <c r="I26" i="52" s="1"/>
  <c r="O64" i="52"/>
  <c r="O77" i="52" s="1"/>
  <c r="I31" i="52" s="1"/>
  <c r="O66" i="52"/>
  <c r="O79" i="52" s="1"/>
  <c r="I33" i="52" s="1"/>
  <c r="O61" i="52"/>
  <c r="O74" i="52" s="1"/>
  <c r="I28" i="52" s="1"/>
  <c r="O65" i="52"/>
  <c r="O78" i="52" s="1"/>
  <c r="I32" i="52" s="1"/>
  <c r="O67" i="52"/>
  <c r="O80" i="52" s="1"/>
  <c r="I34" i="52" s="1"/>
  <c r="O63" i="52"/>
  <c r="O76" i="52" s="1"/>
  <c r="I30" i="52" s="1"/>
  <c r="O60" i="52"/>
  <c r="O73" i="52" s="1"/>
  <c r="I27" i="52" s="1"/>
  <c r="O62" i="52"/>
  <c r="O75" i="52" s="1"/>
  <c r="I29" i="52" s="1"/>
  <c r="Q71" i="52"/>
  <c r="K25" i="52" s="1"/>
  <c r="R58" i="52"/>
  <c r="Q65" i="52"/>
  <c r="Q78" i="52" s="1"/>
  <c r="K32" i="52" s="1"/>
  <c r="Q66" i="52"/>
  <c r="Q79" i="52" s="1"/>
  <c r="K33" i="52" s="1"/>
  <c r="Q67" i="52"/>
  <c r="Q80" i="52" s="1"/>
  <c r="K34" i="52" s="1"/>
  <c r="Q62" i="52"/>
  <c r="Q75" i="52" s="1"/>
  <c r="K29" i="52" s="1"/>
  <c r="Q61" i="52"/>
  <c r="Q74" i="52" s="1"/>
  <c r="K28" i="52" s="1"/>
  <c r="Q60" i="52"/>
  <c r="Q73" i="52" s="1"/>
  <c r="K27" i="52" s="1"/>
  <c r="Q64" i="52"/>
  <c r="Q77" i="52" s="1"/>
  <c r="K31" i="52" s="1"/>
  <c r="Q59" i="52"/>
  <c r="Q72" i="52" s="1"/>
  <c r="K26" i="52" s="1"/>
  <c r="Q63" i="52"/>
  <c r="Q76" i="52" s="1"/>
  <c r="K30" i="52" s="1"/>
  <c r="R71" i="52" l="1"/>
  <c r="L25" i="52" s="1"/>
  <c r="S58" i="52"/>
  <c r="R63" i="52"/>
  <c r="R76" i="52" s="1"/>
  <c r="L30" i="52" s="1"/>
  <c r="R65" i="52"/>
  <c r="R78" i="52" s="1"/>
  <c r="L32" i="52" s="1"/>
  <c r="R59" i="52"/>
  <c r="R72" i="52" s="1"/>
  <c r="L26" i="52" s="1"/>
  <c r="R61" i="52"/>
  <c r="R74" i="52" s="1"/>
  <c r="L28" i="52" s="1"/>
  <c r="R62" i="52"/>
  <c r="R75" i="52" s="1"/>
  <c r="L29" i="52" s="1"/>
  <c r="R64" i="52"/>
  <c r="R77" i="52" s="1"/>
  <c r="L31" i="52" s="1"/>
  <c r="R67" i="52"/>
  <c r="R80" i="52" s="1"/>
  <c r="L34" i="52" s="1"/>
  <c r="R60" i="52"/>
  <c r="R73" i="52" s="1"/>
  <c r="L27" i="52" s="1"/>
  <c r="R66" i="52"/>
  <c r="R79" i="52" s="1"/>
  <c r="L33" i="52" s="1"/>
  <c r="M58" i="52"/>
  <c r="N71" i="52"/>
  <c r="H25" i="52" s="1"/>
  <c r="N63" i="52"/>
  <c r="N76" i="52" s="1"/>
  <c r="H30" i="52" s="1"/>
  <c r="N64" i="52"/>
  <c r="N77" i="52" s="1"/>
  <c r="H31" i="52" s="1"/>
  <c r="N66" i="52"/>
  <c r="N79" i="52" s="1"/>
  <c r="H33" i="52" s="1"/>
  <c r="N59" i="52"/>
  <c r="N72" i="52" s="1"/>
  <c r="H26" i="52" s="1"/>
  <c r="N60" i="52"/>
  <c r="N73" i="52" s="1"/>
  <c r="H27" i="52" s="1"/>
  <c r="N65" i="52"/>
  <c r="N78" i="52" s="1"/>
  <c r="H32" i="52" s="1"/>
  <c r="N62" i="52"/>
  <c r="N75" i="52" s="1"/>
  <c r="H29" i="52" s="1"/>
  <c r="N67" i="52"/>
  <c r="N80" i="52" s="1"/>
  <c r="H34" i="52" s="1"/>
  <c r="N61" i="52"/>
  <c r="N74" i="52" s="1"/>
  <c r="H28" i="52" s="1"/>
  <c r="T58" i="52" l="1"/>
  <c r="S71" i="52"/>
  <c r="M25" i="52" s="1"/>
  <c r="S61" i="52"/>
  <c r="S74" i="52" s="1"/>
  <c r="M28" i="52" s="1"/>
  <c r="S66" i="52"/>
  <c r="S79" i="52" s="1"/>
  <c r="M33" i="52" s="1"/>
  <c r="S62" i="52"/>
  <c r="S75" i="52" s="1"/>
  <c r="M29" i="52" s="1"/>
  <c r="S65" i="52"/>
  <c r="S78" i="52" s="1"/>
  <c r="M32" i="52" s="1"/>
  <c r="S59" i="52"/>
  <c r="S72" i="52" s="1"/>
  <c r="M26" i="52" s="1"/>
  <c r="S63" i="52"/>
  <c r="S76" i="52" s="1"/>
  <c r="M30" i="52" s="1"/>
  <c r="S64" i="52"/>
  <c r="S77" i="52" s="1"/>
  <c r="M31" i="52" s="1"/>
  <c r="S67" i="52"/>
  <c r="S80" i="52" s="1"/>
  <c r="M34" i="52" s="1"/>
  <c r="S60" i="52"/>
  <c r="S73" i="52" s="1"/>
  <c r="M27" i="52" s="1"/>
  <c r="L58" i="52"/>
  <c r="M71" i="52"/>
  <c r="G25" i="52" s="1"/>
  <c r="M59" i="52"/>
  <c r="M72" i="52" s="1"/>
  <c r="G26" i="52" s="1"/>
  <c r="M62" i="52"/>
  <c r="M75" i="52" s="1"/>
  <c r="G29" i="52" s="1"/>
  <c r="M67" i="52"/>
  <c r="M80" i="52" s="1"/>
  <c r="G34" i="52" s="1"/>
  <c r="M66" i="52"/>
  <c r="M79" i="52" s="1"/>
  <c r="G33" i="52" s="1"/>
  <c r="M63" i="52"/>
  <c r="M76" i="52" s="1"/>
  <c r="G30" i="52" s="1"/>
  <c r="M60" i="52"/>
  <c r="M73" i="52" s="1"/>
  <c r="G27" i="52" s="1"/>
  <c r="M65" i="52"/>
  <c r="M78" i="52" s="1"/>
  <c r="G32" i="52" s="1"/>
  <c r="M61" i="52"/>
  <c r="M74" i="52" s="1"/>
  <c r="G28" i="52" s="1"/>
  <c r="M64" i="52"/>
  <c r="M77" i="52" s="1"/>
  <c r="G31" i="52" s="1"/>
  <c r="L71" i="52" l="1"/>
  <c r="F25" i="52" s="1"/>
  <c r="L66" i="52"/>
  <c r="L79" i="52" s="1"/>
  <c r="F33" i="52" s="1"/>
  <c r="L59" i="52"/>
  <c r="L72" i="52" s="1"/>
  <c r="F26" i="52" s="1"/>
  <c r="L67" i="52"/>
  <c r="L80" i="52" s="1"/>
  <c r="F34" i="52" s="1"/>
  <c r="L63" i="52"/>
  <c r="L76" i="52" s="1"/>
  <c r="F30" i="52" s="1"/>
  <c r="L65" i="52"/>
  <c r="L78" i="52" s="1"/>
  <c r="F32" i="52" s="1"/>
  <c r="L61" i="52"/>
  <c r="L74" i="52" s="1"/>
  <c r="F28" i="52" s="1"/>
  <c r="L62" i="52"/>
  <c r="L75" i="52" s="1"/>
  <c r="F29" i="52" s="1"/>
  <c r="L64" i="52"/>
  <c r="L77" i="52" s="1"/>
  <c r="F31" i="52" s="1"/>
  <c r="L60" i="52"/>
  <c r="L73" i="52" s="1"/>
  <c r="F27" i="52" s="1"/>
  <c r="T71" i="52"/>
  <c r="N25" i="52" s="1"/>
  <c r="T61" i="52"/>
  <c r="T74" i="52" s="1"/>
  <c r="N28" i="52" s="1"/>
  <c r="T65" i="52"/>
  <c r="T78" i="52" s="1"/>
  <c r="N32" i="52" s="1"/>
  <c r="T64" i="52"/>
  <c r="T77" i="52" s="1"/>
  <c r="N31" i="52" s="1"/>
  <c r="T66" i="52"/>
  <c r="T79" i="52" s="1"/>
  <c r="N33" i="52" s="1"/>
  <c r="T63" i="52"/>
  <c r="T76" i="52" s="1"/>
  <c r="N30" i="52" s="1"/>
  <c r="T59" i="52"/>
  <c r="T72" i="52" s="1"/>
  <c r="N26" i="52" s="1"/>
  <c r="T67" i="52"/>
  <c r="T80" i="52" s="1"/>
  <c r="N34" i="52" s="1"/>
  <c r="T60" i="52"/>
  <c r="T73" i="52" s="1"/>
  <c r="N27" i="52" s="1"/>
  <c r="T62" i="52"/>
  <c r="T75" i="52" s="1"/>
  <c r="N29" i="52" s="1"/>
  <c r="CP75" i="73"/>
  <c r="CP77" i="73" s="1"/>
  <c r="CP427" i="73" s="1"/>
  <c r="CP436" i="73" l="1"/>
  <c r="CP415" i="73"/>
  <c r="CP78" i="73"/>
  <c r="CP79" i="73"/>
  <c r="CO77" i="73"/>
  <c r="CO79" i="73" s="1"/>
  <c r="CO76" i="73"/>
  <c r="CS75" i="73"/>
  <c r="CS77" i="73" s="1"/>
  <c r="CS79" i="73" l="1"/>
  <c r="CS78" i="73"/>
  <c r="CS427" i="73"/>
  <c r="CS436" i="73" s="1"/>
  <c r="CS415" i="73"/>
  <c r="CP424" i="73"/>
  <c r="CP420" i="73"/>
  <c r="CP416" i="73"/>
  <c r="CP434" i="73"/>
  <c r="CP443" i="73" s="1"/>
  <c r="CP417" i="73"/>
  <c r="CP421" i="73"/>
  <c r="CP425" i="73"/>
  <c r="CP422" i="73"/>
  <c r="CP418" i="73"/>
  <c r="CP423" i="73"/>
  <c r="CV416" i="73"/>
  <c r="CP419" i="73"/>
  <c r="CO78" i="73"/>
  <c r="CS76" i="73"/>
  <c r="CS419" i="73" l="1"/>
  <c r="CS424" i="73"/>
  <c r="CS420" i="73"/>
  <c r="CS423" i="73"/>
  <c r="CS422" i="73"/>
  <c r="CS421" i="73"/>
  <c r="CS416" i="73"/>
  <c r="CS418" i="73"/>
  <c r="CS417" i="73"/>
  <c r="CS425" i="73"/>
  <c r="CS434" i="73"/>
  <c r="CS443" i="73" s="1"/>
  <c r="CY416" i="73"/>
</calcChain>
</file>

<file path=xl/comments1.xml><?xml version="1.0" encoding="utf-8"?>
<comments xmlns="http://schemas.openxmlformats.org/spreadsheetml/2006/main">
  <authors>
    <author>silanind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_xDCCA_䳁_x001B_䝑久䕞䅃䵟䅅彎偅⡓〲㤰丬坏착_x0018_＀＀_x0018_＀＀_x0008_＀＀_x0001_＀＀_x0001_＀＀甇슑㿭_xDCCA_䳁_x001B_䝑久䕞元䵟䅅彎䅓䕌⡓ㄫ丬坏착_x0018_＀＀_x0018_＀＀_x0008_＀＀_x0001_＀＀_x0001_＀＀ᐒ옿淜䁱_xDCCA_䳁0䝑久䩞䱕䅉⡎䝆偟䥒䕃ㄨㄯ㈯〰ⰵ㈱㌯⼱〲㔰⸩慤整⥳Є＀＀_x0018_＀＀ϴ＀＀ý＀＀_x0003_＀＀闐＀＀闓＀＀闔＀＀闕＀＀闖＀＀闗＀＀闚＀＀闛＀＀關＀＀闝＀＀闞＀＀闢＀＀闣＀＀闤＀＀闥＀＀门＀＀闩＀＀闪＀＀闫＀＀闬＀＀闯＀＀闰＀＀闱＀＀闲＀＀闳＀＀闶＀＀闷＀＀闸＀＀闹＀＀闺＀＀闽＀＀闾＀＀闿＀＀阀＀＀阁＀＀阅＀＀阆＀＀阇＀＀阈＀＀阋＀＀阌＀＀阍＀＀阎＀＀阏＀＀阒＀＀阓＀＀阔＀＀阕＀＀阖＀＀阙＀＀阚＀＀阛＀＀阜＀＀阝＀＀阠＀＀阡＀＀阢＀＀阣＀＀阧＀＀阨＀＀阩＀＀阪＀＀阫＀＀阮＀＀阯＀＀阰＀＀阱＀＀防＀＀阵＀＀阶＀＀阷＀＀阸＀＀阹＀＀阼＀＀阽＀＀阾＀＀阿＀＀陀＀＀陃＀＀附＀＀际＀＀陆＀＀陇＀＀陊＀＀陋＀＀陌＀＀降＀＀陎＀＀陑＀＀陒＀＀陓＀＀陔＀＀陕＀＀陘＀＀陙＀＀陚＀＀陛＀＀陜＀＀陟＀＀陠＀＀陡＀＀院＀＀陣＀＀陧＀＀陨＀＀险＀＀陪＀＀陭＀＀陮＀＀陯＀＀陰＀＀陱＀＀陴＀＀陵＀＀陶＀＀陷＀＀陸＀＀陻＀＀陼＀＀陽＀＀陾＀＀陿＀＀隂＀＀隃＀＀隄＀＀隅＀＀隆＀＀隊＀＀隋＀＀隌＀＀隍＀＀隐＀＀隑＀＀隒＀＀隓＀＀隔＀＀隗＀＀隘＀＀隙＀＀隚＀＀際＀＀隞＀＀隟＀＀隠＀＀隡＀＀隢＀＀隥＀＀隦＀＀隧＀＀隨＀＀隩＀＀隬＀＀隭＀＀隮＀＀隯＀＀隰＀＀隳＀＀隴＀＀隵＀＀隶＀＀隷＀＀隺＀＀隻＀＀隼＀＀隽＀＀难＀＀雁＀＀雂＀＀雃＀＀雄＀＀雅＀＀雉＀＀雊＀＀雋＀＀雌＀＀雏＀＀雐＀＀雑＀＀雒＀＀雓＀＀雖＀＀雗＀＀雘＀＀雙＀＀雚＀＀雝＀＀雞＀＀雟＀＀雠＀＀雡＀＀雤＀＀雥＀＀雦＀＀雧＀＀雨＀＀雫＀＀雬＀＀雭＀＀雮＀＀雯＀＀雲＀＀雳＀＀雴＀＀雵＀＀零＀＀雹＀＀雺＀＀電＀＀雼＀＀雽＀＀需＀＀霁＀＀霂＀＀霃＀＀霄＀＀震＀＀霈＀＀霉＀＀霊＀＀霋＀＀霎＀＀霏＀＀霐＀＀霑＀＀霒＀＀霕＀＀霖＀＀霗＀＀霙＀＀霜＀＀霝＀＀霞＀＀霟＀＀霠＀＀霣＀＀霤＀＀霥＀＀霦＀＀霧＀＀霪＀＀霫＀＀霬＀＀霭＀＀霮＀＀霱＀＀露＀＀霳＀＀霴＀＀霵＀＀霹＀＀霺＀＀霻＀＀霼＀＀_xDCC8_䳁R瑓捯⁫灯楴湯椠獳慵据⁥湡⁤桳牡⁥敲異捲慨敳平噁⡇彐牐捩⡥⼱⼱〲㐰ㄬ⼲ㄳ㈯〰ⰴ唬䑓⤩_x0018_＀＀_x0018_＀＀_x0008_＀＀_x0001_＀＀_x0001_＀＀豀碵꼝쐕_xDCCA_䳁0䝑久䩞䱕䅉⡎䝆偟䥒䕃ㄨㄯ㈯〰ⰸ㈱㌯⼱〲㠰⸩慤整⥳Ј＀＀_x0018_＀＀ϸ＀＀þ＀＀_x0003_＀＀騗＀＀騙＀＀騚＀＀騛＀＀騞＀＀騟＀＀騠＀＀騡＀＀騢＀＀騥＀＀騦＀＀騧＀＀騨＀＀騩＀＀騭＀＀騮＀＀騯＀＀騰＀＀騳＀＀騴＀＀騵＀＀騶＀＀騷＀＀騺＀＀騻＀＀騼＀＀騽＀＀騾＀＀驁＀＀驂＀＀驃＀＀驄＀＀驅＀＀驉＀＀驊＀＀驋＀＀驌＀＀驏＀＀驐＀＀驑＀＀驒＀＀驓＀＀驖＀＀驗＀＀驘＀＀驙＀＀驚＀＀驝＀＀驞＀＀驟＀＀驠＀＀驡＀＀驤＀＀驥＀＀驦＀＀驧＀＀驫＀＀马＀＀驭＀＀驮＀＀驯＀＀驲＀＀驳＀＀驴＀＀驵＀＀驶＀＀驹＀＀驺＀＀驻＀＀驼＀＀驽＀＀骀＀＀骁＀＀骂＀＀骃＀＀骄＀＀骇＀＀骈＀＀骉＀＀骊＀＀骋＀＀骎＀＀骏＀＀骐＀＀骑＀＀骒＀＀骕＀＀骖＀＀骗＀＀骘＀＀骙＀＀骜＀＀骝＀＀骞＀＀骟＀＀骠＀＀骣＀＀骤＀＀骥＀＀骦＀＀骧＀＀骫＀＀骬＀＀骭＀＀骮＀＀骱＀＀骲＀＀骳＀＀骴＀＀骵＀＀骸＀＀骹＀＀骺＀＀骻＀＀骼＀＀骿＀＀髀＀＀髁＀＀髂＀＀髃＀＀髆＀＀髇＀＀髈＀＀髉＀＀髊＀＀髍＀＀髎＀＀髏＀＀髐＀＀體＀＀髕＀＀髖＀＀髗＀＀高＀＀髛＀＀髜＀＀髝＀＀髞＀＀髟＀＀髢＀＀髣＀＀髤＀＀髥＀＀髦＀＀髩＀＀髪＀＀髫＀＀髬＀＀髭＀＀髰＀＀髱＀＀髲＀＀髳＀＀髴＀＀髷＀＀髸＀＀髹＀＀髺＀＀髻＀＀髾＀＀髿＀＀鬀＀＀鬁＀＀鬂＀＀鬅＀＀鬆＀＀鬇＀＀鬈＀＀鬉＀＀鬍＀＀鬎＀＀鬏＀＀鬐＀＀鬓＀＀鬔＀＀鬕＀＀鬖＀＀鬗＀＀鬚＀＀鬛＀＀鬜＀＀鬝＀＀鬞＀＀鬡＀＀鬢＀＀鬣＀＀鬤＀＀鬥＀＀鬨＀＀鬩＀＀鬪＀＀鬫＀＀鬬＀＀鬯＀＀鬰＀＀鬱＀＀鬲＀＀鬳＀＀鬶＀＀鬷＀＀鬸＀＀鬹＀＀鬺＀＀鬽＀＀鬾＀＀鬿＀＀魀＀＀魁＀＀魄＀＀魅＀＀魆＀＀魇＀＀魈＀＀魋＀＀魌＀＀魍＀＀魎＀＀魏＀＀魒＀＀魓＀＀魔＀＀魕＀＀魖＀＀魙＀＀魚＀＀魛＀＀魜＀＀魝＀＀魠＀＀魡＀＀魢＀＀魤＀＀魧＀＀魨＀＀魩＀＀魪＀＀魫＀＀魮＀＀魯＀＀魰＀＀魱＀＀魲＀＀魵＀＀魶＀＀魷＀＀魸＀＀魹＀＀魼＀＀魽＀＀魾＀＀鮀＀＀鮃＀＀鮄＀＀鮅＀＀ὲ䵇:䝑久䙞彅卅䥔䅍䕔✨䅓䕌❓✬䕍乁Ⱗ儧䅕呒剅奌Ⱗ⬧✵丬坏Ⱜ✬⤧_x0018_＀＀_x0018_＀＀_x0008_＀＀_x0001_＀＀_x0001_＀＀斕授䁳_xDCCA_䳁_x0019_䝑久䕞元䵟䅅彎偅⡓㈫丬坏착_x0018_＀＀_x0018_＀＀_x0008_＀＀_x0001_＀＀_x0001_＀＀殨쒒뤷㿐ὲ䵇:䝑久䙞彅卅䥔䅍䕔✨䅓䕌❓✬䕍乁Ⱗ儧䅕呒剅奌Ⱗ⬧✲丬坏Ⱜ✬⤧_x0018_＀＀_x0018_＀＀_x0008_＀＀_x0001_＀＀_x0001_＀＀슏⣵띜䁱_xDCCA_䳁_x0016_䝑久䙞彇佃偍乁彙䅎䕍⤨_x001C_＀＀_x0018_＀＀_x000C_＀＀_x0001_＀＀_x0008_＀＀楑条湥丠嘮._xDCCA_䳁_x001D_䝑久䕞䅃䵟䅅彎䅓䕌⡓〲ㄱ丬坏착_x0018_＀＀_x0018_＀＀_x0008_＀＀_x0001_＀＀_x0001_＀＀뙆ﷳ䂓ὲ䵇5䝑久䙞彅卅䥔䅍䕔✨偅❓✬䕍乁Ⱗ䄧乎䅕❌✬㐫Ⱗ低ⱗⰬ✧착_x0018_＀＀_x0018_＀＀_x0008_＀＀_x0001_＀＀_x0001_＀＀謦迻䝌㿳_xDCCA_䳁_x0019_䝑久䕞元䵟䅅彎偅⡓ㄫ丬坏착_x0018_＀＀_x0018_＀＀_x0008_＀＀_x0001_＀＀_x0001_＀＀⧳㢶ଙ㿍_xDCCA_䳁_x001C_䝑久䕞䅃䵟䅅彎䉅呉㈨㄰ⰱ低⥗_x0018_＀＀_x0018_＀＀_x0008_＀＀_x0001_＀＀_x0001_＀＀ᢔ嘄Ў䁵_xDCCA_䳁_x001D_䝑久䕞䅃䵟䅅彎䅓䕌⡓〲〱丬坏착_x0018_＀＀_x0018_＀＀_x0008_＀＀_x0001_＀＀_x0001_＀＀鞍ቮ_xDC03_䂑俞"䝑久䙞彇剐䍉⡅⼱⼱〲ㄱㄬ⼲ㄳ㈯㄰⤱࠸＀＀_x0018_＀＀ࠨ＀＀ą＀＀_x0001_＀＀쳍쳌賌䀳馚香_xD999_䀳쳍쳌쳌䀳ᑺ잮䀳㌳㌳댳䀳롒蔞凫䀳਽ꏗ㵰䀳＀＀＀＀耀䀳蔟凫麸䀳㵱휊炣䀳롑䔞䀳롑䔞䀳਽ꏗ㵰䀳긔푺䀲긔푺䀲슏⣵轜䀲롑씞䀲롑씞䀲ᑺ잮䀲Ẹ롑䀲竡긔ⅇ䀲㌳㌳猳䀲尨芏䀲晦晦♦䀲＀＀＀＀耀䀲ᑻ䞮竡䀲蔟凫麸䀲馚香ꦙ䀲⣶轜뗂䀲ꏗ㵰휊䀲⣶轜㗂䀳馚香妙䀳롑씞䀳尩슏ꣵ䀳＀＀＀＀＀＀䀴凬Ẹ殅䀴凬Ẹ殅䀴晦晦晦䀴＀＀＀＀耀䀴馚香香䀴晦晦Ꙧ䀴竡긔ꅇ䀴炤਽珗䀴쳍쳌賌䀴ᑺ잮䀴ꏗ㵰휊䀴ᑻ䞮뫡䀴슏⣵콜䀴＀＀＀＀쀀䀴轜尨䀴쳍쳌䳌䀴㌳㌳䀳＀＀＀＀쀀䀳＀＀＀＀䀀䀳쳍쳌䳌䀳਽ꏗ絰䀳馚香香䀳尩슏磵䀳ᑻ䞮竡䀳晦晦Ꙧ䀳㵱휊낣䀳ᑻ䞮竡䀳炤਽ꏗ䀳尨䊏䀴쳍쳌ೌ䀴슏⣵作䀴晦晦晦䀴䞮竡⸔䀴尨䊏䀴竡긔ⅇ䀴晦晦♦䀴竡긔ⅇ䀴ᑺ잮䀳롒蔞퇫䀳＀＀＀＀＀＀䀴蔟凫庸䀴ᑻ䞮﫡䀳롑Ԟ䀴ᑺ螮䀴竡긔ꅇ䀴竡긔ꅇ䀴롒蔞釫䀴竡긔䀴ᑻ䞮﫡䀴슏⣵轜䀵蔟凫庸䀵ᑻ䞮竡䀵凬Ẹꮅ䀵ᑺޮ䀶쳍쳌賌䀵炤਽揗䀵轜尨䀵휊炣䨽䀵竡긔䀴炤਽䀴㌳㌳댳䀴㵱휊炣䀴竡긔ⅇ䀴ꏗ㵰ᜊ䀴＀＀＀＀䀀䀴쳍쳌ೌ䀴＀＀＀＀耀䀳馚香妙䀳롒蔞凫䀳炤਽揗䀳ᑺ螮䀳ᑺ螮䀳ᑻ䞮뫡䀳尩슏棵䀳긔呺䀳㵱휊炣䀳슏⣵作䀳蔟凫庸䀳ᑺ䞮䀳਽ꏗ㵰䀳馚香_xD999_䀲晦晦Ꙧ䀳㌳㌳댳䀳Ẹ硑䀳尩슏⣵䀳馚香ᦙ䀳䞮竡⸔䀳਽ꏗ㵰䀳轜ᰨ䀳竡긔ⅇ䀳ᑺ잮䀲＀＀＀＀ꀀ䀲馚香_xD999_䀲휊炣쨽䀲롑Ԟ䀳롒蔞ᇫ䀳롒蔞ᇫ䀳긔呺䀳轜尨䀳਽ꏗ㵰䀳凬Ẹ⮅䀳ᑻ䞮竡䀲਽ꏗ㵰䀲ᑻ䞮㫡䀲＀＀＀＀䀀䀲ᑺ䞮䀲晦晦䀱롒蔞ᇫ䀲馚香_xD999_䀱਽ꏗﵰ䀱竡긔䀱쳍쳌賌䀱휊炣䨽䀱竡긔ⅇ䀱＀＀＀＀＀＀䀱㵱휊䀰ᑻ䞮竡䀰슏⣵作䀰ᑻ䞮嫡䀰롑Ԟ䀮슏⣵轜䀯䞮竡긔䀭蔟凫Ẹ䀮롑Ԟ䀬슏⣵轜䀭਽ꏗ㵰䀮긔鑺䀯晦晦䀮㵱휊炣䀮슏⣵ཛྷ䀭竡긔䀬롒蔞퇫䀬ᑺ잮䀭슏⣵轜䀮롒蔞퇫䀭਽ꏗ㵰䀮ꏗ㵰휊䀮Ẹ䀮竡긔䀮炤਽⏗䀮＀＀＀＀耀䀭＀＀＀＀耀䀭轜_xDC28_䀬尨슏䀭尨슏䀬਽ꏗ뵰䀫炤਽ꏗ䀫ᑺ잮䀫ᑻ䞮竡䀬㌳㌳댳䀬ᑻ䞮﫡䀬馚香妙䀬쳍쳌䳌䀬轜_xDC28_䀫휊炣訽䀪晦晦䀪਽ꏗ뵰䀫ᑻ䞮竡䀬Ẹ㡑䀬㵱휊䀬尩슏ꣵ䀫馚香香䀪馚香香䀪Ẹ㡑䀪쳍쳌쳌䀪쳍쳌䳌䀩㌳㌳㌳䀪롒蔞凫䀪਽ꏗ뵰䀪晦晦晦䀪롒蔞퇫䀪晦晦䀩휊炣訽䀩ᑺ잮䀩晦晦䀩ᑺ잮䀪਽ꏗ絰䀫롑Ԟ䀫ᑻ䞮竡䀫긔鑺䀬尨䊏䀭슏⣵轜䀫㌳㌳댳䀪ᑻ䞮﫡䀩馚香香䀫蔟凫麸䀫쳍쳌쳌䀫롒蔞凫䀭尩슏⣵䀬਽ꏗ㵰䀬휊炣਽䀭긔鑺䀬롑蔞䀬炤਽⏗䀬凬Ẹ殅䀫⣶轜痂䀫ᑻ䞮﫡䀪䞮竡⸔䀫＀＀＀＀＀＀䀫＀＀＀＀＀＀䀫竡긔䀪슏⣵轜䀫炤਽⏗䀬롒蔞퇫䀭쳍쳌쳌䀭슏⣵ཛྷ䀭⣶轜䀭尨슏䀭蔟凫麸䀭竡긔慇䀬䞮竡긔䀬긔ᑺ䀬晦晦䀫凬Ẹ殅䀫਽ꏗ㵰䀫휊炣਽䀫㵱휊炣䀪炤਽⏗䀫Ẹ롑䀪晦晦晦䀫ᑺ䞮䀫ᑺ䞮䀫炤਽⏗䀫쳍쳌䳌䀫Ẹ롑䀫蔟凫麸䀫ὲ䵇5䝑久䙞彅卅䥔䅍䕔✨偅❓✬䕍乁Ⱗ䄧乎䅕❌✬ㄫⰧ低ⱗⰬ✧착_x0018_＀＀_x0018_＀＀_x0008_＀＀_x0001_＀＀_x0001_＀＀軄؋㿬ὲ䵇7䝑久䙞彅卅䥔䅍䕔✨䅓䕌❓✬䕍乁Ⱗ䄧乎䅕❌✬㌫Ⱗ低ⱗⰬ✧착_x0018_＀＀_x0018_＀＀_x0008_＀＀_x0001_＀＀_x0001_＀＀溘茒ꫀ䂔ὲ䵇8䝑久䙞彅卅䥔䅍䕔✨灅❓✬䕍乁Ⱗ儧䅕呒剅奌Ⱗ⬧✳丬坏Ⱜ✬⤧_x0018_＀＀_x0018_＀＀_x0008_＀＀_x0001_＀＀_x0001_＀＀鈥旨쬔㿎_xDCC8_䳁R瑓捯⁫灯楴湯椠獳慵据⁥湡⁤桳牡⁥敲異捲慨敳平噁⡇彐牐捩⡥⼱⼱〲㔰ㄬ⼲ㄳ㈯〰ⰵ唬䑓⤩_x0018_＀＀_x0018_＀＀_x0008_＀＀_x0001_＀＀_x0001_＀＀豀碵꼝쐕_xDD11_䳁_x000F_䥌䕆偞偟䥒䕃〨착_x0018_＀＀_x0018_＀＀_x0008_＀＀_x0001_＀＀_x0001_＀＀쳍쳌䳌䁇_xDCCA_䳁0䝑久䩞䱕䅉⡎䝆偟䥒䕃ㄨㄯ㈯〰ⰴ㈱㌯⼱〲㐰⸩慤整⥳Є＀＀_x0018_＀＀ϴ＀＀ý＀＀_x0003_＀＀鑢＀＀鑤＀＀鑧＀＀鑨＀＀鑩＀＀鑪＀＀鑫＀＀鑮＀＀鑯＀＀鑰＀＀鑱＀＀鑲＀＀鑶＀＀鑷＀＀鑸＀＀鑹＀＀鑼＀＀鑽＀＀鑾＀＀鑿＀＀钀＀＀钃＀＀钄＀＀钅＀＀钆＀＀钇＀＀钊＀＀钋＀＀钌＀＀钍＀＀钎＀＀钒＀＀钓＀＀钔＀＀钕＀＀钘＀＀钙＀＀钚＀＀钛＀＀钜＀＀钟＀＀钠＀＀钡＀＀钢＀＀钣＀＀钦＀＀钧＀＀钨＀＀钩＀＀钪＀＀钭＀＀钮＀＀钯＀＀钰＀＀钱＀＀钴＀＀钵＀＀钶＀＀钷＀＀钸＀＀钻＀＀钼＀＀钽＀＀钾＀＀钿＀＀铂＀＀铃＀＀铄＀＀铅＀＀铉＀＀铊＀＀铋＀＀铌＀＀铍＀＀铐＀＀铑＀＀铒＀＀铓＀＀铔＀＀铗＀＀铘＀＀铙＀＀铚＀＀铛＀＀铞＀＀铟＀＀铠＀＀铡＀＀铢＀＀铥＀＀铦＀＀铧＀＀铨＀＀铩＀＀铬＀＀铭＀＀铮＀＀铯＀＀铰＀＀铳＀＀铴＀＀铵＀＀银＀＀铷＀＀铻＀＀铼＀＀铽＀＀链＀＀锁＀＀锂＀＀锃＀＀锄＀＀锈＀＀锉＀＀锊＀＀锋＀＀锌＀＀锏＀＀锐＀＀锑＀＀锒＀＀锓＀＀锖＀＀锗＀＀锘＀＀错＀＀锚＀＀锞＀＀锟＀＀锠＀＀锡＀＀锤＀＀锥＀＀锦＀＀锧＀＀锨＀＀锫＀＀锬＀＀锭＀＀键＀＀锯＀＀锲＀＀锳＀＀锴＀＀锵＀＀锶＀＀锹＀＀锺＀＀锻＀＀锼＀＀锽＀＀镀＀＀镁＀＀镂＀＀镃＀＀镄＀＀镇＀＀镈＀＀镉＀＀镊＀＀镋＀＀镎＀＀镏＀＀镐＀＀镑＀＀镒＀＀镕＀＀镖＀＀镗＀＀镘＀＀镙＀＀镝＀＀镞＀＀镟＀＀镠＀＀镣＀＀镤＀＀镥＀＀镦＀＀镧＀＀镪＀＀镫＀＀镬＀＀镭＀＀镮＀＀镱＀＀镲＀＀镳＀＀镴＀＀镵＀＀镸＀＀镹＀＀镺＀＀镻＀＀镼＀＀长＀＀門＀＀閁＀＀閂＀＀閃＀＀閆＀＀閇＀＀閈＀＀閉＀＀閊＀＀閍＀＀閎＀＀閏＀＀閐＀＀閑＀＀閔＀＀閕＀＀閖＀＀閗＀＀閘＀＀閛＀＀閜＀＀閝＀＀閞＀＀閟＀＀関＀＀閣＀＀閤＀＀閥＀＀閦＀＀閩＀＀閪＀＀閫＀＀閭＀＀閰＀＀閱＀＀閲＀＀閳＀＀閴＀＀閷＀＀閸＀＀閹＀＀閺＀＀閻＀＀閾＀＀閿＀＀闀＀＀闁＀＀闂＀＀闅＀＀闆＀＀闇＀＀闈＀＀闌＀＀闍＀＀闎＀＀闏＀＀闐＀＀_xDCCA_䳁"䝑久䙞彇剐䍉⡅⼱⼱〲㐰ㄬ⼲ㄳ㈯〰⤴߸＀＀_x0018_＀＀ߨ＀＀ý＀＀_x0001_＀＀凬Ẹ䀧炤਽ꏗ䀨炤਽ꏗ䀨휊炣訽䀨ᑺ잮䀨尨䊏䀩쳍쳌䳌䀩슏⣵轜䀩ᑻ䞮竡䀩竡긔慇䀫䞮竡긔䀫ᑺ잮䀫쳍쳌䳌䀫휊炣਽䀫凬Ẹ殅䀫＀＀＀＀耀䀫쳍쳌쳌䀫炤਽ꏗ䀫炤਽ꏗ䀪롑蔞䀪슏⣵ཛྷ䀪롒蔞퇫䀪쳍쳌䳌䀫퓽⥸䀫＀＀＀＀＀＀䀫ꏗ㵰圊䀫㵱휊䀬㵱휊炣䀮馚香香䀮竡긔慇䀮尨䊏䀮Ẹ㡑䀯馚香香䀭슏⣵轜䀬竡긔慇䀬⣶轜痂䀫쳍쳌䳌䀫롒蔞퇫䀪ᑻ䞮﫡䀪蔟凫麸䀪㌳㌳㌳䀬㌳㌳댳䀬쳍쳌쳌䀫ꇋ뙅뷳䀫轜_xDC28_䀫轜尨䀬슏⣵ཛྷ䀬㵱휊䀪㌳㌳댳䀩긔ᑺ䀪ᑺ잮䀨ᑺ잮䀨酨糭甿䀩凬Ẹ䀩쫁䖡玶䀩㵱휊炣䀨슏⣵轜䀨凬Ẹ殅䀨쳍쳌䳌䀩휊炣਽䀩＀＀＀＀＀＀䀪਽ꏗ뵰䀩쳍쳌䳌䀪ᑺ䞮䀫긔ᑺ䀫㌳㌳㌳䀫䞮竡⸔䀪尩슏⣵䀪롑Ԟ䀪਽ꏗ㵰䀪쳍쳌ೌ䀪晦晦䀩슏⣵ཛྷ䀪㌳㌳㌳䀪ꏗ㵰圊䀩晦晦晦䀩Ẹ롑䀩＀＀＀＀耀䀩ꇋ뙅㷳䀩쳍쳌쳌䀨轜_xDC28_䀧휊炣訽䀧䞮竡⸔䀨㌳㌳댳䀧ᑻ䞮﫡䀧ᑺ䞮䀩蔟凫麸䀩㵱휊䀨㵱휊䀧䞮竡⸔䀧炤਽ꏗ䀧ᑻ䞮﫡䀦䞮竡⸔䀧尩슏ꣵ䀦尨슏䀥尩슏ꣵ䀦਽ꏗ㵰䀦蔟凫Ẹ䀦휊炣訽䀦⣶轜䀦㌳㌳댳䀦휊炣訽䀦슏⣵轜䀦㌳㌳㌳䀦蔟凫Ẹ䀦竡긔慇䀦＀＀＀＀耀䀦਽ꏗ㵰䀧Ẹ롑䀧尨䊏䀧롒蔞凫䀦㵱휊䀦⣶轜痂䀦凬Ẹ䀦尨슏䀦긔ᑺ䀧䞮竡⸔䀦凬Ẹ殅䀦尩슏ꣵ䀦휊炣਽䀧⣶轜䀦쳍쳌쳌䀦롒蔞凫䀧＀＀＀＀耀䀧Ẹ㡑䀨尩슏ꣵ䀦＀＀＀＀＀＀䀧＀＀＀＀耀䀦馚香香䀦炤਽⏗䀦晦晦晦䀦䞮竡긔䀥슏⣵轜䀥ᑺ䞮䀥馚香ᦙ䀥馚香ᦙ䀥蔟凫Ẹ䀤Ẹ롑䀤㵱휊炣䀤轜_xDC28_䀤⣶轜䀣凬Ẹ殅䀤Ẹ㡑䀤롒蔞퇫䀣馚香香䀣㌳㌳댳䀣ᑻ䞮﫡䀣슏⣵ཛྷ䀤㌳㌳㌳䀣슏⣵轜䀢਽ꏗ㵰䀢਽ꏗ㵰䀢㵱휊䀡晦晦䀡롒蔞퇫䀡轜_xDC28_䀡ꏗ㵰圊䀢晦晦晦䀢䞮竡긔䀢쳍쳌䳌䀣晦晦䀢롒蔞퇫䀢ᑻ䞮竡䀢슏⣵轜䀢਽ꏗ㵰䀢蔟凫Ẹ䀢⣶轜䀡竡긔䀡Ẹ롑䀡ᑺ잮䀡ᑻ䞮竡䀡轜_xDC28_䀡쳍쳌䳌䀢蔟凫麸䀢䞮竡⸔䀣ᑺ잮䀤쳍쳌쳌䀤馚香香䀤Ẹ㡑䀥晦晦晦䀥ꏗ㵰圊䀥馚香香䀥馚香ᦙ䀥尨슏䀤蔟凫麸䀤尩슏ꣵ䀤竡긔䀤긔鑺䀥晦晦䀦炤਽⏗䀧㌳㌳㌳䀧ꏗ㵰圊䀧⣶轜䀦롒蔞凫䀦轜尨䀦਽ꏗ뵰䀥轜尨䀥긔鑺䀥凬Ẹ殅䀥롑Ԟ䀦竡긔䀥尨슏䀥⣶轜䀥슏⣵ཛྷ䀦＀＀＀＀＀＀䀦⣶轜痂䀥Ẹ롑䀤ᑺ䞮䀥롑Ԟ䀥਽ꏗ㵰䀥Ẹ롑䀥馚香香䀥㌳㌳㌳䀦슏⣵ཛྷ䀦롒蔞凫䀦䞮竡⸔䀦馚香ᦙ䀦ᑻ䞮﫡䀥＀＀＀＀＀＀䀦晦晦䀥㌳㌳댳䀥䞮竡⸔䀥晦晦晦䀥尨䊏䀥롑蔞䀤⣶轜䀤竡긔慇䀥炤਽ꏗ䀥蔟凫麸䀥＀＀＀＀＀＀䀦蔟凫麸䀥轜尨䀦炤਽⏗䀦슏⣵轜䀦轜_xDC28_䀦਽ꏗ㵰䀦＀＀＀＀耀䀦਽ꏗ㵰䀦尨䊏䀥㵱휊䀥轜_xDC28_䀥਽ꏗ뵰䀥쳍쳌쳌䀤凬Ẹ殅䀥馚香ᦙ䀦蔟凫麸䀦轜尨䀦휊炣訽䀦竡긔慇䀦긔鑺䀦쳍쳌쳌䀥㌳㌳㌳䀦晦晦䀥_xDCCA_䳁"䝑久䙞彇剐䍉⡅⼱⼱〲㠰ㄬ⼲ㄳ㈯〰⤸ࠀ＀＀_x0018_＀＀߰＀＀þ＀＀_x0001_＀＀쳍쳌ೌ䀵尨슏䀵롑䔞䀶휊炣쨽䀵炤਽ꏗ䀵਽ꏗﵰ䀵긔鑺䀶Ẹ롑䀶晦晦♦䀷炤਽揗䀷䞮竡⸔䀶凬Ẹ殅䀵㵱휊炣䀵＀＀＀＀耀䀴ᑻ䞮뫡䀳휊炣쨽䀳⣶轜㗂䀳＀＀＀＀耀䀳尨ʏ䀴⣶轜㗂䀴㌳㌳㌳䀴晦晦晦䀴휊炣쨽䀴尨슏䀴轜ᰨ䀴蔟凫Ẹ䀴轜尨䀴Ẹ硑䀴䞮竡䀴晦晦晦䀵਽ꏗ뵰䀵ꏗ㵰圊䀵ᑺ螮䀴਽ꏗﵰ䀴轜_xDC28_䀴蔟凫ﺸ䀴롑Ԟ䀵ᑺ螮䀵ꏗ㵰휊䀵尨ʏ䀶＀＀＀＀耀䀶਽ꏗﵰ䀵馚香_xD999_䀵尨䊏䀵ꏗ㵰霊䀵＀＀＀＀＀＀䀵⣶轜䀴＀＀＀＀＀＀䀴ᑺޮ䀴馚香香䀲롒蔞퇫䀲晦晦♦䀳ᑻ䞮竡䀲䞮竡긔䀲尩슏棵䀲凬Ẹꮅ䀲⣶轜㗂䀳긔ᑺ䀴ᑺ잮䀳롒蔞퇫䀴ᑺ螮䀴쳍쳌쳌䀴㵱휊炣䀵⣶轜痂䀵䞮竡⸔䀵롑䔞䀵竡긔ⅇ䀵䞮竡⸔䀵Ẹ䀴竡긔ⅇ䀵䞮竡䀴⣶轜뗂䀴ᑺ잮䀴ᑺ잮䀴凬Ẹ䀴晦晦♦䀵롒蔞퇫䀵尩슏棵䀵馚香妙䀶轜_xDC28_䀵쳍쳌䳌䀶긔呺䀶਽ꏗﵰ䀵⣶轜㗂䀶⣶轜痂䀶䞮竡⸔䀶긔ᑺ䀶蔟凫Ẹ䀶롑蔞䀵롑䔞䀶㵱휊炣䀵轜鰨䀵⣶轜뗂䀵긔呺䀵휊炣쨽䀵쳍쳌쳌䀵㌳㌳댳䀵Ẹ硑䀵롒蔞ᇫ䀵ꏗ㵰휊䀴晦晦Ꙧ䀴롒蔞釫䀴＀＀＀＀耀䀴凬Ẹ殅䀴尩슏䀳휊炣쨽䀳휊炣訽䀳⣶轜뗂䀳쳍쳌賌䀳ᑻ䞮㫡䀳尨슏䀲尩슏䀲㵱휊ィ䀳凬Ẹ䀳Ẹ䀳Ẹ硑䀳਽ꏗ絰䀳馚香妙䀳䞮竡渔䀳炤਽ꏗ䀳㌳㌳㌳䀳＀＀＀＀＀＀䀳Ẹ㡑䀳긔鑺䀳尨ʏ䀴竡긔ⅇ䀴晦晦晦䀴ꏗ㵰ᜊ䀵＀＀＀＀耀䀴馚香妙䀴⣶轜㗂䀴㵱휊炣䀴ꏗ㵰ᜊ䀴尩슏ꣵ䀳＀＀＀＀耀䀳凬Ẹꮅ䀳凬Ẹ䀳蔟凫庸䀴쳍쳌賌䀴쳍쳌賌䀴㌳㌳䀴휊炣䨽䀴ᑻ䞮㫡䀴凬Ẹ⮅䀴轜尨䀳轜_xDC28_䀲尩슏䀲휊炣쨽䀲炤਽ꏗ䀲ꏗ㵰霊䀲਽ꏗﵰ䀳尨슏䀴凬Ẹ⮅䀴竡긔ꅇ䀴馚香香䀴轜鰨䀴ᑺ螮䀴롒蔞ᇫ䀵凬Ẹꮅ䀵尨芏䀵蔟凫麸䀵긔鑺䀵휊炣訽䀵晦晦晦䀵馚香_xD999_䀴㌳㌳㌳䀵휊炣訽䀵竡긔ꅇ䀵尩슏⣵䀵롑Ԟ䀵롒蔞凫䀵਽ꏗ絰䀴㌳㌳댳䀳馚香香䀳긔푺䀳⣶轜䀳轜ᰨ䀴롒蔞ᇫ䀴㵱휊낣䀳휊炣訽䀳晦晦䀲㵱휊䀳尨䊏䀳ᑻ䞮㫡䀳蔟凫庸䀳炤਽ꏗ䀳尨ʏ䀴轜_xDC28_䀳㵱휊䀲ᑻ䞮뫡䀳롑䔞䀴਽ꏗ㵰䀳쳍쳌쳌䀲凬Ẹ䀱炤਽⏗䀱晦晦Ꙧ䀰尩슏⣵䀰슏⣵ཛྷ䀭ꏗ㵰휊䀯尩슏⣵䀯竡긔慇䀮ᑺޮ䀰竡긔慇䀮਽ꏗ뵰䀯⣶轜痂䀮馚香ᦙ䀮ᑺ잮䀭ᑺ䞮䀬롒蔞퇫䀩尩슏⣵䀪롑Ԟ䀪炤਽ꏗ䀫롑蔞䀬凬Ẹ殅䀬Ẹ㡑䀭㵱휊炣䀭Ẹ㡑䀬਽ꏗ㵰䀮਽ꏗ㵰䀯尨䊏䀯਽ꏗ뵰䀭㌳㌳댳䀯尨䊏䀯㵱휊炣䀮㵱휊䀭Ẹ롑䀫蔟凫Ẹ䀬롑Ԟ䀮尨슏䀮롑Ԟ䀯긔鑺䀯竡긔ⅇ䀰䞮竡긔䀭＀＀＀＀＀＀䀯쳍쳌賌䀰Ẹ㡑䀰㌳㌳㌳䀱＀＀＀＀＀＀䀱롑蔞䀰㌳㌳댳䀰㵱휊炣䀰긔鑺䀰蔟凫麸䀰਽ꏗ㵰䀱馚香妙䀱쳍쳌䳌䀱਽ꏗ絰䀰晦晦晦䀰尨ʏ䀱尩슏ꣵ䀰Ẹ䀰炤਽䀰轜尨䀱슏⣵轜䀱_xDCCA_䳁_x001C_䝑久䕞䅃䵟䅅彎䉅呉㈨㄰ⰰ低⥗_x0018_＀＀_x0018_＀＀_x0008_＀＀_x0001_＀＀_x0001_＀＀_xDD97_얓䁱_xDCCA_䳁0䝑久䩞䱕䅉⡎䝆偟䥒䕃ㄨㄯ㈯〰ⰷ㈱㌯⼱〲㜰⸩慤整⥳Ѐ＀＀_x0018_＀＀ϰ＀＀ü＀＀_x0003_＀＀風＀＀颭＀＀颮＀＀颯＀＀颲＀＀颳＀＀颴＀＀颵＀＀颶＀＀颺＀＀颻＀＀颼＀＀颽＀＀飀＀＀飁＀＀飂＀＀飃＀＀飄＀＀飇＀＀飈＀＀飉＀＀飊＀＀飋＀＀风＀＀飏＀＀飐＀＀飑＀＀飒＀＀飕＀＀飖＀＀飗＀＀飘＀＀飙＀＀飝＀＀飞＀＀食＀＀飠＀＀飣＀＀飤＀＀飥＀＀飦＀＀飧＀＀飪＀＀飫＀＀飬＀＀飭＀＀飮＀＀飱＀＀飲＀＀飳＀＀飴＀＀飵＀＀飸＀＀飹＀＀飺＀＀飻＀＀飼＀＀飿＀＀餀＀＀餁＀＀餂＀＀餃＀＀餆＀＀餇＀＀餈＀＀餉＀＀餍＀＀餎＀＀餏＀＀餐＀＀餑＀＀餔＀＀餕＀＀餖＀＀餗＀＀餘＀＀餛＀＀餜＀＀餝＀＀餞＀＀餟＀＀餢＀＀餣＀＀餤＀＀餥＀＀餦＀＀餩＀＀餪＀＀餫＀＀餬＀＀餭＀＀餰＀＀餱＀＀餲＀＀餳＀＀餴＀＀餷＀＀餸＀＀餹＀＀餺＀＀餻＀＀餿＀＀饀＀＀饁＀＀饂＀＀饅＀＀饆＀＀饇＀＀饈＀＀饉＀＀饌＀＀饍＀＀饎＀＀饏＀＀饐＀＀饓＀＀饔＀＀饕＀＀饖＀＀饗＀＀饚＀＀饛＀＀饜＀＀饝＀＀饞＀＀饡＀＀饢＀＀饤＀＀饥＀＀饨＀＀饩＀＀饪＀＀饫＀＀饬＀＀饯＀＀饰＀＀饱＀＀饲＀＀饳＀＀饶＀＀饷＀＀饸＀＀饹＀＀饺＀＀饽＀＀饾＀＀饿＀＀馀＀＀馁＀＀馄＀＀馅＀＀馆＀＀馇＀＀馈＀＀馋＀＀馌＀＀馍＀＀馎＀＀馏＀＀馒＀＀馓＀＀馔＀＀馕＀＀首＀＀香＀＀馚＀＀馛＀＀馜＀＀馝＀＀馡＀＀馢＀＀馣＀＀馤＀＀馧＀＀馨＀＀馩＀＀馪＀＀馫＀＀馮＀＀馯＀＀馰＀＀馱＀＀馲＀＀馵＀＀馶＀＀馷＀＀馸＀＀馹＀＀馼＀＀馽＀＀馾＀＀馿＀＀駀＀＀駃＀＀駄＀＀駅＀＀駆＀＀駇＀＀駊＀＀駋＀＀駌＀＀駍＀＀駎＀＀駑＀＀駒＀＀駓＀＀駔＀＀駕＀＀駘＀＀駙＀＀駚＀＀駛＀＀駜＀＀駟＀＀駠＀＀駡＀＀駢＀＀駣＀＀駦＀＀駧＀＀駨＀＀駩＀＀駪＀＀駭＀＀駮＀＀駯＀＀駱＀＀駴＀＀駵＀＀駶＀＀駷＀＀駸＀＀駻＀＀駼＀＀駽＀＀駾＀＀駿＀＀騂＀＀騃＀＀騄＀＀騅＀＀騆＀＀騉＀＀騊＀＀騋＀＀騌＀＀騍＀＀騐＀＀騒＀＀験＀＀騔＀＀騗＀＀_xDCCA_䳁"䝑久䙞彇剐䍉⡅⼱⼱〲㘰ㄬ⼲ㄳ㈯〰⤶߰＀＀_x0018_＀＀ߠ＀＀ü＀＀_x0001_＀＀＀＀＀＀耀䀧긔ᑺ䀨尨슏䀨䞮竡긔䀨ᑺ잮䀨쳍쳌쳌䀨轜_xDC28_䀨炤਽ꏗ䀨馚香香䀨尩슏ꣵ䀨䞮竡긔䀨ᑺ䞮䀨馚香ᦙ䀨ꏗ㵰휊䀧㵱휊炣䀧尨슏䀧㵱휊䀧Ẹ롑䀧롑蔞䀧⣶轜痂䀧䞮竡긔䀧휊炣਽䀨晦晦晦䀨㵱휊䀧蔟凫Ẹ䀨晦晦晦䀨휊炣਽䀨㵱휊炣䀨蔟凫麸䀨＀＀＀＀＀＀䀩轜尨䀪ᑻ䞮竡䀪਽ꏗ뵰䀪롑Ԟ䀫롑蔞䀫롑蔞䀫竡긔䀫䞮竡긔䀬馚香ᦙ䀮롒蔞퇫䀭㌳㌳댳䀭轜尨䀮ꏗ㵰휊䀮긔鑺䀮Ẹ롑䀭슏⣵轜䀭馚香香䀭쳍쳌䳌䀭馚香香䀭㌳㌳댳䀭਽ꏗ뵰䀭尩슏ꣵ䀭蔟凫麸䀭＀＀＀＀＀＀䀮晦晦晦䀭㌳㌳댳䀭蔟凫麸䀭롑蔞䀭凬Ẹ殅䀭尨䊏䀭롑蔞䀬䞮竡긔䀭롒蔞퇫䀭＀＀＀＀＀＀䀭슏⣵ཛྷ䀭蔟凫麸䀭尩슏⣵䀭ᑻ䞮﫡䀬㵱휊炣䀬ᑺ잮䀫晦晦晦䀬욧睋䀬蔟凫Ẹ䀭晦晦晦䀭＀＀＀＀＀＀䀭轜_xDC28_䀬롒蔞凫䀭轜尨䀭竡긔䀬휊炣਽䀭㌳㌳댳䀭쳍쳌쳌䀭炤਽⏗䀮㵱휊䀭롑蔞䀮＀＀＀＀耀䀮㌳㌳댳䀮슏⣵轜䀮䞮竡⸔䀮긔ᑺ䀮馚香香䀭ꏗ㵰圊䀭긔鑺䀬ᑺ䞮䀬ꏗ㵰圊䀫쳍쳌쳌䀫竡긔䀫竡긔慇䀫晦晦䀪Ẹ㡑䀫尨슏䀫轜尨䀬롒蔞퇫䀫＀＀＀＀耀䀬㌳㌳㌳䀬㌳㌳댳䀬਽ꏗ뵰䀫馚香香䀫⣶轜痂䀫㌳㌳댳䀪ꏗ㵰휊䀪Ẹ롑䀪⣶轜䀩䞮竡긔䀪炤਽⏗䀫馚香香䀪ꏗ㵰圊䀪晦晦晦䀪馚香香䀪슏⣵轜䀪＀＀＀＀＀＀䀪晦晦晦䀪ᑺ잮䀩尩슏ꣵ䀩竡긔䀪㵱휊炣䀫ᑻ䞮竡䀫긔ᑺ䀫ꏗ㵰圊䀫ᑻ䞮﫡䀪긔ᑺ䀫쳍쳌ೌ䀫蔟凫麸䀫슏⣵ཛྷ䀫ꏗ㵰휊䀪晦晦䀪㌳㌳㌳䀫炤਽ꏗ䀬尨슏䀬䞮竡긔䀬롒蔞퇫䀭⣶轜䀭蔟凫Ẹ䀮尨䊏䀮롑蔞䀮凬Ẹ殅䀮晦晦晦䀮尨䊏䀮＀＀＀＀耀䀮㌳㌳㌳䀮롒蔞퇫䀭晦晦晦䀭䞮竡⸔䀮凬Ẹ殅䀭ᑺ䞮䀭馚香ᦙ䀭ᑺ䞮䀭炤਽ꏗ䀭炤਽⏗䀭馚香ᦙ䀭긔鑺䀬⣶轜痂䀬尨䊏䀬晦晦晦䀬晦晦晦䀬＀＀＀＀耀䀬尩슏ꣵ䀬ᑺ잮䀬凬Ẹ䀬ꏗ㵰휊䀬Ẹ㡑䀭쳍쳌쳌䀬슏⣵轜䀬尨䊏䀬蔟凫Ẹ䀬凬Ẹ殅䀬ꏗ㵰圊䀬轜鰨䀬ᑻ䞮﫡䀬尨슏䀭롑蔞䀭䞮竡긔䀭Ẹ롑䀭晦晦晦䀭凬Ẹ殅䀮롒蔞퇫䀮凬Ẹ䀮㌳㌳댳䀯䞮竡긔䀯凬Ẹ殅䀯轜_xDC28_䀯䷓ၢᥘ䀰휊炣਽䀰⣶轜痂䀯晦晦♦䀰轜_xDC28_䀯⣶轜痂䀯㌳㌳댳䀯롒蔞凫䀯蔟凫Ẹ䀯馚香香䀮竡긔慇䀮＀＀＀＀耀䀮롑蔞䀮司ꗣқ䀯롑Ԟ䀯긔鑺䀯슏⣵ཛྷ䀰竡긔䀯凬Ẹ殅䀯蔟凫麸䀯㌳㌳㌳䀯긔鑺䀯슏⣵ཛྷ䀯긔鑺䀯ᑻ䞮﫡䀯⣶轜䀯㌳㌳댳䀯＀＀＀＀＀＀䀰凬Ẹ䀯㌳㌳㌳䀯롑蔞䀮슏⣵ཛྷ䀮馚香ᦙ䀮尩슏ꣵ䀭＀＀＀＀＀＀䀮쳍쳌쳌䀭凬Ẹ殅䀭蔟凫麸䀬ᑻ䞮竡䀬凬Ẹ䀬䞮竡⸔䀭凬Ẹ䀬਽ꏗ㵰䀭휊炣਽䀭Ẹ롑䀬炤਽ꏗ䀬쳍쳌䳌䀭Ẹ롑䀭⣶轜䀭롒蔞퇫䀭竡긔慇䀮凬Ẹ殅䀮਽ꏗ뵰䀮਽ꏗ뵰䀮尨슏䀮馚香香䀮਽ꏗ㵰䀮ᑻ䞮﫡䀭롒蔞凫䀮ᑻ䞮竡䀮尨䊏䀮ὲ䵇:䝑久䙞彅卅䥔䅍䕔✨䅓䕌❓✬䕍乁Ⱗ儧䅕呒剅奌Ⱗ⬧✴丬坏Ⱜ✬⤧_x0018_＀＀_x0018_＀＀_x0008_＀＀_x0001_＀＀_x0001_＀＀㆐⵷䁲_xDCCA_䳁_x001B_䝑久䕞䅃䵟䅅彎偅⡓〲ㄱ丬坏착_x0018_＀＀_x0018_＀＀_x0008_＀＀_x0001_＀＀_x0001_＀＀᪠_xDD2F_ؤ㿱❔䳃:䝑久䙞彅卅䥔䅍䕔✨䅓䕌❓✬䕍乁Ⱗ儧䅕呒剅奌Ⱗ⬧✱丬坏Ⱜ✬⤧_x0018_＀＀_x0018_＀＀_x0008_＀＀_x0001_＀＀_x0001_＀＀ᐒ옿淜䁱ὲ䵇8䝑久䙞彅卅䥔䅍䕔✨偅❓✬䕍乁Ⱗ儧䅕呒剅奌Ⱗ⬧✲丬坏Ⱜ✬⤧_x0018_＀＀_x0018_＀＀_x0008_＀＀_x0001_＀＀_x0001_＀＀ク∳_xDB07_㿍_xDCCA_䳁_x001B_䝑久䕞䅃䵟䅅彎偅⡓〲〱丬坏착_x0018_＀＀_x0018_＀＀_x0008_＀＀_x0001_＀＀_x0001_＀＀Ꮚ膭奒㿭ὲ䵇5䝑久䙞彅卅䥔䅍䕔✨偅❓✬䕍乁Ⱗ䄧乎䅕❌✬㌫Ⱗ低ⱗⰬ✧착_x0018_＀＀_x0018_＀＀_x0008_＀＀_x0001_＀＀_x0001_＀＀ᬈ庞଩㿲ὲ䵇7䝑久䙞彅卅䥔䅍䕔✨䅓䕌❓✬䕍乁Ⱗ䄧乎䅕❌✬㔫Ⱗ低ⱗⰬ✧착_x0018_＀＀_x0018_＀＀_x0008_＀＀_x0001_＀＀_x0001_＀＀䦻Ȍ햫䂘ὲ䵇8䝑久䙞彅卅䥔䅍䕔✨灅❓✬䕍乁Ⱗ儧䅕呒剅奌Ⱗ⬧✵丬坏Ⱜ✬⤧_x0018_＀＀_x0018_＀＀_x0008_＀＀_x0001_＀＀_x0001_＀＀램䍐赥㿑_xDCC8_䳁R瑓捯⁫灯楴湯椠獳慵据⁥湡⁤桳牡⁥敲異捲慨敳平噁⡇彐牐捩⡥⼱⼱〲㘰ㄬ⼲ㄳ㈯〰ⰶ唬䑓⤩_x0018_＀＀_x0018_＀＀_x0008_＀＀_x0001_＀＀_x0001_＀＀豀碵꼝쐕_xDCCA_䳁_x001A_䝑久䕞元䵟䅅彎䉅呉⬨ⰲ低⥗_x0018_＀＀_x0018_＀＀_x0008_＀＀_x0001_＀＀_x0001_＀＀魼퉇䁕ὲ䵇7䝑久䙞彅卅䥔䅍䕔✨䅓䕌❓✬䕍乁Ⱗ䄧乎䅕❌✬㈫Ⱗ低ⱗⰬ✧착_x0018_＀＀_x0018_＀＀_x0008_＀＀_x0001_＀＀_x0001_＀＀롑삞䂒俞0䝑久䩞䱕䅉⡎䝆偟䥒䕃ㄨㄯ㈯㄰ⰱ㈱㌯⼱〲ㄱ⸩慤整⥳Ф＀＀_x0018_＀＀Д＀＀ą＀＀_x0003_＀＀鹟＀＀鹢＀＀鹣＀＀鹤＀＀鹥＀＀鹦＀＀鹩＀＀鹪＀＀鹫＀＀鹬＀＀鹭＀＀鹰＀＀鹱＀＀鹲＀＀鹳＀＀鹴＀＀鹷＀＀鹸＀＀鹹＀＀鹺＀＀鹻＀＀鹾＀＀鹿＀＀麀＀＀麁＀＀麂＀＀麅＀＀麆＀＀麇＀＀麈＀＀麉＀＀麌＀＀麍＀＀麎＀＀麏＀＀麐＀＀麓＀＀麔＀＀麕＀＀麖＀＀麗＀＀麚＀＀麛＀＀麜＀＀麝＀＀麞＀＀麡＀＀麢＀＀麣＀＀麤＀＀麥＀＀麨＀＀麩＀＀麪＀＀麫＀＀麬＀＀麯＀＀麰＀＀麱＀＀麲＀＀麳＀＀麶＀＀麷＀＀麸＀＀麹＀＀麺＀＀麽＀＀麾＀＀麿＀＀黀＀＀黁＀＀黄＀＀黅＀＀黆＀＀黇＀＀黈＀＀黋＀＀黌＀＀黍＀＀黎＀＀黏＀＀黒＀＀黓＀＀黔＀＀黕＀＀黖＀＀黙＀＀黚＀＀黛＀＀黜＀＀黝＀＀黠＀＀黡＀＀黢＀＀黣＀＀黤＀＀黧＀＀黨＀＀黩＀＀黪＀＀黫＀＀黮＀＀黯＀＀黰＀＀黱＀＀黲＀＀黵＀＀黶＀＀黷＀＀黸＀＀黹＀＀黼＀＀黽＀＀黾＀＀黿＀＀鼀＀＀鼃＀＀鼄＀＀鼅＀＀鼆＀＀鼇＀＀鼊＀＀鼋＀＀鼌＀＀鼍＀＀鼎＀＀鼑＀＀鼒＀＀鼓＀＀鼔＀＀鼕＀＀鼘＀＀鼙＀＀鼚＀＀鼛＀＀鼜＀＀鼟＀＀鼠＀＀鼡＀＀鼢＀＀鼣＀＀鼦＀＀鼧＀＀鼨＀＀鼩＀＀鼪＀＀鼭＀＀鼮＀＀鼯＀＀鼰＀＀鼱＀＀鼴＀＀鼵＀＀鼶＀＀鼷＀＀鼸＀＀鼻＀＀鼼＀＀鼽＀＀鼾＀＀鼿＀＀齂＀＀齃＀＀齄＀＀齅＀＀齆＀＀齉＀＀齊＀＀齋＀＀齌＀＀齍＀＀齐＀＀齑＀＀齒＀＀齓＀＀齔＀＀齗＀＀齘＀＀齙＀＀齚＀＀齛＀＀齞＀＀齟＀＀齠＀＀齡＀＀齢＀＀齥＀＀齦＀＀齧＀＀齨＀＀齩＀＀齬＀＀齭＀＀齮＀＀齯＀＀齰＀＀齳＀＀齴＀＀齵＀＀齶＀＀齷＀＀齺＀＀齻＀＀齼＀＀齽＀＀齾＀＀龁＀＀龂＀＀龃＀＀龄＀＀龅＀＀龈＀＀龉＀＀龊＀＀龋＀＀龌＀＀龏＀＀龐＀＀龑＀＀龒＀＀龓＀＀龖＀＀龗＀＀龘＀＀龙＀＀龚＀＀龝＀＀龞＀＀龟＀＀龠＀＀龡＀＀龤＀＀龥＀＀龦＀＀龧＀＀龨＀＀龫＀＀龬＀＀龭＀＀龮＀＀龯＀＀龲＀＀龳＀＀龴＀＀龵＀＀龶＀＀龹＀＀龺＀＀龻＀＀龼＀＀龽＀＀鿀＀＀鿁＀＀鿂＀＀鿃＀＀鿄＀＀鿇＀＀鿈＀＀鿉＀＀鿊＀＀鿋＀＀_xDCCA_䳁_x001A_䝑久䕞元䵟䅅彎䉅呉⬨ⰱ低⥗_x0018_＀＀_x0018_＀＀_x0008_＀＀_x0001_＀＀_x0001_＀＀䮈㮎斥䁓_xDCCA_䳁0䝑久䩞䱕䅉⡎䝆偟䥒䕃ㄨㄯ㈯〰ⰶ㈱㌯⼱〲㘰⸩慤整⥳Ѐ＀＀_x0018_＀＀ϰ＀＀ü＀＀_x0003_＀＀霼＀＀靀＀＀靁＀＀靂＀＀靃＀＀靆＀＀靇＀＀靈＀＀靉＀＀靊＀＀靎＀＀靏＀＀靐＀＀靑＀＀靔＀＀靕＀＀靖＀＀靗＀＀靘＀＀靛＀＀靜＀＀靝＀＀非＀＀靟＀＀面＀＀靣＀＀靤＀＀靥＀＀靦＀＀革＀＀靪＀＀靫＀＀靬＀＀靭＀＀靱＀＀靲＀＀靳＀＀靴＀＀靷＀＀靸＀＀靹＀＀靺＀＀靻＀＀靾＀＀靿＀＀鞀＀＀鞁＀＀鞂＀＀鞅＀＀鞆＀＀鞇＀＀鞈＀＀鞉＀＀鞌＀＀鞍＀＀鞎＀＀鞏＀＀鞐＀＀鞓＀＀鞔＀＀鞕＀＀鞖＀＀鞗＀＀鞚＀＀鞛＀＀鞜＀＀鞝＀＀鞞＀＀鞡＀＀鞢＀＀鞣＀＀鞤＀＀鞨＀＀鞩＀＀鞪＀＀鞫＀＀鞬＀＀鞯＀＀鞰＀＀鞱＀＀鞲＀＀鞳＀＀鞶＀＀鞷＀＀鞸＀＀鞹＀＀鞺＀＀鞽＀＀鞾＀＀鞿＀＀韀＀＀韁＀＀韄＀＀韅＀＀韆＀＀韇＀＀韈＀＀韋＀＀韌＀＀韍＀＀韎＀＀韏＀＀韓＀＀韔＀＀韕＀＀韖＀＀韙＀＀韚＀＀韛＀＀韜＀＀韝＀＀韠＀＀韡＀＀韢＀＀韣＀＀韤＀＀韧＀＀韨＀＀韩＀＀韪＀＀韫＀＀韮＀＀韯＀＀韰＀＀韱＀＀韲＀＀韵＀＀韷＀＀韸＀＀韹＀＀韼＀＀韽＀＀韾＀＀響＀＀頀＀＀頃＀＀頄＀＀項＀＀順＀＀頇＀＀頊＀＀頋＀＀頌＀＀頍＀＀頎＀＀頑＀＀頒＀＀頓＀＀頔＀＀頕＀＀領＀＀頙＀＀頚＀＀頛＀＀頜＀＀頟＀＀頠＀＀頡＀＀頢＀＀頣＀＀頦＀＀頧＀＀頨＀＀頩＀＀頪＀＀頭＀＀頮＀＀頯＀＀頰＀＀頱＀＀頵＀＀頶＀＀頷＀＀頸＀＀頻＀＀頼＀＀頽＀＀頾＀＀頿＀＀顂＀＀顃＀＀顄＀＀顅＀＀顆＀＀顉＀＀顊＀＀顋＀＀題＀＀額＀＀顐＀＀顑＀＀顒＀＀顓＀＀顔＀＀顗＀＀願＀＀顙＀＀顚＀＀顛＀＀類＀＀顟＀＀顠＀＀顡＀＀顢＀＀顥＀＀顦＀＀顧＀＀顨＀＀顩＀＀顬＀＀顭＀＀顮＀＀顯＀＀顰＀＀顳＀＀顴＀＀页＀＀顶＀＀顷＀＀顺＀＀须＀＀顼＀＀顽＀＀顾＀＀颁＀＀颂＀＀颃＀＀颅＀＀颈＀＀颉＀＀颊＀＀颋＀＀颌＀＀颏＀＀颐＀＀频＀＀颒＀＀颓＀＀颖＀＀颗＀＀题＀＀颙＀＀颚＀＀额＀＀颞＀＀颟＀＀颠＀＀颡＀＀颥＀＀颦＀＀颧＀＀風＀＀ὲ䵇:䝑久䙞彅卅䥔䅍䕔✨䅓䕌❓✬䕍乁Ⱗ儧䅕呒剅奌Ⱗ⬧✳丬坏Ⱜ✬⤧_x0018_＀＀_x0018_＀＀_x0008_＀＀_x0001_＀＀_x0001_＀＀즆셔䁱_xDCCA_䳁0䝑久䩞䱕䅉⡎䝆偟䥒䕃ㄨㄯ㈯〰ⰹ㈱㌯⼱〲㤰⸩慤整⥳Є＀＀_x0018_＀＀ϴ＀＀ý＀＀_x0003_＀＀鮅＀＀鮇＀＀鮊＀＀鮋＀＀鮌＀＀鮍＀＀鮎＀＀鮑＀＀鮒＀＀鮓＀＀鮔＀＀鮕＀＀鮙＀＀鮚＀＀鮛＀＀鮜＀＀鮟＀＀鮠＀＀鮡＀＀鮢＀＀鮣＀＀鮦＀＀鮧＀＀鮨＀＀鮩＀＀鮪＀＀鮭＀＀鮮＀＀鮯＀＀鮰＀＀鮱＀＀鮵＀＀鮶＀＀鮷＀＀鮸＀＀鮻＀＀鮼＀＀鮽＀＀鮾＀＀鮿＀＀鯂＀＀鯃＀＀鯄＀＀鯅＀＀鯆＀＀鯉＀＀鯊＀＀鯋＀＀鯌＀＀鯍＀＀鯐＀＀鯑＀＀鯒＀＀鯓＀＀鯔＀＀鯗＀＀鯘＀＀鯙＀＀鯚＀＀鯛＀＀鯞＀＀鯟＀＀鯠＀＀鯡＀＀鯢＀＀鯥＀＀鯦＀＀鯧＀＀鯨＀＀鯬＀＀鯭＀＀鯮＀＀鯯＀＀鯰＀＀鯳＀＀鯴＀＀鯵＀＀鯶＀＀鯷＀＀鯺＀＀鯻＀＀鯼＀＀鯽＀＀鯾＀＀鰁＀＀鰂＀＀鰃＀＀鰄＀＀鰅＀＀鰈＀＀鰉＀＀鰊＀＀鰋＀＀鰌＀＀鰏＀＀鰐＀＀鰑＀＀鰒＀＀鰓＀＀鰗＀＀鰘＀＀鰙＀＀鰚＀＀鰝＀＀鰞＀＀鰟＀＀鰠＀＀鰡＀＀鰤＀＀鰥＀＀鰦＀＀鰧＀＀鰨＀＀鰫＀＀鰬＀＀鰭＀＀鰮＀＀鰯＀＀鰲＀＀鰳＀＀鰴＀＀鰵＀＀鰶＀＀鰹＀＀鰺＀＀鰻＀＀鰼＀＀鱀＀＀鱁＀＀鱂＀＀鱃＀＀鱄＀＀鱇＀＀鱈＀＀鱉＀＀鱊＀＀鱋＀＀鱎＀＀鱏＀＀鱐＀＀鱑＀＀鱒＀＀鱕＀＀鱖＀＀鱗＀＀鱘＀＀鱙＀＀鱜＀＀鱝＀＀鱞＀＀鱟＀＀鱠＀＀鱣＀＀鱤＀＀鱥＀＀鱦＀＀鱧＀＀鱪＀＀鱫＀＀鱬＀＀鱭＀＀鱮＀＀鱱＀＀鱲＀＀鱳＀＀鱴＀＀鱵＀＀鱸＀＀鱹＀＀鱺＀＀鱻＀＀鱼＀＀鲀＀＀鲁＀＀鲂＀＀鲃＀＀鲆＀＀鲇＀＀鲈＀＀鲉＀＀鲊＀＀鲍＀＀鲎＀＀鲏＀＀鲐＀＀鲑＀＀鲔＀＀鲕＀＀鲖＀＀鲗＀＀鲘＀＀鲛＀＀鲜＀＀鲝＀＀鲞＀＀鲟＀＀鲢＀＀鲣＀＀鲤＀＀鲥＀＀鲦＀＀鲩＀＀鲪＀＀鲫＀＀鲬＀＀鲭＀＀鲰＀＀鲱＀＀鲲＀＀鲳＀＀鲴＀＀鲷＀＀鲸＀＀鲹＀＀鲺＀＀鲻＀＀鲾＀＀鲿＀＀鳀＀＀鳁＀＀鳂＀＀鳅＀＀鳆＀＀鳇＀＀鳈＀＀鳉＀＀鳌＀＀鳍＀＀鳎＀＀鳐＀＀鳓＀＀鳔＀＀鳕＀＀鳖＀＀鳗＀＀鳚＀＀鳛＀＀鳜＀＀鳝＀＀鳞＀＀鳡＀＀鳢＀＀鳣＀＀鳤＀＀鳥＀＀鳨＀＀鳩＀＀鳪＀＀鳫＀＀鳯＀＀鳰＀＀鳱＀＀鳲＀＀俞"䝑久䙞彇剐䍉⡅⼱⼱〲〱ㄬ⼲ㄳ㈯㄰⤰࠸＀＀_x0018_＀＀ࠨ＀＀ą＀＀_x0001_＀＀긔呺䀶尩슏ꣵ䀶竡긔慇䀶蔟凫麸䀶Ẹ롑䀶蔟凫麸䀶ᑻ䞮뫡䀶쳍쳌賌䀶尨芏䀷馚香妙䀷ᑻ䞮竡䀷ᑻ䞮竡䀷㵱휊炣䀷尩슏⣵䀷⣶轜痂䀶ᑻ䞮㫡䀶긔鑺䀶슏⣵轜䀶ꏗ㵰圊䀶轜ᰨ䀶尨슏䀵Ẹ_xD851_䀵炤਽⏗䀶轜_xDC28_䀵凬Ẹ⮅䀵슏⣵콜䀴尩슏ꣵ䀴馚香香䀴轜_xDC28_䀴＀＀＀＀䀀䀵馚香妙䀵馚香妙䀵롑蔞䀵＀＀＀＀耀䀵ᑺ螮䀵ᑺ螮䀵롑씞䀵ᑻ䞮竡䀵쳍쳌賌䀵尩슏ꣵ䀵슏⣵콜䀵Ẹ䀵롑蔞䀶尩슏棵䀶਽ꏗ㵰䀶尨芏䀶尨芏䀶馚香妙䀶轜鰨䀶롒蔞퇫䀶晦晦Ꙧ䀶긔鑺䀶슏⣵콜䀶㌳㌳䀶炤਽⏗䀷롑Ԟ䀷蔟凫Ẹ䀷롒蔞ᇫ䀷䞮竡䀶炤਽⏗䀷㵱휊ィ䀷轜ᰨ䀷蔟凫Ẹ䀷਽ꏗﵰ䀶蔟凫Ẹ䀷蔟凫Ẹ䀷ᑻ䞮㫡䀷롑Ԟ䀷竡긔ⅇ䀷롑蔞䀷롑蔞䀷롒蔞釫䀷ᑻ䞮뫡䀷ᑻ䞮﫡䀷롒蔞퇫䀷Ẹ롑䀷尨슏䀷凬Ẹꮅ䀷蔟凫麸䀷㌳㌳㌳䀷휊炣쨽䀶轜鰨䀶㵱휊ィ䀶휊炣䨽䀶਽ꏗﵰ䀶馚香_xD999_䀶蔟凫Ẹ䀷쳍쳌䳌䀶롑䔞䀶롑蔞䀵㌳㌳䀴ꏗ㵰휊䀵⣶轜뗂䀵긔ᑺ䀶ᑻ䞮뫡䀵竡긔慇䀵Ẹ硑䀵尩슏䀴긔呺䀵긔鑺䀴尨芏䀴竡긔慇䀴蔟凫庸䀴ꏗ㵰ᜊ䀴蔟凫Ẹ䀵긔ᑺ䀵긔ᑺ䀵਽ꏗ뵰䀴＀＀＀＀耀䀵롑蔞䀵轜_xDC28_䀴㌳㌳댳䀴롑蔞䀴쳍쳌쳌䀴롑䔞䀵ᑺ螮䀵롒蔞퇫䀴휊炣䨽䀵ꏗ㵰휊䀴ꏗ㵰휊䀴쳍쳌賌䀴㌳㌳댳䀴竡긔ꅇ䀴휊炣訽䀴尨䊏䀴롒蔞ᇫ䀴롑Ԟ䀴尩슏棵䀳Ẹ㡑䀳㌳㌳㌳䀳竡긔慇䀳竡긔慇䀳਽ꏗ絰䀳竡긔ⅇ䀳凬Ẹꮅ䀳尩슏⣵䀴尨ʏ䀴蔟凫庸䀴긔鑺䀴蔟凫麸䀴凬Ẹ䀳轜ᰨ䀴䞮竡䀳晦晦晦䀳凬Ẹꮅ䀳ᑺޮ䀳竡긔ꅇ䀲凬Ẹꮅ䀲尨䊏䀲롑䔞䀲Ẹ롑䀲롒蔞퇫䀲蔟凫_xDEB8_䀲＀＀＀＀＀＀䀳긔呺䀳䞮竡긔䀳휊炣訽䀳馚香香䀲긔ᑺ䀲炤਽⏗䀲晦晦♦䀲쳍쳌ೌ䀲凬Ẹ䀱尨䊏䀲竡긔䀱ᑻ䞮﫡䀱馚香_xD999_䀱尩슏ꣵ䀱긔푺䀱휊炣쨽䀱਽ꏗﵰ䀱炤਽䀱롒蔞퇫䀱슏⣵作䀲㵱휊炣䀲슏⣵콜䀲슏⣵콜䀲＀＀＀＀耀䀲凬Ẹꮅ䀲馚香_xD999_䀲炤਽䀲蔟凫Ẹ䀳竡긔ⅇ䀳尩슏⣵䀳휊炣਽䀳쳍쳌쳌䀲尨슏䀲롑蔞䀲Ẹ硑䀲롒蔞ᇫ䀲긔ᑺ䀲凬Ẹ䀱ᑻ䞮㫡䀲竡긔ⅇ䀲਽ꏗ뵰䀱炤਽䀱⣶轜痂䀱ᑺ잮䀱轜ᰨ䀱롑Ԟ䀱竡긔ⅇ䀱롒蔞凫䀱Ẹ롑䀱＀＀＀＀쀀䀲㌳㌳猳䀲竡긔慇䀲쳍쳌䳌䀲炤਽⏗䀲롑蔞䀲⣶轜뗂䀲롑蔞䀲⣶轜뗂䀲ꏗ㵰휊䀲尩슏ꣵ䀲슏⣵ཛྷ䀳롒蔞퇫䀲尩슏䀲轜ᰨ䀳㵱휊䀲ꏗ㵰휊䀲䞮竡긔䀲ꏗ㵰휊䀲晦晦Ꙧ䀲㌳㌳猳䀲轜尨䀲凬Ẹ殅䀲ᑺ垮䀲轜ᰨ䀲ᑻ䞮뫡䀲尩슏棵䀳㵱휊炣䀳㌳㌳㌳䀳롑씞䀲롒蔞ᇫ䀳롒蔞ᇫ䀳凬Ẹ䀲⣶轜뗂䀲馚香䦙䀲馚香香䀲轜鰨䀲긔ᑺ䀳ᑺ잮䀲ᑺޮ䀳炤਽揗䀳晦晦晦䀳馚香香䀳ᑺ螮䀳凬Ẹ䀳롑씞䀳蔟凫麸䀳䞮竡渔䀳晦晦晦䀳㵱휊ィ䀳㵱휊炣䀳롑䔞䀳롑䔞䀳ᑺ䞮䀳਽ꏗ絰䀳Ẹ硑䀳㌳㌳猳䀳쳍쳌賌䀳_xDCCA_䳁_x001D_䝑久䕞䅃䵟䅅彎䅓䕌⡓〲㤰丬坏착_x0018_＀＀_x0018_＀＀_x0008_＀＀_x0001_＀＀_x0001_＀＀弆躘䂏_xDCCA_䳁"䝑久䙞彇剐䍉⡅⼱⼱〲㜰ㄬ⼲ㄳ㈯〰⤷߰＀＀_x0018_＀＀ߠ＀＀ü＀＀_x0001_＀＀尨䊏䀮ᑺ䞮䀯ᑻ䞮﫡䀮＀＀＀＀＀＀䀯Ẹ㡑䀯㌳㌳㌳䀯炤਽ꏗ䀮竡긔慇䀯馚香妙䀰롑蔞䀰轜鰨䀰ᑺ螮䀰긔呺䀰馚香ᦙ䀰馚香ᦙ䀰슏⣵ཛྷ䀰롒蔞ᇫ䀰馚香香䀰਽ꏗ絰䀰ᑺ잮䀰롑䔞䀱尩슏棵䀱轜鰨䀱尩슏䀱馚香妙䀱਽ꏗ絰䀱쳍쳌䳌䀱㌳㌳㌳䀱蔟凫庸䀱슏⣵ཛྷ䀱쳍쳌䳌䀱竡긔慇䀱馚香香䀱ᑻ䞮竡䀱ᑺ䞮䀱롑蔞䀱긔呺䀱ᑺ䞮䀱ᑻ䞮竡䀰炤਽揗䀰尨ʏ䀰轜_xDC28_䀯휊炣਽䀯竡긔䀯㵱휊䀯蔟凫Ẹ䀰㵱휊ィ䀰㵱휊炣䀰쳍쳌ೌ䀰ᑺ잮䀯＀＀＀＀耀䀯ᑻ䞮竡䀯䞮竡⸔䀰炤਽揗䀰䞮竡긔䀰쳍쳌䳌䀱㌳㌳猳䀱馚香香䀱ᑻ䞮﫡䀰롒蔞퇫䀰ᑺޮ䀱䞮竡⸔䀱轜ᰨ䀱尩슏ꣵ䀱馚香妙䀱晦晦晦䀱蔟凫庸䀱਽ꏗ絰䀱ᑺ螮䀱ᑻ䞮﫡䀱尨ʏ䀲ꏗ㵰ᜊ䀲炤਽䀱蔟凫_xDEB8_䀱㌳㌳댳䀱ᑺ잮䀱Ẹ롑䀱㵱휊낣䀱炤਽ꏗ䀱㌳㌳댳䀱䞮竡긔䀱ᑻ䞮뫡䀱䞮竡긔䀱슏⣵ཛྷ䀲슏⣵轜䀱＀＀＀＀耀䀱馚香妙䀱㵱휊炣䀱㌳㌳㌳䀱轜ᰨ䀱Ẹ㡑䀱晦晦♦䀱尩슏⣵䀱凬Ẹ⮅䀱凬Ẹ䀰਽ꏗ㵰䀱ᑺޮ䀱롒蔞凫䀱㌳㌳猳䀱轜鰨䀰䞮竡䀰⣶轜㗂䀱炤਽揗䀱ɵ࢚減䀱ᑺ䞮䀱尩슏⣵䀯롒蔞釫䀰炤਽⏗䀰炤਽ꏗ䀯竡긔慇䀰尨芏䀰晦晦Ꙧ䀰롒蔞ᇫ䀱쳍쳌賌䀱긔푺䀱ᑻ䞮竡䀱炤਽⏗䀲⣶轜뗂䀱㌳㌳䀱쳍쳌쳌䀱轜鰨䀱蔟凫庸䀱ᑺ잮䀱㌳㌳댳䀱휊炣쨽䀱슏⣵ཛྷ䀲ꏗ㵰ᜊ䀲䞮竡渔䀲㌳㌳猳䀲롑䔞䀲晦晦䀱㌳㌳䀱蔟凫_xDEB8_䀱㵱휊䀱ꏗ㵰휊䀱쳍쳌쳌䀱਽ꏗ뵰䀱롑씞䀱Ẹ硑䀱롑蔞䀱凬Ẹ殅䀱＀＀＀＀䀀䀱䞮竡긔䀰휊炣쨽䀰䞮竡⸔䀱㌳㌳㌳䀱휊炣਽䀱蔟凫麸䀱＀＀＀＀＀＀䀱㵱휊炣䀱ᑻ䞮﫡䀱蔟凫麸䀱轜鰨䀱ᑺ䞮䀱轜尨䀱㵱휊ィ䀱ᑺ잮䀰슏⣵作䀰슏⣵轜䀰㵱휊낣䀰炤਽ꏗ䀰ᑺ잮䀰㵱휊䀰＀＀＀＀＀＀䀱尩슏䀰긔鑺䀰轜_xDC28_䀰＀＀＀＀쀀䀰롑Ԟ䀱蔟凫Ẹ䀱਽ꏗ㵰䀱Ẹ㡑䀱炤਽⏗䀱롒蔞ᇫ䀱轜ᰨ䀱尨䊏䀱蔟凫Ẹ䀱馚香ᦙ䀱炤਽䀰ꏗ㵰ᜊ䀱쳍쳌䳌䀱쳍쳌賌䀱ꏗ㵰ᜊ䀲炤਽䀱䞮竡⸔䀲馚香_xD999_䀲ᑺ螮䀳尩슏棵䀳尨䊏䀳＀＀＀＀耀䀳슏⣵轜䀳㌳㌳猳䀳ᑺ螮䀳馚香香䀳ᑻ䞮竡䀴⣶轜䀴尨芏䀵ᑺ螮䀵竡긔慇䀵휊炣쨽䀴Ẹ硑䀵炤਽⏗䀵轜_xDC28_䀴긔푺䀴㌳㌳㌳䀵炤਽䀴晦晦䀵㌳㌳댳䀶＀＀＀＀＀＀䀷쳍쳌賌䀷휊炣訽䀷轜_xDC28_䀶롑씞䀶슏⣵轜䀶蔟凫庸䀷㌳㌳댳䀶슏⣵作䀶롒蔞釫䀵਽ꏗﵰ䀴㌳㌳댳䀵炤਽揗䀵轜鰨䀴Ẹ롑䀴쳍쳌賌䀴슏⣵作䀴휊炣਽䀴䞮竡⸔䀴ᑻ䞮竡䀴＀＀＀＀耀䀴尩슏ꣵ䀴긔푺䀴롒蔞ᇫ䀵蔟凫Ẹ䀶䞮竡긔䀵롒蔞퇫䀶਽ꏗ뵰䀶㵱휊炣䀶쳍쳌賌䀶਽ꏗﵰ䀵㌳㌳㌳䀶ꏗ㵰圊䀶炤਽ꏗ䀵蔟凫Ẹ䀵㌳㌳댳䀴蔟凫麸䀴긔呺䀵ᑺ잮䀵尨ʏ䀶䞮竡⸔䀶馚香_xD999_䀵＀＀＀＀䀀䀵쳍쳌ೌ䀵❔䳃8䝑久䙞彅卅䥔䅍䕔✨偅❓✬䕍乁Ⱗ儧䅕呒剅奌Ⱗ⬧✱丬坏Ⱜ✬⤧_x0018_＀＀_x0018_＀＀_x0008_＀＀_x0001_＀＀_x0001_＀＀⧳㢶ଙ㿍_xDCCA_䳁"䝑久䙞彇剐䍉⡅⼱⼱〲㔰ㄬ⼲ㄳ㈯〰⤵߸＀＀_x0018_＀＀ߨ＀＀ý＀＀_x0001_＀＀晦晦䀥슏⣵ཛྷ䀦쳍쳌䳌䀦䞮竡⸔䀦긔ᑺ䀦炤਽⏗䀦슏⣵轜䀥ᑻ䞮竡䀥炤਽⏗䀦竡긔慇䀥ᑺ잮䀥㵱휊䀥슏⣵轜䀥슏⣵轜䀥쳍쳌䳌䀥蔟凫Ẹ䀥ꏗ㵰圊䀥휊炣訽䀥휊炣訽䀥ᑻ䞮竡䀥롑蔞䀥＀＀＀＀耀䀥蔟凫麸䀥㌳㌳㌳䀦凬Ẹ䀦롒蔞퇫䀦਽ꏗ뵰䀦⣶轜痂䀦凬Ẹ䀦⣶轜䀧쳍쳌䳌䀨㌳㌳댳䀧긔ᑺ䀨晦晦䀨Ẹ롑䀨尩슏⣵䀩＀＀＀＀＀＀䀩晦晦晦䀩쳍쳌䳌䀩㵱휊䀨㌳㌳㌳䀩馚香ᦙ䀩炤਽ꏗ䀨＀＀＀＀＀＀䀩竡긔䀨竡긔䀨ᑺ䞮䀨㌳㌳㌳䀨䞮竡⸔䀨蔟凫麸䀨Ẹ롑䀨＀＀＀＀＀＀䀩㵱휊䀨馚香香䀨⣶轜痂䀨롑蔞䀨긔鑺䀨＀＀＀＀耀䀨ꏗ㵰圊䀨਽ꏗ뵰䀧晦晦晦䀧竡긔䀧馚香ᦙ䀨슏⣵ཛྷ䀨਽ꏗ㵰䀨炤਽⏗䀩롒蔞퇫䀩㌳㌳댳䀩㌳㌳댳䀩轜尨䀪긔鑺䀪ᑻ䞮竡䀪Ẹ㡑䀪휊炣਽䀪Ẹ롑䀪馚香ᦙ䀪尩슏⣵䀪쳍쳌쳌䀩䞮竡⸔䀪슏⣵ཛྷ䀪晦晦䀩竡긔䀩＀＀＀＀＀＀䀪ᑺ잮䀩竡긔慇䀩尨슏䀨尩슏ꣵ䀨馚香香䀨䞮竡⸔䀩쳍쳌쳌䀨ꏗ㵰휊䀨㌳㌳㌳䀨ꏗ㵰圊䀨쳍쳌쳌䀨휊炣਽䀩਽ꏗ뵰䀨炤਽⏗䀨ꏗ㵰圊䀨긔ᑺ䀨㌳㌳㌳䀨凬Ẹ殅䀨ᑺ䞮䀨炤਽ꏗ䀨⣶轜䀧롑Ԟ䀨휊炣਽䀨尨䊏䀧凬Ẹ殅䀧ᑻ䞮竡䀧馚香香䀧＀＀＀＀耀䀧਽ꏗ㵰䀧凬Ẹ殅䀧尩슏⣵䀧凬Ẹ䀦䞮竡⸔䀧㵱휊炣䀧휊炣訽䀧凬Ẹ䀧竡긔慇䀧＀＀＀＀＀＀䀧롒蔞퇫䀦쳍쳌䳌䀧쳍쳌쳌䀧ꏗ㵰圊䀧긔ᑺ䀧轜_xDC28_䀦晦晦䀧㵱휊炣䀨＀＀＀＀耀䀨Ẹ롑䀨尨슏䀩쳍쳌䳌䀪蔟凫Ẹ䀪슏⣵ཛྷ䀪凬Ẹ殅䀪쳍쳌䳌䀪尩슏ꣵ䀩馚香香䀪쳍쳌쳌䀪炤਽⏗䀪롑Ԟ䀪尩슏⣵䀪＀＀＀＀＀＀䀪凬Ẹ䀪슏⣵轜䀪쳍쳌䳌䀫⣶轜䀪凬Ẹ殅䀫롑Ԟ䀫슏⣵轜䀪炤਽⏗䀪Ẹ롑䀩轜_xDC28_䀩ᑺ잮䀩䞮竡⸔䀩尨䊏䀩਽ꏗ㵰䀩尨슏䀨尨슏䀨凬Ẹ殅䀨쳍쳌쳌䀨਽ꏗ뵰䀨⣶轜痂䀨㵱휊䀨轜_xDC28_䀨＀＀＀＀耀䀩馚香ᦙ䀩਽ꏗ㵰䀩ᑻ䞮﫡䀩긔ᑺ䀪尨䊏䀪ᑺ䞮䀫휊炣訽䀫휊炣訽䀫晦晦䀪㌳㌳㌳䀪蔟凫Ẹ䀪슏⣵ཛྷ䀪롒蔞凫䀪⣶轜䀩ꏗ㵰圊䀪휊炣訽䀪롒蔞凫䀪晦晦䀩ᑺ잮䀩馚香香䀩尩슏⣵䀪휊炣਽䀪긔ᑺ䀪슏⣵ཛྷ䀪슏⣵ཛྷ䀫㌳㌳㌳䀫炤਽⏗䀪슏⣵轜䀪ᑺ䞮䀪尨䊏䀪尩슏ꣵ䀩＀＀＀＀＀＀䀩馚香香䀨쳍쳌䳌䀧긔ᑺ䀨쳍쳌䳌䀨凬Ẹ殅䀧롒蔞凫䀧馚香香䀧Ẹ롑䀧ᑺ잮䀧馚香香䀧쳍쳌쳌䀧Ẹ롑䀧ꏗ㵰휊䀧ᑺ䞮䀨ᑺ䞮䀨긔ᑺ䀨＀＀＀＀＀＀䀨竡긔慇䀧凬Ẹ䀦롒蔞凫䀦䞮竡긔䀦馚香香䀦쳍쳌쳌䀦晦晦䀦＀＀＀＀＀＀䀧炤਽ꏗ䀦⣶轜痂䀦炤਽ꏗ䀦凬Ẹ䀦䞮竡⸔䀦롑蔞䀥ꏗ㵰圊䀦⣶轜痂䀦䞮竡긔䀦竡긔䀦ꏗ㵰휊䀦Ẹ롑䀦晦晦䀦਽ꏗ뵰䀦轜_xDC28_䀦馚香ᦙ䀧ꏗ㵰圊䀧Ẹ롑䀧ᑻ䞮竡䀧쳍쳌쳌䀧晦晦䀧轜尨䀧롒蔞凫䀧쳍쳌쳌䀧蔟凫麸䀧ꏗ㵰圊䀧쳍쳌䳌䀧⣶轜痂䀧＀＀＀＀耀䀧_xDCCA_䳁"䝑久䙞彇剐䍉⡅⼱⼱〲㤰ㄬ⼲ㄳ㈯〰⤹߸＀＀_x0018_＀＀ߨ＀＀ý＀＀_x0001_＀＀슏⣵轜䀱轜ᰨ䀱긔푺䀱轜尨䀱尨ʏ䀱炤਽䀰㌳㌳댳䀰롒蔞凫䀰㵱휊炣䀰轜尨䀰晦晦♦䀱晦晦晦䀱馚香ᦙ䀱휊炣쨽䀱슏⣵轜䀱䞮竡⸔䀱슏⣵作䀱㵱휊䀱＀＀＀＀＀＀䀲쳍쳌䳌䀱晦晦♦䀱㌳㌳䀰晦晦Ꙧ䀰轜尨䀱⣶轜㗂䀱晦晦䀰Ẹ硑䀱਽ꏗ뵰䀱轜_xDC28_䀱炤਽䀱尨䊏䀱尨䊏䀱＀＀＀＀䀀䀱䞮竡⸔䀱긔푺䀰凬Ẹ⮅䀰쳍쳌䳌䀱䞮竡긔䀰尨芏䀰롑Ԟ䀰긔ᑺ䀯轜_xDC28_䀯＀＀＀＀＀＀䀰䞮竡⸔䀯슏⣵ཛྷ䀯Ẹ㡑䀯䞮竡⸔䀰晦晦䀮㵱휊ィ䀰尩슏⣵䀮凬Ẹ䀮尨슏䀯晦晦䀯㌳㌳댳䀯ᑺ䞮䀯＀＀＀＀䀀䀰竡긔ⅇ䀰긔呺䀰馚香妙䀰롒蔞凫䀯㵱휊䀮凬Ẹ䀯긔呺䀰凬Ẹ殅䀰਽ꏗ㵰䀰⣶轜䀯晦晦䀯㌳㌳猳䀰긔ᑺ䀰롒蔞ᇫ䀰롑Ԟ䀯슏⣵轜䀮轜尨䀯쳍쳌䳌䀯긔鑺䀯蔟凫Ẹ䀯䞮竡긔䀮尩슏ꣵ䀭슏⣵ཛྷ䀯쳍쳌䳌䀯尨ʏ䀰尩슏棵䀰ᑻ䞮竡䀰긔呺䀰ᑻ䞮竡䀰尨ʏ䀰馚香ᦙ䀰롒蔞凫䀰馚香妙䀰蔟凫麸䀰晦晦晦䀰馚香妙䀰⣶轜痂䀰쳍쳌賌䀰ᑺ螮䀰晦晦Ꙧ䀰凬Ẹꮅ䀰쳍쳌ೌ䀰㌳㌳䀰ꏗ㵰휊䀱炤਽ꏗ䀱炤਽ꏗ䀱馚香香䀱쳍쳌쳌䀱尩슏䀱凬Ẹꮅ䀱਽ꏗ뵰䀱휊炣쨽䀱਽ꏗ絰䀱ᑻ䞮뫡䀱⣶轜뗂䀱凬Ẹ⮅䀲㌳㌳㌳䀲਽ꏗ絰䀱ᑻ䞮㫡䀱Ẹ롑䀱＀＀＀＀쀀䀱炤਽䀱슏⣵轜䀱＀＀＀＀쀀䀱਽ꏗ뵰䀱晦晦♦䀲롑䔞䀲凬Ẹ殅䀲ꏗ㵰霊䀲ꏗ㵰霊䀲਽ꏗﵰ䀱馚香妙䀲㌳㌳䀱䞮竡䀱휊炣਽䀲㵱휊炣䀱Ẹ롑䀱ᑺ잮䀱ꏗ㵰ᜊ䀲긔呺䀲ᑺ䞮䀲䞮竡渔䀲슏⣵轜䀲ꏗ㵰霊䀲슏⣵콜䀲＀＀＀＀＀＀䀳䞮竡䀲⣶轜䀲Ẹ㡑䀳ᑻ䞮뫡䀲⣶轜䀲਽ꏗ㵰䀳⣶轜㗂䀳竡긔慇䀳롑䔞䀳䞮竡䀲਽ꏗﵰ䀲凬Ẹ䀳롒蔞ᇫ䀴尨芏䀴馚香_xD999_䀴尨슏䀴ꏗ㵰圊䀴蔟凫Ẹ䀵਽ꏗ㵰䀵ꏗ㵰ᜊ䀵ᑺޮ䀵＀＀＀＀쀀䀴쳍쳌賌䀴尩슏ꣵ䀴롑蔞䀴쳍쳌賌䀴Ẹ㡑䀴ᑻ䞮㫡䀴쳍쳌䳌䀴炤਽ꏗ䀴㵱휊䀴ᑻ䞮뫡䀴蔟凫Ẹ䀵슏⣵作䀵⣶轜痂䀵䞮竡䀵㌳㌳䀶㌳㌳댳䀶਽ꏗ뵰䀶롑蔞䀶蔟凫庸䀶炤਽揗䀵롑Ԟ䀵슏⣵轜䀴炤਽䀴਽ꏗﵰ䀴ᑺ䞮䀵슏⣵콜䀴휊炣쨽䀴슏⣵轜䀴尨ʏ䀵蔟凫_xDEB8_䀴凬Ẹ䀴㌳㌳猳䀵쳍쳌賌䀵Ẹ롑䀵晦晦䀵ꏗ㵰휊䀵䞮竡긔䀵晦晦Ꙧ䀵롒蔞凫䀵ᑻ䞮竡䀵ᑺ螮䀵馚香香䀵ᑻ䞮㫡䀵긔鑺䀵쳍쳌쳌䀴਽ꏗ㵰䀵긔푺䀴炤਽ꏗ䀴馚香ᦙ䀵ᑺޮ䀵蔟凫麸䀵＀＀＀＀쀀䀵炤਽揗䀶竡긔ⅇ䀷蔟凫麸䀶Ẹ㡑䀶긔呺䀶晦晦Ꙧ䀶㌳㌳猳䀶Ẹ硑䀶尩슏⣵䀶尨芏䀵炤਽ꏗ䀵轜尨䀵㌳㌳䀵Ẹ䀵馚香ᦙ䀶휊炣訽䀶슏⣵ཛྷ䀶＀＀＀＀＀＀䀶롒蔞퇫䀵轜鰨䀵ꏗ㵰霊䀵਽ꏗ뵰䀵롑씞䀵炤਽䀵쳍쳌䳌䀶㌳㌳猳䀶⣶轜䀵晦晦䀵轜尨䀶ᑺޮ䀶㌳㌳㌳䀶晦晦晦䀶롒蔞釫䀶尨슏䀶⣶轜뗂䀶⣶轜뗂䀶긔呺䀶ὲ䵇5䝑久䙞彅卅䥔䅍䕔✨偅❓✬䕍乁Ⱗ䄧乎䅕❌✬㔫Ⱗ低ⱗⰬ✧착_x0018_＀＀_x0018_＀＀_x0008_＀＀_x0001_＀＀_x0001_＀＀䉴ꃨ롋㿶_xDCCA_䳁_x001C_䝑久䕞䅃䵟䅅彎䉅呉㈨〰ⰹ低⥗_x0018_＀＀_x0018_＀＀_x0008_＀＀_x0001_＀＀_x0001_＀＀톸_xDE00_䁯ὲ䵇8䝑久䙞彅卅䥔䅍䕔✨灅❓✬䕍乁Ⱗ儧䅕呒剅奌Ⱗ⬧✴丬坏Ⱜ✬⤧_x0018_＀＀_x0018_＀＀_x0008_＀＀_x0001_＀＀_x0001_＀＀㈤啢潳㿐_xDCCA_䳁_x001B_䝑久䕞元䵟䅅彎䅓䕌⡓㈫丬坏착_x0018_＀＀_x0018_＀＀_x0008_＀＀_x0001_＀＀_x0001_＀＀嵤䛜㐃䁳ὲ䵇5䝑久䙞彅卅䥔䅍䕔✨偅❓✬䕍乁Ⱗ䄧乎䅕❌✬㈫Ⱗ低ⱗⰬ✧착_x0018_＀＀_x0018_＀＀_x0008_＀＀_x0001_＀＀_x0001_＀＀ઓ縙焦㿯ὲ䵇7䝑久䙞彅卅䥔䅍䕔✨䅓䕌❓✬䕍乁Ⱗ䄧乎䅕❌✬㐫Ⱗ低ⱗⰬ✧착_x0018_＀＀_x0018_＀＀_x0008_＀＀_x0001_＀＀_x0001_＀＀ꧻǱ䂗ὲ䵇7䝑久䙞彅卅䥔䅍䕔✨䅓䕌❓✬䕍乁Ⱗ䄧乎䅕❌✬ㄫⰧ低ⱗⰬ✧착_x0018_＀＀_x0018_＀＀_x0008_＀＀_x0001_＀＀_x0001_＀＀㵱휊ᐣ䂑俞0䝑久䩞䱕䅉⡎䝆偟䥒䕃ㄨㄯ㈯㄰ⰰ㈱㌯⼱〲〱⸩慤整⥳Ф＀＀_x0018_＀＀Д＀＀ą＀＀_x0003_＀＀鳳＀＀鳶＀＀鳷＀＀鳸＀＀鳹＀＀鳺＀＀鳽＀＀鳾＀＀鳿＀＀鴀＀＀鴁＀＀鴄＀＀鴅＀＀鴆＀＀鴇＀＀鴈＀＀鴋＀＀鴌＀＀鴍＀＀鴎＀＀鴏＀＀鴒＀＀鴓＀＀鴔＀＀鴕＀＀鴖＀＀鴙＀＀鴚＀＀鴛＀＀鴜＀＀鴝＀＀鴠＀＀鴡＀＀鴢＀＀鴣＀＀鴤＀＀鴧＀＀鴨＀＀鴩＀＀鴪＀＀鴫＀＀鴮＀＀鴯＀＀鴰＀＀鴱＀＀鴲＀＀鴵＀＀鴶＀＀鴷＀＀鴸＀＀鴹＀＀鴼＀＀鴽＀＀鴾＀＀鴿＀＀鵀＀＀鵃＀＀鵄＀＀鵅＀＀鵆＀＀鵇＀＀鵊＀＀鵋＀＀鵌＀＀鵍＀＀鵎＀＀鵑＀＀鵒＀＀鵓＀＀鵔＀＀鵕＀＀鵘＀＀鵙＀＀鵚＀＀鵛＀＀鵜＀＀鵟＀＀鵠＀＀鵡＀＀鵢＀＀鵣＀＀鵦＀＀鵧＀＀鵨＀＀鵩＀＀鵪＀＀鵭＀＀鵮＀＀鵯＀＀鵰＀＀鵱＀＀鵴＀＀鵵＀＀鵶＀＀鵷＀＀鵸＀＀鵻＀＀鵼＀＀鵽＀＀鵾＀＀鵿＀＀鶂＀＀鶃＀＀鶄＀＀鶅＀＀鶆＀＀鶉＀＀鶊＀＀鶋＀＀鶌＀＀鶍＀＀鶐＀＀鶑＀＀鶒＀＀鶓＀＀鶔＀＀鶗＀＀鶘＀＀鶙＀＀鶚＀＀鶛＀＀鶞＀＀鶟＀＀鶠＀＀鶡＀＀鶢＀＀鶥＀＀鶦＀＀鶧＀＀鶨＀＀鶩＀＀鶬＀＀鶭＀＀鶮＀＀鶯＀＀鶰＀＀鶳＀＀鶴＀＀鶵＀＀鶶＀＀鶷＀＀鶺＀＀鶻＀＀鶼＀＀鶽＀＀鶾＀＀鷁＀＀鷂＀＀鷃＀＀鷄＀＀鷅＀＀鷈＀＀鷉＀＀鷊＀＀鷋＀＀鷌＀＀鷏＀＀鷐＀＀鷑＀＀鷒＀＀鷓＀＀鷖＀＀鷗＀＀鷘＀＀鷙＀＀鷚＀＀鷝＀＀鷞＀＀鷟＀＀鷠＀＀鷡＀＀鷤＀＀鷥＀＀鷦＀＀鷧＀＀鷨＀＀鷫＀＀鷬＀＀鷭＀＀鷮＀＀鷯＀＀鷲＀＀鷳＀＀鷴＀＀鷵＀＀鷶＀＀鷹＀＀鷺＀＀鷻＀＀鷼＀＀鷽＀＀鸀＀＀鸁＀＀鸂＀＀鸃＀＀鸄＀＀鸇＀＀鸈＀＀鸉＀＀鸊＀＀鸋＀＀鸎＀＀鸏＀＀鸐＀＀鸑＀＀鸒＀＀鸕＀＀鸖＀＀鸗＀＀鸘＀＀鸙＀＀鸜＀＀鸝＀＀鸞＀＀鸟＀＀鸠＀＀鸣＀＀鸤＀＀鸥＀＀鸦＀＀鸧＀＀鸪＀＀鸫＀＀鸬＀＀鸭＀＀鸮＀＀鸱＀＀鸲＀＀鸳＀＀鸴＀＀鸵＀＀鸸＀＀鸹＀＀鸺＀＀鸻＀＀鸼＀＀鸿＀＀鹀＀＀鹁＀＀鹂＀＀鹃＀＀鹆＀＀鹇＀＀鹈＀＀鹉＀＀鹊＀＀鹍＀＀鹎＀＀鹏＀＀鹐＀＀鹑＀＀鹔＀＀鹕＀＀鹖＀＀鹗＀＀鹘＀＀鹛＀＀鹜＀＀鹝＀＀鹞＀＀鹟＀＀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16918</t>
        </r>
      </text>
    </comment>
  </commentList>
</comments>
</file>

<file path=xl/sharedStrings.xml><?xml version="1.0" encoding="utf-8"?>
<sst xmlns="http://schemas.openxmlformats.org/spreadsheetml/2006/main" count="2174" uniqueCount="1090">
  <si>
    <t>Cash paid for (acquisitions)/ disposals, net of cash acquired</t>
  </si>
  <si>
    <t>This sheet contains Factset binary data for use with this workbook's =FDS codes.  Modifying the worksheet's contents may damage the workbook's =FDS functionality.</t>
  </si>
  <si>
    <t>LIFE.O,mscalc:factsetIdCalc</t>
  </si>
  <si>
    <t>Qiagen NV</t>
  </si>
  <si>
    <t>Net Sales</t>
  </si>
  <si>
    <t>Quarterly Income Statement</t>
  </si>
  <si>
    <t>Dollars in millions, except per share data</t>
  </si>
  <si>
    <t>Fiscal year ends Dec. 31</t>
  </si>
  <si>
    <t>Gross profit</t>
  </si>
  <si>
    <t>Research and development</t>
  </si>
  <si>
    <t>Sales and marketing</t>
  </si>
  <si>
    <t>General and administrative</t>
  </si>
  <si>
    <t>Purchased in-process research and development</t>
  </si>
  <si>
    <t>Total operating expenses</t>
  </si>
  <si>
    <t>Interest income</t>
  </si>
  <si>
    <t>Interest expense</t>
  </si>
  <si>
    <t>Other (expense) income, net</t>
  </si>
  <si>
    <t>Total other expense</t>
  </si>
  <si>
    <t>Provision for income taxes</t>
  </si>
  <si>
    <t>Minority interest expense (income)</t>
  </si>
  <si>
    <t xml:space="preserve">Balance Sheet </t>
  </si>
  <si>
    <t>Assets</t>
  </si>
  <si>
    <t>Current assets</t>
  </si>
  <si>
    <t>Cash and cash equivalents</t>
  </si>
  <si>
    <t>Marketable securities</t>
  </si>
  <si>
    <t>Accounts receivable, net of allowances for doubtful accounts</t>
  </si>
  <si>
    <t>Income taxes receivable</t>
  </si>
  <si>
    <t>Inventories, net</t>
  </si>
  <si>
    <t>Prepaid expenses and other</t>
  </si>
  <si>
    <t>Deferred income taxes</t>
  </si>
  <si>
    <t>Total current assets</t>
  </si>
  <si>
    <t>Long-term assets</t>
  </si>
  <si>
    <t>Property, plant and equipment, net</t>
  </si>
  <si>
    <t>Goodwill</t>
  </si>
  <si>
    <t>Intangible assets, net of accumulated amortization</t>
  </si>
  <si>
    <t>Other assets</t>
  </si>
  <si>
    <t>Total assets</t>
  </si>
  <si>
    <t>Total long-term assets</t>
  </si>
  <si>
    <t>Liabilities and shareholders' equity</t>
  </si>
  <si>
    <t>Current liabilities</t>
  </si>
  <si>
    <t>Account payable</t>
  </si>
  <si>
    <t>Accrued and other liabilities</t>
  </si>
  <si>
    <t>Income taxes payable</t>
  </si>
  <si>
    <t>Current portion of long-term debt</t>
  </si>
  <si>
    <t>Total current liabilities</t>
  </si>
  <si>
    <t>Long-term liabilities</t>
  </si>
  <si>
    <t>Long-term debt</t>
  </si>
  <si>
    <t>Other</t>
  </si>
  <si>
    <t>Shareholders' equity</t>
  </si>
  <si>
    <t>Common shares</t>
  </si>
  <si>
    <t>Additional paid-in capital</t>
  </si>
  <si>
    <t>Retained earnings</t>
  </si>
  <si>
    <t>Accumulated other comprehensive income</t>
  </si>
  <si>
    <t>Total shareholders' equity</t>
  </si>
  <si>
    <t>Total liabilities and shareholders' equity</t>
  </si>
  <si>
    <t>Minority interest in consolidated subsidiary</t>
  </si>
  <si>
    <t>Cash flows from operating activities</t>
  </si>
  <si>
    <t>Net income</t>
  </si>
  <si>
    <t>Share-based compensation expense</t>
  </si>
  <si>
    <t>Net changes in operating assets and liabilities</t>
  </si>
  <si>
    <t>Accounts receivable</t>
  </si>
  <si>
    <t>Inventories</t>
  </si>
  <si>
    <t>Net cash provided by operating activities</t>
  </si>
  <si>
    <t>Cash flows from investing activities</t>
  </si>
  <si>
    <t>Purchases of property, plant and equipment</t>
  </si>
  <si>
    <t>Proceeds from sale of equipment</t>
  </si>
  <si>
    <t>Purchases of intangible assets</t>
  </si>
  <si>
    <t>Purchases of investments</t>
  </si>
  <si>
    <t>Purchases of marketable securities</t>
  </si>
  <si>
    <t>Net cash used in investing activities</t>
  </si>
  <si>
    <t>Cash flows form financing activities</t>
  </si>
  <si>
    <t>Repayment of debt</t>
  </si>
  <si>
    <t>Principal payments on capital leases</t>
  </si>
  <si>
    <t>Proceeds from subscriptions receivables</t>
  </si>
  <si>
    <t>Net cash provided by financing activities</t>
  </si>
  <si>
    <t>Effect of exchange rate changes on cash and cash equivalents</t>
  </si>
  <si>
    <t>Cash and cash equivalents, beginning of period</t>
  </si>
  <si>
    <t>QGEN.O,mscalc:targetPrice</t>
  </si>
  <si>
    <t>QGEN.O,mscalc:sedolCodeCalc</t>
  </si>
  <si>
    <t>,mscalc:sedolCodeCalc</t>
  </si>
  <si>
    <t>Cash and cash equivalents, end of period</t>
  </si>
  <si>
    <t xml:space="preserve">Cash Flow Statement </t>
  </si>
  <si>
    <t>Revenue Build</t>
  </si>
  <si>
    <t>Americas</t>
  </si>
  <si>
    <t>Total</t>
  </si>
  <si>
    <t>Acquisition related items</t>
  </si>
  <si>
    <t>Non-cash acquisition and restructure costs</t>
  </si>
  <si>
    <t>Provision for losses on accounts receivable</t>
  </si>
  <si>
    <t>Accounts payable</t>
  </si>
  <si>
    <t>Sales of marketable securities</t>
  </si>
  <si>
    <t>Proceeds from debt</t>
  </si>
  <si>
    <t>Excess tax benefits from share based compensation</t>
  </si>
  <si>
    <t>Net increase (decrease) in cash and cash equivalents</t>
  </si>
  <si>
    <t>2006A</t>
  </si>
  <si>
    <t>2005A</t>
  </si>
  <si>
    <t>2004A</t>
  </si>
  <si>
    <t>Depreciation</t>
  </si>
  <si>
    <t>Amortization</t>
  </si>
  <si>
    <t>EBITDA</t>
  </si>
  <si>
    <t>Income tax rate</t>
  </si>
  <si>
    <t>EBIT</t>
  </si>
  <si>
    <t>Basic shares outstanding</t>
  </si>
  <si>
    <t>Diluted shares outstanding</t>
  </si>
  <si>
    <t>Dilution ratio</t>
  </si>
  <si>
    <t>LIBOR</t>
  </si>
  <si>
    <t>$500 million note payable</t>
  </si>
  <si>
    <t xml:space="preserve">Rate </t>
  </si>
  <si>
    <t>Paydown</t>
  </si>
  <si>
    <t>Notes payable to QIAGEN Euro Finance</t>
  </si>
  <si>
    <t>Notes payable to QIAGEN Finance</t>
  </si>
  <si>
    <t>Current portion</t>
  </si>
  <si>
    <t>EUR 30million note payable</t>
  </si>
  <si>
    <t>EUR 5million note payable</t>
  </si>
  <si>
    <t>EURIBOR</t>
  </si>
  <si>
    <t>Plus: Depreciation, Amortization</t>
  </si>
  <si>
    <t>Minus: Capex</t>
  </si>
  <si>
    <t>Cash beginning</t>
  </si>
  <si>
    <t>Plus: Net income</t>
  </si>
  <si>
    <t>Minus: Debt paydown</t>
  </si>
  <si>
    <t>End cash</t>
  </si>
  <si>
    <t>Average cash</t>
  </si>
  <si>
    <t>Interest rate</t>
  </si>
  <si>
    <t>Interest income/Quarter</t>
  </si>
  <si>
    <t>Convertible debt accounting</t>
  </si>
  <si>
    <t>Interest add back</t>
  </si>
  <si>
    <t>If converted shares</t>
  </si>
  <si>
    <t>If converted EPS</t>
  </si>
  <si>
    <t>Not converted</t>
  </si>
  <si>
    <t>QGEN.O,mscalc:closePriceCurrencyCalc</t>
  </si>
  <si>
    <t>QGEN.O,mscalc:targetPrice,,,,USD</t>
  </si>
  <si>
    <t>NA</t>
  </si>
  <si>
    <t>ModelWare</t>
  </si>
  <si>
    <t>Statutory tax</t>
  </si>
  <si>
    <t>Period-end shares</t>
  </si>
  <si>
    <t>Balance</t>
  </si>
  <si>
    <t>Sales</t>
  </si>
  <si>
    <t>COGS</t>
  </si>
  <si>
    <t>Taxes</t>
  </si>
  <si>
    <t>Liquidity</t>
  </si>
  <si>
    <t>Acquisitions</t>
  </si>
  <si>
    <t>NOPAT</t>
  </si>
  <si>
    <t>Inventory</t>
  </si>
  <si>
    <t>Net PP&amp;E</t>
  </si>
  <si>
    <t>Tax rate</t>
  </si>
  <si>
    <t>NOPAT margin</t>
  </si>
  <si>
    <t>Accounts receivables</t>
  </si>
  <si>
    <t>Other current assets</t>
  </si>
  <si>
    <t>Noncurrent assets</t>
  </si>
  <si>
    <t>Goodwill &amp; other intangibles</t>
  </si>
  <si>
    <t>Operating assets</t>
  </si>
  <si>
    <t>Total paydown</t>
  </si>
  <si>
    <t>Total interest expense</t>
  </si>
  <si>
    <t>Total liabilities</t>
  </si>
  <si>
    <t>A = Actual   E = Morgan Stanley Research Estimates    Source: Company data, Morgan Stanley Research</t>
  </si>
  <si>
    <t>Asset turnover</t>
  </si>
  <si>
    <t>Net operating assets</t>
  </si>
  <si>
    <t>Operating liabilities</t>
  </si>
  <si>
    <t>Other long-term liabilities</t>
  </si>
  <si>
    <t>Shares repurchased</t>
  </si>
  <si>
    <t>USD</t>
  </si>
  <si>
    <t>Start Date</t>
  </si>
  <si>
    <t>End Date</t>
  </si>
  <si>
    <t>United States</t>
  </si>
  <si>
    <t>Short term loans</t>
  </si>
  <si>
    <t>One time charges</t>
  </si>
  <si>
    <t>Business integration and related costs</t>
  </si>
  <si>
    <t>Relocation and restructuring charges</t>
  </si>
  <si>
    <t>Diluted EPS (GAAP)</t>
  </si>
  <si>
    <t>GAAP adjustments to EPS</t>
  </si>
  <si>
    <t>GAAP net income</t>
  </si>
  <si>
    <t>Non-GAAP shares</t>
  </si>
  <si>
    <t>Note payable of EUR 40million</t>
  </si>
  <si>
    <t>Note payable of EUR 6.4million</t>
  </si>
  <si>
    <t>EUR 50million</t>
  </si>
  <si>
    <t>WACC Calculation</t>
  </si>
  <si>
    <t>WACC</t>
  </si>
  <si>
    <t>Acquisition related impairment</t>
  </si>
  <si>
    <t>EBIT (Non-GAAP)</t>
  </si>
  <si>
    <t>Adjustments</t>
  </si>
  <si>
    <t>Cost of sales</t>
  </si>
  <si>
    <t xml:space="preserve">SFAS 123R impact </t>
  </si>
  <si>
    <t>Senior Unsecured Cash Convertible Notes due 2019</t>
  </si>
  <si>
    <t>Senior Unsecured Cash Convertible Notes due 2021</t>
  </si>
  <si>
    <t>Tax impact</t>
  </si>
  <si>
    <t>Amortization (COGS)</t>
  </si>
  <si>
    <t>Amortization of acquired intangibles</t>
  </si>
  <si>
    <t xml:space="preserve">Instruments </t>
  </si>
  <si>
    <t xml:space="preserve">   % growth</t>
  </si>
  <si>
    <t>HPV</t>
  </si>
  <si>
    <t>Total Molecular Diagnostics</t>
  </si>
  <si>
    <t>Applied Testing</t>
  </si>
  <si>
    <t>Total Revenue</t>
  </si>
  <si>
    <t>Total Pharma and Biotech</t>
  </si>
  <si>
    <t>Total Applied</t>
  </si>
  <si>
    <t>Growth</t>
  </si>
  <si>
    <t>Others</t>
  </si>
  <si>
    <t xml:space="preserve">   % of operating expenses</t>
  </si>
  <si>
    <t>Adjusted net income</t>
  </si>
  <si>
    <t>Adjusted net income (including SFAS123R)</t>
  </si>
  <si>
    <t>Yr/Yr Spending and Profit Trend</t>
  </si>
  <si>
    <t>$MM</t>
  </si>
  <si>
    <t>COGS Yield</t>
  </si>
  <si>
    <t xml:space="preserve">2-year stacked </t>
  </si>
  <si>
    <t>Minority interest expense (income) % of revs</t>
  </si>
  <si>
    <t>SG&amp;A</t>
  </si>
  <si>
    <t>Revenue Mix</t>
  </si>
  <si>
    <t>Free Cash Flow</t>
  </si>
  <si>
    <t>Shareholders Equity</t>
  </si>
  <si>
    <t>Net Cash Flow</t>
  </si>
  <si>
    <t>Geography (% of sales)</t>
  </si>
  <si>
    <t>Currency exposure (change due to currency)</t>
  </si>
  <si>
    <t>EBITDA Margin</t>
  </si>
  <si>
    <t>Y/Y growth</t>
  </si>
  <si>
    <t>1Q13</t>
  </si>
  <si>
    <t>Check</t>
  </si>
  <si>
    <t xml:space="preserve">$20.85 </t>
  </si>
  <si>
    <t>End Markets Breakdown</t>
  </si>
  <si>
    <t>Minority Interest</t>
  </si>
  <si>
    <t>Quarterly Debt</t>
  </si>
  <si>
    <t>Organic Revenue Growth</t>
  </si>
  <si>
    <t>2021E</t>
  </si>
  <si>
    <t>2022E</t>
  </si>
  <si>
    <t>Total debt (Long Term)</t>
  </si>
  <si>
    <t>HPV- US</t>
  </si>
  <si>
    <t>4Q13</t>
  </si>
  <si>
    <t>3Q13</t>
  </si>
  <si>
    <t>HPV- ROW</t>
  </si>
  <si>
    <t xml:space="preserve">   % growth (CER)</t>
  </si>
  <si>
    <t xml:space="preserve">   % growth </t>
  </si>
  <si>
    <t>Product  (const. curr)</t>
  </si>
  <si>
    <t>FX Impact %</t>
  </si>
  <si>
    <t>Acq / Divest + Purchase Accting Adj %</t>
  </si>
  <si>
    <t>Reported Growth %</t>
  </si>
  <si>
    <t>CC growth %</t>
  </si>
  <si>
    <t xml:space="preserve">   Organic Growth</t>
  </si>
  <si>
    <t>Academic</t>
  </si>
  <si>
    <t xml:space="preserve">CC growth </t>
  </si>
  <si>
    <t>Ongoing Product Portfolio</t>
  </si>
  <si>
    <t>Adj. Sales by Currency  (Reported)</t>
  </si>
  <si>
    <t>FCF/Non-GAAP Net Income</t>
  </si>
  <si>
    <t xml:space="preserve">Ingenuity </t>
  </si>
  <si>
    <t xml:space="preserve">Other notes payable </t>
  </si>
  <si>
    <t>QIAsymphony</t>
  </si>
  <si>
    <t>1Q14</t>
  </si>
  <si>
    <t>Operating Expenses</t>
  </si>
  <si>
    <t>Other non-recurring income and expense</t>
  </si>
  <si>
    <t xml:space="preserve">Tax Rate </t>
  </si>
  <si>
    <t>R&amp;D</t>
  </si>
  <si>
    <t xml:space="preserve">EBIT Margin </t>
  </si>
  <si>
    <t>Loan to related party</t>
  </si>
  <si>
    <t>Other financing activities</t>
  </si>
  <si>
    <t>ND</t>
  </si>
  <si>
    <t xml:space="preserve">Gross Margin </t>
  </si>
  <si>
    <t xml:space="preserve">R&amp;D (as % of Rev) </t>
  </si>
  <si>
    <t>Sales and Marketing (as % of Rev)</t>
  </si>
  <si>
    <t xml:space="preserve">General and Administrative (as % of Rev) </t>
  </si>
  <si>
    <t xml:space="preserve">Incremental EBIT </t>
  </si>
  <si>
    <t xml:space="preserve">Net Income Margin </t>
  </si>
  <si>
    <t xml:space="preserve">Consumables </t>
  </si>
  <si>
    <t>Unrecorded goodwill from poolings</t>
  </si>
  <si>
    <t>Acquisition-related intangible amortization &amp; Others</t>
  </si>
  <si>
    <t>Free Cash Flow (FCF)</t>
  </si>
  <si>
    <t>FCF per share</t>
  </si>
  <si>
    <t>Free Cash Flow Yield</t>
  </si>
  <si>
    <t>Avg. Share Price</t>
  </si>
  <si>
    <t>Stock Repurchase / Issuances</t>
  </si>
  <si>
    <t>Options Outstanding BOP</t>
  </si>
  <si>
    <t>Options Granted</t>
  </si>
  <si>
    <t>Options Exercised</t>
  </si>
  <si>
    <t>Options Cancelled/Forfeited</t>
  </si>
  <si>
    <t>Options Outstanding EOP</t>
  </si>
  <si>
    <t>Wtd Avg Exercise Price (of exercised)</t>
  </si>
  <si>
    <t>Y/Y Growth</t>
  </si>
  <si>
    <t>Exercised shares as a % of outstanding</t>
  </si>
  <si>
    <t>Options lapsed as a % of outstanding</t>
  </si>
  <si>
    <t>Options granted as a % of outstanding</t>
  </si>
  <si>
    <t>Proceeds from options issuance ($mm)</t>
  </si>
  <si>
    <t>Repurchases</t>
  </si>
  <si>
    <t>Cost of repurchases</t>
  </si>
  <si>
    <t>Avg cost</t>
  </si>
  <si>
    <t>% change</t>
  </si>
  <si>
    <t>2017E</t>
  </si>
  <si>
    <t>2018E</t>
  </si>
  <si>
    <t>2019E</t>
  </si>
  <si>
    <t>2020E</t>
  </si>
  <si>
    <t>Net Revenue</t>
  </si>
  <si>
    <t xml:space="preserve">Non GAAP EBIT </t>
  </si>
  <si>
    <t>EBIAT</t>
  </si>
  <si>
    <t>- Capital Expenditures</t>
  </si>
  <si>
    <t>- Change in Net Working Capital</t>
  </si>
  <si>
    <t>Free Cash Flows</t>
  </si>
  <si>
    <t>PV of Free Cash Flows</t>
  </si>
  <si>
    <t>Assumptions:</t>
  </si>
  <si>
    <t>Terminal Value Sensitivity</t>
  </si>
  <si>
    <t xml:space="preserve">   EBIT % expansion/yr</t>
  </si>
  <si>
    <t>Terminal</t>
  </si>
  <si>
    <t>Value</t>
  </si>
  <si>
    <t>Perpetual Growth Rate in FCF</t>
  </si>
  <si>
    <t>Firm Value Sensitivity</t>
  </si>
  <si>
    <t>DCF Per Share Calcuations</t>
  </si>
  <si>
    <t>Equity Value</t>
  </si>
  <si>
    <t>DCF Per Share</t>
  </si>
  <si>
    <t>Equity Value Per Share</t>
  </si>
  <si>
    <t>After Tax Cost of Debt</t>
  </si>
  <si>
    <t>Equity Ratio</t>
  </si>
  <si>
    <t xml:space="preserve">   WACC</t>
  </si>
  <si>
    <t xml:space="preserve">QIAGEN N.V. </t>
  </si>
  <si>
    <t>Net income (Validation)</t>
  </si>
  <si>
    <t>Business integration, Acquisition related charges</t>
  </si>
  <si>
    <t>Qiagen N.V.</t>
  </si>
  <si>
    <t>Diluted EPS (non-GAAP, incl 123R)</t>
  </si>
  <si>
    <t>Diluted EPS (non-GAAP, excl 123R)</t>
  </si>
  <si>
    <t>Income (loss) before taxes</t>
  </si>
  <si>
    <t>Geography (const. curr)</t>
  </si>
  <si>
    <t>nm</t>
  </si>
  <si>
    <t>% of sales</t>
  </si>
  <si>
    <t>Depreciation and Amortization</t>
  </si>
  <si>
    <t>Europe</t>
  </si>
  <si>
    <t>Currency</t>
  </si>
  <si>
    <t>Current Stock Price</t>
  </si>
  <si>
    <t>Count</t>
  </si>
  <si>
    <t>EUR</t>
  </si>
  <si>
    <t>GBP</t>
  </si>
  <si>
    <t>JPY</t>
  </si>
  <si>
    <t>Financial Metrics</t>
  </si>
  <si>
    <t>Total Debt</t>
  </si>
  <si>
    <t>Net debt (debt-cash)</t>
  </si>
  <si>
    <t>Net cash per share</t>
  </si>
  <si>
    <t>Returns</t>
  </si>
  <si>
    <t>Return on Equity (ROE)</t>
  </si>
  <si>
    <t>Return on Assets (ROA)</t>
  </si>
  <si>
    <t>Return on Invested Capital (ROIC)</t>
  </si>
  <si>
    <t>Debt Coverage/Leverage</t>
  </si>
  <si>
    <t>EBITDA Coverage</t>
  </si>
  <si>
    <t>EBIT Coverage</t>
  </si>
  <si>
    <t>Net Debt / EBITDA</t>
  </si>
  <si>
    <t>Debt / Capital</t>
  </si>
  <si>
    <t>Current Ratio (CA/CL)</t>
  </si>
  <si>
    <t>Quick Ratio ((Cash+Mkt Sec+AR)/CL)</t>
  </si>
  <si>
    <t>Cash Ratio</t>
  </si>
  <si>
    <t>Acid-Test Ratio</t>
  </si>
  <si>
    <t>Working Capital Metrics</t>
  </si>
  <si>
    <t>Days Sales Outstanding (DSO)</t>
  </si>
  <si>
    <t>Inventory Days (DIO)</t>
  </si>
  <si>
    <t>Days Payable Outstanding (DPO)</t>
  </si>
  <si>
    <t>Cash Conversion Cycle</t>
  </si>
  <si>
    <t>Additional balance Sheet Metrics</t>
  </si>
  <si>
    <t>Changes in Shareholders' Equity</t>
  </si>
  <si>
    <t>Opening Balance</t>
  </si>
  <si>
    <t>Issue of Shares (including premium)</t>
  </si>
  <si>
    <t>Dividend</t>
  </si>
  <si>
    <t>AOCI</t>
  </si>
  <si>
    <t>Other AOCI</t>
  </si>
  <si>
    <t>Closing Balance</t>
  </si>
  <si>
    <t>Asset Schedules</t>
  </si>
  <si>
    <t>PP&amp;E</t>
  </si>
  <si>
    <t>PP&amp;E, gross - BoP</t>
  </si>
  <si>
    <t>Capex</t>
  </si>
  <si>
    <t>PP&amp;E, gross - EoP</t>
  </si>
  <si>
    <t>Accumulated depreciation - BoP</t>
  </si>
  <si>
    <t>% of beg gross</t>
  </si>
  <si>
    <t>Accum Depreciation - EoP</t>
  </si>
  <si>
    <t>PP&amp;E, net</t>
  </si>
  <si>
    <t>Assumed depreciable life</t>
  </si>
  <si>
    <t>Average Age of Assets</t>
  </si>
  <si>
    <t>Intangibles</t>
  </si>
  <si>
    <t>Intangibles - BoP</t>
  </si>
  <si>
    <t>% of beg bal</t>
  </si>
  <si>
    <t>Intangibles - EoP</t>
  </si>
  <si>
    <t>Beg Balance</t>
  </si>
  <si>
    <t>Acquisitions / write-offs</t>
  </si>
  <si>
    <t>Ending Balance</t>
  </si>
  <si>
    <t>M&amp;A Accounting</t>
  </si>
  <si>
    <t>Total Purchase Price</t>
  </si>
  <si>
    <t>Return on invested capital (Non-GAAP)</t>
  </si>
  <si>
    <t>P&amp;L</t>
  </si>
  <si>
    <t>Average diluted shares</t>
  </si>
  <si>
    <t>EBITDA (Non-GAAP)</t>
  </si>
  <si>
    <t>EBIT (non-GAAP)</t>
  </si>
  <si>
    <t>Other expense, net</t>
  </si>
  <si>
    <t>Revenue</t>
  </si>
  <si>
    <t>Cost of revenues</t>
  </si>
  <si>
    <t>Net income (GAAP)</t>
  </si>
  <si>
    <t>Stock comp expense</t>
  </si>
  <si>
    <t>Stock comp expense as a % of Rev</t>
  </si>
  <si>
    <t>Prepaid expenses and other (% of Rev)</t>
  </si>
  <si>
    <t>Issuance/ repurchase of common shares</t>
  </si>
  <si>
    <t>LIFE.O,mscalc:sedolCodeCalc</t>
  </si>
  <si>
    <t>LIFE.O,mscalc:closePriceCurrencyCalc</t>
  </si>
  <si>
    <t>LIFE.O,mscalc:targetPrice,,,,USD</t>
  </si>
  <si>
    <t>2397186</t>
  </si>
  <si>
    <t>55</t>
  </si>
  <si>
    <t>,mscalc:targetPrice,,,,USD</t>
  </si>
  <si>
    <t>,mscalc:closePriceCurrencyCalc</t>
  </si>
  <si>
    <t xml:space="preserve">Molecular Diagnostics </t>
  </si>
  <si>
    <t xml:space="preserve">Debt/EBITDA </t>
  </si>
  <si>
    <t>Reported Sales</t>
  </si>
  <si>
    <t>Organic</t>
  </si>
  <si>
    <t>FX</t>
  </si>
  <si>
    <t>AsiaPac</t>
  </si>
  <si>
    <t>EMEA</t>
  </si>
  <si>
    <t>Emerging Markets</t>
  </si>
  <si>
    <t>Net Income</t>
  </si>
  <si>
    <t>Cost of Equity</t>
  </si>
  <si>
    <t xml:space="preserve">Pharma </t>
  </si>
  <si>
    <t>Consumables and Related Revenues</t>
  </si>
  <si>
    <t xml:space="preserve">Instrument sales </t>
  </si>
  <si>
    <t>Asia Pacific and Rest of World</t>
  </si>
  <si>
    <t>Geographic Regions</t>
  </si>
  <si>
    <t>Net Income (Non-GAAP)</t>
  </si>
  <si>
    <t>Margin Analysis (Non-GAAP)</t>
  </si>
  <si>
    <t>Revenues</t>
  </si>
  <si>
    <t>Incremental Gross Margin</t>
  </si>
  <si>
    <t>Adj EPS</t>
  </si>
  <si>
    <t>Stock based compensation</t>
  </si>
  <si>
    <t>General and Administrative</t>
  </si>
  <si>
    <t>Accrued and other liabilities (% of Operating exp)</t>
  </si>
  <si>
    <t>2Q13</t>
  </si>
  <si>
    <t>3Q14</t>
  </si>
  <si>
    <t xml:space="preserve">$22.42 </t>
  </si>
  <si>
    <t>2014A</t>
  </si>
  <si>
    <t>4Q14</t>
  </si>
  <si>
    <t>2Q15</t>
  </si>
  <si>
    <t>2Q14</t>
  </si>
  <si>
    <t>1Q15</t>
  </si>
  <si>
    <t>% of QGEN sales</t>
  </si>
  <si>
    <t>Bioinformatics</t>
  </si>
  <si>
    <t>NGS</t>
  </si>
  <si>
    <t xml:space="preserve">   % CER growth</t>
  </si>
  <si>
    <t>NM</t>
  </si>
  <si>
    <t>CLC Bio and BIOBASE</t>
  </si>
  <si>
    <t xml:space="preserve">Other </t>
  </si>
  <si>
    <t>Growth By Segment</t>
  </si>
  <si>
    <t>GeneReader (# EOP instruments)</t>
  </si>
  <si>
    <t>GeneReader (average installed base)</t>
  </si>
  <si>
    <t>GeneReader (# placements)</t>
  </si>
  <si>
    <t>GeneReader ASP ('000s)</t>
  </si>
  <si>
    <t>Avg. GeneReader pullthrough ('000s)</t>
  </si>
  <si>
    <t>Total Consumables Revenues ($mn)</t>
  </si>
  <si>
    <t>Total HPV Revenues ($mn)</t>
  </si>
  <si>
    <t>HPV Consumable Revenues ($mn)</t>
  </si>
  <si>
    <t>HPV Instrument Revenues ($mn)</t>
  </si>
  <si>
    <t>Tuberculosis</t>
  </si>
  <si>
    <t>TB Consumable Revenues ($mn)</t>
  </si>
  <si>
    <t>TB Instrument Revenues ($mn)</t>
  </si>
  <si>
    <t>Personalized Healthcare</t>
  </si>
  <si>
    <t>Personalized HC Instrument Revenues ($mn)</t>
  </si>
  <si>
    <t>Total Bioinformatics Revenues ($mn)</t>
  </si>
  <si>
    <t>Total QIAsymphony Revenues ($mn)</t>
  </si>
  <si>
    <t>QIAsymphony Consumable Revenues ($mn)</t>
  </si>
  <si>
    <t>QIAsymphony Instrument Revenues ($mn)</t>
  </si>
  <si>
    <t>Total NGS Revenues ($mn)</t>
  </si>
  <si>
    <t>% of GeneReader Placements Sold</t>
  </si>
  <si>
    <t>NGS Consumable Revenues ($mn)</t>
  </si>
  <si>
    <t>NGS Instrument Revenues ($mn)</t>
  </si>
  <si>
    <t>Liquid Biopsy</t>
  </si>
  <si>
    <t>Total Liquid Biopsy Revenues ($mn)</t>
  </si>
  <si>
    <t>Sample Prep ASP ($)</t>
  </si>
  <si>
    <t>Sample Prep Tests ('000s)</t>
  </si>
  <si>
    <t>Bioinformatics Consumable Revenues ($mn)</t>
  </si>
  <si>
    <t>Bioinformatics Instrument Revenues ($mn)</t>
  </si>
  <si>
    <t>Liquid Biopsy Consumable Revenues ($mn)</t>
  </si>
  <si>
    <t>Liquid Biopsy Instrument Revenues ($mn)</t>
  </si>
  <si>
    <t>Total Instruments Revenues ($mn)</t>
  </si>
  <si>
    <t xml:space="preserve">   % HPV</t>
  </si>
  <si>
    <t xml:space="preserve">   % TB Quantiferon</t>
  </si>
  <si>
    <t xml:space="preserve">   % Bioinformatics</t>
  </si>
  <si>
    <t xml:space="preserve">   % NGS</t>
  </si>
  <si>
    <t xml:space="preserve">   % Liquid Biopsy</t>
  </si>
  <si>
    <t xml:space="preserve">   % QIAsymphony</t>
  </si>
  <si>
    <t>Total Revenues ($mn)</t>
  </si>
  <si>
    <t xml:space="preserve">   % gross margin</t>
  </si>
  <si>
    <t>HPV Gross Profit</t>
  </si>
  <si>
    <t xml:space="preserve">   % opex margin</t>
  </si>
  <si>
    <t>HPV Opex</t>
  </si>
  <si>
    <t>HPV EBIT</t>
  </si>
  <si>
    <t xml:space="preserve">   % EBIT margin</t>
  </si>
  <si>
    <t>TB Gross Profit</t>
  </si>
  <si>
    <t>TB Opex</t>
  </si>
  <si>
    <t>TB EBIT</t>
  </si>
  <si>
    <t>Consumables Gross Profit</t>
  </si>
  <si>
    <t>Consumables Opex</t>
  </si>
  <si>
    <t>Consumables EBIT</t>
  </si>
  <si>
    <t>Instruments Gross Profit</t>
  </si>
  <si>
    <t>Instruments Opex</t>
  </si>
  <si>
    <t>Instruments EBIT</t>
  </si>
  <si>
    <t>Bioinformatics Gross Profit</t>
  </si>
  <si>
    <t>Bioinformatics EBIT</t>
  </si>
  <si>
    <t>Bioinformatics Opex</t>
  </si>
  <si>
    <t>QIAsymphony Gross Profit</t>
  </si>
  <si>
    <t>QIAsymphony Opex</t>
  </si>
  <si>
    <t>QIAsymphony EBIT</t>
  </si>
  <si>
    <t>NGS Gross Profit</t>
  </si>
  <si>
    <t>NGS Opex</t>
  </si>
  <si>
    <t>NGS EBIT</t>
  </si>
  <si>
    <t>Gross Profit ($mn)</t>
  </si>
  <si>
    <t>EBIT ($mn)</t>
  </si>
  <si>
    <t xml:space="preserve">   % margin</t>
  </si>
  <si>
    <t xml:space="preserve">   TB Quantiferon</t>
  </si>
  <si>
    <t xml:space="preserve">   HPV </t>
  </si>
  <si>
    <t xml:space="preserve">   QIAsymphony</t>
  </si>
  <si>
    <t xml:space="preserve">   Bioinformatics</t>
  </si>
  <si>
    <t xml:space="preserve">   NGS</t>
  </si>
  <si>
    <t xml:space="preserve">   Liquid Biopsy</t>
  </si>
  <si>
    <t>% of Total</t>
  </si>
  <si>
    <t>QuantiFERON Volumes (mm)</t>
  </si>
  <si>
    <t xml:space="preserve">   % share of Total TB tests</t>
  </si>
  <si>
    <t xml:space="preserve">Quantiferon ASP ($) </t>
  </si>
  <si>
    <t xml:space="preserve">   % adjusted opex margin</t>
  </si>
  <si>
    <t>Consolidated Figures</t>
  </si>
  <si>
    <t>Summary Cash Flow</t>
  </si>
  <si>
    <t>Operating Cash Flow</t>
  </si>
  <si>
    <t>FCF/Share</t>
  </si>
  <si>
    <t>Total TB Revenues ($mn)</t>
  </si>
  <si>
    <t>Total Personalized HC Revenues ($mn)</t>
  </si>
  <si>
    <t>(A) Consumables Revenues ($mn)</t>
  </si>
  <si>
    <t>(B) Milestone Payments Gross Profit</t>
  </si>
  <si>
    <t>(B) Milestone Payments Opex</t>
  </si>
  <si>
    <t>(B) Milestone Payments EBIT</t>
  </si>
  <si>
    <t>QIAsymphony Full System (# placements)</t>
  </si>
  <si>
    <t xml:space="preserve">   % of QIAsymphony Placements Sold</t>
  </si>
  <si>
    <t xml:space="preserve">   % of QIAsymphony Rotor Gene Q Sold</t>
  </si>
  <si>
    <t>Liquid Biopsy Gross Profit</t>
  </si>
  <si>
    <t>Liquid Biopsy Opex</t>
  </si>
  <si>
    <t>Liquid Biopsy EBIT</t>
  </si>
  <si>
    <t xml:space="preserve">Other Consumables Revenues ($mn) </t>
  </si>
  <si>
    <t>Other Consumables Gross Profit</t>
  </si>
  <si>
    <t>Other Consumables Opex</t>
  </si>
  <si>
    <t>Other Consumables EBIT</t>
  </si>
  <si>
    <t xml:space="preserve">Other Instruments Revenues ($mn) </t>
  </si>
  <si>
    <t>Amnisure Revenues ($mn)</t>
  </si>
  <si>
    <t>Other Instruments Gross Profit</t>
  </si>
  <si>
    <t>Other Instruments Opex</t>
  </si>
  <si>
    <t>Other Instruments EBIT</t>
  </si>
  <si>
    <t>Lagging 4-quarter placements</t>
  </si>
  <si>
    <t xml:space="preserve">   % Full System Orders</t>
  </si>
  <si>
    <t>QIASymphony annual pullthrough ('000s)</t>
  </si>
  <si>
    <t>Full System annual pullthrough ('000s)</t>
  </si>
  <si>
    <t>QIASymphony avg. annual pullthrough ('000s)</t>
  </si>
  <si>
    <t>QIA Symphony RGQ System (# EOP instruments)</t>
  </si>
  <si>
    <t>Total QIAsymphony (# EOP instruments)</t>
  </si>
  <si>
    <t>Total QIAsymphony (# placements)</t>
  </si>
  <si>
    <t>Total QIAsymphony (average installed base)</t>
  </si>
  <si>
    <t>QIAsymphony SP ASP ('000s)</t>
  </si>
  <si>
    <t>Rotor-Gene Q ASP ('000s)</t>
  </si>
  <si>
    <t>QIAsymphony RQG System (avg. base)</t>
  </si>
  <si>
    <t>3Q15</t>
  </si>
  <si>
    <t>% margin</t>
  </si>
  <si>
    <t>Constant Currency</t>
  </si>
  <si>
    <t xml:space="preserve">   Other</t>
  </si>
  <si>
    <t xml:space="preserve">   % Other</t>
  </si>
  <si>
    <t xml:space="preserve">   % adjusted opex S&amp;M</t>
  </si>
  <si>
    <t xml:space="preserve">   % adjusted opex G&amp;A</t>
  </si>
  <si>
    <t xml:space="preserve">   % adjusted opex R&amp;D</t>
  </si>
  <si>
    <t xml:space="preserve">   % reported S&amp;M margin</t>
  </si>
  <si>
    <t xml:space="preserve">   % reported G&amp;A margin</t>
  </si>
  <si>
    <t xml:space="preserve">   % reported R&amp;D</t>
  </si>
  <si>
    <t xml:space="preserve">   % QGEN market share</t>
  </si>
  <si>
    <t>Oncology Market by Volume ('000s)</t>
  </si>
  <si>
    <t>(B) Enzymatics Revenues ($mn)</t>
  </si>
  <si>
    <t>(C) GeneReader Instrument Revenues ($mn)</t>
  </si>
  <si>
    <t>(D) GeneReader Consumables Revenues ($mn)</t>
  </si>
  <si>
    <t xml:space="preserve">   % Consumables </t>
  </si>
  <si>
    <t>Other Consumables (Base Business)</t>
  </si>
  <si>
    <t>Consolidated Consumables</t>
  </si>
  <si>
    <t>Consolidated Instruments</t>
  </si>
  <si>
    <t>Other Instruments (Base Business)</t>
  </si>
  <si>
    <t>% growth</t>
  </si>
  <si>
    <t>2023E</t>
  </si>
  <si>
    <t>2024E</t>
  </si>
  <si>
    <t xml:space="preserve">   Capex (% of sales)</t>
  </si>
  <si>
    <t xml:space="preserve">   Working Capital (% of sales)</t>
  </si>
  <si>
    <t xml:space="preserve">   Depreciation (% growth)</t>
  </si>
  <si>
    <t>2025E</t>
  </si>
  <si>
    <t>+ Depreciation</t>
  </si>
  <si>
    <t>(in millions of US dollars)</t>
  </si>
  <si>
    <t>Discount Periods</t>
  </si>
  <si>
    <t>Handicap factor</t>
  </si>
  <si>
    <t>% tax rate</t>
  </si>
  <si>
    <t>Aggregate Value</t>
  </si>
  <si>
    <t xml:space="preserve">   Add: Cash</t>
  </si>
  <si>
    <t xml:space="preserve">   Less: Debt</t>
  </si>
  <si>
    <t xml:space="preserve">   Shares Outstanding</t>
  </si>
  <si>
    <t xml:space="preserve">  Terminal Value</t>
  </si>
  <si>
    <t xml:space="preserve">  Discounted Terminal Value</t>
  </si>
  <si>
    <t xml:space="preserve">   Discounted Value of  FCF</t>
  </si>
  <si>
    <t xml:space="preserve">   10 year Risk-free rate</t>
  </si>
  <si>
    <t xml:space="preserve">   Equity Risk Premium</t>
  </si>
  <si>
    <t xml:space="preserve">   Beta</t>
  </si>
  <si>
    <t xml:space="preserve">   Tax rate</t>
  </si>
  <si>
    <t xml:space="preserve">   Debt Ratio</t>
  </si>
  <si>
    <t xml:space="preserve">   Debt Spread</t>
  </si>
  <si>
    <t>DCF</t>
  </si>
  <si>
    <t xml:space="preserve">   Less: Minority Interest</t>
  </si>
  <si>
    <t>QIASymphony avg. ASP ('000s)</t>
  </si>
  <si>
    <t xml:space="preserve">   Organic Growth Excluding US HPV</t>
  </si>
  <si>
    <t>4Q15</t>
  </si>
  <si>
    <t>Total Growth Drivers Revenues ($mn)</t>
  </si>
  <si>
    <t xml:space="preserve">   % Milestone Payment </t>
  </si>
  <si>
    <t xml:space="preserve">   % OEM Equipment &amp; Related </t>
  </si>
  <si>
    <t xml:space="preserve">Qiagen </t>
  </si>
  <si>
    <t>MDx Ex-HPV</t>
  </si>
  <si>
    <t>2-Year Organic Revenue Momentum</t>
  </si>
  <si>
    <t>2026E</t>
  </si>
  <si>
    <t>1Q16</t>
  </si>
  <si>
    <t>MO BIO Labs ($mn)</t>
  </si>
  <si>
    <t>2015A</t>
  </si>
  <si>
    <t>ex HPV</t>
  </si>
  <si>
    <t>(A) Test Kit Revenues excluding LB ($mn)</t>
  </si>
  <si>
    <t>(B) Liquid Biopsy Revenues in Pharma ($mn)</t>
  </si>
  <si>
    <t>(C) Milestone Payment Revenues ($mn)</t>
  </si>
  <si>
    <t>(D) OEM Equipment &amp; Related Revenues ($mn)</t>
  </si>
  <si>
    <t>2Q16</t>
  </si>
  <si>
    <t>Adj. Personalized HC Consumable Revenues ($mn)</t>
  </si>
  <si>
    <t>Personalized HC Consumables Revenues ($mn)</t>
  </si>
  <si>
    <t>China</t>
  </si>
  <si>
    <t>Exiqon ($mn)</t>
  </si>
  <si>
    <t>3Q16</t>
  </si>
  <si>
    <t>Japan</t>
  </si>
  <si>
    <t>Revenue Build Up</t>
  </si>
  <si>
    <t>NIPT Market by Volume ('000s)</t>
  </si>
  <si>
    <t xml:space="preserve">   Personalized Healthcare Milestone Payments</t>
  </si>
  <si>
    <t>Gross Margin (%)</t>
  </si>
  <si>
    <t>S&amp;M (%)</t>
  </si>
  <si>
    <t>R&amp;D (%)</t>
  </si>
  <si>
    <t>G&amp;A (%)</t>
  </si>
  <si>
    <t>Components of Opex Estimated</t>
  </si>
  <si>
    <t xml:space="preserve">   % reinvestment of opex</t>
  </si>
  <si>
    <t>Incremental Bioinformatics R&amp;D ($mn)</t>
  </si>
  <si>
    <t>Incremental NGS R&amp;D ($mn)</t>
  </si>
  <si>
    <t>Opex adjustment from Milestone Payments ($mn)</t>
  </si>
  <si>
    <t xml:space="preserve">   % bioinformatics net out of R&amp;D</t>
  </si>
  <si>
    <t xml:space="preserve">   % NGS net out of R&amp;D</t>
  </si>
  <si>
    <t>Check on Growth Driver Outputs</t>
  </si>
  <si>
    <t>Check from P&amp;L</t>
  </si>
  <si>
    <t xml:space="preserve">   % MDx revenues</t>
  </si>
  <si>
    <t xml:space="preserve">   % Pharma revenues</t>
  </si>
  <si>
    <t xml:space="preserve">   % Academic revenues</t>
  </si>
  <si>
    <t xml:space="preserve">   % Applied revenues</t>
  </si>
  <si>
    <t xml:space="preserve">   % nominal growth</t>
  </si>
  <si>
    <t xml:space="preserve">   % Personalized Healthcare Milestone </t>
  </si>
  <si>
    <t>4Q16</t>
  </si>
  <si>
    <t>2027E</t>
  </si>
  <si>
    <t>Notes payable to QIAGEN Finance due '22</t>
  </si>
  <si>
    <t>Notes payable to QIAGEN Finance due '24</t>
  </si>
  <si>
    <t>Notes payable to QIAGEN Finance due '19</t>
  </si>
  <si>
    <t>1Q17</t>
  </si>
  <si>
    <t>2Q17</t>
  </si>
  <si>
    <t>3Q17</t>
  </si>
  <si>
    <t>4Q17</t>
  </si>
  <si>
    <t>Organic Revenue Growth (% y/y CER excluding acquisitions)</t>
  </si>
  <si>
    <t>2016A</t>
  </si>
  <si>
    <t>Deferred income tax liabilities  (% of Rev)</t>
  </si>
  <si>
    <t>Deferred income tax assets  (% of Rev)</t>
  </si>
  <si>
    <t xml:space="preserve">Yr/Yr Organic Stacked Growth </t>
  </si>
  <si>
    <t xml:space="preserve">Yr/Yr Organic $ Growth </t>
  </si>
  <si>
    <t>Organic Momentum</t>
  </si>
  <si>
    <t>Organic Rev Growth</t>
  </si>
  <si>
    <t>Total Organic</t>
  </si>
  <si>
    <t>Total Momentum</t>
  </si>
  <si>
    <t>Organic check</t>
  </si>
  <si>
    <t>OmicSoft</t>
  </si>
  <si>
    <t>ex Genereader</t>
  </si>
  <si>
    <t>Base MDx business ex-drivers</t>
  </si>
  <si>
    <t>ex Quantiferon</t>
  </si>
  <si>
    <t>Base pharma business ex-drivers</t>
  </si>
  <si>
    <t>Quantiferon</t>
  </si>
  <si>
    <t>Genereader</t>
  </si>
  <si>
    <t>Total Incremental Growth from Drivers</t>
  </si>
  <si>
    <t>ex Genereader (25%)</t>
  </si>
  <si>
    <t>ex HPV (100%)</t>
  </si>
  <si>
    <t>(C + D) Total Genereader Revenues</t>
  </si>
  <si>
    <t>MDx Base business ex-drivers</t>
  </si>
  <si>
    <t>ex HPV/QF/GR</t>
  </si>
  <si>
    <t>Base business ex HPV/QF/GR</t>
  </si>
  <si>
    <t>ex Quantiferon (100%)</t>
  </si>
  <si>
    <t>EPS CAGR</t>
  </si>
  <si>
    <t>'16-'18E</t>
  </si>
  <si>
    <t>Rev. CAGR</t>
  </si>
  <si>
    <t>16-20e</t>
  </si>
  <si>
    <t>BYXS688</t>
  </si>
  <si>
    <t>'16-'20E</t>
  </si>
  <si>
    <t xml:space="preserve">       Organic Growth Excluding US HPV</t>
  </si>
  <si>
    <t>38</t>
  </si>
  <si>
    <t xml:space="preserve">Adjusted EBIT </t>
  </si>
  <si>
    <t>Cash Taxes</t>
  </si>
  <si>
    <t>NOPAT (adjusted)</t>
  </si>
  <si>
    <t>Debt</t>
  </si>
  <si>
    <t>Net Deferred Tax Liabilities</t>
  </si>
  <si>
    <t>Other Long-Term Liabilities</t>
  </si>
  <si>
    <t>Off-balance sheet operating leases</t>
  </si>
  <si>
    <t>Equity</t>
  </si>
  <si>
    <t>Preferred Equity</t>
  </si>
  <si>
    <t>Accumulated Asset write-downs</t>
  </si>
  <si>
    <t>Non-performing Assets</t>
  </si>
  <si>
    <t>(Less cash)</t>
  </si>
  <si>
    <t>(Less unconsolidated investments)</t>
  </si>
  <si>
    <t>(Less Goodwill)</t>
  </si>
  <si>
    <t>Total Invested Capital (inc-Goodwill)</t>
  </si>
  <si>
    <t>Total Invested Capital (ex-Goodwill)</t>
  </si>
  <si>
    <t>ROIC (inc-Goodwill)</t>
  </si>
  <si>
    <t>ROIC (ex-Goodwill)</t>
  </si>
  <si>
    <t>Return on Invested Capital (ROIC)(ex-Goodwill)</t>
  </si>
  <si>
    <t>0.500% Senior Unsecured Cash Convertible Notes due 2023</t>
  </si>
  <si>
    <t>4Q18E</t>
  </si>
  <si>
    <t>1Q18E</t>
  </si>
  <si>
    <t>2Q18E</t>
  </si>
  <si>
    <t>3Q18E</t>
  </si>
  <si>
    <t>wachter</t>
  </si>
  <si>
    <t>QGEN.N</t>
  </si>
  <si>
    <t>QGEN.N,mscalc:targetPrice,,,,USD</t>
  </si>
  <si>
    <t>QGEN.N,mscalc:sedolCodeCalc</t>
  </si>
  <si>
    <t>QGEN.N,mscalc:closePriceCurrencyCalc</t>
  </si>
  <si>
    <t>$AB$2</t>
  </si>
  <si>
    <t>2017A</t>
  </si>
  <si>
    <t>PCR multiplex syndromic testing</t>
  </si>
  <si>
    <t>PCR Consumable Revenues ($mn)</t>
  </si>
  <si>
    <t>PCR Instrument Revenues ($mn)</t>
  </si>
  <si>
    <t>PCR Gross Profit</t>
  </si>
  <si>
    <t>PCR Opex</t>
  </si>
  <si>
    <t>PCR EBIT</t>
  </si>
  <si>
    <t>Total Install base (#)</t>
  </si>
  <si>
    <t>Stat-Dx avg. annual pullthrough ($ '000s)</t>
  </si>
  <si>
    <t>DiagCORE Instrument placements (#)</t>
  </si>
  <si>
    <t>Instrument ASP ($ 000s)</t>
  </si>
  <si>
    <t>Total Syndromic Revenues ($mn)</t>
  </si>
  <si>
    <t>% QIAStat</t>
  </si>
  <si>
    <t>QIAStat</t>
  </si>
  <si>
    <t>Research</t>
  </si>
  <si>
    <t>MSA12974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</si>
  <si>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</si>
  <si>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</si>
  <si>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</si>
  <si>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</si>
  <si>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</si>
  <si>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</si>
  <si>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Steve Beuchaw</t>
  </si>
  <si>
    <t>Date: 06 Mar 2018</t>
  </si>
  <si>
    <t>Ticker: QGEN.N</t>
  </si>
  <si>
    <t>Stock Rating: Overweight</t>
  </si>
  <si>
    <t>Industry: Life Science Tools &amp; Diagnostics</t>
  </si>
  <si>
    <t>Industry View: In-Line</t>
  </si>
  <si>
    <t>Price as of 06 Mar 2018: 33.77</t>
  </si>
  <si>
    <t>Target Price: 39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</si>
  <si>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</si>
  <si>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</si>
  <si>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</si>
  <si>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</si>
  <si>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Qiagen NV.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</si>
  <si>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</si>
  <si>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</si>
  <si>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</si>
  <si>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</si>
  <si>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</si>
  <si>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</si>
  <si>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</si>
  <si>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</si>
  <si>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</si>
  <si>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</si>
  <si>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</si>
  <si>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</si>
  <si>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</si>
  <si>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</si>
  <si>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</si>
  <si>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</si>
  <si>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</si>
  <si>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</si>
  <si>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</si>
  <si>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</si>
  <si>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</si>
  <si>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</si>
  <si>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</si>
  <si>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</si>
  <si>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</si>
  <si>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</si>
  <si>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</si>
  <si>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</si>
  <si>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</si>
  <si>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</si>
  <si>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</si>
  <si>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</si>
  <si>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</si>
  <si>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</si>
  <si>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</si>
  <si>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</si>
  <si>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</si>
  <si>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</si>
  <si>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</si>
  <si>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</si>
  <si>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</si>
  <si>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</si>
  <si>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</si>
  <si>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</si>
  <si>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</si>
  <si>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</si>
  <si>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</si>
  <si>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</si>
  <si>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</si>
  <si>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</si>
  <si>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</si>
  <si>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</si>
  <si>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</si>
  <si>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</si>
  <si>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</si>
  <si>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</si>
  <si>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</si>
  <si>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</si>
  <si>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</si>
  <si>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</si>
  <si>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</si>
  <si>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</si>
  <si>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</si>
  <si>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</si>
  <si>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</si>
  <si>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</si>
  <si>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</si>
  <si>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</si>
  <si>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</si>
  <si>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</si>
  <si>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</si>
  <si>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</si>
  <si>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</si>
  <si>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</si>
  <si>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</si>
  <si>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</si>
  <si>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</si>
  <si>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</si>
  <si>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</si>
  <si>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</si>
  <si>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</si>
  <si>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</si>
  <si>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</si>
  <si>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</si>
  <si>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</si>
  <si>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</si>
  <si>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</si>
  <si>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</si>
  <si>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</si>
  <si>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</si>
  <si>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</si>
  <si>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</si>
  <si>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</si>
  <si>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</si>
  <si>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</si>
  <si>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</si>
  <si>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</si>
  <si>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</si>
  <si>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</si>
  <si>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</si>
  <si>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</si>
  <si>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</si>
  <si>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</si>
  <si>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</si>
  <si>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</si>
  <si>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</si>
  <si>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</si>
  <si>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</si>
  <si>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</si>
  <si>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</si>
  <si>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</si>
  <si>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</si>
  <si>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</si>
  <si>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</si>
  <si>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</si>
  <si>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</si>
  <si>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</si>
  <si>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</si>
  <si>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</si>
  <si>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</si>
  <si>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</si>
  <si>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</si>
  <si>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</si>
  <si>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</si>
  <si>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</si>
  <si>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</si>
  <si>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</si>
  <si>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</si>
  <si>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</si>
  <si>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</si>
  <si>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</si>
  <si>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</si>
  <si>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</si>
  <si>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</si>
  <si>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</si>
  <si>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</si>
  <si>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</si>
  <si>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</si>
  <si>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</si>
  <si>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</si>
  <si>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</si>
  <si>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</si>
  <si>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</si>
  <si>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</si>
  <si>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</si>
  <si>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</si>
  <si>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</si>
  <si>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</si>
  <si>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</si>
  <si>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</si>
  <si>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</si>
  <si>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</si>
  <si>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</si>
  <si>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</si>
  <si>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</si>
  <si>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</si>
  <si>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</si>
  <si>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</si>
  <si>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</si>
  <si>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</si>
  <si>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</si>
  <si>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</si>
  <si>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</si>
  <si>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</si>
  <si>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</si>
  <si>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</si>
  <si>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</si>
  <si>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</si>
  <si>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</si>
  <si>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</si>
  <si>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</si>
  <si>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</si>
  <si>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</si>
  <si>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</si>
  <si>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</si>
  <si>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Qiagen NV.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</si>
  <si>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</si>
  <si>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</si>
  <si>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</si>
  <si>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</si>
  <si>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</si>
  <si>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</si>
  <si>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</si>
  <si>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</si>
  <si>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</si>
  <si>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</si>
  <si>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</si>
  <si>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</si>
  <si>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</si>
  <si>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</si>
  <si>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</si>
  <si>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</si>
  <si>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</si>
  <si>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</si>
  <si>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</si>
  <si>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</si>
  <si>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</si>
  <si>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</si>
  <si>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</si>
  <si>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</si>
  <si>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</si>
  <si>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</si>
  <si>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</si>
  <si>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</si>
  <si>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</si>
  <si>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</si>
  <si>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</si>
  <si>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</si>
  <si>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</si>
  <si>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</si>
  <si>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</si>
  <si>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</si>
  <si>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</si>
  <si>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</si>
  <si>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</si>
  <si>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</si>
  <si>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</si>
  <si>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</si>
  <si>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</si>
  <si>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</si>
  <si>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</si>
  <si>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</si>
  <si>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</si>
  <si>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</si>
  <si>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</si>
  <si>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</si>
  <si>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</si>
  <si>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</si>
  <si>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</si>
  <si>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</si>
  <si>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</si>
  <si>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</si>
  <si>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</si>
  <si>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</si>
  <si>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</si>
  <si>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</si>
  <si>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</si>
  <si>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</si>
  <si>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</si>
  <si>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</si>
  <si>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</si>
  <si>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</si>
  <si>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</si>
  <si>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</si>
  <si>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Qiagen NV.</t>
  </si>
  <si>
    <t>Within the last 12 months, Morgan Stanley has received compensation for products and services other than</t>
  </si>
  <si>
    <t>investment banking services from Qiagen NV.</t>
  </si>
  <si>
    <t>As of February 28, 2018, Morgan Stanley beneficially owned 1% or more of a class of common equity</t>
  </si>
  <si>
    <t>securities of the following companies covered in Morgan Stanley Research: Qiagen NV.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</si>
  <si>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</si>
  <si>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</si>
  <si>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</si>
  <si>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</si>
  <si>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</si>
  <si>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Steve Beuchaw.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</si>
  <si>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</si>
  <si>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</si>
  <si>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</si>
  <si>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</si>
  <si>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</si>
  <si>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</si>
  <si>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</si>
  <si>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</si>
  <si>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</si>
  <si>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</si>
  <si>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</si>
  <si>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</si>
  <si>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</si>
  <si>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</si>
  <si>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</si>
  <si>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</si>
  <si>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</si>
  <si>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</si>
  <si>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</si>
  <si>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</si>
  <si>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</si>
  <si>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</si>
  <si>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</si>
  <si>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</si>
  <si>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</si>
  <si>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</si>
  <si>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</si>
  <si>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</si>
  <si>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</si>
  <si>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</si>
  <si>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</si>
  <si>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</si>
  <si>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</si>
  <si>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</si>
  <si>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</si>
  <si>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</si>
  <si>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</si>
  <si>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</si>
  <si>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</si>
  <si>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</si>
  <si>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</si>
  <si>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</si>
  <si>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</si>
  <si>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</si>
  <si>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</si>
  <si>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</si>
  <si>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</si>
  <si>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</si>
  <si>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</si>
  <si>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</si>
  <si>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</si>
  <si>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</si>
  <si>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</si>
  <si>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</si>
  <si>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</si>
  <si>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</si>
  <si>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</si>
  <si>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</si>
  <si>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</si>
  <si>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</si>
  <si>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</si>
  <si>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</si>
  <si>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</si>
  <si>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</si>
  <si>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</si>
  <si>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</si>
  <si>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</si>
  <si>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</si>
  <si>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</si>
  <si>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</si>
  <si>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</si>
  <si>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</si>
  <si>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L:\HEALTH\Tools\Models\Published models\QGEN_Published.xlsm</t>
  </si>
  <si>
    <t>[BRO MSA]</t>
  </si>
  <si>
    <t>[PRODUCT MODEL]</t>
  </si>
  <si>
    <t>[EMAIL_ALERT YES]</t>
  </si>
  <si>
    <t>[DISCIPLINE Company]</t>
  </si>
  <si>
    <t>[SUPPRESSED NO]</t>
  </si>
  <si>
    <t>[DOCDAT 2018-03-06]</t>
  </si>
  <si>
    <t>[DOCTIME 14:19]</t>
  </si>
  <si>
    <t>[PSYM QGEN.N(S&amp;P) (None)]</t>
  </si>
  <si>
    <t>[COU 1]</t>
  </si>
  <si>
    <t>[ANA ]</t>
  </si>
  <si>
    <t>[HL QGEN.N Model]</t>
  </si>
  <si>
    <t>[IND HLTHCR]</t>
  </si>
  <si>
    <t>[PANA MSA12974]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</si>
</sst>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4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_(* #,##0.0_);_(* \(#,##0.0\);_(* &quot;-&quot;?_);_(@_)"/>
    <numFmt numFmtId="166" formatCode="_(* #,##0.00_);_(* \(#,##0.00\);_(* &quot;-&quot;?_);_(@_)"/>
    <numFmt numFmtId="167" formatCode="_(* #,##0.000_);_(* \(#,##0.000\);_(* &quot;-&quot;?_);_(@_)"/>
    <numFmt numFmtId="168" formatCode="_(* #,##0.0000_);_(* \(#,##0.0000\);_(* &quot;-&quot;?_);_(@_)"/>
    <numFmt numFmtId="169" formatCode="yyyy"/>
    <numFmt numFmtId="170" formatCode="_(&quot;$&quot;* #,##0.0_);_(&quot;$&quot;* \(#,##0.0\);_(&quot;$&quot;* &quot;-&quot;?_);_(@_)"/>
    <numFmt numFmtId="171" formatCode="0.0%"/>
    <numFmt numFmtId="172" formatCode="#,##0.0_);\(#,##0.0\)"/>
    <numFmt numFmtId="173" formatCode="0.0_);\(0.0\)"/>
    <numFmt numFmtId="174" formatCode="_(* #,##0_);_(* \(#,##0\);_(* &quot;-&quot;?_);_(@_)"/>
    <numFmt numFmtId="175" formatCode="_(* #,##0.000000_);_(* \(#,##0.000000\);_(* &quot;-&quot;?_);_(@_)"/>
    <numFmt numFmtId="177" formatCode="_(* #,##0.0_);_(* \(#,##0.0\);_(* &quot;-&quot;??_);_(@_)"/>
    <numFmt numFmtId="178" formatCode="&quot;$&quot;#,##0.0_);\(&quot;$&quot;#,##0.0\)"/>
    <numFmt numFmtId="179" formatCode="#,##0.00%_);\(#,##0.00%\)"/>
    <numFmt numFmtId="180" formatCode="0.0"/>
    <numFmt numFmtId="181" formatCode="&quot;$&quot;#,##0.0"/>
    <numFmt numFmtId="182" formatCode="#,##0.0"/>
    <numFmt numFmtId="183" formatCode="0.00_);\(0.00\)"/>
    <numFmt numFmtId="184" formatCode="#,##0_)\ \x;\(#,##0\)\ \x"/>
    <numFmt numFmtId="185" formatCode="_(* #,##0.00000_);_(* \(#,##0.00000\);_(* &quot;-&quot;??_);_(@_)"/>
    <numFmt numFmtId="186" formatCode="_(* #,##0_);_(* \(#,##0\);_(* &quot;-&quot;??_);_(@_)"/>
    <numFmt numFmtId="187" formatCode="0_);[Red]\(0\)"/>
    <numFmt numFmtId="188" formatCode="&quot;$&quot;#,##0.00"/>
    <numFmt numFmtId="190" formatCode="_(&quot;$&quot;* #,##0_);_(&quot;$&quot;* \(#,##0\);_(&quot;$&quot;* &quot;-&quot;??_);_(@_)"/>
    <numFmt numFmtId="191" formatCode="#.0%_);[Red]\(#.0%\)_)"/>
    <numFmt numFmtId="192" formatCode="_(&quot;$&quot;* #,##0_);_(&quot;$&quot;* \(#,##0\);_(&quot;$&quot;* &quot;-&quot;?_);_(@_)"/>
    <numFmt numFmtId="196" formatCode="_(* #,##0.0000_);_(* \(#,##0.0000\);_(* &quot;-&quot;??_);_(@_)"/>
    <numFmt numFmtId="197" formatCode="_(&quot;$&quot;* #,##0.000_);_(&quot;$&quot;* \(#,##0.000\);_(&quot;$&quot;* &quot;-&quot;??_);_(@_)"/>
    <numFmt numFmtId="198" formatCode="_(&quot;$&quot;* #,##0.0000_);_(&quot;$&quot;* \(#,##0.0000\);_(&quot;$&quot;* &quot;-&quot;??_);_(@_)"/>
    <numFmt numFmtId="199" formatCode="0.0\x"/>
    <numFmt numFmtId="200" formatCode="&quot;$&quot;#,##0.000_);\(&quot;$&quot;#,##0.000\)"/>
    <numFmt numFmtId="202" formatCode="#,##0%_);\(#,##0%\)"/>
    <numFmt numFmtId="203" formatCode="0&quot;A&quot;"/>
    <numFmt numFmtId="204" formatCode="0&quot;E&quot;"/>
    <numFmt numFmtId="207" formatCode="m/d/yy;@"/>
    <numFmt numFmtId="208" formatCode="#,##0.0%_);\(#,##0.0%\)"/>
    <numFmt numFmtId="210" formatCode="_(* #,##0.000_);_(* \(#,##0.000\);_(* &quot;-&quot;??_);_(@_)"/>
    <numFmt numFmtId="211" formatCode="#,##0.000_);\(#,##0.000\)"/>
    <numFmt numFmtId="212" formatCode="#.00%_);[Red]\(#.00%\)_)"/>
    <numFmt numFmtId="216" formatCode="0_)"/>
    <numFmt numFmtId="219" formatCode="General&quot;A&quot;"/>
    <numFmt numFmtId="220" formatCode="General&quot;E&quot;"/>
    <numFmt numFmtId="222" formatCode="#,##0.000000000000_);\(#,##0.000000000000\)"/>
    <numFmt numFmtId="224" formatCode="0.0000%"/>
    <numFmt numFmtId="225" formatCode="0.0000000000000000%"/>
    <numFmt numFmtId="226" formatCode="0.000000000000000%"/>
    <numFmt numFmtId="228" formatCode="&quot;$&quot;#,##0"/>
    <numFmt numFmtId="234" formatCode="mm/dd/yy\ hh:mm"/>
  </numFmts>
  <fonts count="1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Tms Rmn"/>
    </font>
    <font>
      <sz val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i/>
      <sz val="8"/>
      <name val="Arial"/>
      <family val="2"/>
    </font>
    <font>
      <sz val="7"/>
      <name val="Arial"/>
      <family val="2"/>
    </font>
    <font>
      <sz val="8"/>
      <color indexed="10"/>
      <name val="Arial"/>
      <family val="2"/>
    </font>
    <font>
      <b/>
      <i/>
      <sz val="8"/>
      <name val="Arial"/>
      <family val="2"/>
    </font>
    <font>
      <b/>
      <sz val="8"/>
      <color indexed="8"/>
      <name val="Arial"/>
      <family val="2"/>
    </font>
    <font>
      <sz val="8"/>
      <color indexed="12"/>
      <name val="Arial"/>
      <family val="2"/>
    </font>
    <font>
      <i/>
      <sz val="8"/>
      <color indexed="10"/>
      <name val="Arial"/>
      <family val="2"/>
    </font>
    <font>
      <sz val="11"/>
      <name val="Arial"/>
      <family val="2"/>
    </font>
    <font>
      <sz val="10"/>
      <name val="Arial"/>
      <family val="2"/>
    </font>
    <font>
      <i/>
      <sz val="8"/>
      <color indexed="12"/>
      <name val="Arial"/>
      <family val="2"/>
    </font>
    <font>
      <sz val="8"/>
      <name val="Times New Roman"/>
      <family val="1"/>
    </font>
    <font>
      <b/>
      <sz val="8"/>
      <color indexed="12"/>
      <name val="Arial"/>
      <family val="2"/>
    </font>
    <font>
      <i/>
      <sz val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i/>
      <sz val="10"/>
      <name val="Arial"/>
      <family val="2"/>
    </font>
    <font>
      <i/>
      <sz val="8"/>
      <color indexed="8"/>
      <name val="Arial"/>
      <family val="2"/>
    </font>
    <font>
      <sz val="8"/>
      <color indexed="9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8"/>
      <color indexed="10"/>
      <name val="Arial"/>
      <family val="2"/>
    </font>
    <font>
      <sz val="8"/>
      <color indexed="22"/>
      <name val="Arial"/>
      <family val="2"/>
    </font>
    <font>
      <i/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b/>
      <u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57"/>
      <name val="Arial"/>
      <family val="2"/>
    </font>
    <font>
      <sz val="8"/>
      <color indexed="18"/>
      <name val="Arial"/>
      <family val="2"/>
    </font>
    <font>
      <sz val="8"/>
      <color indexed="21"/>
      <name val="Arial"/>
      <family val="2"/>
    </font>
    <font>
      <i/>
      <sz val="8"/>
      <color indexed="9"/>
      <name val="Arial"/>
      <family val="2"/>
    </font>
    <font>
      <sz val="10"/>
      <name val="Helvetica"/>
      <family val="2"/>
    </font>
    <font>
      <sz val="8"/>
      <name val="Times"/>
      <family val="1"/>
    </font>
    <font>
      <sz val="8"/>
      <color indexed="17"/>
      <name val="Arial"/>
      <family val="2"/>
    </font>
    <font>
      <b/>
      <sz val="8"/>
      <color indexed="9"/>
      <name val="Arial"/>
      <family val="2"/>
    </font>
    <font>
      <sz val="8"/>
      <color indexed="17"/>
      <name val="Arial"/>
      <family val="2"/>
    </font>
    <font>
      <b/>
      <sz val="8"/>
      <color indexed="17"/>
      <name val="Arial"/>
      <family val="2"/>
    </font>
    <font>
      <b/>
      <u/>
      <sz val="8"/>
      <color indexed="9"/>
      <name val="Arial"/>
      <family val="2"/>
    </font>
    <font>
      <sz val="10"/>
      <color indexed="10"/>
      <name val="Arial"/>
      <family val="2"/>
    </font>
    <font>
      <b/>
      <i/>
      <sz val="8"/>
      <color indexed="10"/>
      <name val="Arial"/>
      <family val="2"/>
    </font>
    <font>
      <i/>
      <sz val="10"/>
      <color indexed="10"/>
      <name val="Arial"/>
      <family val="2"/>
    </font>
    <font>
      <sz val="8"/>
      <color indexed="9"/>
      <name val="Arial"/>
      <family val="2"/>
    </font>
    <font>
      <i/>
      <sz val="8"/>
      <color indexed="10"/>
      <name val="Arial"/>
      <family val="2"/>
    </font>
    <font>
      <sz val="8"/>
      <color indexed="18"/>
      <name val="Arial"/>
      <family val="2"/>
    </font>
    <font>
      <sz val="10"/>
      <name val="Helv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0070C0"/>
      <name val="Arial"/>
      <family val="2"/>
    </font>
    <font>
      <b/>
      <sz val="8"/>
      <color rgb="FF0070C0"/>
      <name val="Arial"/>
      <family val="2"/>
    </font>
    <font>
      <i/>
      <sz val="8"/>
      <color rgb="FF0070C0"/>
      <name val="Arial"/>
      <family val="2"/>
    </font>
    <font>
      <b/>
      <sz val="8"/>
      <color rgb="FFFF0000"/>
      <name val="Arial"/>
      <family val="2"/>
    </font>
    <font>
      <sz val="8"/>
      <color rgb="FF7030A0"/>
      <name val="Arial"/>
      <family val="2"/>
    </font>
    <font>
      <i/>
      <sz val="8"/>
      <color rgb="FF7030A0"/>
      <name val="Arial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b/>
      <sz val="8"/>
      <color theme="2"/>
      <name val="Arial"/>
      <family val="2"/>
    </font>
    <font>
      <b/>
      <sz val="8"/>
      <color rgb="FF7030A0"/>
      <name val="Arial"/>
      <family val="2"/>
    </font>
    <font>
      <sz val="8"/>
      <color rgb="FF339933"/>
      <name val="Arial"/>
      <family val="2"/>
    </font>
    <font>
      <b/>
      <sz val="10"/>
      <color rgb="FFFF0000"/>
      <name val="Arial"/>
      <family val="2"/>
    </font>
    <font>
      <i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2"/>
      <name val="Calibri"/>
      <family val="2"/>
      <scheme val="minor"/>
    </font>
    <font>
      <i/>
      <sz val="10"/>
      <color indexed="9"/>
      <name val="Calibri"/>
      <family val="2"/>
      <scheme val="minor"/>
    </font>
    <font>
      <sz val="10"/>
      <color indexed="17"/>
      <name val="Calibri"/>
      <family val="2"/>
      <scheme val="minor"/>
    </font>
    <font>
      <sz val="10"/>
      <color indexed="21"/>
      <name val="Calibri"/>
      <family val="2"/>
      <scheme val="minor"/>
    </font>
    <font>
      <b/>
      <u/>
      <sz val="10"/>
      <name val="Calibri"/>
      <family val="2"/>
      <scheme val="minor"/>
    </font>
    <font>
      <i/>
      <sz val="8"/>
      <color theme="0"/>
      <name val="Arial"/>
      <family val="2"/>
    </font>
    <font>
      <b/>
      <sz val="8"/>
      <color theme="0"/>
      <name val="Arial"/>
      <family val="2"/>
    </font>
    <font>
      <b/>
      <sz val="10"/>
      <color indexed="17"/>
      <name val="Calibri"/>
      <family val="2"/>
      <scheme val="minor"/>
    </font>
    <font>
      <sz val="10"/>
      <color rgb="FF0070C0"/>
      <name val="Calibri"/>
      <family val="2"/>
      <scheme val="minor"/>
    </font>
    <font>
      <i/>
      <sz val="10"/>
      <color indexed="21"/>
      <name val="Calibri"/>
      <family val="2"/>
      <scheme val="minor"/>
    </font>
    <font>
      <sz val="8"/>
      <color theme="4"/>
      <name val="Arial"/>
      <family val="2"/>
    </font>
    <font>
      <sz val="8"/>
      <color theme="2"/>
      <name val="Arial"/>
      <family val="2"/>
    </font>
    <font>
      <b/>
      <sz val="8"/>
      <color rgb="FF00B050"/>
      <name val="Arial"/>
      <family val="2"/>
    </font>
    <font>
      <i/>
      <sz val="8"/>
      <color rgb="FF00B050"/>
      <name val="Arial"/>
      <family val="2"/>
    </font>
    <font>
      <sz val="8"/>
      <color rgb="FF00B050"/>
      <name val="Arial"/>
      <family val="2"/>
    </font>
    <font>
      <b/>
      <i/>
      <sz val="8"/>
      <color rgb="FF7030A0"/>
      <name val="Arial"/>
      <family val="2"/>
    </font>
    <font>
      <b/>
      <i/>
      <sz val="8"/>
      <color indexed="9"/>
      <name val="Arial"/>
      <family val="2"/>
    </font>
    <font>
      <b/>
      <i/>
      <sz val="8"/>
      <color indexed="12"/>
      <name val="Arial"/>
      <family val="2"/>
    </font>
    <font>
      <i/>
      <sz val="8"/>
      <color indexed="56"/>
      <name val="Arial"/>
      <family val="2"/>
    </font>
    <font>
      <i/>
      <sz val="8"/>
      <color indexed="22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37CB1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65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81">
    <xf numFmtId="0" fontId="0" fillId="0" borderId="0"/>
    <xf numFmtId="0" fontId="21" fillId="0" borderId="0"/>
    <xf numFmtId="0" fontId="1" fillId="0" borderId="0"/>
    <xf numFmtId="0" fontId="2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15" borderId="0" applyNumberFormat="0" applyFont="0" applyBorder="0" applyAlignment="0" applyProtection="0"/>
    <xf numFmtId="0" fontId="1" fillId="0" borderId="0"/>
    <xf numFmtId="0" fontId="26" fillId="0" borderId="0"/>
    <xf numFmtId="216" fontId="26" fillId="0" borderId="0"/>
    <xf numFmtId="0" fontId="26" fillId="0" borderId="0"/>
    <xf numFmtId="216" fontId="26" fillId="0" borderId="0"/>
    <xf numFmtId="0" fontId="26" fillId="0" borderId="0"/>
    <xf numFmtId="0" fontId="42" fillId="2" borderId="0" applyNumberFormat="0" applyBorder="0" applyAlignment="0" applyProtection="0"/>
    <xf numFmtId="0" fontId="42" fillId="3" borderId="0" applyNumberFormat="0" applyBorder="0" applyAlignment="0" applyProtection="0"/>
    <xf numFmtId="0" fontId="42" fillId="4" borderId="0" applyNumberFormat="0" applyBorder="0" applyAlignment="0" applyProtection="0"/>
    <xf numFmtId="0" fontId="42" fillId="2" borderId="0" applyNumberFormat="0" applyBorder="0" applyAlignment="0" applyProtection="0"/>
    <xf numFmtId="0" fontId="42" fillId="5" borderId="0" applyNumberFormat="0" applyBorder="0" applyAlignment="0" applyProtection="0"/>
    <xf numFmtId="0" fontId="42" fillId="4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4" borderId="0" applyNumberFormat="0" applyBorder="0" applyAlignment="0" applyProtection="0"/>
    <xf numFmtId="0" fontId="42" fillId="6" borderId="0" applyNumberFormat="0" applyBorder="0" applyAlignment="0" applyProtection="0"/>
    <xf numFmtId="0" fontId="42" fillId="7" borderId="0" applyNumberFormat="0" applyBorder="0" applyAlignment="0" applyProtection="0"/>
    <xf numFmtId="0" fontId="42" fillId="4" borderId="0" applyNumberFormat="0" applyBorder="0" applyAlignment="0" applyProtection="0"/>
    <xf numFmtId="0" fontId="43" fillId="8" borderId="0" applyNumberFormat="0" applyBorder="0" applyAlignment="0" applyProtection="0"/>
    <xf numFmtId="0" fontId="43" fillId="3" borderId="0" applyNumberFormat="0" applyBorder="0" applyAlignment="0" applyProtection="0"/>
    <xf numFmtId="0" fontId="43" fillId="9" borderId="0" applyNumberFormat="0" applyBorder="0" applyAlignment="0" applyProtection="0"/>
    <xf numFmtId="0" fontId="43" fillId="6" borderId="0" applyNumberFormat="0" applyBorder="0" applyAlignment="0" applyProtection="0"/>
    <xf numFmtId="0" fontId="43" fillId="8" borderId="0" applyNumberFormat="0" applyBorder="0" applyAlignment="0" applyProtection="0"/>
    <xf numFmtId="0" fontId="43" fillId="4" borderId="0" applyNumberFormat="0" applyBorder="0" applyAlignment="0" applyProtection="0"/>
    <xf numFmtId="0" fontId="43" fillId="8" borderId="0" applyNumberFormat="0" applyBorder="0" applyAlignment="0" applyProtection="0"/>
    <xf numFmtId="0" fontId="43" fillId="3" borderId="0" applyNumberFormat="0" applyBorder="0" applyAlignment="0" applyProtection="0"/>
    <xf numFmtId="0" fontId="43" fillId="9" borderId="0" applyNumberFormat="0" applyBorder="0" applyAlignment="0" applyProtection="0"/>
    <xf numFmtId="0" fontId="43" fillId="10" borderId="0" applyNumberFormat="0" applyBorder="0" applyAlignment="0" applyProtection="0"/>
    <xf numFmtId="0" fontId="43" fillId="8" borderId="0" applyNumberFormat="0" applyBorder="0" applyAlignment="0" applyProtection="0"/>
    <xf numFmtId="0" fontId="43" fillId="3" borderId="0" applyNumberFormat="0" applyBorder="0" applyAlignment="0" applyProtection="0"/>
    <xf numFmtId="0" fontId="44" fillId="11" borderId="0" applyNumberFormat="0" applyBorder="0" applyAlignment="0" applyProtection="0"/>
    <xf numFmtId="0" fontId="27" fillId="0" borderId="0"/>
    <xf numFmtId="0" fontId="45" fillId="12" borderId="1" applyNumberFormat="0" applyAlignment="0" applyProtection="0"/>
    <xf numFmtId="0" fontId="46" fillId="13" borderId="2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14" borderId="0" applyNumberFormat="0" applyBorder="0" applyAlignment="0" applyProtection="0"/>
    <xf numFmtId="0" fontId="49" fillId="0" borderId="3" applyNumberFormat="0" applyFill="0" applyAlignment="0" applyProtection="0"/>
    <xf numFmtId="0" fontId="50" fillId="0" borderId="4" applyNumberFormat="0" applyFill="0" applyAlignment="0" applyProtection="0"/>
    <xf numFmtId="0" fontId="51" fillId="0" borderId="5" applyNumberFormat="0" applyFill="0" applyAlignment="0" applyProtection="0"/>
    <xf numFmtId="0" fontId="51" fillId="0" borderId="0" applyNumberFormat="0" applyFill="0" applyBorder="0" applyAlignment="0" applyProtection="0"/>
    <xf numFmtId="0" fontId="52" fillId="4" borderId="1" applyNumberFormat="0" applyAlignment="0" applyProtection="0"/>
    <xf numFmtId="0" fontId="53" fillId="0" borderId="6" applyNumberFormat="0" applyFill="0" applyAlignment="0" applyProtection="0"/>
    <xf numFmtId="0" fontId="54" fillId="4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79" fillId="0" borderId="0"/>
    <xf numFmtId="0" fontId="2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21" fillId="0" borderId="0" applyNumberFormat="0" applyFill="0" applyBorder="0" applyAlignment="0" applyProtection="0"/>
    <xf numFmtId="0" fontId="77" fillId="0" borderId="0"/>
    <xf numFmtId="0" fontId="1" fillId="4" borderId="7" applyNumberFormat="0" applyFont="0" applyAlignment="0" applyProtection="0"/>
    <xf numFmtId="0" fontId="55" fillId="12" borderId="8" applyNumberFormat="0" applyAlignment="0" applyProtection="0"/>
    <xf numFmtId="0" fontId="28" fillId="0" borderId="0">
      <alignment vertical="center"/>
    </xf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21" fillId="15" borderId="0" applyNumberFormat="0" applyFont="0" applyBorder="0" applyAlignment="0" applyProtection="0"/>
    <xf numFmtId="0" fontId="29" fillId="0" borderId="0"/>
    <xf numFmtId="0" fontId="29" fillId="0" borderId="9">
      <alignment horizontal="centerContinuous"/>
    </xf>
    <xf numFmtId="0" fontId="21" fillId="0" borderId="0"/>
    <xf numFmtId="0" fontId="30" fillId="0" borderId="9"/>
    <xf numFmtId="0" fontId="21" fillId="0" borderId="0" applyFill="0" applyAlignment="0">
      <protection locked="0"/>
    </xf>
    <xf numFmtId="0" fontId="56" fillId="0" borderId="0" applyNumberFormat="0" applyFill="0" applyBorder="0" applyAlignment="0" applyProtection="0"/>
    <xf numFmtId="0" fontId="57" fillId="0" borderId="10" applyNumberFormat="0" applyFill="0" applyAlignment="0" applyProtection="0"/>
    <xf numFmtId="0" fontId="21" fillId="0" borderId="0"/>
    <xf numFmtId="0" fontId="58" fillId="0" borderId="0" applyNumberFormat="0" applyFill="0" applyBorder="0" applyAlignment="0" applyProtection="0"/>
    <xf numFmtId="0" fontId="117" fillId="0" borderId="0"/>
  </cellStyleXfs>
  <cellXfs count="2207">
    <xf numFmtId="0" fontId="0" fillId="0" borderId="0" xfId="0"/>
    <xf numFmtId="0" fontId="1" fillId="0" borderId="0" xfId="2"/>
    <xf numFmtId="0" fontId="4" fillId="0" borderId="0" xfId="0" applyFont="1"/>
    <xf numFmtId="0" fontId="4" fillId="0" borderId="0" xfId="0" applyFont="1" applyBorder="1"/>
    <xf numFmtId="0" fontId="7" fillId="0" borderId="0" xfId="0" applyFont="1"/>
    <xf numFmtId="0" fontId="0" fillId="0" borderId="0" xfId="0" applyFill="1"/>
    <xf numFmtId="165" fontId="4" fillId="0" borderId="12" xfId="0" applyNumberFormat="1" applyFont="1" applyFill="1" applyBorder="1"/>
    <xf numFmtId="9" fontId="13" fillId="0" borderId="0" xfId="0" applyNumberFormat="1" applyFont="1" applyFill="1" applyBorder="1"/>
    <xf numFmtId="0" fontId="10" fillId="0" borderId="0" xfId="0" applyFont="1" applyFill="1" applyBorder="1"/>
    <xf numFmtId="0" fontId="9" fillId="17" borderId="13" xfId="0" applyFont="1" applyFill="1" applyBorder="1"/>
    <xf numFmtId="0" fontId="4" fillId="17" borderId="0" xfId="0" applyFont="1" applyFill="1" applyBorder="1"/>
    <xf numFmtId="0" fontId="4" fillId="17" borderId="12" xfId="0" applyFont="1" applyFill="1" applyBorder="1"/>
    <xf numFmtId="0" fontId="13" fillId="17" borderId="0" xfId="0" applyFont="1" applyFill="1"/>
    <xf numFmtId="0" fontId="13" fillId="17" borderId="14" xfId="0" applyFont="1" applyFill="1" applyBorder="1"/>
    <xf numFmtId="0" fontId="13" fillId="17" borderId="0" xfId="0" applyFont="1" applyFill="1" applyBorder="1"/>
    <xf numFmtId="0" fontId="13" fillId="17" borderId="12" xfId="0" applyFont="1" applyFill="1" applyBorder="1"/>
    <xf numFmtId="0" fontId="4" fillId="17" borderId="15" xfId="0" applyFont="1" applyFill="1" applyBorder="1"/>
    <xf numFmtId="0" fontId="4" fillId="17" borderId="13" xfId="0" applyFont="1" applyFill="1" applyBorder="1"/>
    <xf numFmtId="0" fontId="4" fillId="17" borderId="16" xfId="0" applyFont="1" applyFill="1" applyBorder="1"/>
    <xf numFmtId="165" fontId="4" fillId="0" borderId="14" xfId="0" applyNumberFormat="1" applyFont="1" applyFill="1" applyBorder="1"/>
    <xf numFmtId="165" fontId="4" fillId="0" borderId="0" xfId="0" applyNumberFormat="1" applyFont="1" applyFill="1" applyBorder="1"/>
    <xf numFmtId="165" fontId="4" fillId="0" borderId="17" xfId="0" applyNumberFormat="1" applyFont="1" applyFill="1" applyBorder="1"/>
    <xf numFmtId="165" fontId="4" fillId="0" borderId="18" xfId="0" applyNumberFormat="1" applyFont="1" applyFill="1" applyBorder="1"/>
    <xf numFmtId="0" fontId="0" fillId="0" borderId="0" xfId="0" applyBorder="1"/>
    <xf numFmtId="165" fontId="4" fillId="17" borderId="15" xfId="0" applyNumberFormat="1" applyFont="1" applyFill="1" applyBorder="1"/>
    <xf numFmtId="0" fontId="4" fillId="17" borderId="19" xfId="0" applyFont="1" applyFill="1" applyBorder="1"/>
    <xf numFmtId="43" fontId="4" fillId="17" borderId="19" xfId="0" applyNumberFormat="1" applyFont="1" applyFill="1" applyBorder="1"/>
    <xf numFmtId="0" fontId="11" fillId="0" borderId="20" xfId="0" applyFont="1" applyFill="1" applyBorder="1"/>
    <xf numFmtId="165" fontId="4" fillId="0" borderId="0" xfId="0" applyNumberFormat="1" applyFont="1" applyFill="1"/>
    <xf numFmtId="0" fontId="9" fillId="17" borderId="21" xfId="0" applyFont="1" applyFill="1" applyBorder="1"/>
    <xf numFmtId="0" fontId="21" fillId="0" borderId="0" xfId="0" applyFont="1" applyFill="1" applyBorder="1"/>
    <xf numFmtId="0" fontId="11" fillId="0" borderId="0" xfId="0" applyFont="1" applyFill="1" applyBorder="1"/>
    <xf numFmtId="0" fontId="35" fillId="0" borderId="0" xfId="0" applyFont="1" applyFill="1"/>
    <xf numFmtId="0" fontId="0" fillId="0" borderId="0" xfId="0" applyFill="1" applyBorder="1"/>
    <xf numFmtId="0" fontId="33" fillId="0" borderId="0" xfId="0" applyFont="1" applyFill="1" applyBorder="1"/>
    <xf numFmtId="0" fontId="11" fillId="0" borderId="0" xfId="0" applyFont="1" applyFill="1"/>
    <xf numFmtId="49" fontId="0" fillId="0" borderId="0" xfId="0" applyNumberFormat="1"/>
    <xf numFmtId="171" fontId="19" fillId="0" borderId="12" xfId="0" applyNumberFormat="1" applyFont="1" applyFill="1" applyBorder="1"/>
    <xf numFmtId="171" fontId="19" fillId="0" borderId="14" xfId="0" applyNumberFormat="1" applyFont="1" applyFill="1" applyBorder="1"/>
    <xf numFmtId="0" fontId="4" fillId="0" borderId="0" xfId="0" applyFont="1" applyFill="1" applyBorder="1"/>
    <xf numFmtId="0" fontId="4" fillId="0" borderId="15" xfId="0" applyFont="1" applyFill="1" applyBorder="1"/>
    <xf numFmtId="0" fontId="4" fillId="17" borderId="11" xfId="0" applyFont="1" applyFill="1" applyBorder="1"/>
    <xf numFmtId="43" fontId="4" fillId="17" borderId="11" xfId="0" applyNumberFormat="1" applyFont="1" applyFill="1" applyBorder="1"/>
    <xf numFmtId="0" fontId="4" fillId="17" borderId="17" xfId="0" applyFont="1" applyFill="1" applyBorder="1"/>
    <xf numFmtId="9" fontId="4" fillId="17" borderId="23" xfId="67" applyFont="1" applyFill="1" applyBorder="1"/>
    <xf numFmtId="0" fontId="4" fillId="17" borderId="24" xfId="0" applyFont="1" applyFill="1" applyBorder="1"/>
    <xf numFmtId="0" fontId="13" fillId="17" borderId="24" xfId="0" applyFont="1" applyFill="1" applyBorder="1"/>
    <xf numFmtId="0" fontId="4" fillId="17" borderId="25" xfId="0" applyFont="1" applyFill="1" applyBorder="1"/>
    <xf numFmtId="0" fontId="4" fillId="0" borderId="0" xfId="0" applyFont="1" applyFill="1"/>
    <xf numFmtId="165" fontId="10" fillId="0" borderId="0" xfId="0" applyNumberFormat="1" applyFont="1" applyFill="1"/>
    <xf numFmtId="165" fontId="15" fillId="0" borderId="0" xfId="0" applyNumberFormat="1" applyFont="1" applyFill="1"/>
    <xf numFmtId="165" fontId="12" fillId="0" borderId="0" xfId="0" applyNumberFormat="1" applyFont="1" applyFill="1" applyBorder="1"/>
    <xf numFmtId="165" fontId="12" fillId="0" borderId="17" xfId="0" applyNumberFormat="1" applyFont="1" applyFill="1" applyBorder="1"/>
    <xf numFmtId="165" fontId="12" fillId="0" borderId="14" xfId="0" applyNumberFormat="1" applyFont="1" applyFill="1" applyBorder="1"/>
    <xf numFmtId="171" fontId="11" fillId="0" borderId="0" xfId="0" applyNumberFormat="1" applyFont="1" applyFill="1" applyBorder="1"/>
    <xf numFmtId="171" fontId="11" fillId="0" borderId="14" xfId="0" applyNumberFormat="1" applyFont="1" applyFill="1" applyBorder="1"/>
    <xf numFmtId="165" fontId="13" fillId="0" borderId="12" xfId="0" applyNumberFormat="1" applyFont="1" applyFill="1" applyBorder="1"/>
    <xf numFmtId="170" fontId="10" fillId="0" borderId="0" xfId="0" applyNumberFormat="1" applyFont="1" applyFill="1" applyBorder="1"/>
    <xf numFmtId="0" fontId="4" fillId="0" borderId="12" xfId="0" applyFont="1" applyFill="1" applyBorder="1"/>
    <xf numFmtId="0" fontId="4" fillId="0" borderId="14" xfId="0" applyFont="1" applyFill="1" applyBorder="1"/>
    <xf numFmtId="165" fontId="10" fillId="0" borderId="12" xfId="0" applyNumberFormat="1" applyFont="1" applyFill="1" applyBorder="1"/>
    <xf numFmtId="0" fontId="9" fillId="17" borderId="21" xfId="75" applyFont="1" applyFill="1" applyBorder="1" applyProtection="1"/>
    <xf numFmtId="172" fontId="11" fillId="0" borderId="14" xfId="75" applyNumberFormat="1" applyFont="1" applyFill="1" applyBorder="1" applyProtection="1"/>
    <xf numFmtId="180" fontId="9" fillId="17" borderId="21" xfId="75" applyNumberFormat="1" applyFont="1" applyFill="1" applyBorder="1" applyProtection="1"/>
    <xf numFmtId="199" fontId="11" fillId="0" borderId="14" xfId="75" applyNumberFormat="1" applyFont="1" applyFill="1" applyBorder="1" applyProtection="1"/>
    <xf numFmtId="180" fontId="11" fillId="0" borderId="14" xfId="60" applyNumberFormat="1" applyFont="1" applyFill="1" applyBorder="1"/>
    <xf numFmtId="180" fontId="11" fillId="0" borderId="18" xfId="60" applyNumberFormat="1" applyFont="1" applyFill="1" applyBorder="1"/>
    <xf numFmtId="172" fontId="11" fillId="0" borderId="14" xfId="75" applyNumberFormat="1" applyFont="1" applyFill="1" applyBorder="1" applyAlignment="1" applyProtection="1">
      <alignment horizontal="left" indent="1"/>
    </xf>
    <xf numFmtId="178" fontId="11" fillId="0" borderId="18" xfId="75" applyNumberFormat="1" applyFont="1" applyFill="1" applyBorder="1" applyProtection="1"/>
    <xf numFmtId="0" fontId="11" fillId="0" borderId="0" xfId="75" applyFont="1" applyFill="1" applyBorder="1" applyProtection="1"/>
    <xf numFmtId="0" fontId="41" fillId="0" borderId="14" xfId="75" applyFont="1" applyFill="1" applyBorder="1" applyProtection="1"/>
    <xf numFmtId="171" fontId="11" fillId="0" borderId="14" xfId="75" applyNumberFormat="1" applyFont="1" applyFill="1" applyBorder="1" applyAlignment="1" applyProtection="1">
      <alignment horizontal="left" indent="2"/>
    </xf>
    <xf numFmtId="178" fontId="11" fillId="0" borderId="14" xfId="75" applyNumberFormat="1" applyFont="1" applyFill="1" applyBorder="1" applyProtection="1"/>
    <xf numFmtId="0" fontId="11" fillId="0" borderId="14" xfId="75" applyFont="1" applyFill="1" applyBorder="1" applyProtection="1"/>
    <xf numFmtId="172" fontId="11" fillId="0" borderId="18" xfId="0" applyNumberFormat="1" applyFont="1" applyFill="1" applyBorder="1"/>
    <xf numFmtId="180" fontId="11" fillId="0" borderId="0" xfId="75" applyNumberFormat="1" applyFont="1" applyFill="1" applyBorder="1" applyProtection="1"/>
    <xf numFmtId="9" fontId="11" fillId="0" borderId="14" xfId="75" applyNumberFormat="1" applyFont="1" applyFill="1" applyBorder="1" applyProtection="1"/>
    <xf numFmtId="7" fontId="11" fillId="0" borderId="11" xfId="42" applyNumberFormat="1" applyFont="1" applyFill="1" applyBorder="1" applyAlignment="1">
      <alignment horizontal="right"/>
    </xf>
    <xf numFmtId="199" fontId="11" fillId="0" borderId="0" xfId="75" applyNumberFormat="1" applyFont="1" applyFill="1" applyBorder="1" applyAlignment="1" applyProtection="1">
      <alignment horizontal="right"/>
    </xf>
    <xf numFmtId="199" fontId="11" fillId="0" borderId="11" xfId="75" applyNumberFormat="1" applyFont="1" applyFill="1" applyBorder="1" applyAlignment="1" applyProtection="1">
      <alignment horizontal="right"/>
    </xf>
    <xf numFmtId="171" fontId="11" fillId="0" borderId="0" xfId="67" applyNumberFormat="1" applyFont="1" applyFill="1" applyBorder="1" applyAlignment="1">
      <alignment horizontal="right"/>
    </xf>
    <xf numFmtId="171" fontId="11" fillId="0" borderId="11" xfId="67" applyNumberFormat="1" applyFont="1" applyFill="1" applyBorder="1" applyAlignment="1">
      <alignment horizontal="right"/>
    </xf>
    <xf numFmtId="172" fontId="18" fillId="0" borderId="0" xfId="0" applyNumberFormat="1" applyFont="1" applyFill="1" applyBorder="1" applyAlignment="1">
      <alignment horizontal="right"/>
    </xf>
    <xf numFmtId="178" fontId="11" fillId="0" borderId="0" xfId="0" applyNumberFormat="1" applyFont="1" applyFill="1" applyBorder="1" applyAlignment="1">
      <alignment horizontal="right"/>
    </xf>
    <xf numFmtId="172" fontId="11" fillId="0" borderId="0" xfId="0" applyNumberFormat="1" applyFont="1" applyFill="1" applyBorder="1" applyAlignment="1">
      <alignment horizontal="right"/>
    </xf>
    <xf numFmtId="178" fontId="11" fillId="0" borderId="11" xfId="0" applyNumberFormat="1" applyFont="1" applyFill="1" applyBorder="1" applyAlignment="1">
      <alignment horizontal="right"/>
    </xf>
    <xf numFmtId="172" fontId="11" fillId="0" borderId="12" xfId="0" applyNumberFormat="1" applyFont="1" applyFill="1" applyBorder="1" applyAlignment="1">
      <alignment horizontal="right"/>
    </xf>
    <xf numFmtId="172" fontId="18" fillId="0" borderId="12" xfId="0" applyNumberFormat="1" applyFont="1" applyFill="1" applyBorder="1" applyAlignment="1">
      <alignment horizontal="right"/>
    </xf>
    <xf numFmtId="178" fontId="11" fillId="0" borderId="24" xfId="0" applyNumberFormat="1" applyFont="1" applyFill="1" applyBorder="1" applyAlignment="1">
      <alignment horizontal="right"/>
    </xf>
    <xf numFmtId="171" fontId="59" fillId="0" borderId="0" xfId="0" applyNumberFormat="1" applyFont="1" applyFill="1" applyBorder="1" applyAlignment="1">
      <alignment horizontal="right"/>
    </xf>
    <xf numFmtId="172" fontId="59" fillId="0" borderId="0" xfId="0" applyNumberFormat="1" applyFont="1" applyFill="1" applyBorder="1" applyAlignment="1">
      <alignment horizontal="right"/>
    </xf>
    <xf numFmtId="178" fontId="4" fillId="0" borderId="0" xfId="0" applyNumberFormat="1" applyFont="1" applyFill="1" applyBorder="1"/>
    <xf numFmtId="172" fontId="11" fillId="0" borderId="11" xfId="0" applyNumberFormat="1" applyFont="1" applyFill="1" applyBorder="1" applyAlignment="1">
      <alignment horizontal="right"/>
    </xf>
    <xf numFmtId="171" fontId="4" fillId="0" borderId="0" xfId="67" applyNumberFormat="1" applyFont="1" applyFill="1" applyBorder="1" applyAlignment="1" applyProtection="1">
      <alignment horizontal="right"/>
    </xf>
    <xf numFmtId="174" fontId="11" fillId="0" borderId="14" xfId="0" applyNumberFormat="1" applyFont="1" applyFill="1" applyBorder="1" applyAlignment="1">
      <alignment horizontal="right"/>
    </xf>
    <xf numFmtId="174" fontId="11" fillId="0" borderId="0" xfId="0" applyNumberFormat="1" applyFont="1" applyFill="1" applyBorder="1" applyAlignment="1">
      <alignment horizontal="right"/>
    </xf>
    <xf numFmtId="174" fontId="11" fillId="0" borderId="12" xfId="0" applyNumberFormat="1" applyFont="1" applyFill="1" applyBorder="1" applyAlignment="1">
      <alignment horizontal="right"/>
    </xf>
    <xf numFmtId="178" fontId="11" fillId="0" borderId="14" xfId="0" applyNumberFormat="1" applyFont="1" applyFill="1" applyBorder="1" applyAlignment="1">
      <alignment horizontal="right"/>
    </xf>
    <xf numFmtId="178" fontId="11" fillId="0" borderId="12" xfId="0" applyNumberFormat="1" applyFont="1" applyFill="1" applyBorder="1" applyAlignment="1">
      <alignment horizontal="right"/>
    </xf>
    <xf numFmtId="172" fontId="11" fillId="0" borderId="14" xfId="0" applyNumberFormat="1" applyFont="1" applyFill="1" applyBorder="1" applyAlignment="1">
      <alignment horizontal="right"/>
    </xf>
    <xf numFmtId="171" fontId="11" fillId="0" borderId="14" xfId="67" applyNumberFormat="1" applyFont="1" applyFill="1" applyBorder="1" applyAlignment="1">
      <alignment horizontal="right"/>
    </xf>
    <xf numFmtId="171" fontId="11" fillId="0" borderId="12" xfId="67" applyNumberFormat="1" applyFont="1" applyFill="1" applyBorder="1" applyAlignment="1">
      <alignment horizontal="right"/>
    </xf>
    <xf numFmtId="172" fontId="18" fillId="0" borderId="14" xfId="0" applyNumberFormat="1" applyFont="1" applyFill="1" applyBorder="1" applyAlignment="1">
      <alignment horizontal="right"/>
    </xf>
    <xf numFmtId="178" fontId="4" fillId="0" borderId="14" xfId="0" applyNumberFormat="1" applyFont="1" applyFill="1" applyBorder="1"/>
    <xf numFmtId="178" fontId="4" fillId="0" borderId="12" xfId="0" applyNumberFormat="1" applyFont="1" applyFill="1" applyBorder="1"/>
    <xf numFmtId="174" fontId="36" fillId="0" borderId="14" xfId="0" applyNumberFormat="1" applyFont="1" applyFill="1" applyBorder="1" applyAlignment="1">
      <alignment horizontal="right"/>
    </xf>
    <xf numFmtId="174" fontId="36" fillId="0" borderId="0" xfId="0" applyNumberFormat="1" applyFont="1" applyFill="1" applyBorder="1" applyAlignment="1">
      <alignment horizontal="right"/>
    </xf>
    <xf numFmtId="172" fontId="11" fillId="0" borderId="18" xfId="0" applyNumberFormat="1" applyFont="1" applyFill="1" applyBorder="1" applyAlignment="1">
      <alignment horizontal="right"/>
    </xf>
    <xf numFmtId="172" fontId="11" fillId="0" borderId="24" xfId="0" applyNumberFormat="1" applyFont="1" applyFill="1" applyBorder="1" applyAlignment="1">
      <alignment horizontal="right"/>
    </xf>
    <xf numFmtId="171" fontId="4" fillId="0" borderId="14" xfId="67" applyNumberFormat="1" applyFont="1" applyFill="1" applyBorder="1" applyAlignment="1" applyProtection="1">
      <alignment horizontal="right"/>
    </xf>
    <xf numFmtId="171" fontId="11" fillId="0" borderId="12" xfId="0" applyNumberFormat="1" applyFont="1" applyFill="1" applyBorder="1" applyAlignment="1">
      <alignment horizontal="right"/>
    </xf>
    <xf numFmtId="178" fontId="11" fillId="0" borderId="18" xfId="0" applyNumberFormat="1" applyFont="1" applyFill="1" applyBorder="1" applyAlignment="1">
      <alignment horizontal="right"/>
    </xf>
    <xf numFmtId="171" fontId="11" fillId="0" borderId="0" xfId="0" applyNumberFormat="1" applyFont="1" applyFill="1" applyBorder="1" applyAlignment="1">
      <alignment horizontal="right"/>
    </xf>
    <xf numFmtId="172" fontId="60" fillId="0" borderId="14" xfId="0" applyNumberFormat="1" applyFont="1" applyFill="1" applyBorder="1" applyAlignment="1">
      <alignment horizontal="right"/>
    </xf>
    <xf numFmtId="9" fontId="18" fillId="0" borderId="14" xfId="67" applyFont="1" applyFill="1" applyBorder="1" applyAlignment="1">
      <alignment horizontal="right"/>
    </xf>
    <xf numFmtId="9" fontId="18" fillId="0" borderId="0" xfId="67" applyFont="1" applyFill="1" applyBorder="1" applyAlignment="1">
      <alignment horizontal="right"/>
    </xf>
    <xf numFmtId="9" fontId="18" fillId="0" borderId="18" xfId="67" applyFont="1" applyFill="1" applyBorder="1" applyAlignment="1">
      <alignment horizontal="right"/>
    </xf>
    <xf numFmtId="9" fontId="18" fillId="0" borderId="11" xfId="67" applyFont="1" applyFill="1" applyBorder="1" applyAlignment="1">
      <alignment horizontal="right"/>
    </xf>
    <xf numFmtId="174" fontId="11" fillId="0" borderId="24" xfId="0" applyNumberFormat="1" applyFont="1" applyFill="1" applyBorder="1" applyAlignment="1">
      <alignment horizontal="right"/>
    </xf>
    <xf numFmtId="174" fontId="11" fillId="0" borderId="11" xfId="0" applyNumberFormat="1" applyFont="1" applyFill="1" applyBorder="1" applyAlignment="1">
      <alignment horizontal="right"/>
    </xf>
    <xf numFmtId="9" fontId="11" fillId="0" borderId="14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>
      <alignment horizontal="right"/>
    </xf>
    <xf numFmtId="165" fontId="12" fillId="0" borderId="0" xfId="0" applyNumberFormat="1" applyFont="1" applyFill="1"/>
    <xf numFmtId="178" fontId="12" fillId="0" borderId="0" xfId="0" applyNumberFormat="1" applyFont="1" applyFill="1" applyBorder="1"/>
    <xf numFmtId="172" fontId="12" fillId="0" borderId="0" xfId="0" applyNumberFormat="1" applyFont="1" applyFill="1" applyBorder="1" applyAlignment="1">
      <alignment horizontal="right"/>
    </xf>
    <xf numFmtId="178" fontId="18" fillId="0" borderId="0" xfId="0" applyNumberFormat="1" applyFont="1" applyFill="1" applyBorder="1" applyAlignment="1">
      <alignment horizontal="right"/>
    </xf>
    <xf numFmtId="178" fontId="12" fillId="0" borderId="12" xfId="0" applyNumberFormat="1" applyFont="1" applyFill="1" applyBorder="1"/>
    <xf numFmtId="178" fontId="12" fillId="0" borderId="12" xfId="0" applyNumberFormat="1" applyFont="1" applyFill="1" applyBorder="1" applyAlignment="1">
      <alignment horizontal="right"/>
    </xf>
    <xf numFmtId="178" fontId="18" fillId="0" borderId="12" xfId="0" applyNumberFormat="1" applyFont="1" applyFill="1" applyBorder="1" applyAlignment="1">
      <alignment horizontal="right"/>
    </xf>
    <xf numFmtId="171" fontId="4" fillId="0" borderId="12" xfId="67" applyNumberFormat="1" applyFont="1" applyFill="1" applyBorder="1" applyAlignment="1" applyProtection="1">
      <alignment horizontal="right"/>
    </xf>
    <xf numFmtId="7" fontId="11" fillId="0" borderId="18" xfId="42" applyNumberFormat="1" applyFont="1" applyFill="1" applyBorder="1" applyAlignment="1">
      <alignment horizontal="right"/>
    </xf>
    <xf numFmtId="7" fontId="11" fillId="0" borderId="23" xfId="42" applyNumberFormat="1" applyFont="1" applyFill="1" applyBorder="1" applyAlignment="1">
      <alignment horizontal="right"/>
    </xf>
    <xf numFmtId="7" fontId="11" fillId="0" borderId="24" xfId="42" applyNumberFormat="1" applyFont="1" applyFill="1" applyBorder="1" applyAlignment="1">
      <alignment horizontal="right"/>
    </xf>
    <xf numFmtId="174" fontId="33" fillId="17" borderId="19" xfId="0" applyNumberFormat="1" applyFont="1" applyFill="1" applyBorder="1" applyAlignment="1">
      <alignment horizontal="right"/>
    </xf>
    <xf numFmtId="171" fontId="11" fillId="0" borderId="18" xfId="0" applyNumberFormat="1" applyFont="1" applyFill="1" applyBorder="1" applyAlignment="1">
      <alignment horizontal="right"/>
    </xf>
    <xf numFmtId="171" fontId="11" fillId="0" borderId="11" xfId="0" applyNumberFormat="1" applyFont="1" applyFill="1" applyBorder="1" applyAlignment="1">
      <alignment horizontal="right"/>
    </xf>
    <xf numFmtId="171" fontId="11" fillId="0" borderId="24" xfId="0" applyNumberFormat="1" applyFont="1" applyFill="1" applyBorder="1" applyAlignment="1">
      <alignment horizontal="right"/>
    </xf>
    <xf numFmtId="199" fontId="11" fillId="0" borderId="14" xfId="75" applyNumberFormat="1" applyFont="1" applyFill="1" applyBorder="1" applyAlignment="1" applyProtection="1">
      <alignment horizontal="right"/>
    </xf>
    <xf numFmtId="199" fontId="11" fillId="0" borderId="12" xfId="75" applyNumberFormat="1" applyFont="1" applyFill="1" applyBorder="1" applyAlignment="1" applyProtection="1">
      <alignment horizontal="right"/>
    </xf>
    <xf numFmtId="199" fontId="11" fillId="0" borderId="18" xfId="75" applyNumberFormat="1" applyFont="1" applyFill="1" applyBorder="1" applyAlignment="1" applyProtection="1">
      <alignment horizontal="right"/>
    </xf>
    <xf numFmtId="199" fontId="11" fillId="0" borderId="24" xfId="75" applyNumberFormat="1" applyFont="1" applyFill="1" applyBorder="1" applyAlignment="1" applyProtection="1">
      <alignment horizontal="right"/>
    </xf>
    <xf numFmtId="37" fontId="11" fillId="0" borderId="0" xfId="0" applyNumberFormat="1" applyFont="1" applyFill="1" applyBorder="1" applyAlignment="1">
      <alignment horizontal="right"/>
    </xf>
    <xf numFmtId="37" fontId="11" fillId="0" borderId="12" xfId="0" applyNumberFormat="1" applyFont="1" applyFill="1" applyBorder="1" applyAlignment="1">
      <alignment horizontal="right"/>
    </xf>
    <xf numFmtId="37" fontId="11" fillId="0" borderId="14" xfId="0" applyNumberFormat="1" applyFont="1" applyFill="1" applyBorder="1" applyAlignment="1">
      <alignment horizontal="right"/>
    </xf>
    <xf numFmtId="171" fontId="11" fillId="0" borderId="18" xfId="67" applyNumberFormat="1" applyFont="1" applyFill="1" applyBorder="1" applyAlignment="1">
      <alignment horizontal="right"/>
    </xf>
    <xf numFmtId="171" fontId="11" fillId="0" borderId="24" xfId="67" applyNumberFormat="1" applyFont="1" applyFill="1" applyBorder="1" applyAlignment="1">
      <alignment horizontal="right"/>
    </xf>
    <xf numFmtId="0" fontId="33" fillId="17" borderId="19" xfId="0" applyFont="1" applyFill="1" applyBorder="1"/>
    <xf numFmtId="165" fontId="4" fillId="17" borderId="19" xfId="0" applyNumberFormat="1" applyFont="1" applyFill="1" applyBorder="1"/>
    <xf numFmtId="9" fontId="61" fillId="0" borderId="0" xfId="67" applyFont="1" applyFill="1" applyBorder="1" applyAlignment="1">
      <alignment horizontal="right"/>
    </xf>
    <xf numFmtId="9" fontId="61" fillId="0" borderId="11" xfId="67" applyFont="1" applyFill="1" applyBorder="1" applyAlignment="1">
      <alignment horizontal="right"/>
    </xf>
    <xf numFmtId="37" fontId="33" fillId="17" borderId="19" xfId="0" applyNumberFormat="1" applyFont="1" applyFill="1" applyBorder="1" applyAlignment="1">
      <alignment horizontal="center"/>
    </xf>
    <xf numFmtId="37" fontId="33" fillId="17" borderId="19" xfId="0" applyNumberFormat="1" applyFont="1" applyFill="1" applyBorder="1"/>
    <xf numFmtId="37" fontId="33" fillId="17" borderId="25" xfId="0" applyNumberFormat="1" applyFont="1" applyFill="1" applyBorder="1"/>
    <xf numFmtId="7" fontId="11" fillId="0" borderId="14" xfId="42" applyNumberFormat="1" applyFont="1" applyFill="1" applyBorder="1" applyAlignment="1">
      <alignment horizontal="right"/>
    </xf>
    <xf numFmtId="7" fontId="11" fillId="0" borderId="0" xfId="42" applyNumberFormat="1" applyFont="1" applyFill="1" applyBorder="1" applyAlignment="1">
      <alignment horizontal="right"/>
    </xf>
    <xf numFmtId="7" fontId="11" fillId="0" borderId="12" xfId="42" applyNumberFormat="1" applyFont="1" applyFill="1" applyBorder="1" applyAlignment="1">
      <alignment horizontal="right"/>
    </xf>
    <xf numFmtId="7" fontId="11" fillId="0" borderId="17" xfId="42" applyNumberFormat="1" applyFont="1" applyFill="1" applyBorder="1" applyAlignment="1">
      <alignment horizontal="right"/>
    </xf>
    <xf numFmtId="165" fontId="4" fillId="0" borderId="24" xfId="0" applyNumberFormat="1" applyFont="1" applyFill="1" applyBorder="1"/>
    <xf numFmtId="7" fontId="11" fillId="0" borderId="12" xfId="0" applyNumberFormat="1" applyFont="1" applyFill="1" applyBorder="1" applyAlignment="1">
      <alignment horizontal="right"/>
    </xf>
    <xf numFmtId="164" fontId="62" fillId="0" borderId="0" xfId="0" applyNumberFormat="1" applyFont="1" applyFill="1" applyBorder="1" applyAlignment="1">
      <alignment horizontal="center"/>
    </xf>
    <xf numFmtId="7" fontId="0" fillId="0" borderId="0" xfId="0" applyNumberFormat="1"/>
    <xf numFmtId="7" fontId="11" fillId="0" borderId="0" xfId="0" applyNumberFormat="1" applyFont="1" applyFill="1" applyBorder="1"/>
    <xf numFmtId="0" fontId="13" fillId="0" borderId="0" xfId="0" applyFont="1" applyFill="1" applyBorder="1"/>
    <xf numFmtId="7" fontId="10" fillId="0" borderId="0" xfId="0" applyNumberFormat="1" applyFont="1" applyFill="1" applyBorder="1"/>
    <xf numFmtId="7" fontId="10" fillId="0" borderId="0" xfId="67" applyNumberFormat="1" applyFont="1" applyFill="1" applyBorder="1"/>
    <xf numFmtId="7" fontId="11" fillId="0" borderId="0" xfId="67" applyNumberFormat="1" applyFont="1" applyFill="1" applyBorder="1"/>
    <xf numFmtId="173" fontId="4" fillId="0" borderId="0" xfId="0" applyNumberFormat="1" applyFont="1" applyFill="1" applyBorder="1"/>
    <xf numFmtId="173" fontId="12" fillId="0" borderId="0" xfId="0" applyNumberFormat="1" applyFont="1" applyFill="1" applyBorder="1"/>
    <xf numFmtId="173" fontId="12" fillId="0" borderId="17" xfId="0" applyNumberFormat="1" applyFont="1" applyFill="1" applyBorder="1"/>
    <xf numFmtId="178" fontId="7" fillId="0" borderId="16" xfId="0" applyNumberFormat="1" applyFont="1" applyFill="1" applyBorder="1"/>
    <xf numFmtId="178" fontId="7" fillId="0" borderId="13" xfId="0" applyNumberFormat="1" applyFont="1" applyFill="1" applyBorder="1"/>
    <xf numFmtId="178" fontId="4" fillId="0" borderId="15" xfId="0" applyNumberFormat="1" applyFont="1" applyFill="1" applyBorder="1"/>
    <xf numFmtId="0" fontId="4" fillId="0" borderId="24" xfId="0" applyFont="1" applyFill="1" applyBorder="1"/>
    <xf numFmtId="167" fontId="4" fillId="0" borderId="0" xfId="0" applyNumberFormat="1" applyFont="1" applyFill="1"/>
    <xf numFmtId="174" fontId="33" fillId="17" borderId="25" xfId="0" applyNumberFormat="1" applyFont="1" applyFill="1" applyBorder="1" applyAlignment="1">
      <alignment horizontal="right"/>
    </xf>
    <xf numFmtId="0" fontId="33" fillId="17" borderId="25" xfId="0" applyFont="1" applyFill="1" applyBorder="1"/>
    <xf numFmtId="165" fontId="4" fillId="17" borderId="11" xfId="0" applyNumberFormat="1" applyFont="1" applyFill="1" applyBorder="1"/>
    <xf numFmtId="168" fontId="4" fillId="17" borderId="19" xfId="0" applyNumberFormat="1" applyFont="1" applyFill="1" applyBorder="1"/>
    <xf numFmtId="175" fontId="4" fillId="17" borderId="19" xfId="0" applyNumberFormat="1" applyFont="1" applyFill="1" applyBorder="1"/>
    <xf numFmtId="0" fontId="9" fillId="17" borderId="18" xfId="0" applyFont="1" applyFill="1" applyBorder="1"/>
    <xf numFmtId="0" fontId="4" fillId="17" borderId="18" xfId="0" applyFont="1" applyFill="1" applyBorder="1"/>
    <xf numFmtId="177" fontId="4" fillId="0" borderId="0" xfId="0" applyNumberFormat="1" applyFont="1" applyFill="1" applyBorder="1"/>
    <xf numFmtId="7" fontId="0" fillId="0" borderId="0" xfId="0" applyNumberFormat="1" applyFill="1"/>
    <xf numFmtId="171" fontId="18" fillId="0" borderId="0" xfId="0" applyNumberFormat="1" applyFont="1" applyFill="1" applyBorder="1" applyAlignment="1">
      <alignment horizontal="right"/>
    </xf>
    <xf numFmtId="171" fontId="18" fillId="0" borderId="14" xfId="0" applyNumberFormat="1" applyFont="1" applyFill="1" applyBorder="1" applyAlignment="1">
      <alignment horizontal="right"/>
    </xf>
    <xf numFmtId="164" fontId="9" fillId="0" borderId="0" xfId="0" applyNumberFormat="1" applyFont="1" applyFill="1" applyBorder="1" applyAlignment="1">
      <alignment horizontal="center"/>
    </xf>
    <xf numFmtId="0" fontId="33" fillId="17" borderId="0" xfId="0" applyFont="1" applyFill="1" applyBorder="1"/>
    <xf numFmtId="164" fontId="66" fillId="17" borderId="21" xfId="0" applyNumberFormat="1" applyFont="1" applyFill="1" applyBorder="1" applyAlignment="1">
      <alignment horizontal="center"/>
    </xf>
    <xf numFmtId="164" fontId="66" fillId="17" borderId="19" xfId="0" applyNumberFormat="1" applyFont="1" applyFill="1" applyBorder="1" applyAlignment="1">
      <alignment horizontal="center"/>
    </xf>
    <xf numFmtId="0" fontId="11" fillId="0" borderId="12" xfId="0" applyFont="1" applyFill="1" applyBorder="1"/>
    <xf numFmtId="43" fontId="4" fillId="0" borderId="0" xfId="0" applyNumberFormat="1" applyFont="1" applyFill="1" applyBorder="1"/>
    <xf numFmtId="43" fontId="4" fillId="0" borderId="12" xfId="0" applyNumberFormat="1" applyFont="1" applyFill="1" applyBorder="1"/>
    <xf numFmtId="171" fontId="4" fillId="0" borderId="0" xfId="0" applyNumberFormat="1" applyFont="1" applyFill="1"/>
    <xf numFmtId="0" fontId="11" fillId="0" borderId="24" xfId="0" applyFont="1" applyFill="1" applyBorder="1"/>
    <xf numFmtId="171" fontId="4" fillId="0" borderId="18" xfId="0" applyNumberFormat="1" applyFont="1" applyFill="1" applyBorder="1"/>
    <xf numFmtId="171" fontId="4" fillId="0" borderId="11" xfId="0" applyNumberFormat="1" applyFont="1" applyFill="1" applyBorder="1"/>
    <xf numFmtId="171" fontId="4" fillId="0" borderId="24" xfId="0" applyNumberFormat="1" applyFont="1" applyFill="1" applyBorder="1"/>
    <xf numFmtId="0" fontId="7" fillId="19" borderId="12" xfId="0" applyFont="1" applyFill="1" applyBorder="1"/>
    <xf numFmtId="0" fontId="4" fillId="0" borderId="12" xfId="0" applyFont="1" applyFill="1" applyBorder="1" applyAlignment="1">
      <alignment horizontal="left"/>
    </xf>
    <xf numFmtId="9" fontId="4" fillId="0" borderId="0" xfId="0" applyNumberFormat="1" applyFont="1" applyFill="1"/>
    <xf numFmtId="0" fontId="19" fillId="0" borderId="0" xfId="0" applyFont="1" applyFill="1"/>
    <xf numFmtId="171" fontId="4" fillId="0" borderId="14" xfId="67" applyNumberFormat="1" applyFont="1" applyFill="1" applyBorder="1"/>
    <xf numFmtId="171" fontId="4" fillId="0" borderId="0" xfId="67" applyNumberFormat="1" applyFont="1" applyFill="1" applyBorder="1"/>
    <xf numFmtId="0" fontId="10" fillId="0" borderId="12" xfId="0" applyFont="1" applyFill="1" applyBorder="1"/>
    <xf numFmtId="171" fontId="4" fillId="0" borderId="12" xfId="0" applyNumberFormat="1" applyFont="1" applyFill="1" applyBorder="1"/>
    <xf numFmtId="0" fontId="13" fillId="0" borderId="12" xfId="0" applyFont="1" applyFill="1" applyBorder="1" applyAlignment="1">
      <alignment horizontal="left" indent="1"/>
    </xf>
    <xf numFmtId="0" fontId="13" fillId="0" borderId="0" xfId="0" applyFont="1" applyFill="1"/>
    <xf numFmtId="0" fontId="13" fillId="0" borderId="0" xfId="0" applyFont="1" applyBorder="1"/>
    <xf numFmtId="0" fontId="7" fillId="0" borderId="12" xfId="0" applyFont="1" applyFill="1" applyBorder="1"/>
    <xf numFmtId="172" fontId="4" fillId="0" borderId="14" xfId="0" applyNumberFormat="1" applyFont="1" applyFill="1" applyBorder="1"/>
    <xf numFmtId="171" fontId="4" fillId="0" borderId="14" xfId="0" applyNumberFormat="1" applyFont="1" applyFill="1" applyBorder="1"/>
    <xf numFmtId="171" fontId="4" fillId="0" borderId="0" xfId="0" applyNumberFormat="1" applyFont="1" applyFill="1" applyBorder="1"/>
    <xf numFmtId="9" fontId="4" fillId="0" borderId="11" xfId="0" applyNumberFormat="1" applyFont="1" applyFill="1" applyBorder="1"/>
    <xf numFmtId="186" fontId="4" fillId="0" borderId="0" xfId="41" applyNumberFormat="1" applyFont="1" applyFill="1" applyBorder="1"/>
    <xf numFmtId="0" fontId="10" fillId="0" borderId="0" xfId="0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66" fillId="17" borderId="0" xfId="0" applyNumberFormat="1" applyFont="1" applyFill="1" applyBorder="1" applyAlignment="1">
      <alignment horizontal="center"/>
    </xf>
    <xf numFmtId="0" fontId="10" fillId="0" borderId="16" xfId="0" applyFont="1" applyFill="1" applyBorder="1"/>
    <xf numFmtId="165" fontId="22" fillId="0" borderId="0" xfId="0" applyNumberFormat="1" applyFont="1" applyFill="1" applyBorder="1"/>
    <xf numFmtId="173" fontId="12" fillId="0" borderId="12" xfId="0" applyNumberFormat="1" applyFont="1" applyFill="1" applyBorder="1"/>
    <xf numFmtId="170" fontId="4" fillId="0" borderId="0" xfId="0" applyNumberFormat="1" applyFont="1" applyFill="1"/>
    <xf numFmtId="171" fontId="4" fillId="0" borderId="0" xfId="67" applyNumberFormat="1" applyFont="1" applyFill="1"/>
    <xf numFmtId="43" fontId="4" fillId="0" borderId="0" xfId="0" applyNumberFormat="1" applyFont="1" applyFill="1"/>
    <xf numFmtId="190" fontId="4" fillId="0" borderId="0" xfId="42" applyNumberFormat="1" applyFont="1" applyFill="1"/>
    <xf numFmtId="9" fontId="4" fillId="0" borderId="0" xfId="67" applyFont="1" applyFill="1"/>
    <xf numFmtId="171" fontId="4" fillId="0" borderId="0" xfId="42" applyNumberFormat="1" applyFont="1" applyFill="1"/>
    <xf numFmtId="9" fontId="4" fillId="0" borderId="0" xfId="42" applyNumberFormat="1" applyFont="1" applyFill="1"/>
    <xf numFmtId="44" fontId="4" fillId="0" borderId="0" xfId="0" applyNumberFormat="1" applyFont="1" applyFill="1" applyBorder="1"/>
    <xf numFmtId="167" fontId="4" fillId="0" borderId="0" xfId="0" applyNumberFormat="1" applyFont="1" applyFill="1" applyBorder="1"/>
    <xf numFmtId="197" fontId="4" fillId="0" borderId="0" xfId="0" applyNumberFormat="1" applyFont="1" applyFill="1" applyBorder="1"/>
    <xf numFmtId="170" fontId="4" fillId="0" borderId="0" xfId="0" applyNumberFormat="1" applyFont="1" applyFill="1" applyBorder="1"/>
    <xf numFmtId="192" fontId="4" fillId="0" borderId="0" xfId="0" applyNumberFormat="1" applyFont="1" applyFill="1" applyBorder="1"/>
    <xf numFmtId="44" fontId="4" fillId="0" borderId="0" xfId="42" applyFont="1" applyFill="1" applyBorder="1"/>
    <xf numFmtId="0" fontId="5" fillId="0" borderId="0" xfId="58" applyFont="1" applyFill="1" applyBorder="1" applyAlignment="1" applyProtection="1">
      <alignment horizontal="left"/>
    </xf>
    <xf numFmtId="196" fontId="4" fillId="0" borderId="0" xfId="41" applyNumberFormat="1" applyFont="1" applyFill="1" applyBorder="1"/>
    <xf numFmtId="9" fontId="4" fillId="0" borderId="0" xfId="67" applyFont="1" applyFill="1" applyBorder="1"/>
    <xf numFmtId="9" fontId="4" fillId="0" borderId="11" xfId="67" applyFont="1" applyFill="1" applyBorder="1"/>
    <xf numFmtId="43" fontId="4" fillId="0" borderId="11" xfId="0" applyNumberFormat="1" applyFont="1" applyFill="1" applyBorder="1"/>
    <xf numFmtId="44" fontId="4" fillId="0" borderId="11" xfId="42" applyFont="1" applyFill="1" applyBorder="1"/>
    <xf numFmtId="0" fontId="4" fillId="0" borderId="11" xfId="0" applyFont="1" applyFill="1" applyBorder="1"/>
    <xf numFmtId="171" fontId="4" fillId="0" borderId="11" xfId="67" applyNumberFormat="1" applyFont="1" applyFill="1" applyBorder="1"/>
    <xf numFmtId="0" fontId="6" fillId="0" borderId="15" xfId="58" applyFont="1" applyFill="1" applyBorder="1" applyAlignment="1" applyProtection="1">
      <alignment horizontal="left"/>
    </xf>
    <xf numFmtId="167" fontId="4" fillId="0" borderId="15" xfId="0" applyNumberFormat="1" applyFont="1" applyFill="1" applyBorder="1"/>
    <xf numFmtId="171" fontId="4" fillId="0" borderId="15" xfId="0" applyNumberFormat="1" applyFont="1" applyFill="1" applyBorder="1"/>
    <xf numFmtId="43" fontId="4" fillId="0" borderId="15" xfId="0" applyNumberFormat="1" applyFont="1" applyFill="1" applyBorder="1"/>
    <xf numFmtId="190" fontId="4" fillId="0" borderId="0" xfId="42" applyNumberFormat="1" applyFont="1" applyFill="1" applyBorder="1"/>
    <xf numFmtId="0" fontId="4" fillId="0" borderId="0" xfId="58" applyFont="1" applyFill="1" applyBorder="1" applyAlignment="1">
      <alignment horizontal="left"/>
    </xf>
    <xf numFmtId="44" fontId="4" fillId="0" borderId="0" xfId="42" applyFont="1" applyFill="1"/>
    <xf numFmtId="198" fontId="4" fillId="0" borderId="0" xfId="42" applyNumberFormat="1" applyFont="1" applyFill="1" applyBorder="1"/>
    <xf numFmtId="10" fontId="4" fillId="0" borderId="0" xfId="42" applyNumberFormat="1" applyFont="1" applyFill="1" applyBorder="1"/>
    <xf numFmtId="0" fontId="7" fillId="0" borderId="0" xfId="0" applyFont="1" applyFill="1" applyAlignment="1">
      <alignment horizontal="center"/>
    </xf>
    <xf numFmtId="171" fontId="7" fillId="0" borderId="0" xfId="0" applyNumberFormat="1" applyFont="1" applyFill="1" applyBorder="1" applyAlignment="1">
      <alignment horizontal="center"/>
    </xf>
    <xf numFmtId="169" fontId="7" fillId="0" borderId="0" xfId="0" applyNumberFormat="1" applyFont="1" applyFill="1" applyBorder="1" applyAlignment="1">
      <alignment horizontal="center"/>
    </xf>
    <xf numFmtId="165" fontId="24" fillId="0" borderId="0" xfId="0" applyNumberFormat="1" applyFont="1" applyFill="1" applyBorder="1"/>
    <xf numFmtId="165" fontId="10" fillId="0" borderId="0" xfId="0" applyNumberFormat="1" applyFont="1" applyFill="1" applyBorder="1"/>
    <xf numFmtId="178" fontId="10" fillId="0" borderId="0" xfId="0" applyNumberFormat="1" applyFont="1" applyFill="1" applyBorder="1"/>
    <xf numFmtId="173" fontId="4" fillId="0" borderId="0" xfId="0" applyNumberFormat="1" applyFont="1" applyFill="1"/>
    <xf numFmtId="173" fontId="4" fillId="0" borderId="0" xfId="67" applyNumberFormat="1" applyFont="1" applyFill="1"/>
    <xf numFmtId="165" fontId="15" fillId="0" borderId="0" xfId="0" applyNumberFormat="1" applyFont="1" applyFill="1" applyBorder="1"/>
    <xf numFmtId="43" fontId="11" fillId="0" borderId="0" xfId="0" applyNumberFormat="1" applyFont="1" applyFill="1" applyBorder="1"/>
    <xf numFmtId="171" fontId="19" fillId="0" borderId="0" xfId="0" applyNumberFormat="1" applyFont="1" applyFill="1" applyBorder="1"/>
    <xf numFmtId="44" fontId="13" fillId="0" borderId="0" xfId="42" applyFont="1" applyFill="1" applyBorder="1"/>
    <xf numFmtId="9" fontId="13" fillId="0" borderId="0" xfId="67" applyFont="1" applyFill="1" applyBorder="1"/>
    <xf numFmtId="165" fontId="13" fillId="0" borderId="0" xfId="0" applyNumberFormat="1" applyFont="1" applyFill="1" applyBorder="1"/>
    <xf numFmtId="43" fontId="11" fillId="0" borderId="0" xfId="0" applyNumberFormat="1" applyFont="1" applyFill="1"/>
    <xf numFmtId="171" fontId="18" fillId="0" borderId="0" xfId="0" applyNumberFormat="1" applyFont="1" applyFill="1" applyBorder="1"/>
    <xf numFmtId="172" fontId="18" fillId="0" borderId="0" xfId="0" applyNumberFormat="1" applyFont="1" applyFill="1" applyBorder="1"/>
    <xf numFmtId="178" fontId="0" fillId="0" borderId="0" xfId="0" applyNumberFormat="1" applyFill="1"/>
    <xf numFmtId="0" fontId="31" fillId="0" borderId="0" xfId="0" applyFont="1" applyFill="1"/>
    <xf numFmtId="173" fontId="0" fillId="0" borderId="0" xfId="0" applyNumberFormat="1" applyFill="1"/>
    <xf numFmtId="0" fontId="21" fillId="0" borderId="0" xfId="0" applyFont="1" applyFill="1"/>
    <xf numFmtId="0" fontId="2" fillId="0" borderId="0" xfId="0" applyFont="1" applyFill="1"/>
    <xf numFmtId="171" fontId="21" fillId="0" borderId="0" xfId="0" applyNumberFormat="1" applyFont="1" applyFill="1" applyBorder="1"/>
    <xf numFmtId="180" fontId="0" fillId="0" borderId="0" xfId="0" applyNumberFormat="1" applyFill="1"/>
    <xf numFmtId="0" fontId="34" fillId="0" borderId="0" xfId="0" applyFont="1" applyFill="1"/>
    <xf numFmtId="172" fontId="35" fillId="0" borderId="0" xfId="0" applyNumberFormat="1" applyFont="1" applyFill="1"/>
    <xf numFmtId="178" fontId="34" fillId="0" borderId="0" xfId="0" applyNumberFormat="1" applyFont="1" applyFill="1"/>
    <xf numFmtId="0" fontId="13" fillId="0" borderId="11" xfId="0" applyFont="1" applyFill="1" applyBorder="1"/>
    <xf numFmtId="0" fontId="4" fillId="0" borderId="18" xfId="0" applyFont="1" applyFill="1" applyBorder="1"/>
    <xf numFmtId="0" fontId="7" fillId="0" borderId="15" xfId="0" applyFont="1" applyFill="1" applyBorder="1"/>
    <xf numFmtId="165" fontId="4" fillId="0" borderId="15" xfId="0" applyNumberFormat="1" applyFont="1" applyFill="1" applyBorder="1"/>
    <xf numFmtId="0" fontId="13" fillId="0" borderId="11" xfId="0" applyFont="1" applyFill="1" applyBorder="1" applyAlignment="1">
      <alignment horizontal="left" indent="1"/>
    </xf>
    <xf numFmtId="171" fontId="13" fillId="0" borderId="11" xfId="0" applyNumberFormat="1" applyFont="1" applyFill="1" applyBorder="1"/>
    <xf numFmtId="171" fontId="13" fillId="0" borderId="11" xfId="67" applyNumberFormat="1" applyFont="1" applyFill="1" applyBorder="1"/>
    <xf numFmtId="9" fontId="13" fillId="0" borderId="11" xfId="67" applyFont="1" applyFill="1" applyBorder="1"/>
    <xf numFmtId="9" fontId="13" fillId="0" borderId="11" xfId="42" applyNumberFormat="1" applyFont="1" applyFill="1" applyBorder="1"/>
    <xf numFmtId="9" fontId="13" fillId="0" borderId="11" xfId="67" applyNumberFormat="1" applyFont="1" applyFill="1" applyBorder="1"/>
    <xf numFmtId="9" fontId="13" fillId="0" borderId="11" xfId="0" applyNumberFormat="1" applyFont="1" applyFill="1" applyBorder="1"/>
    <xf numFmtId="43" fontId="0" fillId="0" borderId="0" xfId="0" applyNumberFormat="1" applyFill="1" applyBorder="1"/>
    <xf numFmtId="165" fontId="0" fillId="0" borderId="0" xfId="67" applyNumberFormat="1" applyFont="1" applyFill="1" applyBorder="1"/>
    <xf numFmtId="9" fontId="0" fillId="0" borderId="0" xfId="67" applyFont="1" applyFill="1" applyBorder="1"/>
    <xf numFmtId="0" fontId="4" fillId="0" borderId="19" xfId="0" applyFont="1" applyFill="1" applyBorder="1"/>
    <xf numFmtId="165" fontId="4" fillId="0" borderId="19" xfId="0" applyNumberFormat="1" applyFont="1" applyFill="1" applyBorder="1"/>
    <xf numFmtId="0" fontId="13" fillId="0" borderId="14" xfId="0" applyFont="1" applyFill="1" applyBorder="1" applyAlignment="1">
      <alignment horizontal="left"/>
    </xf>
    <xf numFmtId="165" fontId="22" fillId="0" borderId="14" xfId="0" applyNumberFormat="1" applyFont="1" applyFill="1" applyBorder="1"/>
    <xf numFmtId="165" fontId="13" fillId="0" borderId="16" xfId="0" applyNumberFormat="1" applyFont="1" applyFill="1" applyBorder="1"/>
    <xf numFmtId="9" fontId="13" fillId="0" borderId="14" xfId="0" applyNumberFormat="1" applyFont="1" applyFill="1" applyBorder="1"/>
    <xf numFmtId="9" fontId="13" fillId="0" borderId="12" xfId="0" applyNumberFormat="1" applyFont="1" applyFill="1" applyBorder="1"/>
    <xf numFmtId="0" fontId="13" fillId="0" borderId="14" xfId="0" applyFont="1" applyFill="1" applyBorder="1" applyAlignment="1">
      <alignment horizontal="left" indent="1"/>
    </xf>
    <xf numFmtId="165" fontId="13" fillId="0" borderId="14" xfId="0" applyNumberFormat="1" applyFont="1" applyFill="1" applyBorder="1"/>
    <xf numFmtId="0" fontId="10" fillId="0" borderId="14" xfId="0" applyFont="1" applyFill="1" applyBorder="1"/>
    <xf numFmtId="165" fontId="10" fillId="0" borderId="14" xfId="0" applyNumberFormat="1" applyFont="1" applyFill="1" applyBorder="1"/>
    <xf numFmtId="0" fontId="11" fillId="0" borderId="14" xfId="0" applyFont="1" applyFill="1" applyBorder="1" applyAlignment="1">
      <alignment horizontal="left" indent="1"/>
    </xf>
    <xf numFmtId="165" fontId="11" fillId="0" borderId="12" xfId="0" applyNumberFormat="1" applyFont="1" applyFill="1" applyBorder="1"/>
    <xf numFmtId="0" fontId="13" fillId="0" borderId="14" xfId="0" applyFont="1" applyFill="1" applyBorder="1" applyAlignment="1">
      <alignment horizontal="left" indent="2"/>
    </xf>
    <xf numFmtId="177" fontId="4" fillId="0" borderId="14" xfId="0" applyNumberFormat="1" applyFont="1" applyFill="1" applyBorder="1"/>
    <xf numFmtId="177" fontId="4" fillId="0" borderId="12" xfId="0" applyNumberFormat="1" applyFont="1" applyFill="1" applyBorder="1"/>
    <xf numFmtId="0" fontId="13" fillId="0" borderId="18" xfId="0" applyFont="1" applyFill="1" applyBorder="1" applyAlignment="1">
      <alignment horizontal="left" indent="1"/>
    </xf>
    <xf numFmtId="165" fontId="13" fillId="0" borderId="18" xfId="0" applyNumberFormat="1" applyFont="1" applyFill="1" applyBorder="1"/>
    <xf numFmtId="165" fontId="13" fillId="0" borderId="11" xfId="0" applyNumberFormat="1" applyFont="1" applyFill="1" applyBorder="1"/>
    <xf numFmtId="165" fontId="13" fillId="0" borderId="24" xfId="0" applyNumberFormat="1" applyFont="1" applyFill="1" applyBorder="1"/>
    <xf numFmtId="0" fontId="11" fillId="0" borderId="14" xfId="0" applyFont="1" applyFill="1" applyBorder="1"/>
    <xf numFmtId="171" fontId="13" fillId="0" borderId="14" xfId="0" applyNumberFormat="1" applyFont="1" applyFill="1" applyBorder="1"/>
    <xf numFmtId="171" fontId="13" fillId="0" borderId="0" xfId="0" applyNumberFormat="1" applyFont="1" applyFill="1" applyBorder="1"/>
    <xf numFmtId="171" fontId="13" fillId="0" borderId="12" xfId="0" applyNumberFormat="1" applyFont="1" applyFill="1" applyBorder="1"/>
    <xf numFmtId="0" fontId="4" fillId="0" borderId="23" xfId="0" applyFont="1" applyFill="1" applyBorder="1"/>
    <xf numFmtId="166" fontId="13" fillId="0" borderId="0" xfId="0" applyNumberFormat="1" applyFont="1" applyFill="1" applyBorder="1"/>
    <xf numFmtId="166" fontId="13" fillId="0" borderId="24" xfId="0" applyNumberFormat="1" applyFont="1" applyFill="1" applyBorder="1"/>
    <xf numFmtId="173" fontId="12" fillId="0" borderId="14" xfId="0" applyNumberFormat="1" applyFont="1" applyFill="1" applyBorder="1"/>
    <xf numFmtId="173" fontId="4" fillId="0" borderId="14" xfId="0" applyNumberFormat="1" applyFont="1" applyFill="1" applyBorder="1"/>
    <xf numFmtId="173" fontId="4" fillId="0" borderId="12" xfId="0" applyNumberFormat="1" applyFont="1" applyFill="1" applyBorder="1"/>
    <xf numFmtId="0" fontId="13" fillId="0" borderId="0" xfId="0" applyFont="1" applyFill="1" applyBorder="1" applyAlignment="1">
      <alignment horizontal="left" indent="1"/>
    </xf>
    <xf numFmtId="166" fontId="13" fillId="0" borderId="11" xfId="0" applyNumberFormat="1" applyFont="1" applyFill="1" applyBorder="1"/>
    <xf numFmtId="166" fontId="13" fillId="0" borderId="23" xfId="0" applyNumberFormat="1" applyFont="1" applyFill="1" applyBorder="1"/>
    <xf numFmtId="178" fontId="7" fillId="0" borderId="0" xfId="0" applyNumberFormat="1" applyFont="1" applyFill="1" applyBorder="1"/>
    <xf numFmtId="178" fontId="7" fillId="0" borderId="14" xfId="0" applyNumberFormat="1" applyFont="1" applyFill="1" applyBorder="1"/>
    <xf numFmtId="165" fontId="4" fillId="0" borderId="16" xfId="0" applyNumberFormat="1" applyFont="1" applyFill="1" applyBorder="1"/>
    <xf numFmtId="165" fontId="4" fillId="0" borderId="12" xfId="0" applyNumberFormat="1" applyFont="1" applyFill="1" applyBorder="1" applyAlignment="1">
      <alignment horizontal="left" indent="1"/>
    </xf>
    <xf numFmtId="167" fontId="12" fillId="0" borderId="14" xfId="0" applyNumberFormat="1" applyFont="1" applyFill="1" applyBorder="1"/>
    <xf numFmtId="178" fontId="11" fillId="0" borderId="14" xfId="0" applyNumberFormat="1" applyFont="1" applyFill="1" applyBorder="1"/>
    <xf numFmtId="165" fontId="12" fillId="0" borderId="12" xfId="0" applyNumberFormat="1" applyFont="1" applyFill="1" applyBorder="1"/>
    <xf numFmtId="170" fontId="7" fillId="0" borderId="0" xfId="0" applyNumberFormat="1" applyFont="1" applyFill="1" applyBorder="1"/>
    <xf numFmtId="166" fontId="4" fillId="0" borderId="12" xfId="0" applyNumberFormat="1" applyFont="1" applyFill="1" applyBorder="1"/>
    <xf numFmtId="180" fontId="12" fillId="0" borderId="0" xfId="0" applyNumberFormat="1" applyFont="1" applyFill="1" applyBorder="1"/>
    <xf numFmtId="178" fontId="7" fillId="0" borderId="15" xfId="0" applyNumberFormat="1" applyFont="1" applyFill="1" applyBorder="1"/>
    <xf numFmtId="173" fontId="4" fillId="0" borderId="17" xfId="0" applyNumberFormat="1" applyFont="1" applyFill="1" applyBorder="1"/>
    <xf numFmtId="164" fontId="4" fillId="0" borderId="0" xfId="0" applyNumberFormat="1" applyFont="1" applyFill="1" applyAlignment="1">
      <alignment horizontal="center"/>
    </xf>
    <xf numFmtId="43" fontId="4" fillId="0" borderId="19" xfId="0" applyNumberFormat="1" applyFont="1" applyFill="1" applyBorder="1"/>
    <xf numFmtId="0" fontId="10" fillId="0" borderId="0" xfId="58" applyFont="1" applyFill="1" applyBorder="1" applyAlignment="1" applyProtection="1">
      <alignment horizontal="left"/>
    </xf>
    <xf numFmtId="0" fontId="17" fillId="0" borderId="0" xfId="58" applyFont="1" applyFill="1" applyBorder="1" applyAlignment="1" applyProtection="1">
      <alignment horizontal="left"/>
    </xf>
    <xf numFmtId="0" fontId="32" fillId="0" borderId="26" xfId="58" applyFont="1" applyFill="1" applyBorder="1" applyAlignment="1" applyProtection="1">
      <alignment horizontal="left"/>
    </xf>
    <xf numFmtId="4" fontId="13" fillId="0" borderId="0" xfId="58" applyNumberFormat="1" applyFont="1" applyFill="1" applyBorder="1" applyAlignment="1" applyProtection="1">
      <alignment horizontal="left"/>
    </xf>
    <xf numFmtId="203" fontId="7" fillId="0" borderId="21" xfId="0" applyNumberFormat="1" applyFont="1" applyFill="1" applyBorder="1" applyAlignment="1" applyProtection="1">
      <alignment horizontal="centerContinuous"/>
    </xf>
    <xf numFmtId="173" fontId="7" fillId="0" borderId="19" xfId="0" applyNumberFormat="1" applyFont="1" applyFill="1" applyBorder="1" applyAlignment="1" applyProtection="1">
      <alignment horizontal="centerContinuous"/>
    </xf>
    <xf numFmtId="203" fontId="7" fillId="0" borderId="16" xfId="0" applyNumberFormat="1" applyFont="1" applyFill="1" applyBorder="1" applyAlignment="1" applyProtection="1">
      <alignment horizontal="center"/>
    </xf>
    <xf numFmtId="0" fontId="10" fillId="0" borderId="0" xfId="61" applyFont="1" applyFill="1" applyBorder="1" applyAlignment="1" applyProtection="1">
      <alignment horizontal="center"/>
    </xf>
    <xf numFmtId="187" fontId="7" fillId="0" borderId="0" xfId="0" applyNumberFormat="1" applyFont="1" applyFill="1" applyBorder="1" applyAlignment="1" applyProtection="1">
      <alignment horizontal="right"/>
    </xf>
    <xf numFmtId="204" fontId="7" fillId="0" borderId="21" xfId="0" applyNumberFormat="1" applyFont="1" applyFill="1" applyBorder="1" applyAlignment="1" applyProtection="1">
      <alignment horizontal="centerContinuous"/>
    </xf>
    <xf numFmtId="204" fontId="7" fillId="0" borderId="16" xfId="0" applyNumberFormat="1" applyFont="1" applyFill="1" applyBorder="1" applyAlignment="1" applyProtection="1">
      <alignment horizontal="center"/>
    </xf>
    <xf numFmtId="178" fontId="4" fillId="0" borderId="11" xfId="0" applyNumberFormat="1" applyFont="1" applyFill="1" applyBorder="1"/>
    <xf numFmtId="178" fontId="7" fillId="0" borderId="18" xfId="0" applyNumberFormat="1" applyFont="1" applyFill="1" applyBorder="1"/>
    <xf numFmtId="178" fontId="7" fillId="0" borderId="11" xfId="0" applyNumberFormat="1" applyFont="1" applyFill="1" applyBorder="1"/>
    <xf numFmtId="178" fontId="7" fillId="0" borderId="24" xfId="0" applyNumberFormat="1" applyFont="1" applyFill="1" applyBorder="1"/>
    <xf numFmtId="0" fontId="4" fillId="0" borderId="12" xfId="0" applyFont="1" applyFill="1" applyBorder="1" applyAlignment="1">
      <alignment horizontal="left" indent="1"/>
    </xf>
    <xf numFmtId="0" fontId="13" fillId="0" borderId="24" xfId="0" applyFont="1" applyFill="1" applyBorder="1" applyAlignment="1">
      <alignment horizontal="left" indent="1"/>
    </xf>
    <xf numFmtId="178" fontId="7" fillId="0" borderId="12" xfId="0" applyNumberFormat="1" applyFont="1" applyFill="1" applyBorder="1"/>
    <xf numFmtId="164" fontId="66" fillId="17" borderId="13" xfId="0" applyNumberFormat="1" applyFont="1" applyFill="1" applyBorder="1" applyAlignment="1" applyProtection="1">
      <alignment horizontal="center"/>
    </xf>
    <xf numFmtId="164" fontId="66" fillId="17" borderId="15" xfId="0" applyNumberFormat="1" applyFont="1" applyFill="1" applyBorder="1" applyAlignment="1" applyProtection="1">
      <alignment horizontal="center"/>
    </xf>
    <xf numFmtId="164" fontId="7" fillId="0" borderId="12" xfId="0" applyNumberFormat="1" applyFont="1" applyFill="1" applyBorder="1" applyAlignment="1" applyProtection="1">
      <alignment horizontal="right"/>
    </xf>
    <xf numFmtId="164" fontId="7" fillId="0" borderId="15" xfId="0" applyNumberFormat="1" applyFont="1" applyFill="1" applyBorder="1" applyAlignment="1" applyProtection="1">
      <alignment horizontal="center"/>
    </xf>
    <xf numFmtId="164" fontId="7" fillId="0" borderId="27" xfId="0" applyNumberFormat="1" applyFont="1" applyFill="1" applyBorder="1" applyAlignment="1" applyProtection="1">
      <alignment horizontal="center"/>
    </xf>
    <xf numFmtId="164" fontId="7" fillId="0" borderId="13" xfId="0" applyNumberFormat="1" applyFont="1" applyFill="1" applyBorder="1" applyAlignment="1" applyProtection="1">
      <alignment horizontal="center"/>
    </xf>
    <xf numFmtId="166" fontId="13" fillId="0" borderId="18" xfId="0" applyNumberFormat="1" applyFont="1" applyFill="1" applyBorder="1"/>
    <xf numFmtId="164" fontId="7" fillId="0" borderId="0" xfId="0" applyNumberFormat="1" applyFont="1" applyFill="1" applyBorder="1" applyAlignment="1" applyProtection="1">
      <alignment horizontal="right"/>
    </xf>
    <xf numFmtId="164" fontId="10" fillId="0" borderId="12" xfId="61" applyNumberFormat="1" applyFont="1" applyFill="1" applyBorder="1" applyAlignment="1" applyProtection="1">
      <alignment horizontal="center"/>
    </xf>
    <xf numFmtId="0" fontId="4" fillId="0" borderId="17" xfId="0" applyFont="1" applyFill="1" applyBorder="1"/>
    <xf numFmtId="43" fontId="4" fillId="17" borderId="18" xfId="0" applyNumberFormat="1" applyFont="1" applyFill="1" applyBorder="1"/>
    <xf numFmtId="43" fontId="4" fillId="17" borderId="24" xfId="0" applyNumberFormat="1" applyFont="1" applyFill="1" applyBorder="1"/>
    <xf numFmtId="185" fontId="4" fillId="17" borderId="18" xfId="0" applyNumberFormat="1" applyFont="1" applyFill="1" applyBorder="1"/>
    <xf numFmtId="185" fontId="4" fillId="17" borderId="11" xfId="0" applyNumberFormat="1" applyFont="1" applyFill="1" applyBorder="1"/>
    <xf numFmtId="185" fontId="4" fillId="17" borderId="24" xfId="0" applyNumberFormat="1" applyFont="1" applyFill="1" applyBorder="1"/>
    <xf numFmtId="0" fontId="0" fillId="0" borderId="11" xfId="0" applyFill="1" applyBorder="1"/>
    <xf numFmtId="165" fontId="0" fillId="0" borderId="11" xfId="0" applyNumberFormat="1" applyFill="1" applyBorder="1"/>
    <xf numFmtId="165" fontId="0" fillId="0" borderId="11" xfId="67" applyNumberFormat="1" applyFont="1" applyFill="1" applyBorder="1"/>
    <xf numFmtId="9" fontId="0" fillId="0" borderId="11" xfId="67" applyFont="1" applyFill="1" applyBorder="1"/>
    <xf numFmtId="43" fontId="0" fillId="0" borderId="11" xfId="0" applyNumberFormat="1" applyFill="1" applyBorder="1"/>
    <xf numFmtId="171" fontId="11" fillId="0" borderId="18" xfId="0" applyNumberFormat="1" applyFont="1" applyFill="1" applyBorder="1"/>
    <xf numFmtId="0" fontId="19" fillId="0" borderId="11" xfId="0" applyFont="1" applyFill="1" applyBorder="1"/>
    <xf numFmtId="165" fontId="4" fillId="0" borderId="11" xfId="0" applyNumberFormat="1" applyFont="1" applyFill="1" applyBorder="1"/>
    <xf numFmtId="0" fontId="7" fillId="0" borderId="13" xfId="0" applyFont="1" applyFill="1" applyBorder="1"/>
    <xf numFmtId="0" fontId="4" fillId="0" borderId="13" xfId="0" applyFont="1" applyFill="1" applyBorder="1"/>
    <xf numFmtId="0" fontId="4" fillId="0" borderId="16" xfId="0" applyFont="1" applyFill="1" applyBorder="1"/>
    <xf numFmtId="171" fontId="12" fillId="0" borderId="12" xfId="0" applyNumberFormat="1" applyFont="1" applyFill="1" applyBorder="1"/>
    <xf numFmtId="191" fontId="4" fillId="0" borderId="0" xfId="0" applyNumberFormat="1" applyFont="1" applyFill="1" applyBorder="1"/>
    <xf numFmtId="191" fontId="4" fillId="0" borderId="12" xfId="0" applyNumberFormat="1" applyFont="1" applyFill="1" applyBorder="1"/>
    <xf numFmtId="191" fontId="4" fillId="0" borderId="14" xfId="0" applyNumberFormat="1" applyFont="1" applyFill="1" applyBorder="1"/>
    <xf numFmtId="0" fontId="33" fillId="17" borderId="15" xfId="0" applyFont="1" applyFill="1" applyBorder="1"/>
    <xf numFmtId="0" fontId="33" fillId="17" borderId="13" xfId="0" applyFont="1" applyFill="1" applyBorder="1"/>
    <xf numFmtId="0" fontId="33" fillId="17" borderId="16" xfId="0" applyFont="1" applyFill="1" applyBorder="1"/>
    <xf numFmtId="0" fontId="9" fillId="17" borderId="0" xfId="0" applyFont="1" applyFill="1" applyBorder="1"/>
    <xf numFmtId="0" fontId="11" fillId="0" borderId="11" xfId="0" applyFont="1" applyFill="1" applyBorder="1"/>
    <xf numFmtId="171" fontId="69" fillId="17" borderId="12" xfId="0" applyNumberFormat="1" applyFont="1" applyFill="1" applyBorder="1"/>
    <xf numFmtId="191" fontId="33" fillId="17" borderId="14" xfId="0" applyNumberFormat="1" applyFont="1" applyFill="1" applyBorder="1"/>
    <xf numFmtId="191" fontId="33" fillId="17" borderId="0" xfId="0" applyNumberFormat="1" applyFont="1" applyFill="1" applyBorder="1"/>
    <xf numFmtId="191" fontId="33" fillId="17" borderId="12" xfId="0" applyNumberFormat="1" applyFont="1" applyFill="1" applyBorder="1"/>
    <xf numFmtId="191" fontId="33" fillId="17" borderId="12" xfId="0" applyNumberFormat="1" applyFont="1" applyFill="1" applyBorder="1" applyAlignment="1">
      <alignment horizontal="right"/>
    </xf>
    <xf numFmtId="0" fontId="0" fillId="0" borderId="19" xfId="0" applyFill="1" applyBorder="1"/>
    <xf numFmtId="43" fontId="0" fillId="0" borderId="19" xfId="0" applyNumberFormat="1" applyFill="1" applyBorder="1"/>
    <xf numFmtId="165" fontId="0" fillId="0" borderId="19" xfId="67" applyNumberFormat="1" applyFont="1" applyFill="1" applyBorder="1"/>
    <xf numFmtId="9" fontId="0" fillId="0" borderId="19" xfId="67" applyFont="1" applyFill="1" applyBorder="1"/>
    <xf numFmtId="165" fontId="24" fillId="0" borderId="12" xfId="0" applyNumberFormat="1" applyFont="1" applyFill="1" applyBorder="1"/>
    <xf numFmtId="165" fontId="24" fillId="0" borderId="14" xfId="0" applyNumberFormat="1" applyFont="1" applyFill="1" applyBorder="1"/>
    <xf numFmtId="165" fontId="24" fillId="0" borderId="0" xfId="0" applyNumberFormat="1" applyFont="1" applyFill="1"/>
    <xf numFmtId="165" fontId="24" fillId="0" borderId="17" xfId="0" applyNumberFormat="1" applyFont="1" applyFill="1" applyBorder="1"/>
    <xf numFmtId="168" fontId="12" fillId="0" borderId="0" xfId="0" applyNumberFormat="1" applyFont="1" applyFill="1"/>
    <xf numFmtId="165" fontId="17" fillId="0" borderId="12" xfId="0" applyNumberFormat="1" applyFont="1" applyFill="1" applyBorder="1"/>
    <xf numFmtId="165" fontId="17" fillId="0" borderId="14" xfId="0" applyNumberFormat="1" applyFont="1" applyFill="1" applyBorder="1"/>
    <xf numFmtId="165" fontId="17" fillId="0" borderId="0" xfId="0" applyNumberFormat="1" applyFont="1" applyFill="1" applyBorder="1"/>
    <xf numFmtId="166" fontId="4" fillId="0" borderId="0" xfId="0" applyNumberFormat="1" applyFont="1" applyFill="1" applyAlignment="1">
      <alignment horizontal="right"/>
    </xf>
    <xf numFmtId="166" fontId="4" fillId="0" borderId="14" xfId="0" applyNumberFormat="1" applyFont="1" applyFill="1" applyBorder="1" applyAlignment="1">
      <alignment horizontal="right"/>
    </xf>
    <xf numFmtId="0" fontId="14" fillId="0" borderId="17" xfId="0" applyFont="1" applyFill="1" applyBorder="1"/>
    <xf numFmtId="165" fontId="4" fillId="0" borderId="13" xfId="0" applyNumberFormat="1" applyFont="1" applyFill="1" applyBorder="1"/>
    <xf numFmtId="178" fontId="11" fillId="0" borderId="13" xfId="0" applyNumberFormat="1" applyFont="1" applyFill="1" applyBorder="1" applyAlignment="1">
      <alignment horizontal="right"/>
    </xf>
    <xf numFmtId="178" fontId="11" fillId="0" borderId="16" xfId="0" applyNumberFormat="1" applyFont="1" applyFill="1" applyBorder="1" applyAlignment="1">
      <alignment horizontal="right"/>
    </xf>
    <xf numFmtId="178" fontId="11" fillId="0" borderId="27" xfId="0" applyNumberFormat="1" applyFont="1" applyFill="1" applyBorder="1" applyAlignment="1">
      <alignment horizontal="right"/>
    </xf>
    <xf numFmtId="178" fontId="11" fillId="0" borderId="15" xfId="0" applyNumberFormat="1" applyFont="1" applyFill="1" applyBorder="1" applyAlignment="1">
      <alignment horizontal="right"/>
    </xf>
    <xf numFmtId="7" fontId="11" fillId="0" borderId="14" xfId="75" applyNumberFormat="1" applyFont="1" applyFill="1" applyBorder="1" applyProtection="1"/>
    <xf numFmtId="171" fontId="11" fillId="0" borderId="14" xfId="67" applyNumberFormat="1" applyFont="1" applyFill="1" applyBorder="1"/>
    <xf numFmtId="171" fontId="11" fillId="0" borderId="17" xfId="67" applyNumberFormat="1" applyFont="1" applyFill="1" applyBorder="1" applyAlignment="1">
      <alignment horizontal="right"/>
    </xf>
    <xf numFmtId="165" fontId="12" fillId="0" borderId="16" xfId="0" applyNumberFormat="1" applyFont="1" applyFill="1" applyBorder="1"/>
    <xf numFmtId="7" fontId="18" fillId="0" borderId="12" xfId="0" applyNumberFormat="1" applyFont="1" applyFill="1" applyBorder="1" applyAlignment="1">
      <alignment horizontal="right"/>
    </xf>
    <xf numFmtId="171" fontId="13" fillId="0" borderId="14" xfId="75" applyNumberFormat="1" applyFont="1" applyFill="1" applyBorder="1" applyProtection="1"/>
    <xf numFmtId="171" fontId="11" fillId="0" borderId="14" xfId="75" applyNumberFormat="1" applyFont="1" applyFill="1" applyBorder="1" applyProtection="1"/>
    <xf numFmtId="171" fontId="18" fillId="0" borderId="12" xfId="67" applyNumberFormat="1" applyFont="1" applyFill="1" applyBorder="1" applyAlignment="1">
      <alignment horizontal="right"/>
    </xf>
    <xf numFmtId="178" fontId="18" fillId="0" borderId="14" xfId="0" applyNumberFormat="1" applyFont="1" applyFill="1" applyBorder="1" applyAlignment="1">
      <alignment horizontal="right"/>
    </xf>
    <xf numFmtId="7" fontId="11" fillId="0" borderId="12" xfId="41" applyNumberFormat="1" applyFont="1" applyFill="1" applyBorder="1" applyAlignment="1">
      <alignment horizontal="right"/>
    </xf>
    <xf numFmtId="7" fontId="11" fillId="0" borderId="14" xfId="41" applyNumberFormat="1" applyFont="1" applyFill="1" applyBorder="1" applyAlignment="1">
      <alignment horizontal="right"/>
    </xf>
    <xf numFmtId="7" fontId="11" fillId="0" borderId="0" xfId="41" applyNumberFormat="1" applyFont="1" applyFill="1" applyBorder="1" applyAlignment="1">
      <alignment horizontal="right"/>
    </xf>
    <xf numFmtId="171" fontId="13" fillId="0" borderId="18" xfId="75" applyNumberFormat="1" applyFont="1" applyFill="1" applyBorder="1" applyAlignment="1" applyProtection="1">
      <alignment horizontal="left" indent="1"/>
    </xf>
    <xf numFmtId="0" fontId="10" fillId="0" borderId="11" xfId="0" applyFont="1" applyFill="1" applyBorder="1"/>
    <xf numFmtId="165" fontId="10" fillId="0" borderId="11" xfId="0" applyNumberFormat="1" applyFont="1" applyFill="1" applyBorder="1"/>
    <xf numFmtId="0" fontId="4" fillId="0" borderId="12" xfId="0" applyFont="1" applyFill="1" applyBorder="1" applyAlignment="1">
      <alignment horizontal="left" indent="2"/>
    </xf>
    <xf numFmtId="0" fontId="10" fillId="0" borderId="12" xfId="0" applyFont="1" applyFill="1" applyBorder="1" applyAlignment="1">
      <alignment horizontal="left" indent="1"/>
    </xf>
    <xf numFmtId="0" fontId="36" fillId="0" borderId="0" xfId="0" applyFont="1" applyFill="1"/>
    <xf numFmtId="0" fontId="70" fillId="0" borderId="0" xfId="0" applyFont="1" applyFill="1"/>
    <xf numFmtId="165" fontId="71" fillId="0" borderId="0" xfId="0" applyNumberFormat="1" applyFont="1" applyFill="1" applyBorder="1"/>
    <xf numFmtId="0" fontId="72" fillId="0" borderId="0" xfId="0" applyFont="1" applyFill="1"/>
    <xf numFmtId="37" fontId="33" fillId="17" borderId="11" xfId="0" applyNumberFormat="1" applyFont="1" applyFill="1" applyBorder="1" applyAlignment="1">
      <alignment horizontal="center"/>
    </xf>
    <xf numFmtId="0" fontId="25" fillId="0" borderId="0" xfId="0" applyFont="1" applyFill="1" applyBorder="1"/>
    <xf numFmtId="0" fontId="7" fillId="0" borderId="0" xfId="0" applyFont="1" applyFill="1" applyBorder="1"/>
    <xf numFmtId="165" fontId="7" fillId="0" borderId="0" xfId="0" applyNumberFormat="1" applyFont="1" applyFill="1" applyBorder="1"/>
    <xf numFmtId="178" fontId="4" fillId="0" borderId="18" xfId="0" applyNumberFormat="1" applyFont="1" applyFill="1" applyBorder="1"/>
    <xf numFmtId="178" fontId="4" fillId="0" borderId="24" xfId="0" applyNumberFormat="1" applyFont="1" applyFill="1" applyBorder="1"/>
    <xf numFmtId="0" fontId="9" fillId="17" borderId="12" xfId="0" applyFont="1" applyFill="1" applyBorder="1"/>
    <xf numFmtId="0" fontId="4" fillId="17" borderId="14" xfId="0" applyFont="1" applyFill="1" applyBorder="1"/>
    <xf numFmtId="0" fontId="4" fillId="19" borderId="16" xfId="0" applyFont="1" applyFill="1" applyBorder="1"/>
    <xf numFmtId="0" fontId="4" fillId="19" borderId="15" xfId="0" applyFont="1" applyFill="1" applyBorder="1"/>
    <xf numFmtId="0" fontId="4" fillId="19" borderId="13" xfId="0" applyFont="1" applyFill="1" applyBorder="1"/>
    <xf numFmtId="165" fontId="12" fillId="19" borderId="16" xfId="0" applyNumberFormat="1" applyFont="1" applyFill="1" applyBorder="1"/>
    <xf numFmtId="165" fontId="12" fillId="19" borderId="15" xfId="0" applyNumberFormat="1" applyFont="1" applyFill="1" applyBorder="1"/>
    <xf numFmtId="165" fontId="4" fillId="19" borderId="13" xfId="0" applyNumberFormat="1" applyFont="1" applyFill="1" applyBorder="1"/>
    <xf numFmtId="165" fontId="4" fillId="19" borderId="15" xfId="0" applyNumberFormat="1" applyFont="1" applyFill="1" applyBorder="1"/>
    <xf numFmtId="165" fontId="4" fillId="19" borderId="16" xfId="0" applyNumberFormat="1" applyFont="1" applyFill="1" applyBorder="1"/>
    <xf numFmtId="0" fontId="10" fillId="19" borderId="24" xfId="0" applyFont="1" applyFill="1" applyBorder="1"/>
    <xf numFmtId="0" fontId="10" fillId="19" borderId="11" xfId="0" applyFont="1" applyFill="1" applyBorder="1"/>
    <xf numFmtId="0" fontId="10" fillId="19" borderId="18" xfId="0" applyFont="1" applyFill="1" applyBorder="1"/>
    <xf numFmtId="165" fontId="10" fillId="19" borderId="24" xfId="0" applyNumberFormat="1" applyFont="1" applyFill="1" applyBorder="1"/>
    <xf numFmtId="165" fontId="10" fillId="19" borderId="11" xfId="0" applyNumberFormat="1" applyFont="1" applyFill="1" applyBorder="1"/>
    <xf numFmtId="165" fontId="10" fillId="19" borderId="18" xfId="0" applyNumberFormat="1" applyFont="1" applyFill="1" applyBorder="1"/>
    <xf numFmtId="7" fontId="32" fillId="0" borderId="14" xfId="0" applyNumberFormat="1" applyFont="1" applyFill="1" applyBorder="1" applyAlignment="1" applyProtection="1">
      <alignment horizontal="left"/>
    </xf>
    <xf numFmtId="7" fontId="11" fillId="0" borderId="14" xfId="0" applyNumberFormat="1" applyFont="1" applyFill="1" applyBorder="1" applyAlignment="1">
      <alignment horizontal="right"/>
    </xf>
    <xf numFmtId="7" fontId="11" fillId="0" borderId="0" xfId="0" applyNumberFormat="1" applyFont="1" applyFill="1" applyBorder="1" applyAlignment="1">
      <alignment horizontal="right"/>
    </xf>
    <xf numFmtId="0" fontId="9" fillId="17" borderId="18" xfId="75" applyFont="1" applyFill="1" applyBorder="1" applyProtection="1"/>
    <xf numFmtId="37" fontId="33" fillId="17" borderId="11" xfId="0" applyNumberFormat="1" applyFont="1" applyFill="1" applyBorder="1"/>
    <xf numFmtId="37" fontId="33" fillId="17" borderId="23" xfId="0" applyNumberFormat="1" applyFont="1" applyFill="1" applyBorder="1"/>
    <xf numFmtId="0" fontId="19" fillId="0" borderId="27" xfId="0" applyFont="1" applyFill="1" applyBorder="1"/>
    <xf numFmtId="0" fontId="71" fillId="0" borderId="15" xfId="0" applyFont="1" applyFill="1" applyBorder="1"/>
    <xf numFmtId="165" fontId="71" fillId="0" borderId="15" xfId="0" applyNumberFormat="1" applyFont="1" applyFill="1" applyBorder="1"/>
    <xf numFmtId="41" fontId="11" fillId="0" borderId="0" xfId="0" applyNumberFormat="1" applyFont="1" applyFill="1" applyBorder="1"/>
    <xf numFmtId="207" fontId="11" fillId="0" borderId="0" xfId="0" applyNumberFormat="1" applyFont="1" applyFill="1" applyBorder="1"/>
    <xf numFmtId="41" fontId="18" fillId="0" borderId="0" xfId="0" applyNumberFormat="1" applyFont="1" applyFill="1" applyBorder="1"/>
    <xf numFmtId="207" fontId="18" fillId="0" borderId="0" xfId="0" applyNumberFormat="1" applyFont="1" applyFill="1" applyBorder="1"/>
    <xf numFmtId="0" fontId="10" fillId="0" borderId="24" xfId="0" applyFont="1" applyFill="1" applyBorder="1"/>
    <xf numFmtId="165" fontId="10" fillId="0" borderId="24" xfId="0" applyNumberFormat="1" applyFont="1" applyFill="1" applyBorder="1"/>
    <xf numFmtId="165" fontId="10" fillId="0" borderId="18" xfId="0" applyNumberFormat="1" applyFont="1" applyFill="1" applyBorder="1"/>
    <xf numFmtId="165" fontId="7" fillId="0" borderId="11" xfId="0" applyNumberFormat="1" applyFont="1" applyFill="1" applyBorder="1"/>
    <xf numFmtId="165" fontId="7" fillId="0" borderId="24" xfId="0" applyNumberFormat="1" applyFont="1" applyFill="1" applyBorder="1"/>
    <xf numFmtId="167" fontId="10" fillId="0" borderId="11" xfId="0" applyNumberFormat="1" applyFont="1" applyFill="1" applyBorder="1"/>
    <xf numFmtId="44" fontId="4" fillId="0" borderId="0" xfId="0" applyNumberFormat="1" applyFont="1" applyFill="1"/>
    <xf numFmtId="0" fontId="4" fillId="0" borderId="22" xfId="0" applyFont="1" applyFill="1" applyBorder="1"/>
    <xf numFmtId="165" fontId="15" fillId="0" borderId="14" xfId="0" applyNumberFormat="1" applyFont="1" applyFill="1" applyBorder="1"/>
    <xf numFmtId="165" fontId="15" fillId="0" borderId="12" xfId="0" applyNumberFormat="1" applyFont="1" applyFill="1" applyBorder="1"/>
    <xf numFmtId="170" fontId="10" fillId="0" borderId="21" xfId="0" applyNumberFormat="1" applyFont="1" applyFill="1" applyBorder="1"/>
    <xf numFmtId="170" fontId="10" fillId="0" borderId="19" xfId="0" applyNumberFormat="1" applyFont="1" applyFill="1" applyBorder="1"/>
    <xf numFmtId="170" fontId="7" fillId="0" borderId="28" xfId="0" applyNumberFormat="1" applyFont="1" applyFill="1" applyBorder="1"/>
    <xf numFmtId="170" fontId="7" fillId="0" borderId="19" xfId="0" applyNumberFormat="1" applyFont="1" applyFill="1" applyBorder="1"/>
    <xf numFmtId="170" fontId="7" fillId="0" borderId="21" xfId="0" applyNumberFormat="1" applyFont="1" applyFill="1" applyBorder="1"/>
    <xf numFmtId="167" fontId="4" fillId="0" borderId="12" xfId="0" applyNumberFormat="1" applyFont="1" applyFill="1" applyBorder="1"/>
    <xf numFmtId="170" fontId="10" fillId="0" borderId="28" xfId="0" applyNumberFormat="1" applyFont="1" applyFill="1" applyBorder="1"/>
    <xf numFmtId="168" fontId="4" fillId="0" borderId="0" xfId="0" applyNumberFormat="1" applyFont="1" applyFill="1" applyBorder="1"/>
    <xf numFmtId="175" fontId="4" fillId="0" borderId="0" xfId="0" applyNumberFormat="1" applyFont="1" applyFill="1" applyBorder="1"/>
    <xf numFmtId="172" fontId="11" fillId="0" borderId="14" xfId="41" applyNumberFormat="1" applyFont="1" applyFill="1" applyBorder="1" applyAlignment="1">
      <alignment horizontal="right"/>
    </xf>
    <xf numFmtId="172" fontId="11" fillId="0" borderId="0" xfId="41" applyNumberFormat="1" applyFont="1" applyFill="1" applyBorder="1" applyAlignment="1">
      <alignment horizontal="right"/>
    </xf>
    <xf numFmtId="172" fontId="11" fillId="0" borderId="17" xfId="41" applyNumberFormat="1" applyFont="1" applyFill="1" applyBorder="1" applyAlignment="1">
      <alignment horizontal="right"/>
    </xf>
    <xf numFmtId="172" fontId="11" fillId="0" borderId="12" xfId="41" applyNumberFormat="1" applyFont="1" applyFill="1" applyBorder="1" applyAlignment="1">
      <alignment horizontal="right"/>
    </xf>
    <xf numFmtId="7" fontId="11" fillId="0" borderId="18" xfId="75" applyNumberFormat="1" applyFont="1" applyFill="1" applyBorder="1" applyProtection="1"/>
    <xf numFmtId="174" fontId="11" fillId="0" borderId="0" xfId="0" applyNumberFormat="1" applyFont="1" applyFill="1" applyAlignment="1">
      <alignment horizontal="right"/>
    </xf>
    <xf numFmtId="0" fontId="4" fillId="0" borderId="0" xfId="0" applyFont="1" applyFill="1" applyBorder="1" applyAlignment="1">
      <alignment horizontal="right"/>
    </xf>
    <xf numFmtId="172" fontId="11" fillId="0" borderId="18" xfId="75" applyNumberFormat="1" applyFont="1" applyFill="1" applyBorder="1" applyProtection="1"/>
    <xf numFmtId="37" fontId="11" fillId="0" borderId="14" xfId="60" applyNumberFormat="1" applyFont="1" applyFill="1" applyBorder="1"/>
    <xf numFmtId="174" fontId="12" fillId="0" borderId="0" xfId="0" applyNumberFormat="1" applyFont="1" applyFill="1" applyBorder="1"/>
    <xf numFmtId="174" fontId="4" fillId="0" borderId="12" xfId="0" applyNumberFormat="1" applyFont="1" applyFill="1" applyBorder="1"/>
    <xf numFmtId="174" fontId="12" fillId="0" borderId="14" xfId="0" applyNumberFormat="1" applyFont="1" applyFill="1" applyBorder="1"/>
    <xf numFmtId="174" fontId="4" fillId="0" borderId="0" xfId="0" applyNumberFormat="1" applyFont="1" applyFill="1" applyBorder="1"/>
    <xf numFmtId="37" fontId="11" fillId="0" borderId="18" xfId="60" applyNumberFormat="1" applyFont="1" applyFill="1" applyBorder="1"/>
    <xf numFmtId="37" fontId="11" fillId="0" borderId="18" xfId="0" applyNumberFormat="1" applyFont="1" applyFill="1" applyBorder="1" applyAlignment="1">
      <alignment horizontal="right"/>
    </xf>
    <xf numFmtId="37" fontId="11" fillId="0" borderId="11" xfId="0" applyNumberFormat="1" applyFont="1" applyFill="1" applyBorder="1" applyAlignment="1">
      <alignment horizontal="right"/>
    </xf>
    <xf numFmtId="37" fontId="11" fillId="0" borderId="24" xfId="0" applyNumberFormat="1" applyFont="1" applyFill="1" applyBorder="1" applyAlignment="1">
      <alignment horizontal="right"/>
    </xf>
    <xf numFmtId="180" fontId="11" fillId="0" borderId="0" xfId="60" applyNumberFormat="1" applyFont="1" applyFill="1" applyBorder="1"/>
    <xf numFmtId="171" fontId="12" fillId="0" borderId="0" xfId="67" applyNumberFormat="1" applyFont="1" applyFill="1" applyBorder="1"/>
    <xf numFmtId="171" fontId="12" fillId="0" borderId="14" xfId="67" applyNumberFormat="1" applyFont="1" applyFill="1" applyBorder="1"/>
    <xf numFmtId="171" fontId="11" fillId="0" borderId="18" xfId="67" applyNumberFormat="1" applyFont="1" applyFill="1" applyBorder="1"/>
    <xf numFmtId="171" fontId="12" fillId="0" borderId="11" xfId="67" applyNumberFormat="1" applyFont="1" applyFill="1" applyBorder="1"/>
    <xf numFmtId="171" fontId="12" fillId="0" borderId="18" xfId="67" applyNumberFormat="1" applyFont="1" applyFill="1" applyBorder="1"/>
    <xf numFmtId="0" fontId="11" fillId="0" borderId="14" xfId="75" applyFont="1" applyFill="1" applyBorder="1" applyAlignment="1" applyProtection="1">
      <alignment horizontal="left" indent="1"/>
    </xf>
    <xf numFmtId="0" fontId="11" fillId="0" borderId="18" xfId="75" applyFont="1" applyFill="1" applyBorder="1" applyAlignment="1" applyProtection="1">
      <alignment horizontal="left" indent="1"/>
    </xf>
    <xf numFmtId="0" fontId="39" fillId="0" borderId="0" xfId="0" quotePrefix="1" applyFont="1" applyFill="1" applyAlignment="1" applyProtection="1">
      <alignment horizontal="left"/>
    </xf>
    <xf numFmtId="172" fontId="11" fillId="0" borderId="0" xfId="0" quotePrefix="1" applyNumberFormat="1" applyFont="1" applyFill="1" applyBorder="1" applyAlignment="1">
      <alignment horizontal="right"/>
    </xf>
    <xf numFmtId="171" fontId="10" fillId="0" borderId="14" xfId="75" applyNumberFormat="1" applyFont="1" applyFill="1" applyBorder="1" applyProtection="1"/>
    <xf numFmtId="171" fontId="11" fillId="0" borderId="14" xfId="0" applyNumberFormat="1" applyFont="1" applyFill="1" applyBorder="1" applyAlignment="1">
      <alignment horizontal="right"/>
    </xf>
    <xf numFmtId="178" fontId="10" fillId="0" borderId="14" xfId="75" applyNumberFormat="1" applyFont="1" applyFill="1" applyBorder="1" applyProtection="1"/>
    <xf numFmtId="178" fontId="10" fillId="0" borderId="14" xfId="0" applyNumberFormat="1" applyFont="1" applyFill="1" applyBorder="1" applyAlignment="1">
      <alignment horizontal="right"/>
    </xf>
    <xf numFmtId="178" fontId="10" fillId="0" borderId="0" xfId="0" applyNumberFormat="1" applyFont="1" applyFill="1" applyBorder="1" applyAlignment="1">
      <alignment horizontal="right"/>
    </xf>
    <xf numFmtId="178" fontId="10" fillId="0" borderId="12" xfId="0" applyNumberFormat="1" applyFont="1" applyFill="1" applyBorder="1" applyAlignment="1">
      <alignment horizontal="right"/>
    </xf>
    <xf numFmtId="37" fontId="11" fillId="0" borderId="14" xfId="75" applyNumberFormat="1" applyFont="1" applyFill="1" applyBorder="1" applyProtection="1"/>
    <xf numFmtId="39" fontId="11" fillId="0" borderId="24" xfId="0" applyNumberFormat="1" applyFont="1" applyFill="1" applyBorder="1" applyAlignment="1">
      <alignment horizontal="right"/>
    </xf>
    <xf numFmtId="172" fontId="11" fillId="0" borderId="14" xfId="0" applyNumberFormat="1" applyFont="1" applyFill="1" applyBorder="1"/>
    <xf numFmtId="171" fontId="18" fillId="0" borderId="11" xfId="0" applyNumberFormat="1" applyFont="1" applyFill="1" applyBorder="1" applyAlignment="1">
      <alignment horizontal="right"/>
    </xf>
    <xf numFmtId="171" fontId="18" fillId="0" borderId="18" xfId="0" applyNumberFormat="1" applyFont="1" applyFill="1" applyBorder="1" applyAlignment="1">
      <alignment horizontal="right"/>
    </xf>
    <xf numFmtId="174" fontId="33" fillId="0" borderId="0" xfId="0" applyNumberFormat="1" applyFont="1" applyFill="1" applyBorder="1" applyAlignment="1">
      <alignment horizontal="right"/>
    </xf>
    <xf numFmtId="171" fontId="10" fillId="0" borderId="0" xfId="0" applyNumberFormat="1" applyFont="1" applyFill="1" applyBorder="1" applyAlignment="1">
      <alignment horizontal="right"/>
    </xf>
    <xf numFmtId="0" fontId="32" fillId="0" borderId="0" xfId="58" applyFont="1" applyFill="1" applyBorder="1" applyAlignment="1" applyProtection="1">
      <alignment horizontal="left"/>
    </xf>
    <xf numFmtId="0" fontId="6" fillId="0" borderId="0" xfId="58" applyFont="1" applyFill="1" applyBorder="1" applyAlignment="1" applyProtection="1">
      <alignment horizontal="left"/>
    </xf>
    <xf numFmtId="0" fontId="17" fillId="0" borderId="11" xfId="58" applyFont="1" applyFill="1" applyBorder="1" applyAlignment="1" applyProtection="1">
      <alignment horizontal="left"/>
    </xf>
    <xf numFmtId="0" fontId="5" fillId="0" borderId="11" xfId="58" applyFont="1" applyFill="1" applyBorder="1" applyAlignment="1" applyProtection="1">
      <alignment horizontal="left"/>
    </xf>
    <xf numFmtId="170" fontId="10" fillId="0" borderId="18" xfId="0" applyNumberFormat="1" applyFont="1" applyFill="1" applyBorder="1"/>
    <xf numFmtId="170" fontId="10" fillId="0" borderId="11" xfId="0" applyNumberFormat="1" applyFont="1" applyFill="1" applyBorder="1"/>
    <xf numFmtId="170" fontId="7" fillId="0" borderId="24" xfId="0" applyNumberFormat="1" applyFont="1" applyFill="1" applyBorder="1"/>
    <xf numFmtId="170" fontId="7" fillId="0" borderId="11" xfId="0" applyNumberFormat="1" applyFont="1" applyFill="1" applyBorder="1"/>
    <xf numFmtId="170" fontId="7" fillId="0" borderId="18" xfId="0" applyNumberFormat="1" applyFont="1" applyFill="1" applyBorder="1"/>
    <xf numFmtId="192" fontId="7" fillId="0" borderId="11" xfId="0" applyNumberFormat="1" applyFont="1" applyFill="1" applyBorder="1"/>
    <xf numFmtId="170" fontId="10" fillId="0" borderId="24" xfId="0" applyNumberFormat="1" applyFont="1" applyFill="1" applyBorder="1"/>
    <xf numFmtId="192" fontId="10" fillId="0" borderId="11" xfId="0" applyNumberFormat="1" applyFont="1" applyFill="1" applyBorder="1"/>
    <xf numFmtId="174" fontId="36" fillId="0" borderId="0" xfId="0" applyNumberFormat="1" applyFont="1" applyFill="1"/>
    <xf numFmtId="167" fontId="36" fillId="0" borderId="0" xfId="0" applyNumberFormat="1" applyFont="1" applyFill="1"/>
    <xf numFmtId="165" fontId="36" fillId="0" borderId="0" xfId="0" applyNumberFormat="1" applyFont="1" applyFill="1"/>
    <xf numFmtId="166" fontId="36" fillId="0" borderId="0" xfId="0" applyNumberFormat="1" applyFont="1" applyFill="1"/>
    <xf numFmtId="0" fontId="7" fillId="0" borderId="0" xfId="0" applyFont="1" applyFill="1" applyBorder="1" applyAlignment="1">
      <alignment horizontal="center"/>
    </xf>
    <xf numFmtId="3" fontId="4" fillId="0" borderId="0" xfId="0" applyNumberFormat="1" applyFont="1" applyFill="1" applyBorder="1" applyAlignment="1">
      <alignment horizontal="center"/>
    </xf>
    <xf numFmtId="180" fontId="4" fillId="0" borderId="0" xfId="0" applyNumberFormat="1" applyFont="1" applyFill="1" applyBorder="1" applyAlignment="1">
      <alignment horizontal="center"/>
    </xf>
    <xf numFmtId="10" fontId="4" fillId="0" borderId="0" xfId="67" applyNumberFormat="1" applyFont="1" applyFill="1" applyBorder="1" applyAlignment="1">
      <alignment horizontal="center"/>
    </xf>
    <xf numFmtId="9" fontId="4" fillId="0" borderId="15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7" fillId="0" borderId="0" xfId="61" applyFont="1" applyFill="1" applyBorder="1" applyAlignment="1" applyProtection="1">
      <alignment horizontal="center"/>
    </xf>
    <xf numFmtId="164" fontId="7" fillId="0" borderId="12" xfId="61" applyNumberFormat="1" applyFont="1" applyFill="1" applyBorder="1" applyAlignment="1" applyProtection="1">
      <alignment horizontal="center"/>
    </xf>
    <xf numFmtId="164" fontId="66" fillId="0" borderId="0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7" fillId="0" borderId="0" xfId="0" applyNumberFormat="1" applyFont="1" applyFill="1" applyBorder="1" applyAlignment="1">
      <alignment horizontal="center"/>
    </xf>
    <xf numFmtId="172" fontId="7" fillId="0" borderId="15" xfId="41" applyNumberFormat="1" applyFont="1" applyFill="1" applyBorder="1" applyAlignment="1">
      <alignment horizontal="center"/>
    </xf>
    <xf numFmtId="172" fontId="7" fillId="0" borderId="16" xfId="41" applyNumberFormat="1" applyFont="1" applyFill="1" applyBorder="1" applyAlignment="1">
      <alignment horizontal="center"/>
    </xf>
    <xf numFmtId="172" fontId="7" fillId="0" borderId="13" xfId="41" applyNumberFormat="1" applyFont="1" applyFill="1" applyBorder="1" applyAlignment="1">
      <alignment horizontal="center"/>
    </xf>
    <xf numFmtId="9" fontId="25" fillId="0" borderId="12" xfId="0" applyNumberFormat="1" applyFont="1" applyFill="1" applyBorder="1" applyAlignment="1">
      <alignment horizontal="center"/>
    </xf>
    <xf numFmtId="9" fontId="38" fillId="0" borderId="14" xfId="0" applyNumberFormat="1" applyFont="1" applyFill="1" applyBorder="1" applyAlignment="1">
      <alignment horizontal="center"/>
    </xf>
    <xf numFmtId="9" fontId="38" fillId="0" borderId="0" xfId="0" applyNumberFormat="1" applyFont="1" applyFill="1" applyBorder="1" applyAlignment="1">
      <alignment horizontal="center"/>
    </xf>
    <xf numFmtId="9" fontId="25" fillId="0" borderId="14" xfId="0" applyNumberFormat="1" applyFont="1" applyFill="1" applyBorder="1" applyAlignment="1">
      <alignment horizontal="center"/>
    </xf>
    <xf numFmtId="9" fontId="25" fillId="0" borderId="0" xfId="0" applyNumberFormat="1" applyFont="1" applyFill="1" applyBorder="1" applyAlignment="1">
      <alignment horizontal="center"/>
    </xf>
    <xf numFmtId="172" fontId="7" fillId="0" borderId="0" xfId="41" applyNumberFormat="1" applyFont="1" applyFill="1" applyBorder="1" applyAlignment="1">
      <alignment horizontal="center"/>
    </xf>
    <xf numFmtId="172" fontId="7" fillId="0" borderId="12" xfId="41" applyNumberFormat="1" applyFont="1" applyFill="1" applyBorder="1" applyAlignment="1">
      <alignment horizontal="center"/>
    </xf>
    <xf numFmtId="172" fontId="7" fillId="0" borderId="14" xfId="41" applyNumberFormat="1" applyFont="1" applyFill="1" applyBorder="1" applyAlignment="1">
      <alignment horizontal="center"/>
    </xf>
    <xf numFmtId="172" fontId="7" fillId="0" borderId="19" xfId="41" applyNumberFormat="1" applyFont="1" applyFill="1" applyBorder="1" applyAlignment="1">
      <alignment horizontal="center"/>
    </xf>
    <xf numFmtId="172" fontId="7" fillId="0" borderId="28" xfId="41" applyNumberFormat="1" applyFont="1" applyFill="1" applyBorder="1" applyAlignment="1">
      <alignment horizontal="center"/>
    </xf>
    <xf numFmtId="172" fontId="7" fillId="0" borderId="21" xfId="41" applyNumberFormat="1" applyFont="1" applyFill="1" applyBorder="1" applyAlignment="1">
      <alignment horizontal="center"/>
    </xf>
    <xf numFmtId="9" fontId="4" fillId="0" borderId="0" xfId="67" applyFont="1" applyFill="1" applyBorder="1" applyAlignment="1">
      <alignment horizontal="center"/>
    </xf>
    <xf numFmtId="9" fontId="4" fillId="0" borderId="12" xfId="67" applyFont="1" applyFill="1" applyBorder="1" applyAlignment="1">
      <alignment horizontal="center"/>
    </xf>
    <xf numFmtId="164" fontId="73" fillId="17" borderId="19" xfId="0" applyNumberFormat="1" applyFont="1" applyFill="1" applyBorder="1" applyAlignment="1">
      <alignment horizontal="center"/>
    </xf>
    <xf numFmtId="164" fontId="73" fillId="17" borderId="28" xfId="0" applyNumberFormat="1" applyFont="1" applyFill="1" applyBorder="1" applyAlignment="1">
      <alignment horizontal="center"/>
    </xf>
    <xf numFmtId="0" fontId="73" fillId="17" borderId="28" xfId="0" applyFont="1" applyFill="1" applyBorder="1"/>
    <xf numFmtId="43" fontId="4" fillId="0" borderId="0" xfId="41" applyFont="1" applyFill="1" applyBorder="1" applyAlignment="1">
      <alignment horizontal="center"/>
    </xf>
    <xf numFmtId="43" fontId="4" fillId="0" borderId="12" xfId="41" applyFont="1" applyFill="1" applyBorder="1" applyAlignment="1">
      <alignment horizontal="center"/>
    </xf>
    <xf numFmtId="180" fontId="4" fillId="0" borderId="12" xfId="0" applyNumberFormat="1" applyFont="1" applyFill="1" applyBorder="1" applyAlignment="1">
      <alignment horizontal="center"/>
    </xf>
    <xf numFmtId="180" fontId="4" fillId="0" borderId="14" xfId="0" applyNumberFormat="1" applyFont="1" applyFill="1" applyBorder="1" applyAlignment="1">
      <alignment horizontal="center"/>
    </xf>
    <xf numFmtId="180" fontId="4" fillId="0" borderId="17" xfId="0" applyNumberFormat="1" applyFont="1" applyFill="1" applyBorder="1" applyAlignment="1">
      <alignment horizontal="center"/>
    </xf>
    <xf numFmtId="9" fontId="25" fillId="0" borderId="0" xfId="67" applyFont="1" applyFill="1" applyBorder="1" applyAlignment="1">
      <alignment horizontal="center"/>
    </xf>
    <xf numFmtId="9" fontId="25" fillId="0" borderId="12" xfId="67" applyFont="1" applyFill="1" applyBorder="1" applyAlignment="1">
      <alignment horizontal="center"/>
    </xf>
    <xf numFmtId="164" fontId="25" fillId="0" borderId="0" xfId="0" applyNumberFormat="1" applyFont="1" applyFill="1" applyBorder="1" applyAlignment="1">
      <alignment horizontal="center"/>
    </xf>
    <xf numFmtId="171" fontId="25" fillId="0" borderId="14" xfId="0" applyNumberFormat="1" applyFont="1" applyFill="1" applyBorder="1" applyAlignment="1">
      <alignment horizontal="center"/>
    </xf>
    <xf numFmtId="171" fontId="25" fillId="0" borderId="0" xfId="0" applyNumberFormat="1" applyFont="1" applyFill="1" applyBorder="1" applyAlignment="1">
      <alignment horizontal="center"/>
    </xf>
    <xf numFmtId="9" fontId="25" fillId="0" borderId="17" xfId="0" applyNumberFormat="1" applyFont="1" applyFill="1" applyBorder="1" applyAlignment="1">
      <alignment horizontal="center"/>
    </xf>
    <xf numFmtId="9" fontId="25" fillId="0" borderId="17" xfId="67" applyFont="1" applyFill="1" applyBorder="1" applyAlignment="1">
      <alignment horizontal="center"/>
    </xf>
    <xf numFmtId="0" fontId="12" fillId="0" borderId="0" xfId="0" applyFont="1" applyFill="1" applyBorder="1"/>
    <xf numFmtId="164" fontId="40" fillId="0" borderId="0" xfId="0" applyNumberFormat="1" applyFont="1" applyFill="1" applyBorder="1" applyAlignment="1">
      <alignment horizontal="center"/>
    </xf>
    <xf numFmtId="164" fontId="12" fillId="0" borderId="0" xfId="0" applyNumberFormat="1" applyFont="1" applyFill="1" applyBorder="1" applyAlignment="1">
      <alignment horizontal="center"/>
    </xf>
    <xf numFmtId="43" fontId="12" fillId="0" borderId="0" xfId="41" applyFont="1" applyFill="1" applyBorder="1" applyAlignment="1">
      <alignment horizontal="center"/>
    </xf>
    <xf numFmtId="164" fontId="12" fillId="0" borderId="12" xfId="0" applyNumberFormat="1" applyFont="1" applyFill="1" applyBorder="1" applyAlignment="1">
      <alignment horizontal="center"/>
    </xf>
    <xf numFmtId="164" fontId="38" fillId="0" borderId="12" xfId="0" applyNumberFormat="1" applyFont="1" applyFill="1" applyBorder="1" applyAlignment="1">
      <alignment horizontal="center"/>
    </xf>
    <xf numFmtId="43" fontId="25" fillId="0" borderId="0" xfId="41" applyFont="1" applyFill="1" applyBorder="1" applyAlignment="1">
      <alignment horizontal="center"/>
    </xf>
    <xf numFmtId="186" fontId="12" fillId="0" borderId="0" xfId="41" applyNumberFormat="1" applyFont="1" applyFill="1" applyBorder="1" applyAlignment="1">
      <alignment horizontal="center"/>
    </xf>
    <xf numFmtId="9" fontId="38" fillId="0" borderId="12" xfId="0" applyNumberFormat="1" applyFont="1" applyFill="1" applyBorder="1" applyAlignment="1">
      <alignment horizontal="center"/>
    </xf>
    <xf numFmtId="186" fontId="25" fillId="0" borderId="0" xfId="41" applyNumberFormat="1" applyFont="1" applyFill="1" applyBorder="1" applyAlignment="1">
      <alignment horizontal="center"/>
    </xf>
    <xf numFmtId="164" fontId="12" fillId="0" borderId="14" xfId="0" applyNumberFormat="1" applyFont="1" applyFill="1" applyBorder="1" applyAlignment="1">
      <alignment horizontal="center"/>
    </xf>
    <xf numFmtId="180" fontId="12" fillId="0" borderId="0" xfId="0" applyNumberFormat="1" applyFont="1" applyFill="1" applyBorder="1" applyAlignment="1">
      <alignment horizontal="center"/>
    </xf>
    <xf numFmtId="164" fontId="66" fillId="0" borderId="15" xfId="0" applyNumberFormat="1" applyFont="1" applyFill="1" applyBorder="1" applyAlignment="1">
      <alignment horizontal="center"/>
    </xf>
    <xf numFmtId="164" fontId="4" fillId="0" borderId="15" xfId="0" applyNumberFormat="1" applyFont="1" applyFill="1" applyBorder="1" applyAlignment="1">
      <alignment horizontal="center"/>
    </xf>
    <xf numFmtId="164" fontId="7" fillId="0" borderId="11" xfId="0" applyNumberFormat="1" applyFont="1" applyFill="1" applyBorder="1" applyAlignment="1">
      <alignment horizontal="center"/>
    </xf>
    <xf numFmtId="164" fontId="4" fillId="0" borderId="11" xfId="0" applyNumberFormat="1" applyFont="1" applyFill="1" applyBorder="1" applyAlignment="1">
      <alignment horizontal="center"/>
    </xf>
    <xf numFmtId="190" fontId="4" fillId="0" borderId="11" xfId="0" applyNumberFormat="1" applyFont="1" applyFill="1" applyBorder="1" applyAlignment="1">
      <alignment horizontal="center"/>
    </xf>
    <xf numFmtId="190" fontId="25" fillId="0" borderId="24" xfId="0" applyNumberFormat="1" applyFont="1" applyFill="1" applyBorder="1" applyAlignment="1">
      <alignment horizontal="center"/>
    </xf>
    <xf numFmtId="9" fontId="25" fillId="0" borderId="11" xfId="67" applyFont="1" applyFill="1" applyBorder="1" applyAlignment="1">
      <alignment horizontal="center"/>
    </xf>
    <xf numFmtId="171" fontId="25" fillId="0" borderId="24" xfId="67" applyNumberFormat="1" applyFont="1" applyFill="1" applyBorder="1" applyAlignment="1">
      <alignment horizontal="center"/>
    </xf>
    <xf numFmtId="171" fontId="4" fillId="0" borderId="11" xfId="0" applyNumberFormat="1" applyFont="1" applyFill="1" applyBorder="1" applyAlignment="1">
      <alignment horizontal="center"/>
    </xf>
    <xf numFmtId="171" fontId="25" fillId="0" borderId="11" xfId="0" applyNumberFormat="1" applyFont="1" applyFill="1" applyBorder="1" applyAlignment="1">
      <alignment horizontal="center"/>
    </xf>
    <xf numFmtId="171" fontId="25" fillId="0" borderId="24" xfId="0" applyNumberFormat="1" applyFont="1" applyFill="1" applyBorder="1" applyAlignment="1">
      <alignment horizontal="center"/>
    </xf>
    <xf numFmtId="171" fontId="25" fillId="0" borderId="18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center"/>
    </xf>
    <xf numFmtId="0" fontId="15" fillId="0" borderId="0" xfId="0" applyFont="1" applyFill="1" applyBorder="1"/>
    <xf numFmtId="164" fontId="15" fillId="0" borderId="0" xfId="0" applyNumberFormat="1" applyFont="1" applyFill="1" applyBorder="1" applyAlignment="1">
      <alignment horizontal="center"/>
    </xf>
    <xf numFmtId="190" fontId="15" fillId="0" borderId="0" xfId="42" applyNumberFormat="1" applyFont="1" applyFill="1" applyBorder="1" applyAlignment="1">
      <alignment horizontal="center"/>
    </xf>
    <xf numFmtId="190" fontId="15" fillId="0" borderId="0" xfId="0" applyNumberFormat="1" applyFont="1" applyFill="1" applyBorder="1" applyAlignment="1">
      <alignment horizontal="center"/>
    </xf>
    <xf numFmtId="9" fontId="15" fillId="0" borderId="0" xfId="0" applyNumberFormat="1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73" fillId="17" borderId="0" xfId="0" applyFont="1" applyFill="1"/>
    <xf numFmtId="164" fontId="73" fillId="17" borderId="0" xfId="0" applyNumberFormat="1" applyFont="1" applyFill="1" applyBorder="1" applyAlignment="1">
      <alignment horizontal="center"/>
    </xf>
    <xf numFmtId="164" fontId="73" fillId="17" borderId="0" xfId="0" applyNumberFormat="1" applyFont="1" applyFill="1" applyAlignment="1">
      <alignment horizontal="center"/>
    </xf>
    <xf numFmtId="164" fontId="73" fillId="17" borderId="16" xfId="0" applyNumberFormat="1" applyFont="1" applyFill="1" applyBorder="1" applyAlignment="1">
      <alignment horizontal="center"/>
    </xf>
    <xf numFmtId="0" fontId="73" fillId="17" borderId="16" xfId="0" applyFont="1" applyFill="1" applyBorder="1"/>
    <xf numFmtId="164" fontId="4" fillId="0" borderId="24" xfId="0" applyNumberFormat="1" applyFont="1" applyFill="1" applyBorder="1" applyAlignment="1">
      <alignment horizontal="center"/>
    </xf>
    <xf numFmtId="9" fontId="4" fillId="0" borderId="0" xfId="67" applyNumberFormat="1" applyFont="1" applyFill="1" applyBorder="1" applyAlignment="1">
      <alignment horizontal="center"/>
    </xf>
    <xf numFmtId="164" fontId="4" fillId="0" borderId="16" xfId="0" applyNumberFormat="1" applyFont="1" applyFill="1" applyBorder="1" applyAlignment="1">
      <alignment horizontal="center"/>
    </xf>
    <xf numFmtId="164" fontId="4" fillId="0" borderId="12" xfId="0" applyNumberFormat="1" applyFont="1" applyFill="1" applyBorder="1" applyAlignment="1">
      <alignment horizontal="center"/>
    </xf>
    <xf numFmtId="9" fontId="4" fillId="0" borderId="14" xfId="67" applyFont="1" applyFill="1" applyBorder="1" applyAlignment="1">
      <alignment horizontal="center"/>
    </xf>
    <xf numFmtId="0" fontId="7" fillId="0" borderId="0" xfId="0" applyFont="1" applyFill="1"/>
    <xf numFmtId="164" fontId="7" fillId="19" borderId="11" xfId="0" applyNumberFormat="1" applyFont="1" applyFill="1" applyBorder="1" applyAlignment="1">
      <alignment horizontal="center"/>
    </xf>
    <xf numFmtId="164" fontId="4" fillId="19" borderId="11" xfId="0" applyNumberFormat="1" applyFont="1" applyFill="1" applyBorder="1" applyAlignment="1">
      <alignment horizontal="center"/>
    </xf>
    <xf numFmtId="190" fontId="4" fillId="19" borderId="11" xfId="0" applyNumberFormat="1" applyFont="1" applyFill="1" applyBorder="1" applyAlignment="1">
      <alignment horizontal="center"/>
    </xf>
    <xf numFmtId="190" fontId="25" fillId="19" borderId="24" xfId="0" applyNumberFormat="1" applyFont="1" applyFill="1" applyBorder="1" applyAlignment="1">
      <alignment horizontal="center"/>
    </xf>
    <xf numFmtId="9" fontId="25" fillId="19" borderId="11" xfId="67" applyFont="1" applyFill="1" applyBorder="1" applyAlignment="1">
      <alignment horizontal="center"/>
    </xf>
    <xf numFmtId="171" fontId="25" fillId="19" borderId="24" xfId="67" applyNumberFormat="1" applyFont="1" applyFill="1" applyBorder="1" applyAlignment="1">
      <alignment horizontal="center"/>
    </xf>
    <xf numFmtId="171" fontId="4" fillId="19" borderId="11" xfId="0" applyNumberFormat="1" applyFont="1" applyFill="1" applyBorder="1" applyAlignment="1">
      <alignment horizontal="center"/>
    </xf>
    <xf numFmtId="171" fontId="25" fillId="19" borderId="11" xfId="0" applyNumberFormat="1" applyFont="1" applyFill="1" applyBorder="1" applyAlignment="1">
      <alignment horizontal="center"/>
    </xf>
    <xf numFmtId="171" fontId="25" fillId="19" borderId="24" xfId="0" applyNumberFormat="1" applyFont="1" applyFill="1" applyBorder="1" applyAlignment="1">
      <alignment horizontal="center"/>
    </xf>
    <xf numFmtId="171" fontId="25" fillId="19" borderId="18" xfId="0" applyNumberFormat="1" applyFont="1" applyFill="1" applyBorder="1" applyAlignment="1">
      <alignment horizontal="center"/>
    </xf>
    <xf numFmtId="0" fontId="73" fillId="17" borderId="0" xfId="0" applyFont="1" applyFill="1" applyBorder="1"/>
    <xf numFmtId="164" fontId="33" fillId="0" borderId="0" xfId="0" applyNumberFormat="1" applyFont="1" applyFill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/>
    </xf>
    <xf numFmtId="164" fontId="11" fillId="0" borderId="0" xfId="0" applyNumberFormat="1" applyFont="1" applyFill="1" applyAlignment="1">
      <alignment horizontal="center"/>
    </xf>
    <xf numFmtId="172" fontId="11" fillId="0" borderId="15" xfId="41" applyNumberFormat="1" applyFont="1" applyFill="1" applyBorder="1" applyAlignment="1">
      <alignment horizontal="center"/>
    </xf>
    <xf numFmtId="172" fontId="11" fillId="0" borderId="16" xfId="41" applyNumberFormat="1" applyFont="1" applyFill="1" applyBorder="1" applyAlignment="1">
      <alignment horizontal="center"/>
    </xf>
    <xf numFmtId="172" fontId="11" fillId="0" borderId="13" xfId="41" applyNumberFormat="1" applyFont="1" applyFill="1" applyBorder="1" applyAlignment="1">
      <alignment horizontal="center"/>
    </xf>
    <xf numFmtId="9" fontId="13" fillId="0" borderId="12" xfId="0" applyNumberFormat="1" applyFont="1" applyFill="1" applyBorder="1" applyAlignment="1">
      <alignment horizontal="center"/>
    </xf>
    <xf numFmtId="9" fontId="22" fillId="0" borderId="14" xfId="0" applyNumberFormat="1" applyFont="1" applyFill="1" applyBorder="1" applyAlignment="1">
      <alignment horizontal="center"/>
    </xf>
    <xf numFmtId="9" fontId="22" fillId="0" borderId="0" xfId="0" applyNumberFormat="1" applyFont="1" applyFill="1" applyBorder="1" applyAlignment="1">
      <alignment horizontal="center"/>
    </xf>
    <xf numFmtId="9" fontId="13" fillId="0" borderId="14" xfId="0" applyNumberFormat="1" applyFont="1" applyFill="1" applyBorder="1" applyAlignment="1">
      <alignment horizontal="center"/>
    </xf>
    <xf numFmtId="9" fontId="13" fillId="0" borderId="0" xfId="0" applyNumberFormat="1" applyFont="1" applyFill="1" applyBorder="1" applyAlignment="1">
      <alignment horizontal="center"/>
    </xf>
    <xf numFmtId="172" fontId="11" fillId="0" borderId="0" xfId="41" applyNumberFormat="1" applyFont="1" applyFill="1" applyBorder="1" applyAlignment="1">
      <alignment horizontal="center"/>
    </xf>
    <xf numFmtId="172" fontId="11" fillId="0" borderId="12" xfId="41" applyNumberFormat="1" applyFont="1" applyFill="1" applyBorder="1" applyAlignment="1">
      <alignment horizontal="center"/>
    </xf>
    <xf numFmtId="172" fontId="11" fillId="0" borderId="14" xfId="41" applyNumberFormat="1" applyFont="1" applyFill="1" applyBorder="1" applyAlignment="1">
      <alignment horizontal="center"/>
    </xf>
    <xf numFmtId="164" fontId="13" fillId="0" borderId="0" xfId="0" applyNumberFormat="1" applyFont="1" applyFill="1" applyBorder="1" applyAlignment="1">
      <alignment horizontal="center"/>
    </xf>
    <xf numFmtId="0" fontId="11" fillId="0" borderId="13" xfId="0" applyFont="1" applyFill="1" applyBorder="1"/>
    <xf numFmtId="164" fontId="33" fillId="0" borderId="15" xfId="0" applyNumberFormat="1" applyFont="1" applyFill="1" applyBorder="1" applyAlignment="1">
      <alignment horizontal="center"/>
    </xf>
    <xf numFmtId="164" fontId="11" fillId="0" borderId="15" xfId="0" applyNumberFormat="1" applyFont="1" applyFill="1" applyBorder="1" applyAlignment="1">
      <alignment horizontal="center"/>
    </xf>
    <xf numFmtId="0" fontId="13" fillId="0" borderId="14" xfId="0" applyFont="1" applyFill="1" applyBorder="1"/>
    <xf numFmtId="0" fontId="66" fillId="17" borderId="16" xfId="0" applyFont="1" applyFill="1" applyBorder="1" applyAlignment="1">
      <alignment wrapText="1"/>
    </xf>
    <xf numFmtId="0" fontId="11" fillId="0" borderId="16" xfId="0" applyFont="1" applyFill="1" applyBorder="1"/>
    <xf numFmtId="164" fontId="66" fillId="17" borderId="13" xfId="0" applyNumberFormat="1" applyFont="1" applyFill="1" applyBorder="1" applyAlignment="1">
      <alignment horizontal="center"/>
    </xf>
    <xf numFmtId="164" fontId="66" fillId="17" borderId="15" xfId="0" applyNumberFormat="1" applyFont="1" applyFill="1" applyBorder="1" applyAlignment="1">
      <alignment horizontal="center"/>
    </xf>
    <xf numFmtId="164" fontId="33" fillId="0" borderId="13" xfId="0" applyNumberFormat="1" applyFont="1" applyFill="1" applyBorder="1" applyAlignment="1">
      <alignment horizontal="center"/>
    </xf>
    <xf numFmtId="164" fontId="62" fillId="0" borderId="14" xfId="0" applyNumberFormat="1" applyFont="1" applyFill="1" applyBorder="1" applyAlignment="1">
      <alignment horizontal="center"/>
    </xf>
    <xf numFmtId="164" fontId="33" fillId="0" borderId="14" xfId="0" applyNumberFormat="1" applyFont="1" applyFill="1" applyBorder="1" applyAlignment="1">
      <alignment horizontal="center"/>
    </xf>
    <xf numFmtId="164" fontId="66" fillId="0" borderId="21" xfId="0" applyNumberFormat="1" applyFont="1" applyFill="1" applyBorder="1" applyAlignment="1">
      <alignment horizontal="center"/>
    </xf>
    <xf numFmtId="164" fontId="66" fillId="0" borderId="19" xfId="0" applyNumberFormat="1" applyFont="1" applyFill="1" applyBorder="1" applyAlignment="1">
      <alignment horizontal="center"/>
    </xf>
    <xf numFmtId="164" fontId="11" fillId="0" borderId="16" xfId="0" applyNumberFormat="1" applyFont="1" applyFill="1" applyBorder="1" applyAlignment="1">
      <alignment horizontal="center"/>
    </xf>
    <xf numFmtId="164" fontId="13" fillId="0" borderId="12" xfId="0" applyNumberFormat="1" applyFont="1" applyFill="1" applyBorder="1" applyAlignment="1">
      <alignment horizontal="center"/>
    </xf>
    <xf numFmtId="164" fontId="11" fillId="0" borderId="12" xfId="0" applyNumberFormat="1" applyFont="1" applyFill="1" applyBorder="1" applyAlignment="1">
      <alignment horizontal="center"/>
    </xf>
    <xf numFmtId="164" fontId="4" fillId="0" borderId="28" xfId="0" applyNumberFormat="1" applyFont="1" applyFill="1" applyBorder="1" applyAlignment="1">
      <alignment horizontal="center"/>
    </xf>
    <xf numFmtId="0" fontId="7" fillId="0" borderId="28" xfId="0" applyFont="1" applyFill="1" applyBorder="1"/>
    <xf numFmtId="164" fontId="4" fillId="0" borderId="19" xfId="0" applyNumberFormat="1" applyFont="1" applyFill="1" applyBorder="1" applyAlignment="1">
      <alignment horizontal="center"/>
    </xf>
    <xf numFmtId="164" fontId="66" fillId="0" borderId="14" xfId="0" applyNumberFormat="1" applyFont="1" applyFill="1" applyBorder="1" applyAlignment="1">
      <alignment horizontal="center"/>
    </xf>
    <xf numFmtId="0" fontId="38" fillId="0" borderId="12" xfId="0" applyFont="1" applyFill="1" applyBorder="1" applyAlignment="1">
      <alignment horizontal="left" indent="1"/>
    </xf>
    <xf numFmtId="164" fontId="73" fillId="17" borderId="25" xfId="0" applyNumberFormat="1" applyFont="1" applyFill="1" applyBorder="1" applyAlignment="1">
      <alignment horizontal="center"/>
    </xf>
    <xf numFmtId="164" fontId="40" fillId="0" borderId="14" xfId="0" applyNumberFormat="1" applyFont="1" applyFill="1" applyBorder="1" applyAlignment="1">
      <alignment horizontal="center"/>
    </xf>
    <xf numFmtId="164" fontId="12" fillId="0" borderId="17" xfId="0" applyNumberFormat="1" applyFont="1" applyFill="1" applyBorder="1" applyAlignment="1">
      <alignment horizontal="center"/>
    </xf>
    <xf numFmtId="164" fontId="7" fillId="0" borderId="18" xfId="0" applyNumberFormat="1" applyFont="1" applyFill="1" applyBorder="1" applyAlignment="1">
      <alignment horizontal="center"/>
    </xf>
    <xf numFmtId="164" fontId="7" fillId="19" borderId="18" xfId="0" applyNumberFormat="1" applyFont="1" applyFill="1" applyBorder="1" applyAlignment="1">
      <alignment horizontal="center"/>
    </xf>
    <xf numFmtId="164" fontId="4" fillId="19" borderId="24" xfId="0" applyNumberFormat="1" applyFont="1" applyFill="1" applyBorder="1" applyAlignment="1">
      <alignment horizontal="center"/>
    </xf>
    <xf numFmtId="43" fontId="4" fillId="0" borderId="14" xfId="41" applyFont="1" applyFill="1" applyBorder="1" applyAlignment="1">
      <alignment horizontal="center"/>
    </xf>
    <xf numFmtId="164" fontId="73" fillId="17" borderId="21" xfId="0" applyNumberFormat="1" applyFont="1" applyFill="1" applyBorder="1" applyAlignment="1">
      <alignment horizontal="center"/>
    </xf>
    <xf numFmtId="43" fontId="4" fillId="0" borderId="17" xfId="41" applyFont="1" applyFill="1" applyBorder="1" applyAlignment="1">
      <alignment horizontal="center"/>
    </xf>
    <xf numFmtId="186" fontId="12" fillId="0" borderId="14" xfId="41" applyNumberFormat="1" applyFont="1" applyFill="1" applyBorder="1" applyAlignment="1">
      <alignment horizontal="center"/>
    </xf>
    <xf numFmtId="43" fontId="12" fillId="0" borderId="17" xfId="41" applyFont="1" applyFill="1" applyBorder="1" applyAlignment="1">
      <alignment horizontal="center"/>
    </xf>
    <xf numFmtId="9" fontId="25" fillId="0" borderId="18" xfId="67" applyFont="1" applyFill="1" applyBorder="1" applyAlignment="1">
      <alignment horizontal="center"/>
    </xf>
    <xf numFmtId="9" fontId="25" fillId="0" borderId="23" xfId="67" applyFont="1" applyFill="1" applyBorder="1" applyAlignment="1">
      <alignment horizontal="center"/>
    </xf>
    <xf numFmtId="9" fontId="25" fillId="19" borderId="18" xfId="67" applyFont="1" applyFill="1" applyBorder="1" applyAlignment="1">
      <alignment horizontal="center"/>
    </xf>
    <xf numFmtId="9" fontId="25" fillId="19" borderId="23" xfId="67" applyFont="1" applyFill="1" applyBorder="1" applyAlignment="1">
      <alignment horizontal="center"/>
    </xf>
    <xf numFmtId="9" fontId="25" fillId="0" borderId="14" xfId="67" applyFont="1" applyFill="1" applyBorder="1" applyAlignment="1">
      <alignment horizontal="center"/>
    </xf>
    <xf numFmtId="186" fontId="25" fillId="0" borderId="14" xfId="41" applyNumberFormat="1" applyFont="1" applyFill="1" applyBorder="1" applyAlignment="1">
      <alignment horizontal="center"/>
    </xf>
    <xf numFmtId="181" fontId="7" fillId="0" borderId="0" xfId="0" applyNumberFormat="1" applyFont="1" applyFill="1" applyBorder="1" applyAlignment="1">
      <alignment horizontal="center"/>
    </xf>
    <xf numFmtId="182" fontId="7" fillId="0" borderId="12" xfId="0" applyNumberFormat="1" applyFont="1" applyFill="1" applyBorder="1" applyAlignment="1">
      <alignment horizontal="center"/>
    </xf>
    <xf numFmtId="182" fontId="7" fillId="0" borderId="0" xfId="0" applyNumberFormat="1" applyFont="1" applyFill="1" applyBorder="1" applyAlignment="1">
      <alignment horizontal="center"/>
    </xf>
    <xf numFmtId="182" fontId="7" fillId="0" borderId="14" xfId="41" applyNumberFormat="1" applyFont="1" applyFill="1" applyBorder="1" applyAlignment="1">
      <alignment horizontal="center"/>
    </xf>
    <xf numFmtId="182" fontId="7" fillId="0" borderId="0" xfId="41" applyNumberFormat="1" applyFont="1" applyFill="1" applyBorder="1" applyAlignment="1">
      <alignment horizontal="center"/>
    </xf>
    <xf numFmtId="182" fontId="7" fillId="0" borderId="17" xfId="41" applyNumberFormat="1" applyFont="1" applyFill="1" applyBorder="1" applyAlignment="1">
      <alignment horizontal="center"/>
    </xf>
    <xf numFmtId="164" fontId="4" fillId="19" borderId="12" xfId="0" applyNumberFormat="1" applyFont="1" applyFill="1" applyBorder="1" applyAlignment="1">
      <alignment horizontal="center"/>
    </xf>
    <xf numFmtId="164" fontId="4" fillId="19" borderId="0" xfId="0" applyNumberFormat="1" applyFont="1" applyFill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190" fontId="25" fillId="0" borderId="12" xfId="0" applyNumberFormat="1" applyFont="1" applyFill="1" applyBorder="1" applyAlignment="1">
      <alignment horizontal="center"/>
    </xf>
    <xf numFmtId="190" fontId="4" fillId="0" borderId="0" xfId="0" applyNumberFormat="1" applyFont="1" applyFill="1" applyBorder="1" applyAlignment="1">
      <alignment horizontal="center"/>
    </xf>
    <xf numFmtId="171" fontId="25" fillId="0" borderId="12" xfId="67" applyNumberFormat="1" applyFont="1" applyFill="1" applyBorder="1" applyAlignment="1">
      <alignment horizontal="center"/>
    </xf>
    <xf numFmtId="171" fontId="25" fillId="0" borderId="12" xfId="0" applyNumberFormat="1" applyFont="1" applyFill="1" applyBorder="1" applyAlignment="1">
      <alignment horizontal="center"/>
    </xf>
    <xf numFmtId="0" fontId="66" fillId="17" borderId="16" xfId="0" applyFont="1" applyFill="1" applyBorder="1"/>
    <xf numFmtId="164" fontId="66" fillId="17" borderId="16" xfId="0" applyNumberFormat="1" applyFont="1" applyFill="1" applyBorder="1" applyAlignment="1">
      <alignment horizontal="center"/>
    </xf>
    <xf numFmtId="164" fontId="73" fillId="17" borderId="15" xfId="0" applyNumberFormat="1" applyFont="1" applyFill="1" applyBorder="1" applyAlignment="1">
      <alignment horizontal="center"/>
    </xf>
    <xf numFmtId="164" fontId="73" fillId="17" borderId="13" xfId="0" applyNumberFormat="1" applyFont="1" applyFill="1" applyBorder="1" applyAlignment="1">
      <alignment horizontal="center"/>
    </xf>
    <xf numFmtId="0" fontId="4" fillId="19" borderId="19" xfId="0" applyFont="1" applyFill="1" applyBorder="1"/>
    <xf numFmtId="0" fontId="7" fillId="0" borderId="14" xfId="0" applyFont="1" applyFill="1" applyBorder="1"/>
    <xf numFmtId="0" fontId="7" fillId="0" borderId="21" xfId="0" applyFont="1" applyFill="1" applyBorder="1"/>
    <xf numFmtId="188" fontId="4" fillId="0" borderId="14" xfId="0" applyNumberFormat="1" applyFont="1" applyFill="1" applyBorder="1"/>
    <xf numFmtId="188" fontId="4" fillId="0" borderId="0" xfId="0" applyNumberFormat="1" applyFont="1" applyFill="1" applyBorder="1"/>
    <xf numFmtId="188" fontId="4" fillId="0" borderId="12" xfId="0" applyNumberFormat="1" applyFont="1" applyFill="1" applyBorder="1"/>
    <xf numFmtId="188" fontId="4" fillId="0" borderId="13" xfId="42" applyNumberFormat="1" applyFont="1" applyFill="1" applyBorder="1" applyAlignment="1">
      <alignment horizontal="right"/>
    </xf>
    <xf numFmtId="188" fontId="4" fillId="0" borderId="15" xfId="42" applyNumberFormat="1" applyFont="1" applyFill="1" applyBorder="1" applyAlignment="1">
      <alignment horizontal="right"/>
    </xf>
    <xf numFmtId="188" fontId="4" fillId="0" borderId="27" xfId="42" applyNumberFormat="1" applyFont="1" applyFill="1" applyBorder="1" applyAlignment="1">
      <alignment horizontal="right"/>
    </xf>
    <xf numFmtId="188" fontId="4" fillId="0" borderId="16" xfId="42" applyNumberFormat="1" applyFont="1" applyFill="1" applyBorder="1" applyAlignment="1">
      <alignment horizontal="right"/>
    </xf>
    <xf numFmtId="188" fontId="4" fillId="0" borderId="13" xfId="42" applyNumberFormat="1" applyFont="1" applyFill="1" applyBorder="1"/>
    <xf numFmtId="188" fontId="4" fillId="0" borderId="15" xfId="42" applyNumberFormat="1" applyFont="1" applyFill="1" applyBorder="1"/>
    <xf numFmtId="188" fontId="4" fillId="0" borderId="27" xfId="42" applyNumberFormat="1" applyFont="1" applyFill="1" applyBorder="1"/>
    <xf numFmtId="188" fontId="4" fillId="0" borderId="16" xfId="42" applyNumberFormat="1" applyFont="1" applyFill="1" applyBorder="1"/>
    <xf numFmtId="188" fontId="4" fillId="0" borderId="14" xfId="42" applyNumberFormat="1" applyFont="1" applyFill="1" applyBorder="1" applyAlignment="1">
      <alignment horizontal="right"/>
    </xf>
    <xf numFmtId="188" fontId="4" fillId="0" borderId="0" xfId="42" applyNumberFormat="1" applyFont="1" applyFill="1" applyBorder="1" applyAlignment="1">
      <alignment horizontal="right"/>
    </xf>
    <xf numFmtId="188" fontId="4" fillId="0" borderId="17" xfId="42" applyNumberFormat="1" applyFont="1" applyFill="1" applyBorder="1" applyAlignment="1">
      <alignment horizontal="right"/>
    </xf>
    <xf numFmtId="188" fontId="4" fillId="0" borderId="12" xfId="42" applyNumberFormat="1" applyFont="1" applyFill="1" applyBorder="1" applyAlignment="1">
      <alignment horizontal="right"/>
    </xf>
    <xf numFmtId="188" fontId="4" fillId="0" borderId="14" xfId="0" applyNumberFormat="1" applyFont="1" applyFill="1" applyBorder="1" applyAlignment="1">
      <alignment horizontal="right"/>
    </xf>
    <xf numFmtId="188" fontId="4" fillId="0" borderId="0" xfId="0" applyNumberFormat="1" applyFont="1" applyFill="1" applyBorder="1" applyAlignment="1">
      <alignment horizontal="right"/>
    </xf>
    <xf numFmtId="188" fontId="4" fillId="0" borderId="12" xfId="0" applyNumberFormat="1" applyFont="1" applyFill="1" applyBorder="1" applyAlignment="1">
      <alignment horizontal="right"/>
    </xf>
    <xf numFmtId="188" fontId="4" fillId="0" borderId="14" xfId="42" applyNumberFormat="1" applyFont="1" applyFill="1" applyBorder="1"/>
    <xf numFmtId="188" fontId="4" fillId="0" borderId="0" xfId="42" applyNumberFormat="1" applyFont="1" applyFill="1" applyBorder="1"/>
    <xf numFmtId="188" fontId="4" fillId="0" borderId="17" xfId="42" applyNumberFormat="1" applyFont="1" applyFill="1" applyBorder="1"/>
    <xf numFmtId="188" fontId="4" fillId="0" borderId="12" xfId="42" applyNumberFormat="1" applyFont="1" applyFill="1" applyBorder="1"/>
    <xf numFmtId="188" fontId="4" fillId="0" borderId="18" xfId="0" applyNumberFormat="1" applyFont="1" applyFill="1" applyBorder="1"/>
    <xf numFmtId="188" fontId="4" fillId="0" borderId="11" xfId="0" applyNumberFormat="1" applyFont="1" applyFill="1" applyBorder="1"/>
    <xf numFmtId="188" fontId="4" fillId="0" borderId="24" xfId="0" applyNumberFormat="1" applyFont="1" applyFill="1" applyBorder="1"/>
    <xf numFmtId="188" fontId="4" fillId="0" borderId="18" xfId="42" applyNumberFormat="1" applyFont="1" applyFill="1" applyBorder="1" applyAlignment="1">
      <alignment horizontal="right"/>
    </xf>
    <xf numFmtId="188" fontId="4" fillId="0" borderId="11" xfId="42" applyNumberFormat="1" applyFont="1" applyFill="1" applyBorder="1" applyAlignment="1">
      <alignment horizontal="right"/>
    </xf>
    <xf numFmtId="188" fontId="4" fillId="0" borderId="23" xfId="42" applyNumberFormat="1" applyFont="1" applyFill="1" applyBorder="1" applyAlignment="1">
      <alignment horizontal="right"/>
    </xf>
    <xf numFmtId="188" fontId="4" fillId="0" borderId="24" xfId="42" applyNumberFormat="1" applyFont="1" applyFill="1" applyBorder="1" applyAlignment="1">
      <alignment horizontal="right"/>
    </xf>
    <xf numFmtId="188" fontId="4" fillId="0" borderId="18" xfId="42" applyNumberFormat="1" applyFont="1" applyFill="1" applyBorder="1"/>
    <xf numFmtId="188" fontId="4" fillId="0" borderId="11" xfId="42" applyNumberFormat="1" applyFont="1" applyFill="1" applyBorder="1"/>
    <xf numFmtId="188" fontId="4" fillId="0" borderId="23" xfId="42" applyNumberFormat="1" applyFont="1" applyFill="1" applyBorder="1"/>
    <xf numFmtId="188" fontId="4" fillId="0" borderId="24" xfId="42" applyNumberFormat="1" applyFont="1" applyFill="1" applyBorder="1"/>
    <xf numFmtId="0" fontId="4" fillId="0" borderId="0" xfId="62" applyFont="1" applyFill="1" applyBorder="1"/>
    <xf numFmtId="0" fontId="66" fillId="0" borderId="0" xfId="62" applyFont="1" applyFill="1" applyBorder="1" applyAlignment="1">
      <alignment horizontal="left"/>
    </xf>
    <xf numFmtId="0" fontId="66" fillId="0" borderId="0" xfId="62" applyFont="1" applyFill="1" applyBorder="1" applyAlignment="1">
      <alignment horizontal="right"/>
    </xf>
    <xf numFmtId="164" fontId="10" fillId="0" borderId="0" xfId="61" applyNumberFormat="1" applyFont="1" applyFill="1" applyBorder="1" applyAlignment="1" applyProtection="1">
      <alignment horizontal="center"/>
    </xf>
    <xf numFmtId="0" fontId="66" fillId="17" borderId="0" xfId="62" applyFont="1" applyFill="1" applyBorder="1" applyAlignment="1">
      <alignment horizontal="left"/>
    </xf>
    <xf numFmtId="164" fontId="73" fillId="17" borderId="0" xfId="62" applyNumberFormat="1" applyFont="1" applyFill="1" applyBorder="1" applyAlignment="1">
      <alignment horizontal="center"/>
    </xf>
    <xf numFmtId="164" fontId="73" fillId="17" borderId="17" xfId="62" applyNumberFormat="1" applyFont="1" applyFill="1" applyBorder="1" applyAlignment="1">
      <alignment horizontal="center"/>
    </xf>
    <xf numFmtId="164" fontId="73" fillId="17" borderId="14" xfId="62" applyNumberFormat="1" applyFont="1" applyFill="1" applyBorder="1" applyAlignment="1">
      <alignment horizontal="center"/>
    </xf>
    <xf numFmtId="0" fontId="73" fillId="17" borderId="0" xfId="62" applyFont="1" applyFill="1" applyBorder="1"/>
    <xf numFmtId="164" fontId="73" fillId="17" borderId="12" xfId="62" applyNumberFormat="1" applyFont="1" applyFill="1" applyBorder="1" applyAlignment="1">
      <alignment horizontal="center"/>
    </xf>
    <xf numFmtId="0" fontId="66" fillId="17" borderId="13" xfId="62" applyFont="1" applyFill="1" applyBorder="1" applyAlignment="1">
      <alignment horizontal="left"/>
    </xf>
    <xf numFmtId="171" fontId="18" fillId="0" borderId="13" xfId="62" applyNumberFormat="1" applyFont="1" applyFill="1" applyBorder="1" applyAlignment="1">
      <alignment horizontal="right"/>
    </xf>
    <xf numFmtId="171" fontId="18" fillId="0" borderId="15" xfId="62" applyNumberFormat="1" applyFont="1" applyFill="1" applyBorder="1" applyAlignment="1">
      <alignment horizontal="right"/>
    </xf>
    <xf numFmtId="171" fontId="18" fillId="0" borderId="27" xfId="62" applyNumberFormat="1" applyFont="1" applyFill="1" applyBorder="1" applyAlignment="1">
      <alignment horizontal="right"/>
    </xf>
    <xf numFmtId="171" fontId="18" fillId="0" borderId="16" xfId="62" applyNumberFormat="1" applyFont="1" applyFill="1" applyBorder="1" applyAlignment="1">
      <alignment horizontal="right"/>
    </xf>
    <xf numFmtId="171" fontId="18" fillId="0" borderId="14" xfId="62" applyNumberFormat="1" applyFont="1" applyFill="1" applyBorder="1" applyAlignment="1">
      <alignment horizontal="right"/>
    </xf>
    <xf numFmtId="171" fontId="18" fillId="0" borderId="0" xfId="62" applyNumberFormat="1" applyFont="1" applyFill="1" applyBorder="1" applyAlignment="1">
      <alignment horizontal="right"/>
    </xf>
    <xf numFmtId="171" fontId="18" fillId="0" borderId="17" xfId="62" applyNumberFormat="1" applyFont="1" applyFill="1" applyBorder="1" applyAlignment="1">
      <alignment horizontal="right"/>
    </xf>
    <xf numFmtId="171" fontId="18" fillId="0" borderId="12" xfId="62" applyNumberFormat="1" applyFont="1" applyFill="1" applyBorder="1" applyAlignment="1">
      <alignment horizontal="right"/>
    </xf>
    <xf numFmtId="171" fontId="40" fillId="0" borderId="21" xfId="62" applyNumberFormat="1" applyFont="1" applyFill="1" applyBorder="1" applyAlignment="1">
      <alignment horizontal="right"/>
    </xf>
    <xf numFmtId="171" fontId="40" fillId="0" borderId="19" xfId="62" applyNumberFormat="1" applyFont="1" applyFill="1" applyBorder="1" applyAlignment="1">
      <alignment horizontal="right"/>
    </xf>
    <xf numFmtId="171" fontId="40" fillId="0" borderId="28" xfId="62" applyNumberFormat="1" applyFont="1" applyFill="1" applyBorder="1" applyAlignment="1">
      <alignment horizontal="right"/>
    </xf>
    <xf numFmtId="0" fontId="4" fillId="0" borderId="0" xfId="0" applyFont="1" applyFill="1" applyAlignment="1">
      <alignment horizontal="right"/>
    </xf>
    <xf numFmtId="164" fontId="73" fillId="17" borderId="13" xfId="62" applyNumberFormat="1" applyFont="1" applyFill="1" applyBorder="1" applyAlignment="1">
      <alignment horizontal="right"/>
    </xf>
    <xf numFmtId="164" fontId="73" fillId="17" borderId="15" xfId="62" applyNumberFormat="1" applyFont="1" applyFill="1" applyBorder="1" applyAlignment="1">
      <alignment horizontal="right"/>
    </xf>
    <xf numFmtId="164" fontId="73" fillId="17" borderId="27" xfId="62" applyNumberFormat="1" applyFont="1" applyFill="1" applyBorder="1" applyAlignment="1">
      <alignment horizontal="right"/>
    </xf>
    <xf numFmtId="177" fontId="18" fillId="0" borderId="16" xfId="41" applyNumberFormat="1" applyFont="1" applyFill="1" applyBorder="1" applyAlignment="1">
      <alignment horizontal="right"/>
    </xf>
    <xf numFmtId="177" fontId="18" fillId="0" borderId="12" xfId="41" applyNumberFormat="1" applyFont="1" applyFill="1" applyBorder="1" applyAlignment="1">
      <alignment horizontal="right"/>
    </xf>
    <xf numFmtId="0" fontId="66" fillId="17" borderId="16" xfId="62" applyFont="1" applyFill="1" applyBorder="1" applyAlignment="1">
      <alignment horizontal="left"/>
    </xf>
    <xf numFmtId="172" fontId="11" fillId="0" borderId="16" xfId="62" applyNumberFormat="1" applyFont="1" applyFill="1" applyBorder="1" applyAlignment="1">
      <alignment horizontal="left"/>
    </xf>
    <xf numFmtId="172" fontId="11" fillId="0" borderId="12" xfId="62" applyNumberFormat="1" applyFont="1" applyFill="1" applyBorder="1" applyAlignment="1">
      <alignment horizontal="left"/>
    </xf>
    <xf numFmtId="9" fontId="66" fillId="0" borderId="15" xfId="67" applyFont="1" applyFill="1" applyBorder="1" applyAlignment="1">
      <alignment horizontal="right"/>
    </xf>
    <xf numFmtId="9" fontId="40" fillId="0" borderId="15" xfId="67" applyFont="1" applyFill="1" applyBorder="1" applyAlignment="1">
      <alignment horizontal="right"/>
    </xf>
    <xf numFmtId="9" fontId="40" fillId="0" borderId="27" xfId="67" applyFont="1" applyFill="1" applyBorder="1" applyAlignment="1">
      <alignment horizontal="right"/>
    </xf>
    <xf numFmtId="9" fontId="40" fillId="0" borderId="16" xfId="67" applyFont="1" applyFill="1" applyBorder="1" applyAlignment="1">
      <alignment horizontal="right"/>
    </xf>
    <xf numFmtId="9" fontId="4" fillId="0" borderId="15" xfId="67" applyFont="1" applyFill="1" applyBorder="1" applyAlignment="1">
      <alignment horizontal="right"/>
    </xf>
    <xf numFmtId="9" fontId="40" fillId="0" borderId="13" xfId="67" applyFont="1" applyFill="1" applyBorder="1" applyAlignment="1">
      <alignment horizontal="right"/>
    </xf>
    <xf numFmtId="164" fontId="73" fillId="17" borderId="28" xfId="62" applyNumberFormat="1" applyFont="1" applyFill="1" applyBorder="1" applyAlignment="1">
      <alignment horizontal="center"/>
    </xf>
    <xf numFmtId="0" fontId="11" fillId="0" borderId="29" xfId="0" applyFont="1" applyFill="1" applyBorder="1"/>
    <xf numFmtId="0" fontId="7" fillId="0" borderId="0" xfId="58" applyFont="1" applyFill="1" applyBorder="1" applyAlignment="1" applyProtection="1">
      <alignment horizontal="left"/>
    </xf>
    <xf numFmtId="0" fontId="10" fillId="0" borderId="13" xfId="0" applyFont="1" applyFill="1" applyBorder="1"/>
    <xf numFmtId="0" fontId="10" fillId="0" borderId="15" xfId="0" applyFont="1" applyFill="1" applyBorder="1"/>
    <xf numFmtId="165" fontId="10" fillId="0" borderId="13" xfId="0" applyNumberFormat="1" applyFont="1" applyFill="1" applyBorder="1"/>
    <xf numFmtId="165" fontId="10" fillId="0" borderId="15" xfId="0" applyNumberFormat="1" applyFont="1" applyFill="1" applyBorder="1"/>
    <xf numFmtId="165" fontId="10" fillId="0" borderId="27" xfId="0" applyNumberFormat="1" applyFont="1" applyFill="1" applyBorder="1"/>
    <xf numFmtId="165" fontId="10" fillId="0" borderId="16" xfId="0" applyNumberFormat="1" applyFont="1" applyFill="1" applyBorder="1"/>
    <xf numFmtId="0" fontId="10" fillId="0" borderId="18" xfId="0" applyFont="1" applyFill="1" applyBorder="1"/>
    <xf numFmtId="0" fontId="10" fillId="0" borderId="13" xfId="0" applyFont="1" applyFill="1" applyBorder="1" applyAlignment="1">
      <alignment horizontal="left" indent="1"/>
    </xf>
    <xf numFmtId="165" fontId="12" fillId="0" borderId="13" xfId="0" applyNumberFormat="1" applyFont="1" applyFill="1" applyBorder="1"/>
    <xf numFmtId="165" fontId="12" fillId="0" borderId="15" xfId="0" applyNumberFormat="1" applyFont="1" applyFill="1" applyBorder="1"/>
    <xf numFmtId="165" fontId="12" fillId="0" borderId="27" xfId="0" applyNumberFormat="1" applyFont="1" applyFill="1" applyBorder="1"/>
    <xf numFmtId="171" fontId="13" fillId="0" borderId="14" xfId="0" applyNumberFormat="1" applyFont="1" applyFill="1" applyBorder="1" applyAlignment="1">
      <alignment horizontal="left" indent="2"/>
    </xf>
    <xf numFmtId="171" fontId="12" fillId="0" borderId="0" xfId="0" applyNumberFormat="1" applyFont="1" applyFill="1" applyBorder="1"/>
    <xf numFmtId="171" fontId="22" fillId="0" borderId="12" xfId="0" applyNumberFormat="1" applyFont="1" applyFill="1" applyBorder="1"/>
    <xf numFmtId="171" fontId="22" fillId="0" borderId="14" xfId="0" applyNumberFormat="1" applyFont="1" applyFill="1" applyBorder="1"/>
    <xf numFmtId="171" fontId="22" fillId="0" borderId="0" xfId="0" applyNumberFormat="1" applyFont="1" applyFill="1" applyBorder="1"/>
    <xf numFmtId="171" fontId="22" fillId="0" borderId="17" xfId="0" applyNumberFormat="1" applyFont="1" applyFill="1" applyBorder="1"/>
    <xf numFmtId="171" fontId="19" fillId="0" borderId="17" xfId="0" applyNumberFormat="1" applyFont="1" applyFill="1" applyBorder="1"/>
    <xf numFmtId="171" fontId="15" fillId="0" borderId="0" xfId="0" applyNumberFormat="1" applyFont="1" applyFill="1" applyBorder="1"/>
    <xf numFmtId="0" fontId="4" fillId="0" borderId="14" xfId="0" applyFont="1" applyFill="1" applyBorder="1" applyAlignment="1">
      <alignment horizontal="left" indent="1"/>
    </xf>
    <xf numFmtId="0" fontId="4" fillId="0" borderId="18" xfId="0" applyFont="1" applyFill="1" applyBorder="1" applyAlignment="1">
      <alignment horizontal="left" indent="1"/>
    </xf>
    <xf numFmtId="171" fontId="25" fillId="0" borderId="14" xfId="0" applyNumberFormat="1" applyFont="1" applyFill="1" applyBorder="1" applyAlignment="1">
      <alignment horizontal="left" indent="1"/>
    </xf>
    <xf numFmtId="44" fontId="4" fillId="0" borderId="14" xfId="42" applyFont="1" applyFill="1" applyBorder="1"/>
    <xf numFmtId="0" fontId="7" fillId="0" borderId="13" xfId="0" applyFont="1" applyFill="1" applyBorder="1" applyAlignment="1">
      <alignment horizontal="left" indent="1"/>
    </xf>
    <xf numFmtId="171" fontId="25" fillId="0" borderId="14" xfId="0" applyNumberFormat="1" applyFont="1" applyFill="1" applyBorder="1" applyAlignment="1">
      <alignment horizontal="left" indent="2"/>
    </xf>
    <xf numFmtId="171" fontId="12" fillId="0" borderId="14" xfId="0" applyNumberFormat="1" applyFont="1" applyFill="1" applyBorder="1"/>
    <xf numFmtId="171" fontId="38" fillId="0" borderId="0" xfId="0" applyNumberFormat="1" applyFont="1" applyFill="1" applyBorder="1"/>
    <xf numFmtId="171" fontId="38" fillId="0" borderId="14" xfId="0" applyNumberFormat="1" applyFont="1" applyFill="1" applyBorder="1"/>
    <xf numFmtId="0" fontId="10" fillId="0" borderId="14" xfId="0" applyFont="1" applyFill="1" applyBorder="1" applyAlignment="1">
      <alignment horizontal="left" indent="1"/>
    </xf>
    <xf numFmtId="171" fontId="12" fillId="0" borderId="13" xfId="67" applyNumberFormat="1" applyFont="1" applyFill="1" applyBorder="1"/>
    <xf numFmtId="171" fontId="38" fillId="0" borderId="14" xfId="67" applyNumberFormat="1" applyFont="1" applyFill="1" applyBorder="1"/>
    <xf numFmtId="171" fontId="38" fillId="0" borderId="0" xfId="67" applyNumberFormat="1" applyFont="1" applyFill="1" applyBorder="1"/>
    <xf numFmtId="171" fontId="38" fillId="0" borderId="17" xfId="67" applyNumberFormat="1" applyFont="1" applyFill="1" applyBorder="1"/>
    <xf numFmtId="171" fontId="13" fillId="0" borderId="12" xfId="67" applyNumberFormat="1" applyFont="1" applyFill="1" applyBorder="1"/>
    <xf numFmtId="171" fontId="4" fillId="0" borderId="17" xfId="67" applyNumberFormat="1" applyFont="1" applyFill="1" applyBorder="1"/>
    <xf numFmtId="171" fontId="4" fillId="0" borderId="18" xfId="67" applyNumberFormat="1" applyFont="1" applyFill="1" applyBorder="1"/>
    <xf numFmtId="166" fontId="4" fillId="0" borderId="11" xfId="0" applyNumberFormat="1" applyFont="1" applyFill="1" applyBorder="1"/>
    <xf numFmtId="166" fontId="4" fillId="0" borderId="18" xfId="0" applyNumberFormat="1" applyFont="1" applyFill="1" applyBorder="1"/>
    <xf numFmtId="165" fontId="12" fillId="0" borderId="18" xfId="0" applyNumberFormat="1" applyFont="1" applyFill="1" applyBorder="1"/>
    <xf numFmtId="165" fontId="12" fillId="0" borderId="11" xfId="0" applyNumberFormat="1" applyFont="1" applyFill="1" applyBorder="1"/>
    <xf numFmtId="165" fontId="12" fillId="0" borderId="24" xfId="0" applyNumberFormat="1" applyFont="1" applyFill="1" applyBorder="1"/>
    <xf numFmtId="171" fontId="25" fillId="0" borderId="18" xfId="0" applyNumberFormat="1" applyFont="1" applyFill="1" applyBorder="1" applyAlignment="1">
      <alignment horizontal="left" indent="1"/>
    </xf>
    <xf numFmtId="165" fontId="7" fillId="0" borderId="13" xfId="0" applyNumberFormat="1" applyFont="1" applyFill="1" applyBorder="1"/>
    <xf numFmtId="165" fontId="7" fillId="0" borderId="15" xfId="0" applyNumberFormat="1" applyFont="1" applyFill="1" applyBorder="1"/>
    <xf numFmtId="165" fontId="7" fillId="0" borderId="16" xfId="0" applyNumberFormat="1" applyFont="1" applyFill="1" applyBorder="1"/>
    <xf numFmtId="0" fontId="7" fillId="0" borderId="18" xfId="0" applyFont="1" applyFill="1" applyBorder="1"/>
    <xf numFmtId="0" fontId="7" fillId="0" borderId="11" xfId="0" applyFont="1" applyFill="1" applyBorder="1"/>
    <xf numFmtId="165" fontId="40" fillId="0" borderId="18" xfId="0" applyNumberFormat="1" applyFont="1" applyFill="1" applyBorder="1"/>
    <xf numFmtId="165" fontId="40" fillId="0" borderId="11" xfId="0" applyNumberFormat="1" applyFont="1" applyFill="1" applyBorder="1"/>
    <xf numFmtId="165" fontId="24" fillId="0" borderId="18" xfId="0" applyNumberFormat="1" applyFont="1" applyFill="1" applyBorder="1"/>
    <xf numFmtId="165" fontId="24" fillId="0" borderId="11" xfId="0" applyNumberFormat="1" applyFont="1" applyFill="1" applyBorder="1"/>
    <xf numFmtId="165" fontId="24" fillId="0" borderId="24" xfId="0" applyNumberFormat="1" applyFont="1" applyFill="1" applyBorder="1"/>
    <xf numFmtId="165" fontId="24" fillId="0" borderId="23" xfId="0" applyNumberFormat="1" applyFont="1" applyFill="1" applyBorder="1"/>
    <xf numFmtId="165" fontId="10" fillId="0" borderId="23" xfId="0" applyNumberFormat="1" applyFont="1" applyFill="1" applyBorder="1"/>
    <xf numFmtId="0" fontId="13" fillId="0" borderId="13" xfId="0" applyFont="1" applyFill="1" applyBorder="1"/>
    <xf numFmtId="165" fontId="4" fillId="0" borderId="27" xfId="0" applyNumberFormat="1" applyFont="1" applyFill="1" applyBorder="1"/>
    <xf numFmtId="0" fontId="16" fillId="0" borderId="18" xfId="0" applyFont="1" applyFill="1" applyBorder="1"/>
    <xf numFmtId="0" fontId="5" fillId="0" borderId="11" xfId="59" applyFont="1" applyFill="1" applyBorder="1" applyAlignment="1" applyProtection="1">
      <alignment horizontal="left"/>
    </xf>
    <xf numFmtId="165" fontId="67" fillId="0" borderId="14" xfId="0" applyNumberFormat="1" applyFont="1" applyFill="1" applyBorder="1"/>
    <xf numFmtId="165" fontId="67" fillId="0" borderId="0" xfId="0" applyNumberFormat="1" applyFont="1" applyFill="1" applyBorder="1"/>
    <xf numFmtId="9" fontId="22" fillId="0" borderId="12" xfId="0" applyNumberFormat="1" applyFont="1" applyFill="1" applyBorder="1" applyAlignment="1">
      <alignment horizontal="center"/>
    </xf>
    <xf numFmtId="9" fontId="18" fillId="0" borderId="0" xfId="0" applyNumberFormat="1" applyFont="1" applyFill="1" applyBorder="1" applyAlignment="1">
      <alignment horizontal="center"/>
    </xf>
    <xf numFmtId="180" fontId="12" fillId="0" borderId="14" xfId="0" applyNumberFormat="1" applyFont="1" applyFill="1" applyBorder="1" applyAlignment="1">
      <alignment horizontal="center"/>
    </xf>
    <xf numFmtId="180" fontId="12" fillId="0" borderId="17" xfId="0" applyNumberFormat="1" applyFont="1" applyFill="1" applyBorder="1" applyAlignment="1">
      <alignment horizontal="center"/>
    </xf>
    <xf numFmtId="9" fontId="38" fillId="0" borderId="12" xfId="67" applyFont="1" applyFill="1" applyBorder="1" applyAlignment="1">
      <alignment horizontal="center"/>
    </xf>
    <xf numFmtId="164" fontId="40" fillId="0" borderId="12" xfId="0" applyNumberFormat="1" applyFont="1" applyFill="1" applyBorder="1" applyAlignment="1">
      <alignment horizontal="center"/>
    </xf>
    <xf numFmtId="165" fontId="68" fillId="0" borderId="0" xfId="0" applyNumberFormat="1" applyFont="1" applyFill="1"/>
    <xf numFmtId="165" fontId="67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165" fontId="68" fillId="0" borderId="14" xfId="0" applyNumberFormat="1" applyFont="1" applyFill="1" applyBorder="1"/>
    <xf numFmtId="165" fontId="4" fillId="0" borderId="14" xfId="0" applyNumberFormat="1" applyFont="1" applyFill="1" applyBorder="1" applyAlignment="1">
      <alignment horizontal="right"/>
    </xf>
    <xf numFmtId="7" fontId="18" fillId="0" borderId="14" xfId="0" applyNumberFormat="1" applyFont="1" applyFill="1" applyBorder="1" applyAlignment="1">
      <alignment horizontal="right"/>
    </xf>
    <xf numFmtId="7" fontId="18" fillId="0" borderId="0" xfId="0" applyNumberFormat="1" applyFont="1" applyFill="1" applyBorder="1" applyAlignment="1">
      <alignment horizontal="right"/>
    </xf>
    <xf numFmtId="7" fontId="18" fillId="0" borderId="17" xfId="0" applyNumberFormat="1" applyFont="1" applyFill="1" applyBorder="1" applyAlignment="1">
      <alignment horizontal="right"/>
    </xf>
    <xf numFmtId="165" fontId="67" fillId="0" borderId="12" xfId="0" applyNumberFormat="1" applyFont="1" applyFill="1" applyBorder="1"/>
    <xf numFmtId="172" fontId="65" fillId="0" borderId="14" xfId="0" applyNumberFormat="1" applyFont="1" applyFill="1" applyBorder="1" applyAlignment="1">
      <alignment horizontal="right"/>
    </xf>
    <xf numFmtId="172" fontId="65" fillId="0" borderId="0" xfId="0" applyNumberFormat="1" applyFont="1" applyFill="1" applyBorder="1" applyAlignment="1">
      <alignment horizontal="right"/>
    </xf>
    <xf numFmtId="178" fontId="18" fillId="0" borderId="24" xfId="0" applyNumberFormat="1" applyFont="1" applyFill="1" applyBorder="1" applyAlignment="1">
      <alignment horizontal="right"/>
    </xf>
    <xf numFmtId="172" fontId="65" fillId="0" borderId="12" xfId="0" applyNumberFormat="1" applyFont="1" applyFill="1" applyBorder="1" applyAlignment="1">
      <alignment horizontal="right"/>
    </xf>
    <xf numFmtId="172" fontId="65" fillId="0" borderId="14" xfId="0" quotePrefix="1" applyNumberFormat="1" applyFont="1" applyFill="1" applyBorder="1" applyAlignment="1">
      <alignment horizontal="right"/>
    </xf>
    <xf numFmtId="172" fontId="65" fillId="0" borderId="0" xfId="0" quotePrefix="1" applyNumberFormat="1" applyFont="1" applyFill="1" applyBorder="1" applyAlignment="1">
      <alignment horizontal="right"/>
    </xf>
    <xf numFmtId="172" fontId="65" fillId="0" borderId="12" xfId="0" quotePrefix="1" applyNumberFormat="1" applyFont="1" applyFill="1" applyBorder="1" applyAlignment="1">
      <alignment horizontal="right"/>
    </xf>
    <xf numFmtId="9" fontId="65" fillId="0" borderId="12" xfId="0" applyNumberFormat="1" applyFont="1" applyFill="1" applyBorder="1" applyAlignment="1">
      <alignment horizontal="right"/>
    </xf>
    <xf numFmtId="0" fontId="65" fillId="0" borderId="0" xfId="0" applyFont="1" applyFill="1" applyBorder="1"/>
    <xf numFmtId="9" fontId="65" fillId="0" borderId="14" xfId="0" applyNumberFormat="1" applyFont="1" applyFill="1" applyBorder="1" applyAlignment="1">
      <alignment horizontal="right"/>
    </xf>
    <xf numFmtId="9" fontId="65" fillId="0" borderId="0" xfId="0" applyNumberFormat="1" applyFont="1" applyFill="1" applyBorder="1" applyAlignment="1">
      <alignment horizontal="right"/>
    </xf>
    <xf numFmtId="171" fontId="65" fillId="0" borderId="14" xfId="0" applyNumberFormat="1" applyFont="1" applyFill="1" applyBorder="1" applyAlignment="1">
      <alignment horizontal="right"/>
    </xf>
    <xf numFmtId="171" fontId="65" fillId="0" borderId="0" xfId="0" applyNumberFormat="1" applyFont="1" applyFill="1" applyBorder="1" applyAlignment="1">
      <alignment horizontal="right"/>
    </xf>
    <xf numFmtId="171" fontId="65" fillId="0" borderId="12" xfId="0" applyNumberFormat="1" applyFont="1" applyFill="1" applyBorder="1" applyAlignment="1">
      <alignment horizontal="right"/>
    </xf>
    <xf numFmtId="9" fontId="10" fillId="19" borderId="21" xfId="75" applyNumberFormat="1" applyFont="1" applyFill="1" applyBorder="1" applyProtection="1"/>
    <xf numFmtId="171" fontId="10" fillId="19" borderId="21" xfId="0" applyNumberFormat="1" applyFont="1" applyFill="1" applyBorder="1" applyAlignment="1">
      <alignment horizontal="right"/>
    </xf>
    <xf numFmtId="171" fontId="10" fillId="19" borderId="19" xfId="0" applyNumberFormat="1" applyFont="1" applyFill="1" applyBorder="1" applyAlignment="1">
      <alignment horizontal="right"/>
    </xf>
    <xf numFmtId="171" fontId="10" fillId="19" borderId="28" xfId="0" applyNumberFormat="1" applyFont="1" applyFill="1" applyBorder="1" applyAlignment="1">
      <alignment horizontal="right"/>
    </xf>
    <xf numFmtId="171" fontId="22" fillId="0" borderId="14" xfId="67" applyNumberFormat="1" applyFont="1" applyFill="1" applyBorder="1"/>
    <xf numFmtId="171" fontId="22" fillId="0" borderId="0" xfId="67" applyNumberFormat="1" applyFont="1" applyFill="1" applyBorder="1"/>
    <xf numFmtId="171" fontId="22" fillId="0" borderId="17" xfId="67" applyNumberFormat="1" applyFont="1" applyFill="1" applyBorder="1"/>
    <xf numFmtId="165" fontId="67" fillId="0" borderId="13" xfId="0" applyNumberFormat="1" applyFont="1" applyFill="1" applyBorder="1"/>
    <xf numFmtId="170" fontId="67" fillId="0" borderId="12" xfId="0" applyNumberFormat="1" applyFont="1" applyFill="1" applyBorder="1"/>
    <xf numFmtId="43" fontId="67" fillId="0" borderId="14" xfId="0" applyNumberFormat="1" applyFont="1" applyFill="1" applyBorder="1"/>
    <xf numFmtId="43" fontId="67" fillId="0" borderId="0" xfId="0" applyNumberFormat="1" applyFont="1" applyFill="1" applyBorder="1"/>
    <xf numFmtId="43" fontId="67" fillId="0" borderId="17" xfId="0" applyNumberFormat="1" applyFont="1" applyFill="1" applyBorder="1"/>
    <xf numFmtId="171" fontId="24" fillId="0" borderId="0" xfId="0" applyNumberFormat="1" applyFont="1" applyFill="1" applyBorder="1"/>
    <xf numFmtId="0" fontId="0" fillId="17" borderId="0" xfId="0" applyFill="1"/>
    <xf numFmtId="0" fontId="0" fillId="0" borderId="15" xfId="0" applyFill="1" applyBorder="1"/>
    <xf numFmtId="202" fontId="4" fillId="0" borderId="0" xfId="0" applyNumberFormat="1" applyFont="1" applyFill="1" applyBorder="1"/>
    <xf numFmtId="202" fontId="4" fillId="0" borderId="0" xfId="0" applyNumberFormat="1" applyFont="1" applyFill="1"/>
    <xf numFmtId="0" fontId="7" fillId="0" borderId="0" xfId="0" applyFont="1" applyBorder="1"/>
    <xf numFmtId="171" fontId="25" fillId="0" borderId="17" xfId="67" applyNumberFormat="1" applyFont="1" applyFill="1" applyBorder="1" applyAlignment="1">
      <alignment horizontal="center"/>
    </xf>
    <xf numFmtId="172" fontId="7" fillId="18" borderId="19" xfId="41" applyNumberFormat="1" applyFont="1" applyFill="1" applyBorder="1" applyAlignment="1">
      <alignment horizontal="center"/>
    </xf>
    <xf numFmtId="172" fontId="7" fillId="18" borderId="28" xfId="41" applyNumberFormat="1" applyFont="1" applyFill="1" applyBorder="1" applyAlignment="1">
      <alignment horizontal="center"/>
    </xf>
    <xf numFmtId="208" fontId="11" fillId="0" borderId="14" xfId="41" applyNumberFormat="1" applyFont="1" applyFill="1" applyBorder="1" applyAlignment="1">
      <alignment horizontal="center"/>
    </xf>
    <xf numFmtId="208" fontId="11" fillId="0" borderId="0" xfId="41" applyNumberFormat="1" applyFont="1" applyFill="1" applyBorder="1" applyAlignment="1">
      <alignment horizontal="center"/>
    </xf>
    <xf numFmtId="208" fontId="11" fillId="0" borderId="12" xfId="41" applyNumberFormat="1" applyFont="1" applyFill="1" applyBorder="1" applyAlignment="1">
      <alignment horizontal="center"/>
    </xf>
    <xf numFmtId="172" fontId="4" fillId="0" borderId="0" xfId="0" applyNumberFormat="1" applyFont="1" applyFill="1"/>
    <xf numFmtId="172" fontId="4" fillId="0" borderId="15" xfId="0" applyNumberFormat="1" applyFont="1" applyFill="1" applyBorder="1"/>
    <xf numFmtId="177" fontId="15" fillId="0" borderId="0" xfId="41" applyNumberFormat="1" applyFont="1" applyFill="1" applyBorder="1" applyAlignment="1">
      <alignment horizontal="center"/>
    </xf>
    <xf numFmtId="186" fontId="74" fillId="0" borderId="17" xfId="41" applyNumberFormat="1" applyFont="1" applyFill="1" applyBorder="1"/>
    <xf numFmtId="186" fontId="15" fillId="0" borderId="0" xfId="41" applyNumberFormat="1" applyFont="1" applyFill="1" applyBorder="1"/>
    <xf numFmtId="186" fontId="15" fillId="0" borderId="0" xfId="41" applyNumberFormat="1" applyFont="1" applyFill="1" applyBorder="1" applyAlignment="1">
      <alignment horizontal="center"/>
    </xf>
    <xf numFmtId="186" fontId="4" fillId="0" borderId="0" xfId="41" applyNumberFormat="1" applyFont="1" applyFill="1"/>
    <xf numFmtId="171" fontId="38" fillId="0" borderId="14" xfId="0" applyNumberFormat="1" applyFont="1" applyFill="1" applyBorder="1" applyAlignment="1">
      <alignment horizontal="center"/>
    </xf>
    <xf numFmtId="171" fontId="38" fillId="0" borderId="0" xfId="0" applyNumberFormat="1" applyFont="1" applyFill="1" applyBorder="1" applyAlignment="1">
      <alignment horizontal="center"/>
    </xf>
    <xf numFmtId="0" fontId="7" fillId="0" borderId="12" xfId="62" applyFont="1" applyFill="1" applyBorder="1" applyAlignment="1">
      <alignment horizontal="left"/>
    </xf>
    <xf numFmtId="9" fontId="38" fillId="0" borderId="14" xfId="67" applyFont="1" applyFill="1" applyBorder="1" applyAlignment="1">
      <alignment horizontal="center"/>
    </xf>
    <xf numFmtId="9" fontId="38" fillId="0" borderId="0" xfId="67" applyFont="1" applyFill="1" applyBorder="1" applyAlignment="1">
      <alignment horizontal="center"/>
    </xf>
    <xf numFmtId="9" fontId="38" fillId="0" borderId="17" xfId="67" applyFont="1" applyFill="1" applyBorder="1" applyAlignment="1">
      <alignment horizontal="center"/>
    </xf>
    <xf numFmtId="190" fontId="38" fillId="0" borderId="12" xfId="0" applyNumberFormat="1" applyFont="1" applyFill="1" applyBorder="1" applyAlignment="1">
      <alignment horizontal="center"/>
    </xf>
    <xf numFmtId="164" fontId="7" fillId="19" borderId="0" xfId="0" applyNumberFormat="1" applyFont="1" applyFill="1" applyBorder="1" applyAlignment="1">
      <alignment horizontal="center"/>
    </xf>
    <xf numFmtId="9" fontId="25" fillId="19" borderId="0" xfId="67" applyFont="1" applyFill="1" applyBorder="1" applyAlignment="1">
      <alignment horizontal="center"/>
    </xf>
    <xf numFmtId="190" fontId="4" fillId="19" borderId="0" xfId="0" applyNumberFormat="1" applyFont="1" applyFill="1" applyBorder="1" applyAlignment="1">
      <alignment horizontal="center"/>
    </xf>
    <xf numFmtId="171" fontId="4" fillId="19" borderId="0" xfId="0" applyNumberFormat="1" applyFont="1" applyFill="1" applyBorder="1" applyAlignment="1">
      <alignment horizontal="center"/>
    </xf>
    <xf numFmtId="171" fontId="25" fillId="19" borderId="0" xfId="0" applyNumberFormat="1" applyFont="1" applyFill="1" applyBorder="1" applyAlignment="1">
      <alignment horizontal="center"/>
    </xf>
    <xf numFmtId="39" fontId="11" fillId="0" borderId="11" xfId="0" applyNumberFormat="1" applyFont="1" applyFill="1" applyBorder="1" applyAlignment="1">
      <alignment horizontal="right"/>
    </xf>
    <xf numFmtId="208" fontId="15" fillId="0" borderId="0" xfId="42" applyNumberFormat="1" applyFont="1" applyFill="1" applyBorder="1" applyAlignment="1">
      <alignment horizontal="center"/>
    </xf>
    <xf numFmtId="171" fontId="38" fillId="0" borderId="17" xfId="0" applyNumberFormat="1" applyFont="1" applyFill="1" applyBorder="1" applyAlignment="1">
      <alignment horizontal="center"/>
    </xf>
    <xf numFmtId="180" fontId="75" fillId="0" borderId="14" xfId="0" applyNumberFormat="1" applyFont="1" applyFill="1" applyBorder="1" applyAlignment="1">
      <alignment horizontal="center"/>
    </xf>
    <xf numFmtId="180" fontId="75" fillId="0" borderId="0" xfId="0" applyNumberFormat="1" applyFont="1" applyFill="1" applyBorder="1" applyAlignment="1">
      <alignment horizontal="center"/>
    </xf>
    <xf numFmtId="39" fontId="11" fillId="0" borderId="18" xfId="75" applyNumberFormat="1" applyFont="1" applyFill="1" applyBorder="1" applyProtection="1"/>
    <xf numFmtId="39" fontId="4" fillId="0" borderId="11" xfId="0" applyNumberFormat="1" applyFont="1" applyFill="1" applyBorder="1"/>
    <xf numFmtId="39" fontId="11" fillId="0" borderId="18" xfId="0" applyNumberFormat="1" applyFont="1" applyFill="1" applyBorder="1" applyAlignment="1">
      <alignment horizontal="right"/>
    </xf>
    <xf numFmtId="0" fontId="12" fillId="0" borderId="18" xfId="0" applyFont="1" applyFill="1" applyBorder="1"/>
    <xf numFmtId="0" fontId="12" fillId="0" borderId="11" xfId="0" applyFont="1" applyFill="1" applyBorder="1"/>
    <xf numFmtId="0" fontId="12" fillId="0" borderId="23" xfId="0" applyFont="1" applyFill="1" applyBorder="1"/>
    <xf numFmtId="0" fontId="12" fillId="0" borderId="24" xfId="0" applyFont="1" applyFill="1" applyBorder="1"/>
    <xf numFmtId="164" fontId="7" fillId="19" borderId="14" xfId="0" applyNumberFormat="1" applyFont="1" applyFill="1" applyBorder="1" applyAlignment="1">
      <alignment horizontal="center"/>
    </xf>
    <xf numFmtId="9" fontId="25" fillId="19" borderId="14" xfId="67" applyFont="1" applyFill="1" applyBorder="1" applyAlignment="1">
      <alignment horizontal="center"/>
    </xf>
    <xf numFmtId="9" fontId="25" fillId="19" borderId="17" xfId="67" applyFont="1" applyFill="1" applyBorder="1" applyAlignment="1">
      <alignment horizontal="center"/>
    </xf>
    <xf numFmtId="190" fontId="25" fillId="19" borderId="12" xfId="0" applyNumberFormat="1" applyFont="1" applyFill="1" applyBorder="1" applyAlignment="1">
      <alignment horizontal="center"/>
    </xf>
    <xf numFmtId="171" fontId="25" fillId="19" borderId="12" xfId="67" applyNumberFormat="1" applyFont="1" applyFill="1" applyBorder="1" applyAlignment="1">
      <alignment horizontal="center"/>
    </xf>
    <xf numFmtId="171" fontId="25" fillId="19" borderId="14" xfId="0" applyNumberFormat="1" applyFont="1" applyFill="1" applyBorder="1" applyAlignment="1">
      <alignment horizontal="center"/>
    </xf>
    <xf numFmtId="171" fontId="25" fillId="19" borderId="12" xfId="0" applyNumberFormat="1" applyFont="1" applyFill="1" applyBorder="1" applyAlignment="1">
      <alignment horizontal="center"/>
    </xf>
    <xf numFmtId="0" fontId="7" fillId="19" borderId="16" xfId="0" applyFont="1" applyFill="1" applyBorder="1"/>
    <xf numFmtId="164" fontId="66" fillId="19" borderId="13" xfId="0" applyNumberFormat="1" applyFont="1" applyFill="1" applyBorder="1" applyAlignment="1">
      <alignment horizontal="center"/>
    </xf>
    <xf numFmtId="164" fontId="66" fillId="19" borderId="15" xfId="0" applyNumberFormat="1" applyFont="1" applyFill="1" applyBorder="1" applyAlignment="1">
      <alignment horizontal="center"/>
    </xf>
    <xf numFmtId="164" fontId="4" fillId="19" borderId="16" xfId="0" applyNumberFormat="1" applyFont="1" applyFill="1" applyBorder="1" applyAlignment="1">
      <alignment horizontal="center"/>
    </xf>
    <xf numFmtId="164" fontId="4" fillId="19" borderId="15" xfId="0" applyNumberFormat="1" applyFont="1" applyFill="1" applyBorder="1" applyAlignment="1">
      <alignment horizontal="center"/>
    </xf>
    <xf numFmtId="181" fontId="7" fillId="19" borderId="15" xfId="0" applyNumberFormat="1" applyFont="1" applyFill="1" applyBorder="1" applyAlignment="1">
      <alignment horizontal="center"/>
    </xf>
    <xf numFmtId="182" fontId="7" fillId="19" borderId="13" xfId="41" applyNumberFormat="1" applyFont="1" applyFill="1" applyBorder="1" applyAlignment="1">
      <alignment horizontal="center"/>
    </xf>
    <xf numFmtId="182" fontId="7" fillId="19" borderId="15" xfId="41" applyNumberFormat="1" applyFont="1" applyFill="1" applyBorder="1" applyAlignment="1">
      <alignment horizontal="center"/>
    </xf>
    <xf numFmtId="182" fontId="7" fillId="19" borderId="16" xfId="0" applyNumberFormat="1" applyFont="1" applyFill="1" applyBorder="1" applyAlignment="1">
      <alignment horizontal="center"/>
    </xf>
    <xf numFmtId="182" fontId="7" fillId="19" borderId="15" xfId="0" applyNumberFormat="1" applyFont="1" applyFill="1" applyBorder="1" applyAlignment="1">
      <alignment horizontal="center"/>
    </xf>
    <xf numFmtId="3" fontId="7" fillId="19" borderId="16" xfId="0" applyNumberFormat="1" applyFont="1" applyFill="1" applyBorder="1" applyAlignment="1">
      <alignment horizontal="center"/>
    </xf>
    <xf numFmtId="171" fontId="25" fillId="19" borderId="17" xfId="0" applyNumberFormat="1" applyFont="1" applyFill="1" applyBorder="1" applyAlignment="1">
      <alignment horizontal="center"/>
    </xf>
    <xf numFmtId="171" fontId="25" fillId="19" borderId="23" xfId="0" applyNumberFormat="1" applyFont="1" applyFill="1" applyBorder="1" applyAlignment="1">
      <alignment horizontal="center"/>
    </xf>
    <xf numFmtId="182" fontId="7" fillId="19" borderId="27" xfId="41" applyNumberFormat="1" applyFont="1" applyFill="1" applyBorder="1" applyAlignment="1">
      <alignment horizontal="center"/>
    </xf>
    <xf numFmtId="164" fontId="66" fillId="19" borderId="27" xfId="0" applyNumberFormat="1" applyFont="1" applyFill="1" applyBorder="1" applyAlignment="1">
      <alignment horizontal="center"/>
    </xf>
    <xf numFmtId="164" fontId="7" fillId="19" borderId="17" xfId="0" applyNumberFormat="1" applyFont="1" applyFill="1" applyBorder="1" applyAlignment="1">
      <alignment horizontal="center"/>
    </xf>
    <xf numFmtId="164" fontId="7" fillId="19" borderId="23" xfId="0" applyNumberFormat="1" applyFont="1" applyFill="1" applyBorder="1" applyAlignment="1">
      <alignment horizontal="center"/>
    </xf>
    <xf numFmtId="173" fontId="12" fillId="18" borderId="0" xfId="0" applyNumberFormat="1" applyFont="1" applyFill="1" applyBorder="1"/>
    <xf numFmtId="202" fontId="11" fillId="0" borderId="14" xfId="42" applyNumberFormat="1" applyFont="1" applyFill="1" applyBorder="1" applyAlignment="1">
      <alignment horizontal="right"/>
    </xf>
    <xf numFmtId="202" fontId="11" fillId="0" borderId="0" xfId="42" applyNumberFormat="1" applyFont="1" applyFill="1" applyBorder="1" applyAlignment="1">
      <alignment horizontal="right"/>
    </xf>
    <xf numFmtId="202" fontId="11" fillId="0" borderId="12" xfId="42" applyNumberFormat="1" applyFont="1" applyFill="1" applyBorder="1" applyAlignment="1">
      <alignment horizontal="right"/>
    </xf>
    <xf numFmtId="0" fontId="12" fillId="0" borderId="12" xfId="0" applyFont="1" applyFill="1" applyBorder="1"/>
    <xf numFmtId="172" fontId="11" fillId="0" borderId="12" xfId="0" applyNumberFormat="1" applyFont="1" applyFill="1" applyBorder="1" applyAlignment="1">
      <alignment horizontal="center"/>
    </xf>
    <xf numFmtId="177" fontId="11" fillId="0" borderId="14" xfId="41" applyNumberFormat="1" applyFont="1" applyFill="1" applyBorder="1" applyAlignment="1">
      <alignment horizontal="right"/>
    </xf>
    <xf numFmtId="178" fontId="7" fillId="18" borderId="13" xfId="0" applyNumberFormat="1" applyFont="1" applyFill="1" applyBorder="1"/>
    <xf numFmtId="165" fontId="22" fillId="0" borderId="17" xfId="0" applyNumberFormat="1" applyFont="1" applyFill="1" applyBorder="1"/>
    <xf numFmtId="164" fontId="25" fillId="0" borderId="12" xfId="0" applyNumberFormat="1" applyFont="1" applyFill="1" applyBorder="1" applyAlignment="1">
      <alignment horizontal="center"/>
    </xf>
    <xf numFmtId="180" fontId="12" fillId="0" borderId="12" xfId="0" applyNumberFormat="1" applyFont="1" applyFill="1" applyBorder="1" applyAlignment="1">
      <alignment horizontal="center"/>
    </xf>
    <xf numFmtId="171" fontId="4" fillId="0" borderId="12" xfId="0" applyNumberFormat="1" applyFont="1" applyFill="1" applyBorder="1" applyAlignment="1">
      <alignment horizontal="center"/>
    </xf>
    <xf numFmtId="171" fontId="4" fillId="0" borderId="24" xfId="0" applyNumberFormat="1" applyFont="1" applyFill="1" applyBorder="1" applyAlignment="1">
      <alignment horizontal="center"/>
    </xf>
    <xf numFmtId="177" fontId="38" fillId="0" borderId="0" xfId="41" applyNumberFormat="1" applyFont="1" applyFill="1" applyBorder="1" applyAlignment="1">
      <alignment horizontal="center"/>
    </xf>
    <xf numFmtId="172" fontId="37" fillId="0" borderId="12" xfId="0" applyNumberFormat="1" applyFont="1" applyFill="1" applyBorder="1" applyAlignment="1">
      <alignment horizontal="center"/>
    </xf>
    <xf numFmtId="9" fontId="7" fillId="0" borderId="0" xfId="67" applyFont="1" applyFill="1" applyBorder="1" applyAlignment="1">
      <alignment horizontal="center"/>
    </xf>
    <xf numFmtId="7" fontId="21" fillId="0" borderId="0" xfId="0" applyNumberFormat="1" applyFont="1" applyFill="1"/>
    <xf numFmtId="7" fontId="2" fillId="0" borderId="0" xfId="0" applyNumberFormat="1" applyFont="1" applyFill="1"/>
    <xf numFmtId="9" fontId="0" fillId="0" borderId="0" xfId="0" applyNumberFormat="1" applyFill="1"/>
    <xf numFmtId="210" fontId="4" fillId="0" borderId="19" xfId="0" applyNumberFormat="1" applyFont="1" applyFill="1" applyBorder="1"/>
    <xf numFmtId="211" fontId="11" fillId="0" borderId="0" xfId="0" applyNumberFormat="1" applyFont="1" applyFill="1" applyBorder="1" applyAlignment="1">
      <alignment horizontal="right"/>
    </xf>
    <xf numFmtId="0" fontId="7" fillId="0" borderId="16" xfId="0" applyFont="1" applyFill="1" applyBorder="1"/>
    <xf numFmtId="164" fontId="66" fillId="0" borderId="13" xfId="0" applyNumberFormat="1" applyFont="1" applyFill="1" applyBorder="1" applyAlignment="1">
      <alignment horizontal="center"/>
    </xf>
    <xf numFmtId="181" fontId="7" fillId="0" borderId="15" xfId="0" applyNumberFormat="1" applyFont="1" applyFill="1" applyBorder="1" applyAlignment="1">
      <alignment horizontal="center"/>
    </xf>
    <xf numFmtId="182" fontId="7" fillId="0" borderId="13" xfId="41" applyNumberFormat="1" applyFont="1" applyFill="1" applyBorder="1" applyAlignment="1">
      <alignment horizontal="center"/>
    </xf>
    <xf numFmtId="182" fontId="7" fillId="0" borderId="15" xfId="41" applyNumberFormat="1" applyFont="1" applyFill="1" applyBorder="1" applyAlignment="1">
      <alignment horizontal="center"/>
    </xf>
    <xf numFmtId="182" fontId="7" fillId="0" borderId="27" xfId="41" applyNumberFormat="1" applyFont="1" applyFill="1" applyBorder="1" applyAlignment="1">
      <alignment horizontal="center"/>
    </xf>
    <xf numFmtId="182" fontId="7" fillId="0" borderId="16" xfId="0" applyNumberFormat="1" applyFont="1" applyFill="1" applyBorder="1" applyAlignment="1">
      <alignment horizontal="center"/>
    </xf>
    <xf numFmtId="182" fontId="7" fillId="0" borderId="15" xfId="0" applyNumberFormat="1" applyFont="1" applyFill="1" applyBorder="1" applyAlignment="1">
      <alignment horizontal="center"/>
    </xf>
    <xf numFmtId="3" fontId="7" fillId="0" borderId="16" xfId="0" applyNumberFormat="1" applyFont="1" applyFill="1" applyBorder="1" applyAlignment="1">
      <alignment horizontal="center"/>
    </xf>
    <xf numFmtId="212" fontId="4" fillId="0" borderId="19" xfId="0" applyNumberFormat="1" applyFont="1" applyFill="1" applyBorder="1"/>
    <xf numFmtId="0" fontId="13" fillId="0" borderId="12" xfId="0" applyFont="1" applyFill="1" applyBorder="1"/>
    <xf numFmtId="0" fontId="4" fillId="0" borderId="28" xfId="0" applyFont="1" applyFill="1" applyBorder="1"/>
    <xf numFmtId="0" fontId="73" fillId="17" borderId="12" xfId="0" applyFont="1" applyFill="1" applyBorder="1"/>
    <xf numFmtId="0" fontId="4" fillId="19" borderId="12" xfId="0" applyFont="1" applyFill="1" applyBorder="1"/>
    <xf numFmtId="0" fontId="4" fillId="19" borderId="24" xfId="0" applyFont="1" applyFill="1" applyBorder="1"/>
    <xf numFmtId="0" fontId="66" fillId="17" borderId="12" xfId="0" applyFont="1" applyFill="1" applyBorder="1" applyAlignment="1">
      <alignment wrapText="1"/>
    </xf>
    <xf numFmtId="0" fontId="4" fillId="19" borderId="12" xfId="0" applyFont="1" applyFill="1" applyBorder="1" applyAlignment="1">
      <alignment horizontal="left" indent="1"/>
    </xf>
    <xf numFmtId="172" fontId="4" fillId="0" borderId="0" xfId="41" applyNumberFormat="1" applyFont="1" applyFill="1" applyBorder="1"/>
    <xf numFmtId="177" fontId="38" fillId="0" borderId="12" xfId="41" applyNumberFormat="1" applyFont="1" applyFill="1" applyBorder="1" applyAlignment="1">
      <alignment horizontal="center"/>
    </xf>
    <xf numFmtId="171" fontId="25" fillId="18" borderId="0" xfId="0" applyNumberFormat="1" applyFont="1" applyFill="1" applyBorder="1" applyAlignment="1">
      <alignment horizontal="center"/>
    </xf>
    <xf numFmtId="7" fontId="18" fillId="18" borderId="0" xfId="0" applyNumberFormat="1" applyFont="1" applyFill="1" applyBorder="1" applyAlignment="1">
      <alignment horizontal="right"/>
    </xf>
    <xf numFmtId="39" fontId="4" fillId="0" borderId="0" xfId="0" applyNumberFormat="1" applyFont="1" applyFill="1"/>
    <xf numFmtId="2" fontId="4" fillId="0" borderId="0" xfId="0" applyNumberFormat="1" applyFont="1" applyFill="1"/>
    <xf numFmtId="191" fontId="4" fillId="0" borderId="11" xfId="0" applyNumberFormat="1" applyFont="1" applyFill="1" applyBorder="1"/>
    <xf numFmtId="171" fontId="38" fillId="18" borderId="0" xfId="0" applyNumberFormat="1" applyFont="1" applyFill="1" applyBorder="1" applyAlignment="1">
      <alignment horizontal="center"/>
    </xf>
    <xf numFmtId="9" fontId="4" fillId="18" borderId="0" xfId="67" applyFont="1" applyFill="1" applyBorder="1" applyAlignment="1">
      <alignment horizontal="center"/>
    </xf>
    <xf numFmtId="9" fontId="4" fillId="18" borderId="12" xfId="67" applyFont="1" applyFill="1" applyBorder="1" applyAlignment="1">
      <alignment horizontal="center"/>
    </xf>
    <xf numFmtId="172" fontId="7" fillId="18" borderId="16" xfId="41" applyNumberFormat="1" applyFont="1" applyFill="1" applyBorder="1" applyAlignment="1">
      <alignment horizontal="center"/>
    </xf>
    <xf numFmtId="172" fontId="7" fillId="18" borderId="15" xfId="41" applyNumberFormat="1" applyFont="1" applyFill="1" applyBorder="1" applyAlignment="1">
      <alignment horizontal="center"/>
    </xf>
    <xf numFmtId="172" fontId="7" fillId="18" borderId="0" xfId="41" applyNumberFormat="1" applyFont="1" applyFill="1" applyBorder="1" applyAlignment="1">
      <alignment horizontal="center"/>
    </xf>
    <xf numFmtId="9" fontId="38" fillId="18" borderId="12" xfId="0" applyNumberFormat="1" applyFont="1" applyFill="1" applyBorder="1" applyAlignment="1">
      <alignment horizontal="center"/>
    </xf>
    <xf numFmtId="9" fontId="25" fillId="18" borderId="17" xfId="0" applyNumberFormat="1" applyFont="1" applyFill="1" applyBorder="1" applyAlignment="1">
      <alignment horizontal="center"/>
    </xf>
    <xf numFmtId="171" fontId="68" fillId="0" borderId="13" xfId="67" applyNumberFormat="1" applyFont="1" applyFill="1" applyBorder="1"/>
    <xf numFmtId="171" fontId="68" fillId="0" borderId="15" xfId="67" applyNumberFormat="1" applyFont="1" applyFill="1" applyBorder="1"/>
    <xf numFmtId="171" fontId="68" fillId="0" borderId="16" xfId="67" applyNumberFormat="1" applyFont="1" applyFill="1" applyBorder="1"/>
    <xf numFmtId="0" fontId="11" fillId="0" borderId="18" xfId="0" applyFont="1" applyFill="1" applyBorder="1" applyAlignment="1">
      <alignment horizontal="left" indent="1"/>
    </xf>
    <xf numFmtId="0" fontId="10" fillId="0" borderId="15" xfId="58" applyFont="1" applyFill="1" applyBorder="1" applyAlignment="1" applyProtection="1">
      <alignment horizontal="left"/>
    </xf>
    <xf numFmtId="171" fontId="11" fillId="0" borderId="0" xfId="67" applyNumberFormat="1" applyFont="1" applyFill="1" applyBorder="1"/>
    <xf numFmtId="171" fontId="11" fillId="0" borderId="12" xfId="67" applyNumberFormat="1" applyFont="1" applyFill="1" applyBorder="1"/>
    <xf numFmtId="171" fontId="11" fillId="0" borderId="11" xfId="67" applyNumberFormat="1" applyFont="1" applyFill="1" applyBorder="1"/>
    <xf numFmtId="171" fontId="11" fillId="0" borderId="24" xfId="67" applyNumberFormat="1" applyFont="1" applyFill="1" applyBorder="1"/>
    <xf numFmtId="0" fontId="9" fillId="17" borderId="0" xfId="62" applyFont="1" applyFill="1" applyBorder="1" applyAlignment="1">
      <alignment horizontal="left"/>
    </xf>
    <xf numFmtId="0" fontId="21" fillId="17" borderId="0" xfId="62" applyFill="1" applyBorder="1" applyAlignment="1"/>
    <xf numFmtId="0" fontId="9" fillId="17" borderId="0" xfId="62" applyFont="1" applyFill="1" applyBorder="1" applyAlignment="1">
      <alignment horizontal="right"/>
    </xf>
    <xf numFmtId="0" fontId="9" fillId="17" borderId="17" xfId="62" applyFont="1" applyFill="1" applyBorder="1" applyAlignment="1">
      <alignment horizontal="right"/>
    </xf>
    <xf numFmtId="0" fontId="4" fillId="17" borderId="0" xfId="0" applyFont="1" applyFill="1"/>
    <xf numFmtId="0" fontId="10" fillId="16" borderId="14" xfId="0" applyFont="1" applyFill="1" applyBorder="1"/>
    <xf numFmtId="0" fontId="10" fillId="16" borderId="0" xfId="0" applyFont="1" applyFill="1" applyBorder="1"/>
    <xf numFmtId="0" fontId="10" fillId="16" borderId="12" xfId="0" applyFont="1" applyFill="1" applyBorder="1"/>
    <xf numFmtId="171" fontId="68" fillId="16" borderId="14" xfId="0" applyNumberFormat="1" applyFont="1" applyFill="1" applyBorder="1"/>
    <xf numFmtId="171" fontId="68" fillId="16" borderId="0" xfId="0" applyNumberFormat="1" applyFont="1" applyFill="1" applyBorder="1"/>
    <xf numFmtId="171" fontId="68" fillId="16" borderId="12" xfId="0" applyNumberFormat="1" applyFont="1" applyFill="1" applyBorder="1"/>
    <xf numFmtId="0" fontId="4" fillId="0" borderId="14" xfId="0" applyFont="1" applyBorder="1"/>
    <xf numFmtId="0" fontId="4" fillId="0" borderId="12" xfId="0" applyFont="1" applyBorder="1"/>
    <xf numFmtId="180" fontId="4" fillId="0" borderId="14" xfId="0" applyNumberFormat="1" applyFont="1" applyBorder="1"/>
    <xf numFmtId="180" fontId="4" fillId="0" borderId="0" xfId="0" applyNumberFormat="1" applyFont="1" applyBorder="1"/>
    <xf numFmtId="180" fontId="4" fillId="0" borderId="12" xfId="0" applyNumberFormat="1" applyFont="1" applyBorder="1"/>
    <xf numFmtId="0" fontId="4" fillId="20" borderId="14" xfId="0" applyFont="1" applyFill="1" applyBorder="1"/>
    <xf numFmtId="0" fontId="4" fillId="20" borderId="0" xfId="0" applyFont="1" applyFill="1" applyBorder="1"/>
    <xf numFmtId="0" fontId="4" fillId="20" borderId="12" xfId="0" applyFont="1" applyFill="1" applyBorder="1"/>
    <xf numFmtId="180" fontId="4" fillId="20" borderId="14" xfId="0" applyNumberFormat="1" applyFont="1" applyFill="1" applyBorder="1"/>
    <xf numFmtId="180" fontId="4" fillId="20" borderId="0" xfId="0" applyNumberFormat="1" applyFont="1" applyFill="1" applyBorder="1"/>
    <xf numFmtId="180" fontId="4" fillId="20" borderId="12" xfId="0" applyNumberFormat="1" applyFont="1" applyFill="1" applyBorder="1"/>
    <xf numFmtId="0" fontId="10" fillId="16" borderId="14" xfId="0" applyFont="1" applyFill="1" applyBorder="1" applyAlignment="1">
      <alignment horizontal="left" indent="1"/>
    </xf>
    <xf numFmtId="0" fontId="4" fillId="0" borderId="14" xfId="0" applyFont="1" applyBorder="1" applyAlignment="1">
      <alignment horizontal="left" indent="2"/>
    </xf>
    <xf numFmtId="0" fontId="4" fillId="20" borderId="14" xfId="0" applyFont="1" applyFill="1" applyBorder="1" applyAlignment="1">
      <alignment horizontal="left" indent="2"/>
    </xf>
    <xf numFmtId="186" fontId="10" fillId="0" borderId="13" xfId="41" applyNumberFormat="1" applyFont="1" applyFill="1" applyBorder="1"/>
    <xf numFmtId="186" fontId="11" fillId="0" borderId="14" xfId="41" applyNumberFormat="1" applyFont="1" applyFill="1" applyBorder="1"/>
    <xf numFmtId="186" fontId="11" fillId="0" borderId="0" xfId="41" applyNumberFormat="1" applyFont="1" applyFill="1" applyBorder="1"/>
    <xf numFmtId="186" fontId="11" fillId="0" borderId="12" xfId="41" applyNumberFormat="1" applyFont="1" applyFill="1" applyBorder="1"/>
    <xf numFmtId="186" fontId="11" fillId="0" borderId="18" xfId="41" applyNumberFormat="1" applyFont="1" applyFill="1" applyBorder="1"/>
    <xf numFmtId="186" fontId="11" fillId="0" borderId="11" xfId="41" applyNumberFormat="1" applyFont="1" applyFill="1" applyBorder="1"/>
    <xf numFmtId="186" fontId="11" fillId="0" borderId="24" xfId="41" applyNumberFormat="1" applyFont="1" applyFill="1" applyBorder="1"/>
    <xf numFmtId="186" fontId="10" fillId="0" borderId="15" xfId="41" applyNumberFormat="1" applyFont="1" applyFill="1" applyBorder="1"/>
    <xf numFmtId="186" fontId="10" fillId="0" borderId="16" xfId="41" applyNumberFormat="1" applyFont="1" applyFill="1" applyBorder="1"/>
    <xf numFmtId="0" fontId="11" fillId="0" borderId="15" xfId="0" applyFont="1" applyFill="1" applyBorder="1"/>
    <xf numFmtId="171" fontId="10" fillId="0" borderId="13" xfId="67" applyNumberFormat="1" applyFont="1" applyFill="1" applyBorder="1"/>
    <xf numFmtId="171" fontId="10" fillId="0" borderId="15" xfId="67" applyNumberFormat="1" applyFont="1" applyFill="1" applyBorder="1"/>
    <xf numFmtId="171" fontId="10" fillId="0" borderId="16" xfId="67" applyNumberFormat="1" applyFont="1" applyFill="1" applyBorder="1"/>
    <xf numFmtId="177" fontId="11" fillId="0" borderId="12" xfId="41" applyNumberFormat="1" applyFont="1" applyFill="1" applyBorder="1" applyAlignment="1">
      <alignment horizontal="right"/>
    </xf>
    <xf numFmtId="177" fontId="12" fillId="0" borderId="14" xfId="41" applyNumberFormat="1" applyFont="1" applyFill="1" applyBorder="1"/>
    <xf numFmtId="10" fontId="4" fillId="0" borderId="0" xfId="67" applyNumberFormat="1" applyFont="1" applyFill="1"/>
    <xf numFmtId="172" fontId="80" fillId="0" borderId="0" xfId="41" applyNumberFormat="1" applyFont="1" applyFill="1" applyBorder="1"/>
    <xf numFmtId="165" fontId="81" fillId="0" borderId="0" xfId="0" applyNumberFormat="1" applyFont="1" applyFill="1"/>
    <xf numFmtId="165" fontId="80" fillId="0" borderId="0" xfId="0" applyNumberFormat="1" applyFont="1" applyFill="1" applyBorder="1"/>
    <xf numFmtId="165" fontId="80" fillId="0" borderId="0" xfId="0" applyNumberFormat="1" applyFont="1" applyFill="1"/>
    <xf numFmtId="165" fontId="80" fillId="0" borderId="14" xfId="0" applyNumberFormat="1" applyFont="1" applyFill="1" applyBorder="1"/>
    <xf numFmtId="7" fontId="4" fillId="0" borderId="19" xfId="0" applyNumberFormat="1" applyFont="1" applyFill="1" applyBorder="1"/>
    <xf numFmtId="7" fontId="80" fillId="0" borderId="0" xfId="0" applyNumberFormat="1" applyFont="1" applyFill="1" applyBorder="1" applyAlignment="1">
      <alignment horizontal="right"/>
    </xf>
    <xf numFmtId="172" fontId="80" fillId="0" borderId="0" xfId="0" applyNumberFormat="1" applyFont="1" applyFill="1" applyBorder="1" applyAlignment="1">
      <alignment horizontal="right"/>
    </xf>
    <xf numFmtId="165" fontId="80" fillId="0" borderId="15" xfId="0" applyNumberFormat="1" applyFont="1" applyFill="1" applyBorder="1"/>
    <xf numFmtId="171" fontId="82" fillId="0" borderId="0" xfId="0" applyNumberFormat="1" applyFont="1" applyFill="1" applyBorder="1"/>
    <xf numFmtId="165" fontId="81" fillId="0" borderId="11" xfId="0" applyNumberFormat="1" applyFont="1" applyFill="1" applyBorder="1"/>
    <xf numFmtId="172" fontId="0" fillId="0" borderId="0" xfId="0" applyNumberFormat="1" applyFill="1"/>
    <xf numFmtId="0" fontId="83" fillId="0" borderId="0" xfId="0" applyFont="1" applyFill="1" applyBorder="1"/>
    <xf numFmtId="167" fontId="10" fillId="0" borderId="18" xfId="0" applyNumberFormat="1" applyFont="1" applyFill="1" applyBorder="1"/>
    <xf numFmtId="167" fontId="10" fillId="0" borderId="0" xfId="0" applyNumberFormat="1" applyFont="1" applyFill="1" applyBorder="1"/>
    <xf numFmtId="167" fontId="80" fillId="0" borderId="0" xfId="0" applyNumberFormat="1" applyFont="1" applyFill="1" applyBorder="1"/>
    <xf numFmtId="167" fontId="4" fillId="19" borderId="13" xfId="0" applyNumberFormat="1" applyFont="1" applyFill="1" applyBorder="1"/>
    <xf numFmtId="178" fontId="7" fillId="18" borderId="15" xfId="0" applyNumberFormat="1" applyFont="1" applyFill="1" applyBorder="1"/>
    <xf numFmtId="7" fontId="4" fillId="19" borderId="0" xfId="0" applyNumberFormat="1" applyFont="1" applyFill="1" applyBorder="1"/>
    <xf numFmtId="191" fontId="7" fillId="0" borderId="0" xfId="0" applyNumberFormat="1" applyFont="1" applyFill="1" applyBorder="1"/>
    <xf numFmtId="43" fontId="12" fillId="0" borderId="0" xfId="41" applyFont="1" applyFill="1" applyBorder="1"/>
    <xf numFmtId="178" fontId="24" fillId="0" borderId="15" xfId="0" applyNumberFormat="1" applyFont="1" applyFill="1" applyBorder="1"/>
    <xf numFmtId="186" fontId="7" fillId="0" borderId="15" xfId="41" applyNumberFormat="1" applyFont="1" applyFill="1" applyBorder="1"/>
    <xf numFmtId="186" fontId="4" fillId="0" borderId="11" xfId="41" applyNumberFormat="1" applyFont="1" applyFill="1" applyBorder="1"/>
    <xf numFmtId="186" fontId="7" fillId="0" borderId="16" xfId="41" applyNumberFormat="1" applyFont="1" applyFill="1" applyBorder="1"/>
    <xf numFmtId="186" fontId="4" fillId="0" borderId="12" xfId="41" applyNumberFormat="1" applyFont="1" applyFill="1" applyBorder="1"/>
    <xf numFmtId="186" fontId="4" fillId="0" borderId="24" xfId="41" applyNumberFormat="1" applyFont="1" applyFill="1" applyBorder="1"/>
    <xf numFmtId="171" fontId="13" fillId="0" borderId="11" xfId="0" applyNumberFormat="1" applyFont="1" applyFill="1" applyBorder="1" applyAlignment="1">
      <alignment horizontal="center"/>
    </xf>
    <xf numFmtId="173" fontId="4" fillId="18" borderId="0" xfId="0" applyNumberFormat="1" applyFont="1" applyFill="1" applyBorder="1"/>
    <xf numFmtId="165" fontId="5" fillId="0" borderId="0" xfId="0" applyNumberFormat="1" applyFont="1" applyFill="1" applyBorder="1"/>
    <xf numFmtId="165" fontId="12" fillId="22" borderId="0" xfId="0" applyNumberFormat="1" applyFont="1" applyFill="1" applyBorder="1"/>
    <xf numFmtId="167" fontId="7" fillId="0" borderId="11" xfId="0" applyNumberFormat="1" applyFont="1" applyFill="1" applyBorder="1"/>
    <xf numFmtId="165" fontId="7" fillId="19" borderId="11" xfId="0" applyNumberFormat="1" applyFont="1" applyFill="1" applyBorder="1"/>
    <xf numFmtId="178" fontId="4" fillId="0" borderId="15" xfId="0" applyNumberFormat="1" applyFont="1" applyFill="1" applyBorder="1" applyAlignment="1">
      <alignment horizontal="right"/>
    </xf>
    <xf numFmtId="178" fontId="4" fillId="0" borderId="16" xfId="0" applyNumberFormat="1" applyFont="1" applyFill="1" applyBorder="1" applyAlignment="1">
      <alignment horizontal="right"/>
    </xf>
    <xf numFmtId="7" fontId="4" fillId="0" borderId="0" xfId="42" applyNumberFormat="1" applyFont="1" applyFill="1" applyBorder="1" applyAlignment="1">
      <alignment horizontal="right"/>
    </xf>
    <xf numFmtId="202" fontId="4" fillId="0" borderId="0" xfId="42" applyNumberFormat="1" applyFont="1" applyFill="1" applyBorder="1" applyAlignment="1">
      <alignment horizontal="right"/>
    </xf>
    <xf numFmtId="171" fontId="4" fillId="0" borderId="0" xfId="67" applyNumberFormat="1" applyFont="1" applyFill="1" applyBorder="1" applyAlignment="1">
      <alignment horizontal="right"/>
    </xf>
    <xf numFmtId="171" fontId="4" fillId="0" borderId="12" xfId="67" applyNumberFormat="1" applyFont="1" applyFill="1" applyBorder="1" applyAlignment="1">
      <alignment horizontal="right"/>
    </xf>
    <xf numFmtId="164" fontId="9" fillId="17" borderId="13" xfId="0" applyNumberFormat="1" applyFont="1" applyFill="1" applyBorder="1" applyAlignment="1" applyProtection="1">
      <alignment horizontal="center"/>
    </xf>
    <xf numFmtId="164" fontId="9" fillId="17" borderId="15" xfId="0" applyNumberFormat="1" applyFont="1" applyFill="1" applyBorder="1" applyAlignment="1" applyProtection="1">
      <alignment horizontal="center"/>
    </xf>
    <xf numFmtId="7" fontId="80" fillId="0" borderId="24" xfId="0" applyNumberFormat="1" applyFont="1" applyFill="1" applyBorder="1" applyAlignment="1">
      <alignment horizontal="right"/>
    </xf>
    <xf numFmtId="9" fontId="82" fillId="0" borderId="0" xfId="0" applyNumberFormat="1" applyFont="1" applyFill="1" applyBorder="1" applyAlignment="1">
      <alignment horizontal="center"/>
    </xf>
    <xf numFmtId="180" fontId="84" fillId="0" borderId="0" xfId="0" applyNumberFormat="1" applyFont="1" applyFill="1" applyBorder="1" applyAlignment="1">
      <alignment horizontal="center"/>
    </xf>
    <xf numFmtId="171" fontId="25" fillId="0" borderId="0" xfId="67" applyNumberFormat="1" applyFont="1" applyFill="1" applyBorder="1" applyAlignment="1">
      <alignment horizontal="center"/>
    </xf>
    <xf numFmtId="171" fontId="82" fillId="0" borderId="0" xfId="0" applyNumberFormat="1" applyFont="1" applyFill="1" applyBorder="1" applyAlignment="1">
      <alignment horizontal="center"/>
    </xf>
    <xf numFmtId="171" fontId="82" fillId="0" borderId="12" xfId="67" applyNumberFormat="1" applyFont="1" applyFill="1" applyBorder="1" applyAlignment="1">
      <alignment horizontal="center"/>
    </xf>
    <xf numFmtId="171" fontId="82" fillId="0" borderId="14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1" fontId="85" fillId="0" borderId="14" xfId="0" applyNumberFormat="1" applyFont="1" applyFill="1" applyBorder="1" applyAlignment="1">
      <alignment horizontal="center"/>
    </xf>
    <xf numFmtId="171" fontId="85" fillId="0" borderId="0" xfId="0" applyNumberFormat="1" applyFont="1" applyFill="1" applyBorder="1" applyAlignment="1">
      <alignment horizontal="center"/>
    </xf>
    <xf numFmtId="171" fontId="25" fillId="0" borderId="17" xfId="0" applyNumberFormat="1" applyFont="1" applyFill="1" applyBorder="1" applyAlignment="1">
      <alignment horizontal="center"/>
    </xf>
    <xf numFmtId="171" fontId="25" fillId="0" borderId="14" xfId="67" applyNumberFormat="1" applyFont="1" applyFill="1" applyBorder="1" applyAlignment="1">
      <alignment horizontal="center"/>
    </xf>
    <xf numFmtId="171" fontId="85" fillId="0" borderId="17" xfId="0" applyNumberFormat="1" applyFont="1" applyFill="1" applyBorder="1" applyAlignment="1">
      <alignment horizontal="center"/>
    </xf>
    <xf numFmtId="171" fontId="13" fillId="0" borderId="0" xfId="0" applyNumberFormat="1" applyFont="1" applyFill="1" applyBorder="1" applyAlignment="1">
      <alignment horizontal="center"/>
    </xf>
    <xf numFmtId="171" fontId="13" fillId="0" borderId="14" xfId="0" applyNumberFormat="1" applyFont="1" applyFill="1" applyBorder="1" applyAlignment="1">
      <alignment horizontal="center"/>
    </xf>
    <xf numFmtId="177" fontId="22" fillId="0" borderId="0" xfId="41" applyNumberFormat="1" applyFont="1" applyFill="1" applyBorder="1" applyAlignment="1">
      <alignment horizontal="center"/>
    </xf>
    <xf numFmtId="171" fontId="13" fillId="0" borderId="12" xfId="67" applyNumberFormat="1" applyFont="1" applyFill="1" applyBorder="1" applyAlignment="1">
      <alignment horizontal="center"/>
    </xf>
    <xf numFmtId="171" fontId="22" fillId="0" borderId="0" xfId="0" applyNumberFormat="1" applyFont="1" applyFill="1" applyBorder="1" applyAlignment="1">
      <alignment horizontal="center"/>
    </xf>
    <xf numFmtId="0" fontId="9" fillId="17" borderId="28" xfId="0" applyFont="1" applyFill="1" applyBorder="1"/>
    <xf numFmtId="0" fontId="86" fillId="0" borderId="23" xfId="0" applyFont="1" applyFill="1" applyBorder="1"/>
    <xf numFmtId="0" fontId="86" fillId="0" borderId="11" xfId="0" applyFont="1" applyFill="1" applyBorder="1"/>
    <xf numFmtId="165" fontId="86" fillId="0" borderId="11" xfId="0" applyNumberFormat="1" applyFont="1" applyFill="1" applyBorder="1"/>
    <xf numFmtId="9" fontId="86" fillId="0" borderId="11" xfId="67" applyFont="1" applyFill="1" applyBorder="1"/>
    <xf numFmtId="167" fontId="86" fillId="0" borderId="11" xfId="0" applyNumberFormat="1" applyFont="1" applyFill="1" applyBorder="1"/>
    <xf numFmtId="165" fontId="86" fillId="0" borderId="0" xfId="0" applyNumberFormat="1" applyFont="1" applyFill="1" applyBorder="1"/>
    <xf numFmtId="0" fontId="86" fillId="0" borderId="0" xfId="0" applyFont="1" applyFill="1"/>
    <xf numFmtId="0" fontId="87" fillId="0" borderId="0" xfId="0" applyFont="1" applyFill="1"/>
    <xf numFmtId="1" fontId="4" fillId="0" borderId="14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1" fontId="80" fillId="0" borderId="0" xfId="0" applyNumberFormat="1" applyFont="1" applyFill="1" applyBorder="1" applyAlignment="1">
      <alignment horizontal="center"/>
    </xf>
    <xf numFmtId="171" fontId="13" fillId="0" borderId="14" xfId="67" applyNumberFormat="1" applyFont="1" applyFill="1" applyBorder="1" applyAlignment="1">
      <alignment horizontal="center"/>
    </xf>
    <xf numFmtId="171" fontId="13" fillId="0" borderId="0" xfId="67" applyNumberFormat="1" applyFont="1" applyFill="1" applyBorder="1" applyAlignment="1">
      <alignment horizontal="center"/>
    </xf>
    <xf numFmtId="1" fontId="80" fillId="0" borderId="14" xfId="0" applyNumberFormat="1" applyFont="1" applyFill="1" applyBorder="1" applyAlignment="1">
      <alignment horizontal="center"/>
    </xf>
    <xf numFmtId="164" fontId="4" fillId="0" borderId="14" xfId="0" applyNumberFormat="1" applyFont="1" applyFill="1" applyBorder="1" applyAlignment="1">
      <alignment horizontal="center"/>
    </xf>
    <xf numFmtId="164" fontId="7" fillId="0" borderId="12" xfId="0" applyNumberFormat="1" applyFont="1" applyFill="1" applyBorder="1" applyAlignment="1">
      <alignment horizontal="center"/>
    </xf>
    <xf numFmtId="43" fontId="12" fillId="0" borderId="12" xfId="41" applyFont="1" applyFill="1" applyBorder="1" applyAlignment="1">
      <alignment horizontal="center"/>
    </xf>
    <xf numFmtId="171" fontId="12" fillId="0" borderId="0" xfId="0" applyNumberFormat="1" applyFont="1" applyFill="1" applyBorder="1" applyAlignment="1">
      <alignment horizontal="center"/>
    </xf>
    <xf numFmtId="171" fontId="85" fillId="0" borderId="0" xfId="67" applyNumberFormat="1" applyFont="1" applyFill="1" applyBorder="1" applyAlignment="1">
      <alignment horizontal="center"/>
    </xf>
    <xf numFmtId="0" fontId="13" fillId="0" borderId="12" xfId="0" applyFont="1" applyFill="1" applyBorder="1" applyAlignment="1">
      <alignment horizontal="left" indent="2"/>
    </xf>
    <xf numFmtId="180" fontId="80" fillId="0" borderId="12" xfId="0" applyNumberFormat="1" applyFont="1" applyFill="1" applyBorder="1" applyAlignment="1">
      <alignment horizontal="center"/>
    </xf>
    <xf numFmtId="0" fontId="7" fillId="26" borderId="12" xfId="0" applyFont="1" applyFill="1" applyBorder="1" applyAlignment="1"/>
    <xf numFmtId="0" fontId="4" fillId="26" borderId="12" xfId="0" applyFont="1" applyFill="1" applyBorder="1"/>
    <xf numFmtId="164" fontId="66" fillId="26" borderId="0" xfId="0" applyNumberFormat="1" applyFont="1" applyFill="1" applyBorder="1" applyAlignment="1">
      <alignment horizontal="center"/>
    </xf>
    <xf numFmtId="164" fontId="4" fillId="26" borderId="12" xfId="0" applyNumberFormat="1" applyFont="1" applyFill="1" applyBorder="1" applyAlignment="1">
      <alignment horizontal="center"/>
    </xf>
    <xf numFmtId="164" fontId="4" fillId="26" borderId="0" xfId="0" applyNumberFormat="1" applyFont="1" applyFill="1" applyBorder="1" applyAlignment="1">
      <alignment horizontal="center"/>
    </xf>
    <xf numFmtId="164" fontId="66" fillId="26" borderId="14" xfId="0" applyNumberFormat="1" applyFont="1" applyFill="1" applyBorder="1" applyAlignment="1">
      <alignment horizontal="center"/>
    </xf>
    <xf numFmtId="43" fontId="4" fillId="26" borderId="0" xfId="41" applyFont="1" applyFill="1" applyBorder="1" applyAlignment="1">
      <alignment horizontal="center"/>
    </xf>
    <xf numFmtId="9" fontId="25" fillId="26" borderId="14" xfId="0" applyNumberFormat="1" applyFont="1" applyFill="1" applyBorder="1" applyAlignment="1">
      <alignment horizontal="center"/>
    </xf>
    <xf numFmtId="9" fontId="25" fillId="26" borderId="0" xfId="0" applyNumberFormat="1" applyFont="1" applyFill="1" applyBorder="1" applyAlignment="1">
      <alignment horizontal="center"/>
    </xf>
    <xf numFmtId="9" fontId="25" fillId="26" borderId="17" xfId="0" applyNumberFormat="1" applyFont="1" applyFill="1" applyBorder="1" applyAlignment="1">
      <alignment horizontal="center"/>
    </xf>
    <xf numFmtId="171" fontId="25" fillId="26" borderId="12" xfId="67" applyNumberFormat="1" applyFont="1" applyFill="1" applyBorder="1" applyAlignment="1">
      <alignment horizontal="center"/>
    </xf>
    <xf numFmtId="171" fontId="25" fillId="26" borderId="14" xfId="0" applyNumberFormat="1" applyFont="1" applyFill="1" applyBorder="1" applyAlignment="1">
      <alignment horizontal="center"/>
    </xf>
    <xf numFmtId="171" fontId="25" fillId="26" borderId="0" xfId="0" applyNumberFormat="1" applyFont="1" applyFill="1" applyBorder="1" applyAlignment="1">
      <alignment horizontal="center"/>
    </xf>
    <xf numFmtId="171" fontId="25" fillId="26" borderId="17" xfId="0" applyNumberFormat="1" applyFont="1" applyFill="1" applyBorder="1" applyAlignment="1">
      <alignment horizontal="center"/>
    </xf>
    <xf numFmtId="171" fontId="4" fillId="26" borderId="0" xfId="0" applyNumberFormat="1" applyFont="1" applyFill="1" applyBorder="1" applyAlignment="1">
      <alignment horizontal="center"/>
    </xf>
    <xf numFmtId="171" fontId="25" fillId="26" borderId="14" xfId="67" applyNumberFormat="1" applyFont="1" applyFill="1" applyBorder="1" applyAlignment="1">
      <alignment horizontal="center"/>
    </xf>
    <xf numFmtId="171" fontId="25" fillId="26" borderId="0" xfId="67" applyNumberFormat="1" applyFont="1" applyFill="1" applyBorder="1" applyAlignment="1">
      <alignment horizontal="center"/>
    </xf>
    <xf numFmtId="164" fontId="25" fillId="26" borderId="0" xfId="0" applyNumberFormat="1" applyFont="1" applyFill="1" applyBorder="1" applyAlignment="1">
      <alignment horizontal="center"/>
    </xf>
    <xf numFmtId="164" fontId="25" fillId="26" borderId="12" xfId="0" applyNumberFormat="1" applyFont="1" applyFill="1" applyBorder="1" applyAlignment="1">
      <alignment horizontal="center"/>
    </xf>
    <xf numFmtId="171" fontId="38" fillId="26" borderId="0" xfId="0" applyNumberFormat="1" applyFont="1" applyFill="1" applyBorder="1" applyAlignment="1">
      <alignment horizontal="center"/>
    </xf>
    <xf numFmtId="0" fontId="7" fillId="26" borderId="16" xfId="0" applyFont="1" applyFill="1" applyBorder="1" applyAlignment="1"/>
    <xf numFmtId="0" fontId="4" fillId="26" borderId="16" xfId="0" applyFont="1" applyFill="1" applyBorder="1"/>
    <xf numFmtId="164" fontId="66" fillId="26" borderId="15" xfId="0" applyNumberFormat="1" applyFont="1" applyFill="1" applyBorder="1" applyAlignment="1">
      <alignment horizontal="center"/>
    </xf>
    <xf numFmtId="164" fontId="4" fillId="26" borderId="16" xfId="0" applyNumberFormat="1" applyFont="1" applyFill="1" applyBorder="1" applyAlignment="1">
      <alignment horizontal="center"/>
    </xf>
    <xf numFmtId="164" fontId="4" fillId="26" borderId="15" xfId="0" applyNumberFormat="1" applyFont="1" applyFill="1" applyBorder="1" applyAlignment="1">
      <alignment horizontal="center"/>
    </xf>
    <xf numFmtId="164" fontId="66" fillId="26" borderId="13" xfId="0" applyNumberFormat="1" applyFont="1" applyFill="1" applyBorder="1" applyAlignment="1">
      <alignment horizontal="center"/>
    </xf>
    <xf numFmtId="43" fontId="4" fillId="26" borderId="15" xfId="41" applyFont="1" applyFill="1" applyBorder="1" applyAlignment="1">
      <alignment horizontal="center"/>
    </xf>
    <xf numFmtId="9" fontId="25" fillId="26" borderId="13" xfId="0" applyNumberFormat="1" applyFont="1" applyFill="1" applyBorder="1" applyAlignment="1">
      <alignment horizontal="center"/>
    </xf>
    <xf numFmtId="9" fontId="25" fillId="26" borderId="15" xfId="0" applyNumberFormat="1" applyFont="1" applyFill="1" applyBorder="1" applyAlignment="1">
      <alignment horizontal="center"/>
    </xf>
    <xf numFmtId="9" fontId="25" fillId="26" borderId="27" xfId="0" applyNumberFormat="1" applyFont="1" applyFill="1" applyBorder="1" applyAlignment="1">
      <alignment horizontal="center"/>
    </xf>
    <xf numFmtId="171" fontId="25" fillId="26" borderId="16" xfId="67" applyNumberFormat="1" applyFont="1" applyFill="1" applyBorder="1" applyAlignment="1">
      <alignment horizontal="center"/>
    </xf>
    <xf numFmtId="171" fontId="25" fillId="26" borderId="13" xfId="0" applyNumberFormat="1" applyFont="1" applyFill="1" applyBorder="1" applyAlignment="1">
      <alignment horizontal="center"/>
    </xf>
    <xf numFmtId="171" fontId="25" fillId="26" borderId="15" xfId="0" applyNumberFormat="1" applyFont="1" applyFill="1" applyBorder="1" applyAlignment="1">
      <alignment horizontal="center"/>
    </xf>
    <xf numFmtId="171" fontId="25" fillId="26" borderId="27" xfId="0" applyNumberFormat="1" applyFont="1" applyFill="1" applyBorder="1" applyAlignment="1">
      <alignment horizontal="center"/>
    </xf>
    <xf numFmtId="171" fontId="4" fillId="26" borderId="15" xfId="0" applyNumberFormat="1" applyFont="1" applyFill="1" applyBorder="1" applyAlignment="1">
      <alignment horizontal="center"/>
    </xf>
    <xf numFmtId="171" fontId="25" fillId="26" borderId="13" xfId="67" applyNumberFormat="1" applyFont="1" applyFill="1" applyBorder="1" applyAlignment="1">
      <alignment horizontal="center"/>
    </xf>
    <xf numFmtId="171" fontId="25" fillId="26" borderId="15" xfId="67" applyNumberFormat="1" applyFont="1" applyFill="1" applyBorder="1" applyAlignment="1">
      <alignment horizontal="center"/>
    </xf>
    <xf numFmtId="164" fontId="25" fillId="26" borderId="15" xfId="0" applyNumberFormat="1" applyFont="1" applyFill="1" applyBorder="1" applyAlignment="1">
      <alignment horizontal="center"/>
    </xf>
    <xf numFmtId="164" fontId="25" fillId="26" borderId="16" xfId="0" applyNumberFormat="1" applyFont="1" applyFill="1" applyBorder="1" applyAlignment="1">
      <alignment horizontal="center"/>
    </xf>
    <xf numFmtId="171" fontId="38" fillId="26" borderId="15" xfId="0" applyNumberFormat="1" applyFont="1" applyFill="1" applyBorder="1" applyAlignment="1">
      <alignment horizontal="center"/>
    </xf>
    <xf numFmtId="0" fontId="4" fillId="27" borderId="16" xfId="0" applyFont="1" applyFill="1" applyBorder="1"/>
    <xf numFmtId="164" fontId="7" fillId="27" borderId="15" xfId="0" applyNumberFormat="1" applyFont="1" applyFill="1" applyBorder="1" applyAlignment="1">
      <alignment horizontal="center"/>
    </xf>
    <xf numFmtId="164" fontId="4" fillId="27" borderId="16" xfId="0" applyNumberFormat="1" applyFont="1" applyFill="1" applyBorder="1" applyAlignment="1">
      <alignment horizontal="center"/>
    </xf>
    <xf numFmtId="164" fontId="4" fillId="27" borderId="15" xfId="0" applyNumberFormat="1" applyFont="1" applyFill="1" applyBorder="1" applyAlignment="1">
      <alignment horizontal="center"/>
    </xf>
    <xf numFmtId="164" fontId="7" fillId="27" borderId="13" xfId="0" applyNumberFormat="1" applyFont="1" applyFill="1" applyBorder="1" applyAlignment="1">
      <alignment horizontal="center"/>
    </xf>
    <xf numFmtId="164" fontId="4" fillId="27" borderId="13" xfId="0" applyNumberFormat="1" applyFont="1" applyFill="1" applyBorder="1" applyAlignment="1">
      <alignment horizontal="center"/>
    </xf>
    <xf numFmtId="164" fontId="7" fillId="27" borderId="16" xfId="0" applyNumberFormat="1" applyFont="1" applyFill="1" applyBorder="1" applyAlignment="1">
      <alignment horizontal="center"/>
    </xf>
    <xf numFmtId="43" fontId="4" fillId="27" borderId="16" xfId="41" applyFont="1" applyFill="1" applyBorder="1" applyAlignment="1">
      <alignment horizontal="center"/>
    </xf>
    <xf numFmtId="180" fontId="4" fillId="27" borderId="13" xfId="0" applyNumberFormat="1" applyFont="1" applyFill="1" applyBorder="1" applyAlignment="1">
      <alignment horizontal="center"/>
    </xf>
    <xf numFmtId="180" fontId="4" fillId="27" borderId="15" xfId="0" applyNumberFormat="1" applyFont="1" applyFill="1" applyBorder="1" applyAlignment="1">
      <alignment horizontal="center"/>
    </xf>
    <xf numFmtId="180" fontId="4" fillId="27" borderId="27" xfId="0" applyNumberFormat="1" applyFont="1" applyFill="1" applyBorder="1" applyAlignment="1">
      <alignment horizontal="center"/>
    </xf>
    <xf numFmtId="180" fontId="4" fillId="27" borderId="16" xfId="0" applyNumberFormat="1" applyFont="1" applyFill="1" applyBorder="1" applyAlignment="1">
      <alignment horizontal="center"/>
    </xf>
    <xf numFmtId="164" fontId="7" fillId="27" borderId="11" xfId="0" applyNumberFormat="1" applyFont="1" applyFill="1" applyBorder="1" applyAlignment="1">
      <alignment horizontal="center"/>
    </xf>
    <xf numFmtId="164" fontId="7" fillId="27" borderId="18" xfId="0" applyNumberFormat="1" applyFont="1" applyFill="1" applyBorder="1" applyAlignment="1">
      <alignment horizontal="center"/>
    </xf>
    <xf numFmtId="164" fontId="7" fillId="27" borderId="24" xfId="0" applyNumberFormat="1" applyFont="1" applyFill="1" applyBorder="1" applyAlignment="1">
      <alignment horizontal="center"/>
    </xf>
    <xf numFmtId="0" fontId="13" fillId="28" borderId="12" xfId="0" applyFont="1" applyFill="1" applyBorder="1" applyAlignment="1">
      <alignment horizontal="left" indent="1"/>
    </xf>
    <xf numFmtId="0" fontId="4" fillId="28" borderId="12" xfId="0" applyFont="1" applyFill="1" applyBorder="1"/>
    <xf numFmtId="164" fontId="7" fillId="28" borderId="0" xfId="0" applyNumberFormat="1" applyFont="1" applyFill="1" applyBorder="1" applyAlignment="1">
      <alignment horizontal="center"/>
    </xf>
    <xf numFmtId="164" fontId="4" fillId="28" borderId="12" xfId="0" applyNumberFormat="1" applyFont="1" applyFill="1" applyBorder="1" applyAlignment="1">
      <alignment horizontal="center"/>
    </xf>
    <xf numFmtId="164" fontId="4" fillId="28" borderId="0" xfId="0" applyNumberFormat="1" applyFont="1" applyFill="1" applyBorder="1" applyAlignment="1">
      <alignment horizontal="center"/>
    </xf>
    <xf numFmtId="164" fontId="7" fillId="28" borderId="14" xfId="0" applyNumberFormat="1" applyFont="1" applyFill="1" applyBorder="1" applyAlignment="1">
      <alignment horizontal="center"/>
    </xf>
    <xf numFmtId="164" fontId="4" fillId="28" borderId="14" xfId="0" applyNumberFormat="1" applyFont="1" applyFill="1" applyBorder="1" applyAlignment="1">
      <alignment horizontal="center"/>
    </xf>
    <xf numFmtId="43" fontId="4" fillId="28" borderId="12" xfId="41" applyFont="1" applyFill="1" applyBorder="1" applyAlignment="1">
      <alignment horizontal="center"/>
    </xf>
    <xf numFmtId="43" fontId="4" fillId="28" borderId="14" xfId="41" applyFont="1" applyFill="1" applyBorder="1" applyAlignment="1">
      <alignment horizontal="center"/>
    </xf>
    <xf numFmtId="43" fontId="4" fillId="28" borderId="0" xfId="41" applyFont="1" applyFill="1" applyBorder="1" applyAlignment="1">
      <alignment horizontal="center"/>
    </xf>
    <xf numFmtId="180" fontId="4" fillId="28" borderId="17" xfId="0" applyNumberFormat="1" applyFont="1" applyFill="1" applyBorder="1" applyAlignment="1">
      <alignment horizontal="center"/>
    </xf>
    <xf numFmtId="9" fontId="25" fillId="28" borderId="12" xfId="67" applyFont="1" applyFill="1" applyBorder="1" applyAlignment="1">
      <alignment horizontal="center"/>
    </xf>
    <xf numFmtId="171" fontId="25" fillId="28" borderId="12" xfId="67" applyNumberFormat="1" applyFont="1" applyFill="1" applyBorder="1" applyAlignment="1">
      <alignment horizontal="center"/>
    </xf>
    <xf numFmtId="171" fontId="25" fillId="28" borderId="14" xfId="0" applyNumberFormat="1" applyFont="1" applyFill="1" applyBorder="1" applyAlignment="1">
      <alignment horizontal="center"/>
    </xf>
    <xf numFmtId="171" fontId="25" fillId="28" borderId="0" xfId="0" applyNumberFormat="1" applyFont="1" applyFill="1" applyBorder="1" applyAlignment="1">
      <alignment horizontal="center"/>
    </xf>
    <xf numFmtId="1" fontId="84" fillId="0" borderId="14" xfId="0" applyNumberFormat="1" applyFont="1" applyFill="1" applyBorder="1" applyAlignment="1">
      <alignment horizontal="center"/>
    </xf>
    <xf numFmtId="1" fontId="84" fillId="0" borderId="0" xfId="0" applyNumberFormat="1" applyFont="1" applyFill="1" applyBorder="1" applyAlignment="1">
      <alignment horizontal="center"/>
    </xf>
    <xf numFmtId="171" fontId="13" fillId="0" borderId="17" xfId="67" applyNumberFormat="1" applyFont="1" applyFill="1" applyBorder="1" applyAlignment="1">
      <alignment horizontal="center"/>
    </xf>
    <xf numFmtId="180" fontId="84" fillId="0" borderId="14" xfId="0" applyNumberFormat="1" applyFont="1" applyFill="1" applyBorder="1" applyAlignment="1">
      <alignment horizontal="center"/>
    </xf>
    <xf numFmtId="180" fontId="84" fillId="0" borderId="17" xfId="0" applyNumberFormat="1" applyFont="1" applyFill="1" applyBorder="1" applyAlignment="1">
      <alignment horizontal="center"/>
    </xf>
    <xf numFmtId="180" fontId="80" fillId="0" borderId="0" xfId="0" applyNumberFormat="1" applyFont="1" applyFill="1" applyBorder="1" applyAlignment="1">
      <alignment horizontal="center"/>
    </xf>
    <xf numFmtId="180" fontId="80" fillId="0" borderId="14" xfId="0" applyNumberFormat="1" applyFont="1" applyFill="1" applyBorder="1" applyAlignment="1">
      <alignment horizontal="center"/>
    </xf>
    <xf numFmtId="37" fontId="4" fillId="25" borderId="14" xfId="60" applyNumberFormat="1" applyFont="1" applyFill="1" applyBorder="1"/>
    <xf numFmtId="0" fontId="4" fillId="25" borderId="0" xfId="0" applyFont="1" applyFill="1" applyBorder="1"/>
    <xf numFmtId="37" fontId="4" fillId="25" borderId="14" xfId="0" applyNumberFormat="1" applyFont="1" applyFill="1" applyBorder="1" applyAlignment="1">
      <alignment horizontal="right"/>
    </xf>
    <xf numFmtId="37" fontId="4" fillId="25" borderId="0" xfId="0" applyNumberFormat="1" applyFont="1" applyFill="1" applyBorder="1" applyAlignment="1">
      <alignment horizontal="right"/>
    </xf>
    <xf numFmtId="37" fontId="4" fillId="25" borderId="12" xfId="0" applyNumberFormat="1" applyFont="1" applyFill="1" applyBorder="1" applyAlignment="1">
      <alignment horizontal="right"/>
    </xf>
    <xf numFmtId="37" fontId="4" fillId="25" borderId="18" xfId="60" applyNumberFormat="1" applyFont="1" applyFill="1" applyBorder="1"/>
    <xf numFmtId="0" fontId="4" fillId="25" borderId="11" xfId="0" applyFont="1" applyFill="1" applyBorder="1"/>
    <xf numFmtId="39" fontId="4" fillId="25" borderId="24" xfId="0" applyNumberFormat="1" applyFont="1" applyFill="1" applyBorder="1" applyAlignment="1">
      <alignment horizontal="right"/>
    </xf>
    <xf numFmtId="39" fontId="4" fillId="25" borderId="18" xfId="0" applyNumberFormat="1" applyFont="1" applyFill="1" applyBorder="1" applyAlignment="1">
      <alignment horizontal="right"/>
    </xf>
    <xf numFmtId="39" fontId="4" fillId="25" borderId="11" xfId="0" applyNumberFormat="1" applyFont="1" applyFill="1" applyBorder="1" applyAlignment="1">
      <alignment horizontal="right"/>
    </xf>
    <xf numFmtId="171" fontId="85" fillId="0" borderId="12" xfId="67" applyNumberFormat="1" applyFont="1" applyFill="1" applyBorder="1" applyAlignment="1">
      <alignment horizontal="center"/>
    </xf>
    <xf numFmtId="171" fontId="85" fillId="0" borderId="14" xfId="67" applyNumberFormat="1" applyFont="1" applyFill="1" applyBorder="1" applyAlignment="1">
      <alignment horizontal="center"/>
    </xf>
    <xf numFmtId="0" fontId="4" fillId="27" borderId="12" xfId="0" applyFont="1" applyFill="1" applyBorder="1"/>
    <xf numFmtId="164" fontId="7" fillId="27" borderId="0" xfId="0" applyNumberFormat="1" applyFont="1" applyFill="1" applyBorder="1" applyAlignment="1">
      <alignment horizontal="center"/>
    </xf>
    <xf numFmtId="164" fontId="4" fillId="27" borderId="12" xfId="0" applyNumberFormat="1" applyFont="1" applyFill="1" applyBorder="1" applyAlignment="1">
      <alignment horizontal="center"/>
    </xf>
    <xf numFmtId="164" fontId="4" fillId="27" borderId="0" xfId="0" applyNumberFormat="1" applyFont="1" applyFill="1" applyBorder="1" applyAlignment="1">
      <alignment horizontal="center"/>
    </xf>
    <xf numFmtId="164" fontId="7" fillId="27" borderId="14" xfId="0" applyNumberFormat="1" applyFont="1" applyFill="1" applyBorder="1" applyAlignment="1">
      <alignment horizontal="center"/>
    </xf>
    <xf numFmtId="164" fontId="4" fillId="27" borderId="14" xfId="0" applyNumberFormat="1" applyFont="1" applyFill="1" applyBorder="1" applyAlignment="1">
      <alignment horizontal="center"/>
    </xf>
    <xf numFmtId="180" fontId="4" fillId="27" borderId="14" xfId="0" applyNumberFormat="1" applyFont="1" applyFill="1" applyBorder="1" applyAlignment="1">
      <alignment horizontal="center"/>
    </xf>
    <xf numFmtId="180" fontId="4" fillId="27" borderId="0" xfId="0" applyNumberFormat="1" applyFont="1" applyFill="1" applyBorder="1" applyAlignment="1">
      <alignment horizontal="center"/>
    </xf>
    <xf numFmtId="180" fontId="4" fillId="27" borderId="17" xfId="0" applyNumberFormat="1" applyFont="1" applyFill="1" applyBorder="1" applyAlignment="1">
      <alignment horizontal="center"/>
    </xf>
    <xf numFmtId="180" fontId="4" fillId="27" borderId="12" xfId="0" applyNumberFormat="1" applyFont="1" applyFill="1" applyBorder="1" applyAlignment="1">
      <alignment horizontal="center"/>
    </xf>
    <xf numFmtId="0" fontId="7" fillId="27" borderId="24" xfId="0" applyFont="1" applyFill="1" applyBorder="1" applyAlignment="1"/>
    <xf numFmtId="0" fontId="7" fillId="27" borderId="24" xfId="0" applyFont="1" applyFill="1" applyBorder="1"/>
    <xf numFmtId="43" fontId="7" fillId="27" borderId="24" xfId="41" applyFont="1" applyFill="1" applyBorder="1" applyAlignment="1">
      <alignment horizontal="center"/>
    </xf>
    <xf numFmtId="180" fontId="7" fillId="27" borderId="18" xfId="0" applyNumberFormat="1" applyFont="1" applyFill="1" applyBorder="1" applyAlignment="1">
      <alignment horizontal="center"/>
    </xf>
    <xf numFmtId="180" fontId="7" fillId="27" borderId="11" xfId="0" applyNumberFormat="1" applyFont="1" applyFill="1" applyBorder="1" applyAlignment="1">
      <alignment horizontal="center"/>
    </xf>
    <xf numFmtId="180" fontId="7" fillId="27" borderId="23" xfId="0" applyNumberFormat="1" applyFont="1" applyFill="1" applyBorder="1" applyAlignment="1">
      <alignment horizontal="center"/>
    </xf>
    <xf numFmtId="180" fontId="7" fillId="27" borderId="24" xfId="0" applyNumberFormat="1" applyFont="1" applyFill="1" applyBorder="1" applyAlignment="1">
      <alignment horizontal="center"/>
    </xf>
    <xf numFmtId="0" fontId="4" fillId="27" borderId="16" xfId="0" applyFont="1" applyFill="1" applyBorder="1" applyAlignment="1">
      <alignment horizontal="left" indent="1"/>
    </xf>
    <xf numFmtId="0" fontId="4" fillId="27" borderId="12" xfId="0" applyFont="1" applyFill="1" applyBorder="1" applyAlignment="1">
      <alignment horizontal="left" indent="1"/>
    </xf>
    <xf numFmtId="164" fontId="7" fillId="27" borderId="12" xfId="0" applyNumberFormat="1" applyFont="1" applyFill="1" applyBorder="1" applyAlignment="1">
      <alignment horizontal="center"/>
    </xf>
    <xf numFmtId="43" fontId="4" fillId="27" borderId="12" xfId="41" applyFont="1" applyFill="1" applyBorder="1" applyAlignment="1">
      <alignment horizontal="center"/>
    </xf>
    <xf numFmtId="180" fontId="81" fillId="27" borderId="18" xfId="0" applyNumberFormat="1" applyFont="1" applyFill="1" applyBorder="1" applyAlignment="1">
      <alignment horizontal="center"/>
    </xf>
    <xf numFmtId="180" fontId="81" fillId="27" borderId="11" xfId="0" applyNumberFormat="1" applyFont="1" applyFill="1" applyBorder="1" applyAlignment="1">
      <alignment horizontal="center"/>
    </xf>
    <xf numFmtId="180" fontId="81" fillId="27" borderId="23" xfId="0" applyNumberFormat="1" applyFont="1" applyFill="1" applyBorder="1" applyAlignment="1">
      <alignment horizontal="center"/>
    </xf>
    <xf numFmtId="180" fontId="81" fillId="27" borderId="24" xfId="0" applyNumberFormat="1" applyFont="1" applyFill="1" applyBorder="1" applyAlignment="1">
      <alignment horizontal="center"/>
    </xf>
    <xf numFmtId="177" fontId="88" fillId="27" borderId="24" xfId="41" applyNumberFormat="1" applyFont="1" applyFill="1" applyBorder="1" applyAlignment="1">
      <alignment horizontal="center"/>
    </xf>
    <xf numFmtId="0" fontId="4" fillId="0" borderId="12" xfId="0" quotePrefix="1" applyFont="1" applyFill="1" applyBorder="1" applyAlignment="1">
      <alignment horizontal="left" indent="1"/>
    </xf>
    <xf numFmtId="0" fontId="4" fillId="0" borderId="12" xfId="0" quotePrefix="1" applyFont="1" applyFill="1" applyBorder="1" applyAlignment="1">
      <alignment horizontal="left" indent="2"/>
    </xf>
    <xf numFmtId="9" fontId="82" fillId="0" borderId="12" xfId="0" applyNumberFormat="1" applyFont="1" applyFill="1" applyBorder="1" applyAlignment="1">
      <alignment horizontal="center"/>
    </xf>
    <xf numFmtId="171" fontId="85" fillId="0" borderId="12" xfId="0" applyNumberFormat="1" applyFont="1" applyFill="1" applyBorder="1" applyAlignment="1">
      <alignment horizontal="center"/>
    </xf>
    <xf numFmtId="165" fontId="84" fillId="0" borderId="12" xfId="0" applyNumberFormat="1" applyFont="1" applyFill="1" applyBorder="1"/>
    <xf numFmtId="171" fontId="13" fillId="0" borderId="12" xfId="0" applyNumberFormat="1" applyFont="1" applyFill="1" applyBorder="1" applyAlignment="1">
      <alignment horizontal="center"/>
    </xf>
    <xf numFmtId="0" fontId="4" fillId="0" borderId="12" xfId="0" applyFont="1" applyFill="1" applyBorder="1" applyAlignment="1">
      <alignment horizontal="left" indent="3"/>
    </xf>
    <xf numFmtId="165" fontId="80" fillId="0" borderId="12" xfId="0" applyNumberFormat="1" applyFont="1" applyFill="1" applyBorder="1"/>
    <xf numFmtId="0" fontId="84" fillId="0" borderId="0" xfId="0" applyFont="1" applyFill="1"/>
    <xf numFmtId="0" fontId="13" fillId="0" borderId="12" xfId="0" applyFont="1" applyFill="1" applyBorder="1" applyAlignment="1">
      <alignment horizontal="left" indent="3"/>
    </xf>
    <xf numFmtId="1" fontId="13" fillId="0" borderId="14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4" fillId="26" borderId="0" xfId="0" applyFont="1" applyFill="1" applyBorder="1"/>
    <xf numFmtId="219" fontId="7" fillId="26" borderId="12" xfId="67" applyNumberFormat="1" applyFont="1" applyFill="1" applyBorder="1" applyAlignment="1">
      <alignment horizontal="center"/>
    </xf>
    <xf numFmtId="220" fontId="7" fillId="26" borderId="12" xfId="67" applyNumberFormat="1" applyFont="1" applyFill="1" applyBorder="1" applyAlignment="1">
      <alignment horizontal="center"/>
    </xf>
    <xf numFmtId="182" fontId="7" fillId="0" borderId="17" xfId="0" applyNumberFormat="1" applyFont="1" applyFill="1" applyBorder="1" applyAlignment="1">
      <alignment horizontal="center"/>
    </xf>
    <xf numFmtId="211" fontId="4" fillId="0" borderId="19" xfId="0" applyNumberFormat="1" applyFont="1" applyFill="1" applyBorder="1" applyAlignment="1">
      <alignment horizontal="center"/>
    </xf>
    <xf numFmtId="191" fontId="89" fillId="0" borderId="0" xfId="0" applyNumberFormat="1" applyFont="1" applyFill="1" applyBorder="1"/>
    <xf numFmtId="191" fontId="89" fillId="0" borderId="14" xfId="0" applyNumberFormat="1" applyFont="1" applyFill="1" applyBorder="1"/>
    <xf numFmtId="191" fontId="4" fillId="0" borderId="15" xfId="0" applyNumberFormat="1" applyFont="1" applyFill="1" applyBorder="1"/>
    <xf numFmtId="191" fontId="4" fillId="0" borderId="17" xfId="0" applyNumberFormat="1" applyFont="1" applyFill="1" applyBorder="1"/>
    <xf numFmtId="0" fontId="31" fillId="0" borderId="0" xfId="0" applyFont="1" applyFill="1" applyBorder="1"/>
    <xf numFmtId="164" fontId="84" fillId="0" borderId="0" xfId="0" applyNumberFormat="1" applyFont="1" applyFill="1" applyBorder="1" applyAlignment="1">
      <alignment horizontal="center"/>
    </xf>
    <xf numFmtId="180" fontId="4" fillId="0" borderId="0" xfId="0" applyNumberFormat="1" applyFont="1" applyFill="1"/>
    <xf numFmtId="191" fontId="84" fillId="0" borderId="0" xfId="0" applyNumberFormat="1" applyFont="1" applyFill="1" applyBorder="1"/>
    <xf numFmtId="191" fontId="84" fillId="0" borderId="14" xfId="0" applyNumberFormat="1" applyFont="1" applyFill="1" applyBorder="1"/>
    <xf numFmtId="165" fontId="90" fillId="0" borderId="13" xfId="0" applyNumberFormat="1" applyFont="1" applyFill="1" applyBorder="1"/>
    <xf numFmtId="165" fontId="90" fillId="0" borderId="15" xfId="0" applyNumberFormat="1" applyFont="1" applyFill="1" applyBorder="1"/>
    <xf numFmtId="165" fontId="90" fillId="0" borderId="16" xfId="0" applyNumberFormat="1" applyFont="1" applyFill="1" applyBorder="1"/>
    <xf numFmtId="171" fontId="80" fillId="0" borderId="14" xfId="67" applyNumberFormat="1" applyFont="1" applyFill="1" applyBorder="1"/>
    <xf numFmtId="171" fontId="80" fillId="0" borderId="0" xfId="67" applyNumberFormat="1" applyFont="1" applyFill="1"/>
    <xf numFmtId="7" fontId="4" fillId="0" borderId="0" xfId="41" applyNumberFormat="1" applyFont="1" applyFill="1" applyBorder="1" applyAlignment="1">
      <alignment horizontal="right"/>
    </xf>
    <xf numFmtId="43" fontId="25" fillId="26" borderId="13" xfId="41" applyFont="1" applyFill="1" applyBorder="1" applyAlignment="1">
      <alignment horizontal="center"/>
    </xf>
    <xf numFmtId="43" fontId="25" fillId="26" borderId="15" xfId="41" applyFont="1" applyFill="1" applyBorder="1" applyAlignment="1">
      <alignment horizontal="center"/>
    </xf>
    <xf numFmtId="43" fontId="25" fillId="26" borderId="16" xfId="41" applyFont="1" applyFill="1" applyBorder="1" applyAlignment="1">
      <alignment horizontal="center"/>
    </xf>
    <xf numFmtId="171" fontId="80" fillId="0" borderId="14" xfId="67" applyNumberFormat="1" applyFont="1" applyFill="1" applyBorder="1" applyAlignment="1">
      <alignment horizontal="right"/>
    </xf>
    <xf numFmtId="171" fontId="80" fillId="0" borderId="0" xfId="67" applyNumberFormat="1" applyFont="1" applyFill="1" applyBorder="1" applyAlignment="1">
      <alignment horizontal="right"/>
    </xf>
    <xf numFmtId="171" fontId="80" fillId="0" borderId="17" xfId="67" applyNumberFormat="1" applyFont="1" applyFill="1" applyBorder="1" applyAlignment="1">
      <alignment horizontal="right"/>
    </xf>
    <xf numFmtId="7" fontId="4" fillId="0" borderId="12" xfId="41" applyNumberFormat="1" applyFont="1" applyFill="1" applyBorder="1" applyAlignment="1">
      <alignment horizontal="right"/>
    </xf>
    <xf numFmtId="177" fontId="25" fillId="26" borderId="12" xfId="41" applyNumberFormat="1" applyFont="1" applyFill="1" applyBorder="1" applyAlignment="1">
      <alignment horizontal="center"/>
    </xf>
    <xf numFmtId="191" fontId="4" fillId="0" borderId="0" xfId="0" applyNumberFormat="1" applyFont="1" applyFill="1"/>
    <xf numFmtId="178" fontId="31" fillId="0" borderId="0" xfId="0" quotePrefix="1" applyNumberFormat="1" applyFont="1" applyFill="1"/>
    <xf numFmtId="43" fontId="73" fillId="17" borderId="19" xfId="41" applyFont="1" applyFill="1" applyBorder="1" applyAlignment="1">
      <alignment horizontal="center"/>
    </xf>
    <xf numFmtId="9" fontId="4" fillId="0" borderId="0" xfId="67" applyFont="1" applyFill="1" applyAlignment="1">
      <alignment horizontal="center"/>
    </xf>
    <xf numFmtId="186" fontId="25" fillId="26" borderId="13" xfId="41" applyNumberFormat="1" applyFont="1" applyFill="1" applyBorder="1" applyAlignment="1">
      <alignment horizontal="center"/>
    </xf>
    <xf numFmtId="186" fontId="25" fillId="26" borderId="15" xfId="41" applyNumberFormat="1" applyFont="1" applyFill="1" applyBorder="1" applyAlignment="1">
      <alignment horizontal="center"/>
    </xf>
    <xf numFmtId="186" fontId="25" fillId="26" borderId="16" xfId="41" applyNumberFormat="1" applyFont="1" applyFill="1" applyBorder="1" applyAlignment="1">
      <alignment horizontal="center"/>
    </xf>
    <xf numFmtId="165" fontId="85" fillId="0" borderId="0" xfId="0" applyNumberFormat="1" applyFont="1" applyFill="1" applyBorder="1"/>
    <xf numFmtId="165" fontId="85" fillId="0" borderId="14" xfId="0" applyNumberFormat="1" applyFont="1" applyFill="1" applyBorder="1"/>
    <xf numFmtId="178" fontId="80" fillId="0" borderId="12" xfId="0" applyNumberFormat="1" applyFont="1" applyFill="1" applyBorder="1"/>
    <xf numFmtId="43" fontId="0" fillId="0" borderId="0" xfId="0" applyNumberFormat="1"/>
    <xf numFmtId="44" fontId="25" fillId="26" borderId="0" xfId="42" applyFont="1" applyFill="1" applyBorder="1" applyAlignment="1">
      <alignment horizontal="center"/>
    </xf>
    <xf numFmtId="171" fontId="22" fillId="0" borderId="14" xfId="0" applyNumberFormat="1" applyFont="1" applyFill="1" applyBorder="1" applyAlignment="1">
      <alignment horizontal="center"/>
    </xf>
    <xf numFmtId="0" fontId="93" fillId="0" borderId="0" xfId="0" applyFont="1"/>
    <xf numFmtId="0" fontId="94" fillId="0" borderId="0" xfId="59" applyFont="1" applyFill="1" applyBorder="1" applyAlignment="1" applyProtection="1">
      <alignment horizontal="left"/>
    </xf>
    <xf numFmtId="0" fontId="93" fillId="0" borderId="0" xfId="0" applyFont="1" applyBorder="1"/>
    <xf numFmtId="0" fontId="95" fillId="0" borderId="0" xfId="59" applyFont="1" applyFill="1" applyBorder="1" applyAlignment="1" applyProtection="1">
      <alignment horizontal="left"/>
    </xf>
    <xf numFmtId="0" fontId="93" fillId="0" borderId="0" xfId="0" applyFont="1" applyFill="1"/>
    <xf numFmtId="7" fontId="94" fillId="0" borderId="11" xfId="0" applyNumberFormat="1" applyFont="1" applyBorder="1"/>
    <xf numFmtId="0" fontId="93" fillId="21" borderId="13" xfId="0" applyFont="1" applyFill="1" applyBorder="1"/>
    <xf numFmtId="0" fontId="93" fillId="21" borderId="19" xfId="0" applyFont="1" applyFill="1" applyBorder="1"/>
    <xf numFmtId="0" fontId="93" fillId="21" borderId="19" xfId="0" applyFont="1" applyFill="1" applyBorder="1" applyAlignment="1">
      <alignment horizontal="center"/>
    </xf>
    <xf numFmtId="0" fontId="93" fillId="21" borderId="25" xfId="0" applyFont="1" applyFill="1" applyBorder="1" applyAlignment="1">
      <alignment horizontal="center"/>
    </xf>
    <xf numFmtId="7" fontId="93" fillId="0" borderId="0" xfId="0" applyNumberFormat="1" applyFont="1"/>
    <xf numFmtId="0" fontId="93" fillId="21" borderId="12" xfId="0" applyFont="1" applyFill="1" applyBorder="1"/>
    <xf numFmtId="171" fontId="96" fillId="0" borderId="19" xfId="0" applyNumberFormat="1" applyFont="1" applyBorder="1"/>
    <xf numFmtId="171" fontId="97" fillId="0" borderId="19" xfId="0" applyNumberFormat="1" applyFont="1" applyBorder="1"/>
    <xf numFmtId="171" fontId="96" fillId="0" borderId="25" xfId="0" applyNumberFormat="1" applyFont="1" applyBorder="1"/>
    <xf numFmtId="171" fontId="96" fillId="0" borderId="12" xfId="0" applyNumberFormat="1" applyFont="1" applyBorder="1"/>
    <xf numFmtId="186" fontId="93" fillId="0" borderId="0" xfId="41" applyNumberFormat="1" applyFont="1" applyBorder="1"/>
    <xf numFmtId="186" fontId="93" fillId="0" borderId="17" xfId="41" applyNumberFormat="1" applyFont="1" applyBorder="1"/>
    <xf numFmtId="171" fontId="97" fillId="0" borderId="12" xfId="0" applyNumberFormat="1" applyFont="1" applyBorder="1"/>
    <xf numFmtId="186" fontId="93" fillId="19" borderId="0" xfId="41" applyNumberFormat="1" applyFont="1" applyFill="1" applyBorder="1"/>
    <xf numFmtId="0" fontId="93" fillId="21" borderId="24" xfId="0" applyFont="1" applyFill="1" applyBorder="1"/>
    <xf numFmtId="171" fontId="96" fillId="0" borderId="24" xfId="0" applyNumberFormat="1" applyFont="1" applyBorder="1"/>
    <xf numFmtId="186" fontId="93" fillId="0" borderId="18" xfId="41" applyNumberFormat="1" applyFont="1" applyBorder="1"/>
    <xf numFmtId="186" fontId="93" fillId="0" borderId="11" xfId="41" applyNumberFormat="1" applyFont="1" applyBorder="1"/>
    <xf numFmtId="186" fontId="93" fillId="0" borderId="23" xfId="41" applyNumberFormat="1" applyFont="1" applyBorder="1"/>
    <xf numFmtId="183" fontId="93" fillId="0" borderId="0" xfId="0" applyNumberFormat="1" applyFont="1"/>
    <xf numFmtId="171" fontId="93" fillId="0" borderId="0" xfId="0" applyNumberFormat="1" applyFont="1"/>
    <xf numFmtId="171" fontId="94" fillId="0" borderId="11" xfId="0" applyNumberFormat="1" applyFont="1" applyBorder="1"/>
    <xf numFmtId="0" fontId="93" fillId="21" borderId="11" xfId="0" applyFont="1" applyFill="1" applyBorder="1"/>
    <xf numFmtId="0" fontId="93" fillId="21" borderId="14" xfId="0" applyFont="1" applyFill="1" applyBorder="1"/>
    <xf numFmtId="0" fontId="96" fillId="0" borderId="13" xfId="0" applyFont="1" applyBorder="1"/>
    <xf numFmtId="0" fontId="93" fillId="0" borderId="0" xfId="0" applyFont="1" applyFill="1" applyBorder="1"/>
    <xf numFmtId="0" fontId="93" fillId="0" borderId="13" xfId="0" applyFont="1" applyFill="1" applyBorder="1"/>
    <xf numFmtId="43" fontId="93" fillId="0" borderId="0" xfId="0" applyNumberFormat="1" applyFont="1" applyBorder="1"/>
    <xf numFmtId="43" fontId="93" fillId="0" borderId="17" xfId="0" applyNumberFormat="1" applyFont="1" applyBorder="1"/>
    <xf numFmtId="43" fontId="93" fillId="0" borderId="11" xfId="0" applyNumberFormat="1" applyFont="1" applyBorder="1"/>
    <xf numFmtId="43" fontId="93" fillId="0" borderId="23" xfId="0" applyNumberFormat="1" applyFont="1" applyBorder="1"/>
    <xf numFmtId="171" fontId="93" fillId="0" borderId="0" xfId="67" applyNumberFormat="1" applyFont="1" applyFill="1"/>
    <xf numFmtId="181" fontId="92" fillId="0" borderId="0" xfId="0" applyNumberFormat="1" applyFont="1" applyBorder="1"/>
    <xf numFmtId="0" fontId="98" fillId="0" borderId="0" xfId="0" applyFont="1" applyFill="1" applyBorder="1"/>
    <xf numFmtId="164" fontId="98" fillId="0" borderId="0" xfId="0" applyNumberFormat="1" applyFont="1" applyFill="1" applyBorder="1" applyAlignment="1">
      <alignment horizontal="center"/>
    </xf>
    <xf numFmtId="181" fontId="92" fillId="0" borderId="0" xfId="41" applyNumberFormat="1" applyFont="1" applyFill="1" applyBorder="1" applyAlignment="1">
      <alignment horizontal="center"/>
    </xf>
    <xf numFmtId="0" fontId="94" fillId="0" borderId="0" xfId="0" applyFont="1" applyBorder="1"/>
    <xf numFmtId="9" fontId="92" fillId="0" borderId="0" xfId="0" applyNumberFormat="1" applyFont="1" applyFill="1" applyBorder="1"/>
    <xf numFmtId="178" fontId="93" fillId="0" borderId="20" xfId="0" applyNumberFormat="1" applyFont="1" applyBorder="1"/>
    <xf numFmtId="178" fontId="93" fillId="0" borderId="0" xfId="0" applyNumberFormat="1" applyFont="1" applyBorder="1"/>
    <xf numFmtId="178" fontId="99" fillId="0" borderId="0" xfId="41" applyNumberFormat="1" applyFont="1" applyFill="1" applyBorder="1" applyAlignment="1">
      <alignment horizontal="right"/>
    </xf>
    <xf numFmtId="172" fontId="99" fillId="0" borderId="0" xfId="41" applyNumberFormat="1" applyFont="1" applyFill="1" applyBorder="1" applyAlignment="1">
      <alignment horizontal="right"/>
    </xf>
    <xf numFmtId="172" fontId="100" fillId="0" borderId="0" xfId="41" applyNumberFormat="1" applyFont="1" applyFill="1" applyBorder="1" applyAlignment="1">
      <alignment horizontal="right"/>
    </xf>
    <xf numFmtId="172" fontId="93" fillId="0" borderId="0" xfId="41" applyNumberFormat="1" applyFont="1" applyFill="1" applyBorder="1" applyAlignment="1"/>
    <xf numFmtId="172" fontId="93" fillId="0" borderId="0" xfId="41" applyNumberFormat="1" applyFont="1" applyFill="1" applyBorder="1" applyAlignment="1">
      <alignment horizontal="right"/>
    </xf>
    <xf numFmtId="178" fontId="92" fillId="0" borderId="20" xfId="0" applyNumberFormat="1" applyFont="1" applyBorder="1" applyAlignment="1">
      <alignment horizontal="left" indent="1"/>
    </xf>
    <xf numFmtId="181" fontId="93" fillId="0" borderId="0" xfId="0" applyNumberFormat="1" applyFont="1" applyBorder="1"/>
    <xf numFmtId="179" fontId="93" fillId="0" borderId="20" xfId="0" quotePrefix="1" applyNumberFormat="1" applyFont="1" applyFill="1" applyBorder="1" applyAlignment="1">
      <alignment horizontal="left" indent="1"/>
    </xf>
    <xf numFmtId="39" fontId="93" fillId="0" borderId="20" xfId="0" quotePrefix="1" applyNumberFormat="1" applyFont="1" applyFill="1" applyBorder="1" applyAlignment="1">
      <alignment horizontal="left" indent="1"/>
    </xf>
    <xf numFmtId="178" fontId="92" fillId="0" borderId="0" xfId="0" applyNumberFormat="1" applyFont="1" applyBorder="1"/>
    <xf numFmtId="5" fontId="92" fillId="0" borderId="0" xfId="0" applyNumberFormat="1" applyFont="1" applyFill="1" applyBorder="1"/>
    <xf numFmtId="178" fontId="93" fillId="0" borderId="0" xfId="0" quotePrefix="1" applyNumberFormat="1" applyFont="1" applyFill="1" applyAlignment="1">
      <alignment horizontal="right"/>
    </xf>
    <xf numFmtId="171" fontId="92" fillId="0" borderId="0" xfId="67" applyNumberFormat="1" applyFont="1" applyBorder="1"/>
    <xf numFmtId="172" fontId="93" fillId="0" borderId="11" xfId="0" applyNumberFormat="1" applyFont="1" applyBorder="1"/>
    <xf numFmtId="7" fontId="94" fillId="0" borderId="0" xfId="0" applyNumberFormat="1" applyFont="1" applyBorder="1"/>
    <xf numFmtId="200" fontId="93" fillId="0" borderId="0" xfId="0" applyNumberFormat="1" applyFont="1" applyBorder="1"/>
    <xf numFmtId="0" fontId="93" fillId="0" borderId="0" xfId="0" applyNumberFormat="1" applyFont="1"/>
    <xf numFmtId="0" fontId="101" fillId="0" borderId="0" xfId="0" applyFont="1"/>
    <xf numFmtId="184" fontId="94" fillId="0" borderId="0" xfId="0" applyNumberFormat="1" applyFont="1"/>
    <xf numFmtId="0" fontId="94" fillId="0" borderId="0" xfId="0" applyFont="1"/>
    <xf numFmtId="171" fontId="92" fillId="0" borderId="0" xfId="67" applyNumberFormat="1" applyFont="1" applyFill="1" applyBorder="1" applyAlignment="1">
      <alignment horizontal="right"/>
    </xf>
    <xf numFmtId="0" fontId="93" fillId="0" borderId="14" xfId="0" applyFont="1" applyFill="1" applyBorder="1"/>
    <xf numFmtId="0" fontId="94" fillId="0" borderId="14" xfId="0" applyFont="1" applyFill="1" applyBorder="1"/>
    <xf numFmtId="222" fontId="0" fillId="0" borderId="0" xfId="0" applyNumberFormat="1"/>
    <xf numFmtId="7" fontId="80" fillId="0" borderId="14" xfId="0" applyNumberFormat="1" applyFont="1" applyFill="1" applyBorder="1" applyAlignment="1">
      <alignment horizontal="right"/>
    </xf>
    <xf numFmtId="7" fontId="80" fillId="0" borderId="17" xfId="0" applyNumberFormat="1" applyFont="1" applyFill="1" applyBorder="1" applyAlignment="1">
      <alignment horizontal="right"/>
    </xf>
    <xf numFmtId="7" fontId="4" fillId="0" borderId="14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7" fontId="4" fillId="0" borderId="17" xfId="0" applyNumberFormat="1" applyFont="1" applyFill="1" applyBorder="1" applyAlignment="1">
      <alignment horizontal="right"/>
    </xf>
    <xf numFmtId="0" fontId="102" fillId="29" borderId="19" xfId="0" applyFont="1" applyFill="1" applyBorder="1" applyAlignment="1">
      <alignment horizontal="left"/>
    </xf>
    <xf numFmtId="0" fontId="12" fillId="27" borderId="0" xfId="63" applyFont="1" applyFill="1" applyBorder="1"/>
    <xf numFmtId="220" fontId="103" fillId="29" borderId="19" xfId="0" applyNumberFormat="1" applyFont="1" applyFill="1" applyBorder="1" applyAlignment="1">
      <alignment horizontal="center"/>
    </xf>
    <xf numFmtId="2" fontId="12" fillId="27" borderId="0" xfId="63" applyNumberFormat="1" applyFont="1" applyFill="1" applyBorder="1" applyAlignment="1">
      <alignment horizontal="center"/>
    </xf>
    <xf numFmtId="178" fontId="94" fillId="0" borderId="20" xfId="0" applyNumberFormat="1" applyFont="1" applyBorder="1"/>
    <xf numFmtId="178" fontId="104" fillId="0" borderId="0" xfId="41" applyNumberFormat="1" applyFont="1" applyFill="1" applyBorder="1" applyAlignment="1">
      <alignment horizontal="right"/>
    </xf>
    <xf numFmtId="178" fontId="94" fillId="0" borderId="0" xfId="41" applyNumberFormat="1" applyFont="1" applyFill="1" applyBorder="1" applyAlignment="1"/>
    <xf numFmtId="179" fontId="94" fillId="0" borderId="20" xfId="0" applyNumberFormat="1" applyFont="1" applyBorder="1"/>
    <xf numFmtId="172" fontId="94" fillId="0" borderId="0" xfId="41" applyNumberFormat="1" applyFont="1" applyFill="1" applyBorder="1" applyAlignment="1">
      <alignment horizontal="right"/>
    </xf>
    <xf numFmtId="172" fontId="94" fillId="0" borderId="0" xfId="41" applyNumberFormat="1" applyFont="1" applyFill="1" applyBorder="1" applyAlignment="1"/>
    <xf numFmtId="179" fontId="94" fillId="0" borderId="31" xfId="0" applyNumberFormat="1" applyFont="1" applyBorder="1"/>
    <xf numFmtId="172" fontId="94" fillId="0" borderId="15" xfId="41" applyNumberFormat="1" applyFont="1" applyFill="1" applyBorder="1" applyAlignment="1">
      <alignment horizontal="right"/>
    </xf>
    <xf numFmtId="172" fontId="94" fillId="0" borderId="15" xfId="41" applyNumberFormat="1" applyFont="1" applyFill="1" applyBorder="1" applyAlignment="1"/>
    <xf numFmtId="178" fontId="94" fillId="27" borderId="30" xfId="0" applyNumberFormat="1" applyFont="1" applyFill="1" applyBorder="1"/>
    <xf numFmtId="181" fontId="94" fillId="27" borderId="22" xfId="0" applyNumberFormat="1" applyFont="1" applyFill="1" applyBorder="1" applyAlignment="1">
      <alignment horizontal="right"/>
    </xf>
    <xf numFmtId="0" fontId="103" fillId="29" borderId="13" xfId="0" applyFont="1" applyFill="1" applyBorder="1"/>
    <xf numFmtId="0" fontId="103" fillId="29" borderId="27" xfId="0" applyFont="1" applyFill="1" applyBorder="1"/>
    <xf numFmtId="0" fontId="92" fillId="0" borderId="14" xfId="0" applyFont="1" applyFill="1" applyBorder="1"/>
    <xf numFmtId="178" fontId="93" fillId="0" borderId="27" xfId="0" applyNumberFormat="1" applyFont="1" applyFill="1" applyBorder="1"/>
    <xf numFmtId="172" fontId="92" fillId="0" borderId="17" xfId="0" quotePrefix="1" applyNumberFormat="1" applyFont="1" applyFill="1" applyBorder="1"/>
    <xf numFmtId="178" fontId="93" fillId="0" borderId="17" xfId="0" quotePrefix="1" applyNumberFormat="1" applyFont="1" applyFill="1" applyBorder="1"/>
    <xf numFmtId="0" fontId="94" fillId="0" borderId="14" xfId="0" applyFont="1" applyFill="1" applyBorder="1" applyAlignment="1">
      <alignment vertical="center"/>
    </xf>
    <xf numFmtId="172" fontId="99" fillId="0" borderId="17" xfId="0" applyNumberFormat="1" applyFont="1" applyFill="1" applyBorder="1" applyProtection="1">
      <protection locked="0"/>
    </xf>
    <xf numFmtId="172" fontId="99" fillId="0" borderId="17" xfId="0" applyNumberFormat="1" applyFont="1" applyFill="1" applyBorder="1"/>
    <xf numFmtId="178" fontId="94" fillId="0" borderId="17" xfId="0" applyNumberFormat="1" applyFont="1" applyFill="1" applyBorder="1"/>
    <xf numFmtId="0" fontId="94" fillId="19" borderId="18" xfId="0" applyFont="1" applyFill="1" applyBorder="1"/>
    <xf numFmtId="0" fontId="94" fillId="27" borderId="18" xfId="0" applyFont="1" applyFill="1" applyBorder="1"/>
    <xf numFmtId="7" fontId="94" fillId="27" borderId="23" xfId="0" applyNumberFormat="1" applyFont="1" applyFill="1" applyBorder="1"/>
    <xf numFmtId="0" fontId="93" fillId="0" borderId="18" xfId="0" applyFont="1" applyBorder="1"/>
    <xf numFmtId="171" fontId="96" fillId="0" borderId="27" xfId="67" applyNumberFormat="1" applyFont="1" applyFill="1" applyBorder="1"/>
    <xf numFmtId="171" fontId="96" fillId="0" borderId="17" xfId="67" applyNumberFormat="1" applyFont="1" applyFill="1" applyBorder="1"/>
    <xf numFmtId="164" fontId="93" fillId="0" borderId="14" xfId="0" applyNumberFormat="1" applyFont="1" applyFill="1" applyBorder="1"/>
    <xf numFmtId="171" fontId="94" fillId="0" borderId="17" xfId="67" applyNumberFormat="1" applyFont="1" applyFill="1" applyBorder="1"/>
    <xf numFmtId="171" fontId="93" fillId="0" borderId="17" xfId="67" applyNumberFormat="1" applyFont="1" applyFill="1" applyBorder="1"/>
    <xf numFmtId="171" fontId="94" fillId="19" borderId="23" xfId="67" applyNumberFormat="1" applyFont="1" applyFill="1" applyBorder="1"/>
    <xf numFmtId="39" fontId="105" fillId="0" borderId="17" xfId="0" applyNumberFormat="1" applyFont="1" applyFill="1" applyBorder="1"/>
    <xf numFmtId="0" fontId="103" fillId="29" borderId="15" xfId="0" applyFont="1" applyFill="1" applyBorder="1"/>
    <xf numFmtId="0" fontId="103" fillId="29" borderId="19" xfId="0" applyFont="1" applyFill="1" applyBorder="1"/>
    <xf numFmtId="0" fontId="93" fillId="27" borderId="13" xfId="0" applyFont="1" applyFill="1" applyBorder="1"/>
    <xf numFmtId="0" fontId="93" fillId="27" borderId="15" xfId="0" applyFont="1" applyFill="1" applyBorder="1" applyAlignment="1">
      <alignment horizontal="center"/>
    </xf>
    <xf numFmtId="0" fontId="93" fillId="27" borderId="14" xfId="0" applyFont="1" applyFill="1" applyBorder="1"/>
    <xf numFmtId="0" fontId="93" fillId="27" borderId="0" xfId="0" applyFont="1" applyFill="1" applyBorder="1"/>
    <xf numFmtId="171" fontId="96" fillId="27" borderId="17" xfId="0" applyNumberFormat="1" applyFont="1" applyFill="1" applyBorder="1"/>
    <xf numFmtId="171" fontId="97" fillId="27" borderId="17" xfId="0" applyNumberFormat="1" applyFont="1" applyFill="1" applyBorder="1"/>
    <xf numFmtId="0" fontId="93" fillId="27" borderId="18" xfId="0" applyFont="1" applyFill="1" applyBorder="1"/>
    <xf numFmtId="171" fontId="96" fillId="27" borderId="23" xfId="0" applyNumberFormat="1" applyFont="1" applyFill="1" applyBorder="1"/>
    <xf numFmtId="0" fontId="93" fillId="27" borderId="27" xfId="0" applyFont="1" applyFill="1" applyBorder="1" applyAlignment="1">
      <alignment horizontal="center"/>
    </xf>
    <xf numFmtId="171" fontId="96" fillId="27" borderId="11" xfId="0" applyNumberFormat="1" applyFont="1" applyFill="1" applyBorder="1"/>
    <xf numFmtId="171" fontId="97" fillId="27" borderId="11" xfId="0" applyNumberFormat="1" applyFont="1" applyFill="1" applyBorder="1"/>
    <xf numFmtId="171" fontId="106" fillId="0" borderId="0" xfId="67" applyNumberFormat="1" applyFont="1" applyFill="1" applyBorder="1" applyAlignment="1">
      <alignment horizontal="right"/>
    </xf>
    <xf numFmtId="171" fontId="92" fillId="0" borderId="0" xfId="67" applyNumberFormat="1" applyFont="1" applyFill="1" applyBorder="1" applyAlignment="1"/>
    <xf numFmtId="44" fontId="94" fillId="24" borderId="28" xfId="42" applyFont="1" applyFill="1" applyBorder="1"/>
    <xf numFmtId="0" fontId="7" fillId="19" borderId="24" xfId="0" applyFont="1" applyFill="1" applyBorder="1"/>
    <xf numFmtId="171" fontId="4" fillId="0" borderId="0" xfId="67" applyNumberFormat="1" applyFont="1" applyFill="1" applyAlignment="1">
      <alignment horizontal="center"/>
    </xf>
    <xf numFmtId="0" fontId="9" fillId="0" borderId="0" xfId="62" applyFont="1" applyFill="1" applyBorder="1" applyAlignment="1">
      <alignment horizontal="left"/>
    </xf>
    <xf numFmtId="0" fontId="7" fillId="30" borderId="0" xfId="0" applyFont="1" applyFill="1" applyBorder="1"/>
    <xf numFmtId="164" fontId="33" fillId="30" borderId="0" xfId="0" applyNumberFormat="1" applyFont="1" applyFill="1" applyBorder="1" applyAlignment="1" applyProtection="1">
      <alignment horizontal="center"/>
    </xf>
    <xf numFmtId="0" fontId="4" fillId="24" borderId="0" xfId="0" applyFont="1" applyFill="1"/>
    <xf numFmtId="171" fontId="4" fillId="24" borderId="0" xfId="0" applyNumberFormat="1" applyFont="1" applyFill="1"/>
    <xf numFmtId="0" fontId="7" fillId="25" borderId="0" xfId="0" applyFont="1" applyFill="1"/>
    <xf numFmtId="171" fontId="7" fillId="25" borderId="0" xfId="0" applyNumberFormat="1" applyFont="1" applyFill="1"/>
    <xf numFmtId="180" fontId="0" fillId="0" borderId="0" xfId="0" applyNumberFormat="1"/>
    <xf numFmtId="9" fontId="0" fillId="0" borderId="0" xfId="67" applyFont="1"/>
    <xf numFmtId="171" fontId="13" fillId="0" borderId="18" xfId="0" applyNumberFormat="1" applyFont="1" applyFill="1" applyBorder="1" applyAlignment="1">
      <alignment horizontal="center"/>
    </xf>
    <xf numFmtId="10" fontId="96" fillId="0" borderId="17" xfId="0" applyNumberFormat="1" applyFont="1" applyFill="1" applyBorder="1" applyProtection="1">
      <protection locked="0"/>
    </xf>
    <xf numFmtId="10" fontId="96" fillId="0" borderId="23" xfId="0" applyNumberFormat="1" applyFont="1" applyFill="1" applyBorder="1" applyProtection="1">
      <protection locked="0"/>
    </xf>
    <xf numFmtId="186" fontId="4" fillId="0" borderId="0" xfId="41" applyNumberFormat="1" applyFont="1" applyFill="1" applyAlignment="1">
      <alignment horizontal="center"/>
    </xf>
    <xf numFmtId="7" fontId="7" fillId="19" borderId="0" xfId="0" applyNumberFormat="1" applyFont="1" applyFill="1" applyBorder="1"/>
    <xf numFmtId="7" fontId="4" fillId="19" borderId="14" xfId="0" applyNumberFormat="1" applyFont="1" applyFill="1" applyBorder="1"/>
    <xf numFmtId="7" fontId="4" fillId="19" borderId="12" xfId="0" applyNumberFormat="1" applyFont="1" applyFill="1" applyBorder="1"/>
    <xf numFmtId="171" fontId="38" fillId="0" borderId="13" xfId="0" applyNumberFormat="1" applyFont="1" applyFill="1" applyBorder="1" applyAlignment="1">
      <alignment horizontal="center"/>
    </xf>
    <xf numFmtId="172" fontId="80" fillId="0" borderId="12" xfId="41" applyNumberFormat="1" applyFont="1" applyFill="1" applyBorder="1" applyAlignment="1">
      <alignment horizontal="center"/>
    </xf>
    <xf numFmtId="1" fontId="84" fillId="0" borderId="12" xfId="0" applyNumberFormat="1" applyFont="1" applyFill="1" applyBorder="1" applyAlignment="1">
      <alignment horizontal="center"/>
    </xf>
    <xf numFmtId="1" fontId="4" fillId="0" borderId="12" xfId="0" applyNumberFormat="1" applyFont="1" applyFill="1" applyBorder="1" applyAlignment="1">
      <alignment horizontal="center"/>
    </xf>
    <xf numFmtId="171" fontId="105" fillId="0" borderId="17" xfId="67" applyNumberFormat="1" applyFont="1" applyFill="1" applyBorder="1"/>
    <xf numFmtId="43" fontId="4" fillId="0" borderId="0" xfId="41" applyFont="1" applyFill="1" applyAlignment="1">
      <alignment horizontal="center"/>
    </xf>
    <xf numFmtId="44" fontId="11" fillId="0" borderId="0" xfId="42" applyFont="1" applyFill="1"/>
    <xf numFmtId="171" fontId="4" fillId="0" borderId="28" xfId="67" applyNumberFormat="1" applyFont="1" applyFill="1" applyBorder="1" applyAlignment="1">
      <alignment horizontal="center"/>
    </xf>
    <xf numFmtId="164" fontId="7" fillId="0" borderId="21" xfId="0" applyNumberFormat="1" applyFont="1" applyFill="1" applyBorder="1" applyAlignment="1" applyProtection="1">
      <alignment horizontal="center"/>
    </xf>
    <xf numFmtId="1" fontId="80" fillId="0" borderId="12" xfId="0" applyNumberFormat="1" applyFont="1" applyFill="1" applyBorder="1" applyAlignment="1">
      <alignment horizontal="center"/>
    </xf>
    <xf numFmtId="171" fontId="38" fillId="0" borderId="12" xfId="0" applyNumberFormat="1" applyFont="1" applyFill="1" applyBorder="1" applyAlignment="1">
      <alignment horizontal="center"/>
    </xf>
    <xf numFmtId="7" fontId="81" fillId="0" borderId="12" xfId="0" applyNumberFormat="1" applyFont="1" applyFill="1" applyBorder="1" applyAlignment="1">
      <alignment horizontal="right"/>
    </xf>
    <xf numFmtId="167" fontId="10" fillId="0" borderId="12" xfId="0" applyNumberFormat="1" applyFont="1" applyFill="1" applyBorder="1"/>
    <xf numFmtId="167" fontId="7" fillId="0" borderId="12" xfId="0" applyNumberFormat="1" applyFont="1" applyFill="1" applyBorder="1"/>
    <xf numFmtId="165" fontId="7" fillId="0" borderId="12" xfId="0" applyNumberFormat="1" applyFont="1" applyFill="1" applyBorder="1"/>
    <xf numFmtId="1" fontId="82" fillId="0" borderId="12" xfId="0" applyNumberFormat="1" applyFont="1" applyFill="1" applyBorder="1" applyAlignment="1">
      <alignment horizontal="center"/>
    </xf>
    <xf numFmtId="1" fontId="13" fillId="0" borderId="12" xfId="0" applyNumberFormat="1" applyFont="1" applyFill="1" applyBorder="1" applyAlignment="1">
      <alignment horizontal="center"/>
    </xf>
    <xf numFmtId="172" fontId="80" fillId="0" borderId="14" xfId="41" applyNumberFormat="1" applyFont="1" applyFill="1" applyBorder="1" applyAlignment="1">
      <alignment horizontal="center"/>
    </xf>
    <xf numFmtId="172" fontId="80" fillId="0" borderId="0" xfId="41" applyNumberFormat="1" applyFont="1" applyFill="1" applyBorder="1" applyAlignment="1">
      <alignment horizontal="center"/>
    </xf>
    <xf numFmtId="44" fontId="13" fillId="0" borderId="0" xfId="42" applyFont="1" applyFill="1"/>
    <xf numFmtId="165" fontId="81" fillId="0" borderId="14" xfId="0" applyNumberFormat="1" applyFont="1" applyFill="1" applyBorder="1"/>
    <xf numFmtId="167" fontId="0" fillId="0" borderId="0" xfId="0" applyNumberFormat="1" applyFill="1"/>
    <xf numFmtId="165" fontId="81" fillId="0" borderId="12" xfId="0" applyNumberFormat="1" applyFont="1" applyFill="1" applyBorder="1"/>
    <xf numFmtId="43" fontId="4" fillId="0" borderId="0" xfId="41" applyFont="1" applyFill="1"/>
    <xf numFmtId="171" fontId="92" fillId="0" borderId="0" xfId="68" applyNumberFormat="1" applyFont="1" applyFill="1" applyBorder="1" applyAlignment="1">
      <alignment horizontal="right"/>
    </xf>
    <xf numFmtId="7" fontId="11" fillId="0" borderId="0" xfId="75" applyNumberFormat="1" applyFont="1" applyFill="1" applyBorder="1" applyProtection="1"/>
    <xf numFmtId="0" fontId="36" fillId="0" borderId="15" xfId="0" applyFont="1" applyFill="1" applyBorder="1"/>
    <xf numFmtId="7" fontId="4" fillId="0" borderId="11" xfId="0" applyNumberFormat="1" applyFont="1" applyFill="1" applyBorder="1"/>
    <xf numFmtId="180" fontId="80" fillId="0" borderId="17" xfId="0" applyNumberFormat="1" applyFont="1" applyFill="1" applyBorder="1" applyAlignment="1">
      <alignment horizontal="center"/>
    </xf>
    <xf numFmtId="164" fontId="80" fillId="0" borderId="0" xfId="0" applyNumberFormat="1" applyFont="1" applyFill="1" applyBorder="1" applyAlignment="1">
      <alignment horizontal="center"/>
    </xf>
    <xf numFmtId="180" fontId="108" fillId="0" borderId="0" xfId="0" applyNumberFormat="1" applyFont="1" applyFill="1" applyBorder="1" applyAlignment="1">
      <alignment horizontal="center"/>
    </xf>
    <xf numFmtId="180" fontId="108" fillId="0" borderId="14" xfId="0" applyNumberFormat="1" applyFont="1" applyFill="1" applyBorder="1" applyAlignment="1">
      <alignment horizontal="center"/>
    </xf>
    <xf numFmtId="0" fontId="7" fillId="30" borderId="0" xfId="0" applyFont="1" applyFill="1" applyBorder="1" applyAlignment="1">
      <alignment horizontal="right"/>
    </xf>
    <xf numFmtId="164" fontId="33" fillId="30" borderId="0" xfId="0" applyNumberFormat="1" applyFont="1" applyFill="1" applyBorder="1" applyAlignment="1" applyProtection="1">
      <alignment horizontal="right"/>
    </xf>
    <xf numFmtId="171" fontId="4" fillId="0" borderId="0" xfId="0" applyNumberFormat="1" applyFont="1" applyFill="1" applyAlignment="1">
      <alignment horizontal="right"/>
    </xf>
    <xf numFmtId="0" fontId="4" fillId="24" borderId="0" xfId="0" applyFont="1" applyFill="1" applyAlignment="1">
      <alignment horizontal="right"/>
    </xf>
    <xf numFmtId="171" fontId="4" fillId="24" borderId="0" xfId="0" applyNumberFormat="1" applyFont="1" applyFill="1" applyAlignment="1">
      <alignment horizontal="right"/>
    </xf>
    <xf numFmtId="0" fontId="7" fillId="25" borderId="0" xfId="0" applyFont="1" applyFill="1" applyAlignment="1">
      <alignment horizontal="right"/>
    </xf>
    <xf numFmtId="171" fontId="7" fillId="25" borderId="0" xfId="0" applyNumberFormat="1" applyFont="1" applyFill="1" applyAlignment="1">
      <alignment horizontal="right"/>
    </xf>
    <xf numFmtId="0" fontId="7" fillId="0" borderId="0" xfId="0" applyFont="1" applyBorder="1" applyAlignment="1">
      <alignment horizontal="right"/>
    </xf>
    <xf numFmtId="0" fontId="9" fillId="0" borderId="0" xfId="62" applyFont="1" applyFill="1" applyBorder="1" applyAlignment="1">
      <alignment horizontal="right"/>
    </xf>
    <xf numFmtId="0" fontId="4" fillId="0" borderId="0" xfId="0" applyFont="1" applyAlignment="1">
      <alignment horizontal="right"/>
    </xf>
    <xf numFmtId="0" fontId="33" fillId="0" borderId="15" xfId="62" applyFont="1" applyFill="1" applyBorder="1" applyAlignment="1">
      <alignment horizontal="right"/>
    </xf>
    <xf numFmtId="171" fontId="18" fillId="0" borderId="16" xfId="67" applyNumberFormat="1" applyFont="1" applyFill="1" applyBorder="1" applyAlignment="1">
      <alignment horizontal="right"/>
    </xf>
    <xf numFmtId="171" fontId="18" fillId="0" borderId="15" xfId="67" applyNumberFormat="1" applyFont="1" applyFill="1" applyBorder="1" applyAlignment="1">
      <alignment horizontal="right"/>
    </xf>
    <xf numFmtId="0" fontId="11" fillId="0" borderId="15" xfId="62" applyFont="1" applyFill="1" applyBorder="1" applyAlignment="1">
      <alignment horizontal="right"/>
    </xf>
    <xf numFmtId="171" fontId="12" fillId="0" borderId="15" xfId="62" applyNumberFormat="1" applyFont="1" applyFill="1" applyBorder="1" applyAlignment="1">
      <alignment horizontal="right"/>
    </xf>
    <xf numFmtId="0" fontId="33" fillId="0" borderId="0" xfId="62" applyFont="1" applyFill="1" applyBorder="1" applyAlignment="1">
      <alignment horizontal="right"/>
    </xf>
    <xf numFmtId="171" fontId="18" fillId="0" borderId="0" xfId="67" applyNumberFormat="1" applyFont="1" applyFill="1" applyBorder="1" applyAlignment="1">
      <alignment horizontal="right"/>
    </xf>
    <xf numFmtId="0" fontId="11" fillId="0" borderId="0" xfId="62" applyFont="1" applyFill="1" applyBorder="1" applyAlignment="1">
      <alignment horizontal="right"/>
    </xf>
    <xf numFmtId="171" fontId="12" fillId="0" borderId="0" xfId="62" applyNumberFormat="1" applyFont="1" applyFill="1" applyBorder="1" applyAlignment="1">
      <alignment horizontal="right"/>
    </xf>
    <xf numFmtId="171" fontId="12" fillId="0" borderId="12" xfId="62" applyNumberFormat="1" applyFont="1" applyFill="1" applyBorder="1" applyAlignment="1">
      <alignment horizontal="right"/>
    </xf>
    <xf numFmtId="0" fontId="33" fillId="0" borderId="11" xfId="62" applyFont="1" applyFill="1" applyBorder="1" applyAlignment="1">
      <alignment horizontal="right"/>
    </xf>
    <xf numFmtId="171" fontId="18" fillId="0" borderId="18" xfId="62" applyNumberFormat="1" applyFont="1" applyFill="1" applyBorder="1" applyAlignment="1">
      <alignment horizontal="right"/>
    </xf>
    <xf numFmtId="171" fontId="18" fillId="0" borderId="11" xfId="62" applyNumberFormat="1" applyFont="1" applyFill="1" applyBorder="1" applyAlignment="1">
      <alignment horizontal="right"/>
    </xf>
    <xf numFmtId="171" fontId="18" fillId="0" borderId="24" xfId="62" applyNumberFormat="1" applyFont="1" applyFill="1" applyBorder="1" applyAlignment="1">
      <alignment horizontal="right"/>
    </xf>
    <xf numFmtId="171" fontId="18" fillId="0" borderId="24" xfId="67" applyNumberFormat="1" applyFont="1" applyFill="1" applyBorder="1" applyAlignment="1">
      <alignment horizontal="right"/>
    </xf>
    <xf numFmtId="171" fontId="18" fillId="0" borderId="11" xfId="67" applyNumberFormat="1" applyFont="1" applyFill="1" applyBorder="1" applyAlignment="1">
      <alignment horizontal="right"/>
    </xf>
    <xf numFmtId="0" fontId="11" fillId="0" borderId="11" xfId="62" applyFont="1" applyFill="1" applyBorder="1" applyAlignment="1">
      <alignment horizontal="right"/>
    </xf>
    <xf numFmtId="171" fontId="12" fillId="0" borderId="11" xfId="62" applyNumberFormat="1" applyFont="1" applyFill="1" applyBorder="1" applyAlignment="1">
      <alignment horizontal="right"/>
    </xf>
    <xf numFmtId="171" fontId="40" fillId="0" borderId="14" xfId="62" applyNumberFormat="1" applyFont="1" applyFill="1" applyBorder="1" applyAlignment="1">
      <alignment horizontal="right"/>
    </xf>
    <xf numFmtId="171" fontId="40" fillId="0" borderId="0" xfId="62" applyNumberFormat="1" applyFont="1" applyFill="1" applyBorder="1" applyAlignment="1">
      <alignment horizontal="right"/>
    </xf>
    <xf numFmtId="171" fontId="40" fillId="0" borderId="12" xfId="67" applyNumberFormat="1" applyFont="1" applyFill="1" applyBorder="1" applyAlignment="1">
      <alignment horizontal="right"/>
    </xf>
    <xf numFmtId="171" fontId="7" fillId="0" borderId="0" xfId="67" applyNumberFormat="1" applyFont="1" applyFill="1" applyBorder="1" applyAlignment="1">
      <alignment horizontal="right"/>
    </xf>
    <xf numFmtId="171" fontId="7" fillId="0" borderId="12" xfId="67" applyNumberFormat="1" applyFont="1" applyFill="1" applyBorder="1" applyAlignment="1">
      <alignment horizontal="right"/>
    </xf>
    <xf numFmtId="0" fontId="4" fillId="0" borderId="0" xfId="62" applyFont="1" applyFill="1" applyBorder="1" applyAlignment="1">
      <alignment horizontal="right"/>
    </xf>
    <xf numFmtId="171" fontId="7" fillId="0" borderId="14" xfId="62" applyNumberFormat="1" applyFont="1" applyFill="1" applyBorder="1" applyAlignment="1">
      <alignment horizontal="right"/>
    </xf>
    <xf numFmtId="171" fontId="7" fillId="0" borderId="0" xfId="62" applyNumberFormat="1" applyFont="1" applyFill="1" applyBorder="1" applyAlignment="1">
      <alignment horizontal="right"/>
    </xf>
    <xf numFmtId="171" fontId="7" fillId="0" borderId="12" xfId="62" applyNumberFormat="1" applyFont="1" applyFill="1" applyBorder="1" applyAlignment="1">
      <alignment horizontal="right"/>
    </xf>
    <xf numFmtId="171" fontId="7" fillId="0" borderId="17" xfId="62" applyNumberFormat="1" applyFont="1" applyFill="1" applyBorder="1" applyAlignment="1">
      <alignment horizontal="right"/>
    </xf>
    <xf numFmtId="171" fontId="4" fillId="0" borderId="14" xfId="62" applyNumberFormat="1" applyFont="1" applyFill="1" applyBorder="1" applyAlignment="1">
      <alignment horizontal="right"/>
    </xf>
    <xf numFmtId="171" fontId="4" fillId="0" borderId="0" xfId="62" applyNumberFormat="1" applyFont="1" applyFill="1" applyBorder="1" applyAlignment="1">
      <alignment horizontal="right"/>
    </xf>
    <xf numFmtId="171" fontId="4" fillId="0" borderId="12" xfId="62" applyNumberFormat="1" applyFont="1" applyFill="1" applyBorder="1" applyAlignment="1">
      <alignment horizontal="right"/>
    </xf>
    <xf numFmtId="171" fontId="12" fillId="0" borderId="14" xfId="62" applyNumberFormat="1" applyFont="1" applyFill="1" applyBorder="1" applyAlignment="1">
      <alignment horizontal="right"/>
    </xf>
    <xf numFmtId="171" fontId="12" fillId="0" borderId="12" xfId="67" applyNumberFormat="1" applyFont="1" applyFill="1" applyBorder="1" applyAlignment="1">
      <alignment horizontal="right"/>
    </xf>
    <xf numFmtId="0" fontId="7" fillId="19" borderId="11" xfId="62" applyFont="1" applyFill="1" applyBorder="1" applyAlignment="1">
      <alignment horizontal="right"/>
    </xf>
    <xf numFmtId="171" fontId="7" fillId="19" borderId="18" xfId="62" applyNumberFormat="1" applyFont="1" applyFill="1" applyBorder="1" applyAlignment="1">
      <alignment horizontal="right"/>
    </xf>
    <xf numFmtId="171" fontId="7" fillId="19" borderId="11" xfId="62" applyNumberFormat="1" applyFont="1" applyFill="1" applyBorder="1" applyAlignment="1">
      <alignment horizontal="right"/>
    </xf>
    <xf numFmtId="171" fontId="7" fillId="19" borderId="24" xfId="62" applyNumberFormat="1" applyFont="1" applyFill="1" applyBorder="1" applyAlignment="1">
      <alignment horizontal="right"/>
    </xf>
    <xf numFmtId="171" fontId="40" fillId="19" borderId="18" xfId="62" applyNumberFormat="1" applyFont="1" applyFill="1" applyBorder="1" applyAlignment="1">
      <alignment horizontal="right"/>
    </xf>
    <xf numFmtId="171" fontId="40" fillId="19" borderId="11" xfId="62" applyNumberFormat="1" applyFont="1" applyFill="1" applyBorder="1" applyAlignment="1">
      <alignment horizontal="right"/>
    </xf>
    <xf numFmtId="171" fontId="40" fillId="19" borderId="24" xfId="62" applyNumberFormat="1" applyFont="1" applyFill="1" applyBorder="1" applyAlignment="1">
      <alignment horizontal="right"/>
    </xf>
    <xf numFmtId="171" fontId="40" fillId="19" borderId="24" xfId="67" applyNumberFormat="1" applyFont="1" applyFill="1" applyBorder="1" applyAlignment="1">
      <alignment horizontal="right"/>
    </xf>
    <xf numFmtId="171" fontId="7" fillId="19" borderId="11" xfId="67" applyNumberFormat="1" applyFont="1" applyFill="1" applyBorder="1" applyAlignment="1">
      <alignment horizontal="right"/>
    </xf>
    <xf numFmtId="171" fontId="7" fillId="19" borderId="24" xfId="67" applyNumberFormat="1" applyFont="1" applyFill="1" applyBorder="1" applyAlignment="1">
      <alignment horizontal="right"/>
    </xf>
    <xf numFmtId="0" fontId="4" fillId="19" borderId="11" xfId="62" applyFont="1" applyFill="1" applyBorder="1" applyAlignment="1">
      <alignment horizontal="right"/>
    </xf>
    <xf numFmtId="171" fontId="7" fillId="19" borderId="23" xfId="62" applyNumberFormat="1" applyFont="1" applyFill="1" applyBorder="1" applyAlignment="1">
      <alignment horizontal="right"/>
    </xf>
    <xf numFmtId="0" fontId="4" fillId="19" borderId="0" xfId="62" applyFont="1" applyFill="1" applyBorder="1" applyAlignment="1">
      <alignment horizontal="right"/>
    </xf>
    <xf numFmtId="171" fontId="7" fillId="19" borderId="14" xfId="62" applyNumberFormat="1" applyFont="1" applyFill="1" applyBorder="1" applyAlignment="1">
      <alignment horizontal="right"/>
    </xf>
    <xf numFmtId="171" fontId="7" fillId="19" borderId="0" xfId="62" applyNumberFormat="1" applyFont="1" applyFill="1" applyBorder="1" applyAlignment="1">
      <alignment horizontal="right"/>
    </xf>
    <xf numFmtId="171" fontId="7" fillId="19" borderId="12" xfId="62" applyNumberFormat="1" applyFont="1" applyFill="1" applyBorder="1" applyAlignment="1">
      <alignment horizontal="right"/>
    </xf>
    <xf numFmtId="0" fontId="7" fillId="0" borderId="15" xfId="62" applyFont="1" applyFill="1" applyBorder="1" applyAlignment="1">
      <alignment horizontal="right"/>
    </xf>
    <xf numFmtId="171" fontId="7" fillId="0" borderId="13" xfId="62" applyNumberFormat="1" applyFont="1" applyFill="1" applyBorder="1" applyAlignment="1">
      <alignment horizontal="right"/>
    </xf>
    <xf numFmtId="171" fontId="7" fillId="0" borderId="15" xfId="62" applyNumberFormat="1" applyFont="1" applyFill="1" applyBorder="1" applyAlignment="1">
      <alignment horizontal="right"/>
    </xf>
    <xf numFmtId="171" fontId="7" fillId="0" borderId="16" xfId="62" applyNumberFormat="1" applyFont="1" applyFill="1" applyBorder="1" applyAlignment="1">
      <alignment horizontal="right"/>
    </xf>
    <xf numFmtId="171" fontId="40" fillId="0" borderId="13" xfId="62" applyNumberFormat="1" applyFont="1" applyFill="1" applyBorder="1" applyAlignment="1">
      <alignment horizontal="right"/>
    </xf>
    <xf numFmtId="171" fontId="40" fillId="0" borderId="15" xfId="62" applyNumberFormat="1" applyFont="1" applyFill="1" applyBorder="1" applyAlignment="1">
      <alignment horizontal="right"/>
    </xf>
    <xf numFmtId="171" fontId="40" fillId="0" borderId="16" xfId="62" applyNumberFormat="1" applyFont="1" applyFill="1" applyBorder="1" applyAlignment="1">
      <alignment horizontal="right"/>
    </xf>
    <xf numFmtId="171" fontId="40" fillId="0" borderId="27" xfId="62" applyNumberFormat="1" applyFont="1" applyFill="1" applyBorder="1" applyAlignment="1">
      <alignment horizontal="right"/>
    </xf>
    <xf numFmtId="171" fontId="40" fillId="0" borderId="16" xfId="67" applyNumberFormat="1" applyFont="1" applyFill="1" applyBorder="1" applyAlignment="1">
      <alignment horizontal="right"/>
    </xf>
    <xf numFmtId="171" fontId="7" fillId="0" borderId="15" xfId="67" applyNumberFormat="1" applyFont="1" applyFill="1" applyBorder="1" applyAlignment="1">
      <alignment horizontal="right"/>
    </xf>
    <xf numFmtId="171" fontId="24" fillId="0" borderId="16" xfId="67" applyNumberFormat="1" applyFont="1" applyFill="1" applyBorder="1" applyAlignment="1">
      <alignment horizontal="right"/>
    </xf>
    <xf numFmtId="0" fontId="4" fillId="0" borderId="15" xfId="62" applyFont="1" applyFill="1" applyBorder="1" applyAlignment="1">
      <alignment horizontal="right"/>
    </xf>
    <xf numFmtId="171" fontId="24" fillId="0" borderId="13" xfId="62" applyNumberFormat="1" applyFont="1" applyFill="1" applyBorder="1" applyAlignment="1">
      <alignment horizontal="right"/>
    </xf>
    <xf numFmtId="171" fontId="24" fillId="0" borderId="15" xfId="62" applyNumberFormat="1" applyFont="1" applyFill="1" applyBorder="1" applyAlignment="1">
      <alignment horizontal="right"/>
    </xf>
    <xf numFmtId="171" fontId="80" fillId="0" borderId="17" xfId="62" applyNumberFormat="1" applyFont="1" applyFill="1" applyBorder="1" applyAlignment="1">
      <alignment horizontal="right"/>
    </xf>
    <xf numFmtId="171" fontId="11" fillId="0" borderId="14" xfId="62" applyNumberFormat="1" applyFont="1" applyFill="1" applyBorder="1" applyAlignment="1">
      <alignment horizontal="right"/>
    </xf>
    <xf numFmtId="171" fontId="11" fillId="0" borderId="0" xfId="62" applyNumberFormat="1" applyFont="1" applyFill="1" applyBorder="1" applyAlignment="1">
      <alignment horizontal="right"/>
    </xf>
    <xf numFmtId="0" fontId="7" fillId="0" borderId="0" xfId="62" applyFont="1" applyFill="1" applyBorder="1" applyAlignment="1">
      <alignment horizontal="right"/>
    </xf>
    <xf numFmtId="171" fontId="40" fillId="0" borderId="12" xfId="62" applyNumberFormat="1" applyFont="1" applyFill="1" applyBorder="1" applyAlignment="1">
      <alignment horizontal="right"/>
    </xf>
    <xf numFmtId="0" fontId="66" fillId="17" borderId="15" xfId="62" applyFont="1" applyFill="1" applyBorder="1" applyAlignment="1">
      <alignment horizontal="right"/>
    </xf>
    <xf numFmtId="0" fontId="73" fillId="17" borderId="15" xfId="62" applyFont="1" applyFill="1" applyBorder="1" applyAlignment="1">
      <alignment horizontal="right"/>
    </xf>
    <xf numFmtId="164" fontId="33" fillId="17" borderId="15" xfId="62" applyNumberFormat="1" applyFont="1" applyFill="1" applyBorder="1" applyAlignment="1">
      <alignment horizontal="right"/>
    </xf>
    <xf numFmtId="171" fontId="11" fillId="0" borderId="13" xfId="62" applyNumberFormat="1" applyFont="1" applyFill="1" applyBorder="1" applyAlignment="1">
      <alignment horizontal="right"/>
    </xf>
    <xf numFmtId="171" fontId="11" fillId="0" borderId="15" xfId="62" applyNumberFormat="1" applyFont="1" applyFill="1" applyBorder="1" applyAlignment="1">
      <alignment horizontal="right"/>
    </xf>
    <xf numFmtId="171" fontId="11" fillId="0" borderId="16" xfId="62" applyNumberFormat="1" applyFont="1" applyFill="1" applyBorder="1" applyAlignment="1">
      <alignment horizontal="right"/>
    </xf>
    <xf numFmtId="171" fontId="11" fillId="0" borderId="15" xfId="67" applyNumberFormat="1" applyFont="1" applyFill="1" applyBorder="1" applyAlignment="1">
      <alignment horizontal="right"/>
    </xf>
    <xf numFmtId="171" fontId="4" fillId="0" borderId="15" xfId="62" applyNumberFormat="1" applyFont="1" applyFill="1" applyBorder="1" applyAlignment="1">
      <alignment horizontal="right"/>
    </xf>
    <xf numFmtId="171" fontId="11" fillId="0" borderId="12" xfId="62" applyNumberFormat="1" applyFont="1" applyFill="1" applyBorder="1" applyAlignment="1">
      <alignment horizontal="right"/>
    </xf>
    <xf numFmtId="171" fontId="24" fillId="0" borderId="14" xfId="62" applyNumberFormat="1" applyFont="1" applyFill="1" applyBorder="1" applyAlignment="1">
      <alignment horizontal="right"/>
    </xf>
    <xf numFmtId="171" fontId="24" fillId="0" borderId="0" xfId="62" applyNumberFormat="1" applyFont="1" applyFill="1" applyBorder="1" applyAlignment="1">
      <alignment horizontal="right"/>
    </xf>
    <xf numFmtId="171" fontId="24" fillId="0" borderId="17" xfId="62" applyNumberFormat="1" applyFont="1" applyFill="1" applyBorder="1" applyAlignment="1">
      <alignment horizontal="right"/>
    </xf>
    <xf numFmtId="171" fontId="24" fillId="0" borderId="12" xfId="62" applyNumberFormat="1" applyFont="1" applyFill="1" applyBorder="1" applyAlignment="1">
      <alignment horizontal="right"/>
    </xf>
    <xf numFmtId="164" fontId="73" fillId="17" borderId="16" xfId="62" applyNumberFormat="1" applyFont="1" applyFill="1" applyBorder="1" applyAlignment="1">
      <alignment horizontal="right"/>
    </xf>
    <xf numFmtId="164" fontId="33" fillId="17" borderId="16" xfId="62" applyNumberFormat="1" applyFont="1" applyFill="1" applyBorder="1" applyAlignment="1">
      <alignment horizontal="right"/>
    </xf>
    <xf numFmtId="171" fontId="18" fillId="0" borderId="17" xfId="67" applyNumberFormat="1" applyFont="1" applyFill="1" applyBorder="1" applyAlignment="1">
      <alignment horizontal="right"/>
    </xf>
    <xf numFmtId="171" fontId="18" fillId="18" borderId="0" xfId="67" applyNumberFormat="1" applyFont="1" applyFill="1" applyBorder="1" applyAlignment="1">
      <alignment horizontal="right"/>
    </xf>
    <xf numFmtId="171" fontId="18" fillId="0" borderId="23" xfId="62" applyNumberFormat="1" applyFont="1" applyFill="1" applyBorder="1" applyAlignment="1">
      <alignment horizontal="right"/>
    </xf>
    <xf numFmtId="171" fontId="18" fillId="0" borderId="23" xfId="67" applyNumberFormat="1" applyFont="1" applyFill="1" applyBorder="1" applyAlignment="1">
      <alignment horizontal="right"/>
    </xf>
    <xf numFmtId="171" fontId="12" fillId="0" borderId="24" xfId="67" applyNumberFormat="1" applyFont="1" applyFill="1" applyBorder="1" applyAlignment="1">
      <alignment horizontal="right"/>
    </xf>
    <xf numFmtId="171" fontId="11" fillId="0" borderId="27" xfId="67" applyNumberFormat="1" applyFont="1" applyFill="1" applyBorder="1" applyAlignment="1">
      <alignment horizontal="right"/>
    </xf>
    <xf numFmtId="171" fontId="12" fillId="0" borderId="16" xfId="67" applyNumberFormat="1" applyFont="1" applyFill="1" applyBorder="1" applyAlignment="1">
      <alignment horizontal="right"/>
    </xf>
    <xf numFmtId="171" fontId="18" fillId="0" borderId="27" xfId="67" applyNumberFormat="1" applyFont="1" applyFill="1" applyBorder="1" applyAlignment="1">
      <alignment horizontal="right"/>
    </xf>
    <xf numFmtId="171" fontId="11" fillId="0" borderId="23" xfId="67" applyNumberFormat="1" applyFont="1" applyFill="1" applyBorder="1" applyAlignment="1">
      <alignment horizontal="right"/>
    </xf>
    <xf numFmtId="164" fontId="33" fillId="17" borderId="13" xfId="62" applyNumberFormat="1" applyFont="1" applyFill="1" applyBorder="1" applyAlignment="1">
      <alignment horizontal="right"/>
    </xf>
    <xf numFmtId="171" fontId="12" fillId="0" borderId="17" xfId="67" applyNumberFormat="1" applyFont="1" applyFill="1" applyBorder="1" applyAlignment="1">
      <alignment horizontal="right"/>
    </xf>
    <xf numFmtId="9" fontId="7" fillId="0" borderId="13" xfId="67" applyFont="1" applyFill="1" applyBorder="1" applyAlignment="1">
      <alignment horizontal="right"/>
    </xf>
    <xf numFmtId="9" fontId="7" fillId="0" borderId="15" xfId="67" applyFont="1" applyFill="1" applyBorder="1" applyAlignment="1">
      <alignment horizontal="right"/>
    </xf>
    <xf numFmtId="9" fontId="7" fillId="0" borderId="16" xfId="67" applyFont="1" applyFill="1" applyBorder="1" applyAlignment="1">
      <alignment horizontal="right"/>
    </xf>
    <xf numFmtId="0" fontId="66" fillId="0" borderId="15" xfId="62" applyFont="1" applyFill="1" applyBorder="1" applyAlignment="1">
      <alignment horizontal="right"/>
    </xf>
    <xf numFmtId="171" fontId="40" fillId="0" borderId="15" xfId="67" applyNumberFormat="1" applyFont="1" applyFill="1" applyBorder="1" applyAlignment="1">
      <alignment horizontal="right"/>
    </xf>
    <xf numFmtId="0" fontId="66" fillId="17" borderId="0" xfId="62" applyFont="1" applyFill="1" applyBorder="1" applyAlignment="1">
      <alignment horizontal="right"/>
    </xf>
    <xf numFmtId="164" fontId="73" fillId="17" borderId="14" xfId="62" applyNumberFormat="1" applyFont="1" applyFill="1" applyBorder="1" applyAlignment="1">
      <alignment horizontal="right"/>
    </xf>
    <xf numFmtId="164" fontId="73" fillId="17" borderId="0" xfId="62" applyNumberFormat="1" applyFont="1" applyFill="1" applyBorder="1" applyAlignment="1">
      <alignment horizontal="right"/>
    </xf>
    <xf numFmtId="164" fontId="73" fillId="17" borderId="17" xfId="62" applyNumberFormat="1" applyFont="1" applyFill="1" applyBorder="1" applyAlignment="1">
      <alignment horizontal="right"/>
    </xf>
    <xf numFmtId="164" fontId="73" fillId="17" borderId="12" xfId="62" applyNumberFormat="1" applyFont="1" applyFill="1" applyBorder="1" applyAlignment="1">
      <alignment horizontal="right"/>
    </xf>
    <xf numFmtId="0" fontId="73" fillId="17" borderId="0" xfId="62" applyFont="1" applyFill="1" applyBorder="1" applyAlignment="1">
      <alignment horizontal="right"/>
    </xf>
    <xf numFmtId="164" fontId="33" fillId="17" borderId="0" xfId="62" applyNumberFormat="1" applyFont="1" applyFill="1" applyBorder="1" applyAlignment="1">
      <alignment horizontal="right"/>
    </xf>
    <xf numFmtId="164" fontId="33" fillId="17" borderId="14" xfId="62" applyNumberFormat="1" applyFont="1" applyFill="1" applyBorder="1" applyAlignment="1">
      <alignment horizontal="right"/>
    </xf>
    <xf numFmtId="177" fontId="18" fillId="0" borderId="13" xfId="41" applyNumberFormat="1" applyFont="1" applyFill="1" applyBorder="1" applyAlignment="1">
      <alignment horizontal="right"/>
    </xf>
    <xf numFmtId="177" fontId="18" fillId="0" borderId="15" xfId="41" applyNumberFormat="1" applyFont="1" applyFill="1" applyBorder="1" applyAlignment="1">
      <alignment horizontal="right"/>
    </xf>
    <xf numFmtId="177" fontId="18" fillId="0" borderId="27" xfId="41" applyNumberFormat="1" applyFont="1" applyFill="1" applyBorder="1" applyAlignment="1">
      <alignment horizontal="right"/>
    </xf>
    <xf numFmtId="177" fontId="18" fillId="0" borderId="0" xfId="41" applyNumberFormat="1" applyFont="1" applyFill="1" applyBorder="1" applyAlignment="1">
      <alignment horizontal="right"/>
    </xf>
    <xf numFmtId="177" fontId="18" fillId="0" borderId="14" xfId="41" applyNumberFormat="1" applyFont="1" applyFill="1" applyBorder="1" applyAlignment="1">
      <alignment horizontal="right"/>
    </xf>
    <xf numFmtId="177" fontId="11" fillId="0" borderId="16" xfId="41" applyNumberFormat="1" applyFont="1" applyFill="1" applyBorder="1" applyAlignment="1">
      <alignment horizontal="right"/>
    </xf>
    <xf numFmtId="177" fontId="12" fillId="0" borderId="14" xfId="41" applyNumberFormat="1" applyFont="1" applyFill="1" applyBorder="1" applyAlignment="1">
      <alignment horizontal="right"/>
    </xf>
    <xf numFmtId="177" fontId="12" fillId="0" borderId="0" xfId="41" applyNumberFormat="1" applyFont="1" applyFill="1" applyBorder="1" applyAlignment="1">
      <alignment horizontal="right"/>
    </xf>
    <xf numFmtId="177" fontId="4" fillId="0" borderId="16" xfId="41" applyNumberFormat="1" applyFont="1" applyFill="1" applyBorder="1" applyAlignment="1">
      <alignment horizontal="right"/>
    </xf>
    <xf numFmtId="177" fontId="18" fillId="0" borderId="17" xfId="41" applyNumberFormat="1" applyFont="1" applyFill="1" applyBorder="1" applyAlignment="1">
      <alignment horizontal="right"/>
    </xf>
    <xf numFmtId="177" fontId="4" fillId="0" borderId="12" xfId="41" applyNumberFormat="1" applyFont="1" applyFill="1" applyBorder="1" applyAlignment="1">
      <alignment horizontal="right"/>
    </xf>
    <xf numFmtId="186" fontId="12" fillId="0" borderId="14" xfId="41" applyNumberFormat="1" applyFont="1" applyFill="1" applyBorder="1" applyAlignment="1">
      <alignment horizontal="right"/>
    </xf>
    <xf numFmtId="0" fontId="66" fillId="0" borderId="19" xfId="62" applyFont="1" applyFill="1" applyBorder="1" applyAlignment="1">
      <alignment horizontal="right"/>
    </xf>
    <xf numFmtId="177" fontId="7" fillId="0" borderId="21" xfId="41" applyNumberFormat="1" applyFont="1" applyFill="1" applyBorder="1" applyAlignment="1">
      <alignment horizontal="right"/>
    </xf>
    <xf numFmtId="177" fontId="7" fillId="0" borderId="19" xfId="41" applyNumberFormat="1" applyFont="1" applyFill="1" applyBorder="1" applyAlignment="1">
      <alignment horizontal="right"/>
    </xf>
    <xf numFmtId="177" fontId="7" fillId="0" borderId="28" xfId="41" applyNumberFormat="1" applyFont="1" applyFill="1" applyBorder="1" applyAlignment="1">
      <alignment horizontal="right"/>
    </xf>
    <xf numFmtId="177" fontId="7" fillId="0" borderId="25" xfId="41" applyNumberFormat="1" applyFont="1" applyFill="1" applyBorder="1" applyAlignment="1">
      <alignment horizontal="right"/>
    </xf>
    <xf numFmtId="186" fontId="7" fillId="0" borderId="28" xfId="41" applyNumberFormat="1" applyFont="1" applyFill="1" applyBorder="1" applyAlignment="1">
      <alignment horizontal="right"/>
    </xf>
    <xf numFmtId="0" fontId="4" fillId="0" borderId="19" xfId="62" applyFont="1" applyFill="1" applyBorder="1" applyAlignment="1">
      <alignment horizontal="right"/>
    </xf>
    <xf numFmtId="171" fontId="40" fillId="0" borderId="19" xfId="67" applyNumberFormat="1" applyFont="1" applyFill="1" applyBorder="1" applyAlignment="1">
      <alignment horizontal="right"/>
    </xf>
    <xf numFmtId="171" fontId="40" fillId="0" borderId="25" xfId="67" applyNumberFormat="1" applyFont="1" applyFill="1" applyBorder="1" applyAlignment="1">
      <alignment horizontal="right"/>
    </xf>
    <xf numFmtId="171" fontId="40" fillId="0" borderId="28" xfId="67" applyNumberFormat="1" applyFont="1" applyFill="1" applyBorder="1" applyAlignment="1">
      <alignment horizontal="right"/>
    </xf>
    <xf numFmtId="0" fontId="66" fillId="17" borderId="13" xfId="62" applyFont="1" applyFill="1" applyBorder="1" applyAlignment="1">
      <alignment horizontal="right"/>
    </xf>
    <xf numFmtId="0" fontId="73" fillId="17" borderId="13" xfId="62" applyFont="1" applyFill="1" applyBorder="1" applyAlignment="1">
      <alignment horizontal="right"/>
    </xf>
    <xf numFmtId="0" fontId="33" fillId="31" borderId="13" xfId="62" applyFont="1" applyFill="1" applyBorder="1" applyAlignment="1">
      <alignment horizontal="right"/>
    </xf>
    <xf numFmtId="164" fontId="33" fillId="31" borderId="15" xfId="62" applyNumberFormat="1" applyFont="1" applyFill="1" applyBorder="1" applyAlignment="1">
      <alignment horizontal="right"/>
    </xf>
    <xf numFmtId="164" fontId="33" fillId="31" borderId="27" xfId="62" applyNumberFormat="1" applyFont="1" applyFill="1" applyBorder="1" applyAlignment="1">
      <alignment horizontal="right"/>
    </xf>
    <xf numFmtId="177" fontId="12" fillId="0" borderId="13" xfId="41" applyNumberFormat="1" applyFont="1" applyFill="1" applyBorder="1" applyAlignment="1">
      <alignment horizontal="right"/>
    </xf>
    <xf numFmtId="177" fontId="12" fillId="0" borderId="15" xfId="41" applyNumberFormat="1" applyFont="1" applyFill="1" applyBorder="1" applyAlignment="1">
      <alignment horizontal="right"/>
    </xf>
    <xf numFmtId="43" fontId="4" fillId="0" borderId="16" xfId="41" applyFont="1" applyFill="1" applyBorder="1" applyAlignment="1">
      <alignment horizontal="right"/>
    </xf>
    <xf numFmtId="43" fontId="4" fillId="0" borderId="12" xfId="41" applyFont="1" applyFill="1" applyBorder="1" applyAlignment="1">
      <alignment horizontal="right"/>
    </xf>
    <xf numFmtId="43" fontId="7" fillId="0" borderId="28" xfId="41" applyFont="1" applyFill="1" applyBorder="1" applyAlignment="1">
      <alignment horizontal="right"/>
    </xf>
    <xf numFmtId="177" fontId="4" fillId="0" borderId="11" xfId="41" applyNumberFormat="1" applyFont="1" applyFill="1" applyBorder="1"/>
    <xf numFmtId="165" fontId="82" fillId="0" borderId="0" xfId="0" applyNumberFormat="1" applyFont="1" applyFill="1" applyBorder="1"/>
    <xf numFmtId="165" fontId="82" fillId="0" borderId="14" xfId="0" applyNumberFormat="1" applyFont="1" applyFill="1" applyBorder="1"/>
    <xf numFmtId="173" fontId="0" fillId="0" borderId="19" xfId="0" applyNumberFormat="1" applyFill="1" applyBorder="1"/>
    <xf numFmtId="186" fontId="84" fillId="0" borderId="0" xfId="41" applyNumberFormat="1" applyFont="1" applyFill="1" applyBorder="1"/>
    <xf numFmtId="168" fontId="4" fillId="0" borderId="11" xfId="0" applyNumberFormat="1" applyFont="1" applyFill="1" applyBorder="1"/>
    <xf numFmtId="171" fontId="85" fillId="19" borderId="18" xfId="0" applyNumberFormat="1" applyFont="1" applyFill="1" applyBorder="1" applyAlignment="1">
      <alignment horizontal="center"/>
    </xf>
    <xf numFmtId="171" fontId="85" fillId="19" borderId="11" xfId="0" applyNumberFormat="1" applyFont="1" applyFill="1" applyBorder="1" applyAlignment="1">
      <alignment horizontal="center"/>
    </xf>
    <xf numFmtId="171" fontId="85" fillId="19" borderId="23" xfId="0" applyNumberFormat="1" applyFont="1" applyFill="1" applyBorder="1" applyAlignment="1">
      <alignment horizontal="center"/>
    </xf>
    <xf numFmtId="171" fontId="85" fillId="19" borderId="24" xfId="0" applyNumberFormat="1" applyFont="1" applyFill="1" applyBorder="1" applyAlignment="1">
      <alignment horizontal="center"/>
    </xf>
    <xf numFmtId="171" fontId="84" fillId="19" borderId="11" xfId="0" applyNumberFormat="1" applyFont="1" applyFill="1" applyBorder="1" applyAlignment="1">
      <alignment horizontal="center"/>
    </xf>
    <xf numFmtId="171" fontId="85" fillId="25" borderId="18" xfId="0" applyNumberFormat="1" applyFont="1" applyFill="1" applyBorder="1" applyAlignment="1">
      <alignment horizontal="center"/>
    </xf>
    <xf numFmtId="171" fontId="84" fillId="0" borderId="0" xfId="0" applyNumberFormat="1" applyFont="1" applyFill="1" applyBorder="1" applyAlignment="1">
      <alignment horizontal="center"/>
    </xf>
    <xf numFmtId="171" fontId="84" fillId="0" borderId="12" xfId="0" applyNumberFormat="1" applyFont="1" applyFill="1" applyBorder="1" applyAlignment="1">
      <alignment horizontal="center"/>
    </xf>
    <xf numFmtId="186" fontId="84" fillId="0" borderId="14" xfId="41" applyNumberFormat="1" applyFont="1" applyFill="1" applyBorder="1"/>
    <xf numFmtId="164" fontId="4" fillId="0" borderId="18" xfId="0" applyNumberFormat="1" applyFont="1" applyFill="1" applyBorder="1" applyAlignment="1">
      <alignment horizontal="center"/>
    </xf>
    <xf numFmtId="164" fontId="7" fillId="0" borderId="24" xfId="0" applyNumberFormat="1" applyFont="1" applyFill="1" applyBorder="1" applyAlignment="1">
      <alignment horizontal="center"/>
    </xf>
    <xf numFmtId="43" fontId="4" fillId="0" borderId="24" xfId="41" applyFont="1" applyFill="1" applyBorder="1" applyAlignment="1">
      <alignment horizontal="center"/>
    </xf>
    <xf numFmtId="43" fontId="4" fillId="0" borderId="18" xfId="41" applyFont="1" applyFill="1" applyBorder="1" applyAlignment="1">
      <alignment horizontal="center"/>
    </xf>
    <xf numFmtId="43" fontId="4" fillId="0" borderId="11" xfId="41" applyFont="1" applyFill="1" applyBorder="1" applyAlignment="1">
      <alignment horizontal="center"/>
    </xf>
    <xf numFmtId="180" fontId="4" fillId="0" borderId="23" xfId="0" applyNumberFormat="1" applyFont="1" applyFill="1" applyBorder="1" applyAlignment="1">
      <alignment horizontal="center"/>
    </xf>
    <xf numFmtId="180" fontId="4" fillId="0" borderId="24" xfId="0" applyNumberFormat="1" applyFont="1" applyFill="1" applyBorder="1" applyAlignment="1">
      <alignment horizontal="center"/>
    </xf>
    <xf numFmtId="0" fontId="9" fillId="17" borderId="16" xfId="0" applyFont="1" applyFill="1" applyBorder="1"/>
    <xf numFmtId="0" fontId="7" fillId="27" borderId="12" xfId="0" applyFont="1" applyFill="1" applyBorder="1" applyAlignment="1"/>
    <xf numFmtId="164" fontId="73" fillId="17" borderId="27" xfId="0" applyNumberFormat="1" applyFont="1" applyFill="1" applyBorder="1" applyAlignment="1">
      <alignment horizontal="center"/>
    </xf>
    <xf numFmtId="180" fontId="81" fillId="27" borderId="14" xfId="0" applyNumberFormat="1" applyFont="1" applyFill="1" applyBorder="1" applyAlignment="1">
      <alignment horizontal="center"/>
    </xf>
    <xf numFmtId="180" fontId="81" fillId="27" borderId="0" xfId="0" applyNumberFormat="1" applyFont="1" applyFill="1" applyBorder="1" applyAlignment="1">
      <alignment horizontal="center"/>
    </xf>
    <xf numFmtId="180" fontId="81" fillId="27" borderId="17" xfId="0" applyNumberFormat="1" applyFont="1" applyFill="1" applyBorder="1" applyAlignment="1">
      <alignment horizontal="center"/>
    </xf>
    <xf numFmtId="180" fontId="7" fillId="27" borderId="12" xfId="0" applyNumberFormat="1" applyFont="1" applyFill="1" applyBorder="1" applyAlignment="1">
      <alignment horizontal="center"/>
    </xf>
    <xf numFmtId="180" fontId="109" fillId="27" borderId="14" xfId="0" applyNumberFormat="1" applyFont="1" applyFill="1" applyBorder="1" applyAlignment="1">
      <alignment horizontal="center"/>
    </xf>
    <xf numFmtId="180" fontId="109" fillId="27" borderId="0" xfId="0" applyNumberFormat="1" applyFont="1" applyFill="1" applyBorder="1" applyAlignment="1">
      <alignment horizontal="center"/>
    </xf>
    <xf numFmtId="180" fontId="109" fillId="27" borderId="17" xfId="0" applyNumberFormat="1" applyFont="1" applyFill="1" applyBorder="1" applyAlignment="1">
      <alignment horizontal="center"/>
    </xf>
    <xf numFmtId="210" fontId="85" fillId="0" borderId="14" xfId="41" applyNumberFormat="1" applyFont="1" applyFill="1" applyBorder="1" applyAlignment="1">
      <alignment horizontal="center"/>
    </xf>
    <xf numFmtId="43" fontId="84" fillId="0" borderId="0" xfId="41" applyFont="1" applyFill="1" applyBorder="1" applyAlignment="1">
      <alignment horizontal="center"/>
    </xf>
    <xf numFmtId="43" fontId="84" fillId="0" borderId="12" xfId="41" applyFont="1" applyFill="1" applyBorder="1" applyAlignment="1">
      <alignment horizontal="center"/>
    </xf>
    <xf numFmtId="172" fontId="4" fillId="0" borderId="0" xfId="41" applyNumberFormat="1" applyFont="1" applyFill="1" applyBorder="1" applyAlignment="1">
      <alignment horizontal="center"/>
    </xf>
    <xf numFmtId="172" fontId="4" fillId="0" borderId="14" xfId="41" applyNumberFormat="1" applyFont="1" applyFill="1" applyBorder="1" applyAlignment="1">
      <alignment horizontal="center"/>
    </xf>
    <xf numFmtId="171" fontId="84" fillId="0" borderId="0" xfId="62" applyNumberFormat="1" applyFont="1" applyFill="1" applyBorder="1" applyAlignment="1">
      <alignment horizontal="right"/>
    </xf>
    <xf numFmtId="171" fontId="84" fillId="0" borderId="14" xfId="62" applyNumberFormat="1" applyFont="1" applyFill="1" applyBorder="1" applyAlignment="1">
      <alignment horizontal="right"/>
    </xf>
    <xf numFmtId="171" fontId="84" fillId="0" borderId="12" xfId="67" applyNumberFormat="1" applyFont="1" applyFill="1" applyBorder="1" applyAlignment="1">
      <alignment horizontal="right"/>
    </xf>
    <xf numFmtId="208" fontId="84" fillId="0" borderId="0" xfId="41" applyNumberFormat="1" applyFont="1" applyFill="1" applyBorder="1" applyAlignment="1">
      <alignment horizontal="center"/>
    </xf>
    <xf numFmtId="208" fontId="84" fillId="0" borderId="14" xfId="41" applyNumberFormat="1" applyFont="1" applyFill="1" applyBorder="1" applyAlignment="1">
      <alignment horizontal="center"/>
    </xf>
    <xf numFmtId="171" fontId="110" fillId="0" borderId="0" xfId="0" applyNumberFormat="1" applyFont="1" applyFill="1" applyBorder="1" applyAlignment="1">
      <alignment horizontal="center"/>
    </xf>
    <xf numFmtId="0" fontId="13" fillId="0" borderId="24" xfId="0" applyFont="1" applyFill="1" applyBorder="1" applyAlignment="1">
      <alignment horizontal="left" indent="2"/>
    </xf>
    <xf numFmtId="210" fontId="85" fillId="0" borderId="18" xfId="41" applyNumberFormat="1" applyFont="1" applyFill="1" applyBorder="1" applyAlignment="1">
      <alignment horizontal="center"/>
    </xf>
    <xf numFmtId="43" fontId="84" fillId="0" borderId="11" xfId="41" applyFont="1" applyFill="1" applyBorder="1" applyAlignment="1">
      <alignment horizontal="center"/>
    </xf>
    <xf numFmtId="43" fontId="84" fillId="0" borderId="24" xfId="41" applyFont="1" applyFill="1" applyBorder="1" applyAlignment="1">
      <alignment horizontal="center"/>
    </xf>
    <xf numFmtId="171" fontId="110" fillId="0" borderId="14" xfId="0" applyNumberFormat="1" applyFont="1" applyFill="1" applyBorder="1" applyAlignment="1">
      <alignment horizontal="center"/>
    </xf>
    <xf numFmtId="171" fontId="110" fillId="0" borderId="12" xfId="67" applyNumberFormat="1" applyFont="1" applyFill="1" applyBorder="1" applyAlignment="1">
      <alignment horizontal="center"/>
    </xf>
    <xf numFmtId="0" fontId="4" fillId="26" borderId="0" xfId="0" applyFont="1" applyFill="1"/>
    <xf numFmtId="43" fontId="4" fillId="26" borderId="14" xfId="41" applyFont="1" applyFill="1" applyBorder="1" applyAlignment="1">
      <alignment horizontal="center"/>
    </xf>
    <xf numFmtId="180" fontId="4" fillId="26" borderId="17" xfId="0" applyNumberFormat="1" applyFont="1" applyFill="1" applyBorder="1" applyAlignment="1">
      <alignment horizontal="center"/>
    </xf>
    <xf numFmtId="0" fontId="7" fillId="26" borderId="0" xfId="0" applyFont="1" applyFill="1"/>
    <xf numFmtId="171" fontId="110" fillId="0" borderId="14" xfId="67" applyNumberFormat="1" applyFont="1" applyFill="1" applyBorder="1" applyAlignment="1">
      <alignment horizontal="center"/>
    </xf>
    <xf numFmtId="171" fontId="110" fillId="0" borderId="0" xfId="67" applyNumberFormat="1" applyFont="1" applyFill="1" applyBorder="1" applyAlignment="1">
      <alignment horizontal="center"/>
    </xf>
    <xf numFmtId="171" fontId="110" fillId="0" borderId="17" xfId="67" applyNumberFormat="1" applyFont="1" applyFill="1" applyBorder="1" applyAlignment="1">
      <alignment horizontal="center"/>
    </xf>
    <xf numFmtId="180" fontId="111" fillId="0" borderId="14" xfId="0" applyNumberFormat="1" applyFont="1" applyFill="1" applyBorder="1" applyAlignment="1">
      <alignment horizontal="center"/>
    </xf>
    <xf numFmtId="180" fontId="111" fillId="0" borderId="0" xfId="0" applyNumberFormat="1" applyFont="1" applyFill="1" applyBorder="1" applyAlignment="1">
      <alignment horizontal="center"/>
    </xf>
    <xf numFmtId="224" fontId="0" fillId="0" borderId="0" xfId="0" applyNumberFormat="1"/>
    <xf numFmtId="171" fontId="85" fillId="0" borderId="18" xfId="0" applyNumberFormat="1" applyFont="1" applyFill="1" applyBorder="1" applyAlignment="1">
      <alignment horizontal="center"/>
    </xf>
    <xf numFmtId="171" fontId="85" fillId="0" borderId="11" xfId="0" applyNumberFormat="1" applyFont="1" applyFill="1" applyBorder="1" applyAlignment="1">
      <alignment horizontal="center"/>
    </xf>
    <xf numFmtId="171" fontId="85" fillId="0" borderId="24" xfId="67" applyNumberFormat="1" applyFont="1" applyFill="1" applyBorder="1" applyAlignment="1">
      <alignment horizontal="center"/>
    </xf>
    <xf numFmtId="171" fontId="13" fillId="0" borderId="24" xfId="67" applyNumberFormat="1" applyFont="1" applyFill="1" applyBorder="1" applyAlignment="1">
      <alignment horizontal="center"/>
    </xf>
    <xf numFmtId="9" fontId="4" fillId="0" borderId="15" xfId="67" applyFont="1" applyFill="1" applyBorder="1"/>
    <xf numFmtId="9" fontId="0" fillId="0" borderId="0" xfId="67" applyFont="1" applyFill="1"/>
    <xf numFmtId="183" fontId="4" fillId="0" borderId="0" xfId="0" applyNumberFormat="1" applyFont="1" applyFill="1"/>
    <xf numFmtId="183" fontId="7" fillId="0" borderId="0" xfId="0" applyNumberFormat="1" applyFont="1" applyFill="1"/>
    <xf numFmtId="7" fontId="0" fillId="0" borderId="19" xfId="0" applyNumberFormat="1" applyFill="1" applyBorder="1"/>
    <xf numFmtId="0" fontId="11" fillId="0" borderId="12" xfId="67" applyNumberFormat="1" applyFont="1" applyFill="1" applyBorder="1" applyAlignment="1">
      <alignment horizontal="right"/>
    </xf>
    <xf numFmtId="186" fontId="13" fillId="0" borderId="14" xfId="41" applyNumberFormat="1" applyFont="1" applyFill="1" applyBorder="1" applyAlignment="1">
      <alignment horizontal="center"/>
    </xf>
    <xf numFmtId="186" fontId="13" fillId="0" borderId="0" xfId="41" applyNumberFormat="1" applyFont="1" applyFill="1" applyBorder="1" applyAlignment="1">
      <alignment horizontal="center"/>
    </xf>
    <xf numFmtId="177" fontId="10" fillId="0" borderId="24" xfId="0" applyNumberFormat="1" applyFont="1" applyFill="1" applyBorder="1"/>
    <xf numFmtId="177" fontId="10" fillId="0" borderId="12" xfId="0" applyNumberFormat="1" applyFont="1" applyFill="1" applyBorder="1"/>
    <xf numFmtId="9" fontId="4" fillId="0" borderId="19" xfId="67" applyFont="1" applyFill="1" applyBorder="1"/>
    <xf numFmtId="43" fontId="13" fillId="0" borderId="14" xfId="0" applyNumberFormat="1" applyFont="1" applyFill="1" applyBorder="1"/>
    <xf numFmtId="171" fontId="82" fillId="0" borderId="12" xfId="0" applyNumberFormat="1" applyFont="1" applyFill="1" applyBorder="1" applyAlignment="1">
      <alignment horizontal="center"/>
    </xf>
    <xf numFmtId="171" fontId="82" fillId="19" borderId="14" xfId="0" applyNumberFormat="1" applyFont="1" applyFill="1" applyBorder="1" applyAlignment="1">
      <alignment horizontal="center"/>
    </xf>
    <xf numFmtId="171" fontId="82" fillId="19" borderId="0" xfId="0" applyNumberFormat="1" applyFont="1" applyFill="1" applyBorder="1" applyAlignment="1">
      <alignment horizontal="center"/>
    </xf>
    <xf numFmtId="171" fontId="82" fillId="19" borderId="17" xfId="0" applyNumberFormat="1" applyFont="1" applyFill="1" applyBorder="1" applyAlignment="1">
      <alignment horizontal="center"/>
    </xf>
    <xf numFmtId="171" fontId="82" fillId="19" borderId="12" xfId="0" applyNumberFormat="1" applyFont="1" applyFill="1" applyBorder="1" applyAlignment="1">
      <alignment horizontal="center"/>
    </xf>
    <xf numFmtId="171" fontId="85" fillId="19" borderId="0" xfId="0" applyNumberFormat="1" applyFont="1" applyFill="1" applyBorder="1" applyAlignment="1">
      <alignment horizontal="center"/>
    </xf>
    <xf numFmtId="171" fontId="84" fillId="19" borderId="0" xfId="0" applyNumberFormat="1" applyFont="1" applyFill="1" applyBorder="1" applyAlignment="1">
      <alignment horizontal="center"/>
    </xf>
    <xf numFmtId="171" fontId="80" fillId="0" borderId="0" xfId="0" applyNumberFormat="1" applyFont="1" applyFill="1" applyBorder="1" applyAlignment="1">
      <alignment horizontal="center"/>
    </xf>
    <xf numFmtId="171" fontId="80" fillId="0" borderId="12" xfId="0" applyNumberFormat="1" applyFont="1" applyFill="1" applyBorder="1" applyAlignment="1">
      <alignment horizontal="center"/>
    </xf>
    <xf numFmtId="171" fontId="13" fillId="19" borderId="12" xfId="0" applyNumberFormat="1" applyFont="1" applyFill="1" applyBorder="1" applyAlignment="1">
      <alignment horizontal="center"/>
    </xf>
    <xf numFmtId="171" fontId="110" fillId="19" borderId="14" xfId="0" applyNumberFormat="1" applyFont="1" applyFill="1" applyBorder="1" applyAlignment="1">
      <alignment horizontal="center"/>
    </xf>
    <xf numFmtId="171" fontId="110" fillId="19" borderId="0" xfId="0" applyNumberFormat="1" applyFont="1" applyFill="1" applyBorder="1" applyAlignment="1">
      <alignment horizontal="center"/>
    </xf>
    <xf numFmtId="171" fontId="110" fillId="19" borderId="17" xfId="0" applyNumberFormat="1" applyFont="1" applyFill="1" applyBorder="1" applyAlignment="1">
      <alignment horizontal="center"/>
    </xf>
    <xf numFmtId="171" fontId="13" fillId="19" borderId="14" xfId="0" applyNumberFormat="1" applyFont="1" applyFill="1" applyBorder="1" applyAlignment="1">
      <alignment horizontal="center"/>
    </xf>
    <xf numFmtId="171" fontId="13" fillId="19" borderId="0" xfId="0" applyNumberFormat="1" applyFont="1" applyFill="1" applyBorder="1" applyAlignment="1">
      <alignment horizontal="center"/>
    </xf>
    <xf numFmtId="171" fontId="13" fillId="19" borderId="17" xfId="0" applyNumberFormat="1" applyFont="1" applyFill="1" applyBorder="1" applyAlignment="1">
      <alignment horizontal="center"/>
    </xf>
    <xf numFmtId="186" fontId="89" fillId="0" borderId="13" xfId="41" applyNumberFormat="1" applyFont="1" applyFill="1" applyBorder="1"/>
    <xf numFmtId="186" fontId="89" fillId="0" borderId="15" xfId="41" applyNumberFormat="1" applyFont="1" applyFill="1" applyBorder="1"/>
    <xf numFmtId="186" fontId="89" fillId="0" borderId="16" xfId="41" applyNumberFormat="1" applyFont="1" applyFill="1" applyBorder="1"/>
    <xf numFmtId="186" fontId="84" fillId="0" borderId="12" xfId="41" applyNumberFormat="1" applyFont="1" applyFill="1" applyBorder="1"/>
    <xf numFmtId="186" fontId="84" fillId="0" borderId="18" xfId="41" applyNumberFormat="1" applyFont="1" applyFill="1" applyBorder="1"/>
    <xf numFmtId="186" fontId="84" fillId="0" borderId="11" xfId="41" applyNumberFormat="1" applyFont="1" applyFill="1" applyBorder="1"/>
    <xf numFmtId="186" fontId="84" fillId="0" borderId="24" xfId="41" applyNumberFormat="1" applyFont="1" applyFill="1" applyBorder="1"/>
    <xf numFmtId="180" fontId="84" fillId="20" borderId="14" xfId="0" applyNumberFormat="1" applyFont="1" applyFill="1" applyBorder="1"/>
    <xf numFmtId="180" fontId="84" fillId="20" borderId="0" xfId="0" applyNumberFormat="1" applyFont="1" applyFill="1" applyBorder="1"/>
    <xf numFmtId="180" fontId="84" fillId="20" borderId="12" xfId="0" applyNumberFormat="1" applyFont="1" applyFill="1" applyBorder="1"/>
    <xf numFmtId="0" fontId="9" fillId="17" borderId="16" xfId="62" applyFont="1" applyFill="1" applyBorder="1" applyAlignment="1">
      <alignment horizontal="left"/>
    </xf>
    <xf numFmtId="171" fontId="84" fillId="0" borderId="13" xfId="62" applyNumberFormat="1" applyFont="1" applyFill="1" applyBorder="1" applyAlignment="1">
      <alignment horizontal="right"/>
    </xf>
    <xf numFmtId="171" fontId="84" fillId="0" borderId="15" xfId="62" applyNumberFormat="1" applyFont="1" applyFill="1" applyBorder="1" applyAlignment="1">
      <alignment horizontal="right"/>
    </xf>
    <xf numFmtId="171" fontId="84" fillId="0" borderId="27" xfId="62" applyNumberFormat="1" applyFont="1" applyFill="1" applyBorder="1" applyAlignment="1">
      <alignment horizontal="right"/>
    </xf>
    <xf numFmtId="171" fontId="84" fillId="0" borderId="16" xfId="67" applyNumberFormat="1" applyFont="1" applyFill="1" applyBorder="1" applyAlignment="1">
      <alignment horizontal="right"/>
    </xf>
    <xf numFmtId="171" fontId="84" fillId="0" borderId="15" xfId="67" applyNumberFormat="1" applyFont="1" applyFill="1" applyBorder="1" applyAlignment="1">
      <alignment horizontal="right"/>
    </xf>
    <xf numFmtId="0" fontId="84" fillId="0" borderId="15" xfId="62" applyFont="1" applyFill="1" applyBorder="1" applyAlignment="1">
      <alignment horizontal="right"/>
    </xf>
    <xf numFmtId="171" fontId="84" fillId="0" borderId="16" xfId="62" applyNumberFormat="1" applyFont="1" applyFill="1" applyBorder="1" applyAlignment="1">
      <alignment horizontal="right"/>
    </xf>
    <xf numFmtId="171" fontId="84" fillId="0" borderId="17" xfId="62" applyNumberFormat="1" applyFont="1" applyFill="1" applyBorder="1" applyAlignment="1">
      <alignment horizontal="right"/>
    </xf>
    <xf numFmtId="171" fontId="84" fillId="0" borderId="0" xfId="67" applyNumberFormat="1" applyFont="1" applyFill="1" applyBorder="1" applyAlignment="1">
      <alignment horizontal="right"/>
    </xf>
    <xf numFmtId="0" fontId="84" fillId="0" borderId="0" xfId="62" applyFont="1" applyFill="1" applyBorder="1" applyAlignment="1">
      <alignment horizontal="right"/>
    </xf>
    <xf numFmtId="171" fontId="84" fillId="0" borderId="12" xfId="62" applyNumberFormat="1" applyFont="1" applyFill="1" applyBorder="1" applyAlignment="1">
      <alignment horizontal="right"/>
    </xf>
    <xf numFmtId="171" fontId="84" fillId="0" borderId="27" xfId="67" applyNumberFormat="1" applyFont="1" applyFill="1" applyBorder="1" applyAlignment="1">
      <alignment horizontal="right"/>
    </xf>
    <xf numFmtId="171" fontId="84" fillId="0" borderId="13" xfId="67" applyNumberFormat="1" applyFont="1" applyFill="1" applyBorder="1" applyAlignment="1">
      <alignment horizontal="right"/>
    </xf>
    <xf numFmtId="171" fontId="84" fillId="0" borderId="17" xfId="67" applyNumberFormat="1" applyFont="1" applyFill="1" applyBorder="1" applyAlignment="1">
      <alignment horizontal="right"/>
    </xf>
    <xf numFmtId="171" fontId="89" fillId="19" borderId="18" xfId="62" applyNumberFormat="1" applyFont="1" applyFill="1" applyBorder="1" applyAlignment="1">
      <alignment horizontal="right"/>
    </xf>
    <xf numFmtId="171" fontId="89" fillId="19" borderId="11" xfId="62" applyNumberFormat="1" applyFont="1" applyFill="1" applyBorder="1" applyAlignment="1">
      <alignment horizontal="right"/>
    </xf>
    <xf numFmtId="171" fontId="89" fillId="19" borderId="24" xfId="62" applyNumberFormat="1" applyFont="1" applyFill="1" applyBorder="1" applyAlignment="1">
      <alignment horizontal="right"/>
    </xf>
    <xf numFmtId="0" fontId="84" fillId="19" borderId="11" xfId="62" applyFont="1" applyFill="1" applyBorder="1" applyAlignment="1">
      <alignment horizontal="right"/>
    </xf>
    <xf numFmtId="171" fontId="89" fillId="19" borderId="14" xfId="62" applyNumberFormat="1" applyFont="1" applyFill="1" applyBorder="1" applyAlignment="1">
      <alignment horizontal="right"/>
    </xf>
    <xf numFmtId="171" fontId="89" fillId="19" borderId="0" xfId="62" applyNumberFormat="1" applyFont="1" applyFill="1" applyBorder="1" applyAlignment="1">
      <alignment horizontal="right"/>
    </xf>
    <xf numFmtId="171" fontId="89" fillId="19" borderId="12" xfId="62" applyNumberFormat="1" applyFont="1" applyFill="1" applyBorder="1" applyAlignment="1">
      <alignment horizontal="right"/>
    </xf>
    <xf numFmtId="171" fontId="89" fillId="19" borderId="23" xfId="62" applyNumberFormat="1" applyFont="1" applyFill="1" applyBorder="1" applyAlignment="1">
      <alignment horizontal="right"/>
    </xf>
    <xf numFmtId="0" fontId="84" fillId="19" borderId="0" xfId="62" applyFont="1" applyFill="1" applyBorder="1" applyAlignment="1">
      <alignment horizontal="right"/>
    </xf>
    <xf numFmtId="226" fontId="4" fillId="0" borderId="28" xfId="67" applyNumberFormat="1" applyFont="1" applyFill="1" applyBorder="1" applyAlignment="1">
      <alignment horizontal="center"/>
    </xf>
    <xf numFmtId="225" fontId="4" fillId="0" borderId="28" xfId="67" applyNumberFormat="1" applyFont="1" applyFill="1" applyBorder="1" applyAlignment="1">
      <alignment horizontal="center"/>
    </xf>
    <xf numFmtId="13" fontId="85" fillId="0" borderId="14" xfId="0" applyNumberFormat="1" applyFont="1" applyFill="1" applyBorder="1" applyAlignment="1">
      <alignment horizontal="center"/>
    </xf>
    <xf numFmtId="10" fontId="4" fillId="0" borderId="0" xfId="67" applyNumberFormat="1" applyFont="1" applyFill="1" applyAlignment="1">
      <alignment horizontal="center"/>
    </xf>
    <xf numFmtId="0" fontId="91" fillId="0" borderId="0" xfId="0" applyFont="1" applyFill="1"/>
    <xf numFmtId="9" fontId="85" fillId="0" borderId="14" xfId="67" applyFont="1" applyFill="1" applyBorder="1" applyAlignment="1">
      <alignment horizontal="center"/>
    </xf>
    <xf numFmtId="9" fontId="85" fillId="0" borderId="0" xfId="67" applyFont="1" applyFill="1" applyBorder="1" applyAlignment="1">
      <alignment horizontal="center"/>
    </xf>
    <xf numFmtId="9" fontId="85" fillId="0" borderId="12" xfId="67" applyFont="1" applyFill="1" applyBorder="1" applyAlignment="1">
      <alignment horizontal="center"/>
    </xf>
    <xf numFmtId="0" fontId="84" fillId="19" borderId="18" xfId="62" applyFont="1" applyFill="1" applyBorder="1" applyAlignment="1">
      <alignment horizontal="right"/>
    </xf>
    <xf numFmtId="171" fontId="4" fillId="19" borderId="14" xfId="62" applyNumberFormat="1" applyFont="1" applyFill="1" applyBorder="1" applyAlignment="1">
      <alignment horizontal="right"/>
    </xf>
    <xf numFmtId="171" fontId="4" fillId="19" borderId="0" xfId="62" applyNumberFormat="1" applyFont="1" applyFill="1" applyBorder="1" applyAlignment="1">
      <alignment horizontal="right"/>
    </xf>
    <xf numFmtId="171" fontId="4" fillId="19" borderId="12" xfId="62" applyNumberFormat="1" applyFont="1" applyFill="1" applyBorder="1" applyAlignment="1">
      <alignment horizontal="right"/>
    </xf>
    <xf numFmtId="171" fontId="84" fillId="19" borderId="14" xfId="62" applyNumberFormat="1" applyFont="1" applyFill="1" applyBorder="1" applyAlignment="1">
      <alignment horizontal="right"/>
    </xf>
    <xf numFmtId="171" fontId="84" fillId="19" borderId="0" xfId="62" applyNumberFormat="1" applyFont="1" applyFill="1" applyBorder="1" applyAlignment="1">
      <alignment horizontal="right"/>
    </xf>
    <xf numFmtId="171" fontId="84" fillId="19" borderId="12" xfId="62" applyNumberFormat="1" applyFont="1" applyFill="1" applyBorder="1" applyAlignment="1">
      <alignment horizontal="right"/>
    </xf>
    <xf numFmtId="0" fontId="16" fillId="19" borderId="12" xfId="0" applyFont="1" applyFill="1" applyBorder="1"/>
    <xf numFmtId="0" fontId="16" fillId="19" borderId="0" xfId="62" applyFont="1" applyFill="1" applyBorder="1" applyAlignment="1">
      <alignment horizontal="right"/>
    </xf>
    <xf numFmtId="171" fontId="16" fillId="19" borderId="14" xfId="62" applyNumberFormat="1" applyFont="1" applyFill="1" applyBorder="1" applyAlignment="1">
      <alignment horizontal="right"/>
    </xf>
    <xf numFmtId="171" fontId="16" fillId="19" borderId="0" xfId="62" applyNumberFormat="1" applyFont="1" applyFill="1" applyBorder="1" applyAlignment="1">
      <alignment horizontal="right"/>
    </xf>
    <xf numFmtId="171" fontId="16" fillId="19" borderId="12" xfId="62" applyNumberFormat="1" applyFont="1" applyFill="1" applyBorder="1" applyAlignment="1">
      <alignment horizontal="right"/>
    </xf>
    <xf numFmtId="172" fontId="13" fillId="0" borderId="16" xfId="62" applyNumberFormat="1" applyFont="1" applyFill="1" applyBorder="1" applyAlignment="1">
      <alignment horizontal="left"/>
    </xf>
    <xf numFmtId="0" fontId="62" fillId="0" borderId="15" xfId="62" applyFont="1" applyFill="1" applyBorder="1" applyAlignment="1">
      <alignment horizontal="right"/>
    </xf>
    <xf numFmtId="171" fontId="13" fillId="0" borderId="13" xfId="62" applyNumberFormat="1" applyFont="1" applyFill="1" applyBorder="1" applyAlignment="1">
      <alignment horizontal="right"/>
    </xf>
    <xf numFmtId="171" fontId="13" fillId="0" borderId="15" xfId="62" applyNumberFormat="1" applyFont="1" applyFill="1" applyBorder="1" applyAlignment="1">
      <alignment horizontal="right"/>
    </xf>
    <xf numFmtId="171" fontId="13" fillId="0" borderId="16" xfId="62" applyNumberFormat="1" applyFont="1" applyFill="1" applyBorder="1" applyAlignment="1">
      <alignment horizontal="right"/>
    </xf>
    <xf numFmtId="171" fontId="22" fillId="0" borderId="13" xfId="62" applyNumberFormat="1" applyFont="1" applyFill="1" applyBorder="1" applyAlignment="1">
      <alignment horizontal="right"/>
    </xf>
    <xf numFmtId="171" fontId="22" fillId="0" borderId="15" xfId="62" applyNumberFormat="1" applyFont="1" applyFill="1" applyBorder="1" applyAlignment="1">
      <alignment horizontal="right"/>
    </xf>
    <xf numFmtId="171" fontId="22" fillId="0" borderId="16" xfId="62" applyNumberFormat="1" applyFont="1" applyFill="1" applyBorder="1" applyAlignment="1">
      <alignment horizontal="right"/>
    </xf>
    <xf numFmtId="171" fontId="13" fillId="0" borderId="15" xfId="67" applyNumberFormat="1" applyFont="1" applyFill="1" applyBorder="1" applyAlignment="1">
      <alignment horizontal="right"/>
    </xf>
    <xf numFmtId="0" fontId="13" fillId="0" borderId="15" xfId="62" applyFont="1" applyFill="1" applyBorder="1" applyAlignment="1">
      <alignment horizontal="right"/>
    </xf>
    <xf numFmtId="0" fontId="13" fillId="0" borderId="12" xfId="0" applyFont="1" applyFill="1" applyBorder="1" applyAlignment="1">
      <alignment horizontal="left"/>
    </xf>
    <xf numFmtId="0" fontId="62" fillId="0" borderId="0" xfId="62" applyFont="1" applyFill="1" applyBorder="1" applyAlignment="1">
      <alignment horizontal="right"/>
    </xf>
    <xf numFmtId="171" fontId="13" fillId="0" borderId="14" xfId="62" applyNumberFormat="1" applyFont="1" applyFill="1" applyBorder="1" applyAlignment="1">
      <alignment horizontal="right"/>
    </xf>
    <xf numFmtId="171" fontId="13" fillId="0" borderId="0" xfId="62" applyNumberFormat="1" applyFont="1" applyFill="1" applyBorder="1" applyAlignment="1">
      <alignment horizontal="right"/>
    </xf>
    <xf numFmtId="171" fontId="13" fillId="0" borderId="12" xfId="62" applyNumberFormat="1" applyFont="1" applyFill="1" applyBorder="1" applyAlignment="1">
      <alignment horizontal="right"/>
    </xf>
    <xf numFmtId="171" fontId="22" fillId="0" borderId="14" xfId="62" applyNumberFormat="1" applyFont="1" applyFill="1" applyBorder="1" applyAlignment="1">
      <alignment horizontal="right"/>
    </xf>
    <xf numFmtId="171" fontId="22" fillId="0" borderId="0" xfId="62" applyNumberFormat="1" applyFont="1" applyFill="1" applyBorder="1" applyAlignment="1">
      <alignment horizontal="right"/>
    </xf>
    <xf numFmtId="171" fontId="22" fillId="0" borderId="12" xfId="62" applyNumberFormat="1" applyFont="1" applyFill="1" applyBorder="1" applyAlignment="1">
      <alignment horizontal="right"/>
    </xf>
    <xf numFmtId="171" fontId="13" fillId="0" borderId="0" xfId="67" applyNumberFormat="1" applyFont="1" applyFill="1" applyBorder="1" applyAlignment="1">
      <alignment horizontal="right"/>
    </xf>
    <xf numFmtId="0" fontId="13" fillId="0" borderId="0" xfId="62" applyFont="1" applyFill="1" applyBorder="1" applyAlignment="1">
      <alignment horizontal="right"/>
    </xf>
    <xf numFmtId="172" fontId="13" fillId="0" borderId="12" xfId="62" applyNumberFormat="1" applyFont="1" applyFill="1" applyBorder="1" applyAlignment="1">
      <alignment horizontal="left"/>
    </xf>
    <xf numFmtId="0" fontId="11" fillId="0" borderId="28" xfId="0" applyFont="1" applyFill="1" applyBorder="1"/>
    <xf numFmtId="0" fontId="33" fillId="0" borderId="19" xfId="62" applyFont="1" applyFill="1" applyBorder="1" applyAlignment="1">
      <alignment horizontal="right"/>
    </xf>
    <xf numFmtId="171" fontId="18" fillId="0" borderId="21" xfId="62" applyNumberFormat="1" applyFont="1" applyFill="1" applyBorder="1" applyAlignment="1">
      <alignment horizontal="right"/>
    </xf>
    <xf numFmtId="171" fontId="18" fillId="0" borderId="19" xfId="62" applyNumberFormat="1" applyFont="1" applyFill="1" applyBorder="1" applyAlignment="1">
      <alignment horizontal="right"/>
    </xf>
    <xf numFmtId="171" fontId="18" fillId="0" borderId="28" xfId="62" applyNumberFormat="1" applyFont="1" applyFill="1" applyBorder="1" applyAlignment="1">
      <alignment horizontal="right"/>
    </xf>
    <xf numFmtId="171" fontId="18" fillId="0" borderId="28" xfId="67" applyNumberFormat="1" applyFont="1" applyFill="1" applyBorder="1" applyAlignment="1">
      <alignment horizontal="right"/>
    </xf>
    <xf numFmtId="171" fontId="18" fillId="0" borderId="19" xfId="67" applyNumberFormat="1" applyFont="1" applyFill="1" applyBorder="1" applyAlignment="1">
      <alignment horizontal="right"/>
    </xf>
    <xf numFmtId="0" fontId="11" fillId="0" borderId="19" xfId="62" applyFont="1" applyFill="1" applyBorder="1" applyAlignment="1">
      <alignment horizontal="right"/>
    </xf>
    <xf numFmtId="171" fontId="12" fillId="0" borderId="19" xfId="62" applyNumberFormat="1" applyFont="1" applyFill="1" applyBorder="1" applyAlignment="1">
      <alignment horizontal="right"/>
    </xf>
    <xf numFmtId="0" fontId="16" fillId="0" borderId="0" xfId="62" applyFont="1" applyFill="1" applyBorder="1" applyAlignment="1">
      <alignment horizontal="right"/>
    </xf>
    <xf numFmtId="171" fontId="16" fillId="0" borderId="14" xfId="62" applyNumberFormat="1" applyFont="1" applyFill="1" applyBorder="1" applyAlignment="1">
      <alignment horizontal="right"/>
    </xf>
    <xf numFmtId="171" fontId="16" fillId="0" borderId="0" xfId="62" applyNumberFormat="1" applyFont="1" applyFill="1" applyBorder="1" applyAlignment="1">
      <alignment horizontal="right"/>
    </xf>
    <xf numFmtId="171" fontId="16" fillId="0" borderId="12" xfId="62" applyNumberFormat="1" applyFont="1" applyFill="1" applyBorder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12" xfId="0" applyFont="1" applyFill="1" applyBorder="1" applyAlignment="1">
      <alignment horizontal="left" indent="1"/>
    </xf>
    <xf numFmtId="171" fontId="84" fillId="19" borderId="13" xfId="62" applyNumberFormat="1" applyFont="1" applyFill="1" applyBorder="1" applyAlignment="1">
      <alignment horizontal="right"/>
    </xf>
    <xf numFmtId="171" fontId="84" fillId="19" borderId="15" xfId="62" applyNumberFormat="1" applyFont="1" applyFill="1" applyBorder="1" applyAlignment="1">
      <alignment horizontal="right"/>
    </xf>
    <xf numFmtId="171" fontId="84" fillId="19" borderId="16" xfId="62" applyNumberFormat="1" applyFont="1" applyFill="1" applyBorder="1" applyAlignment="1">
      <alignment horizontal="right"/>
    </xf>
    <xf numFmtId="0" fontId="16" fillId="28" borderId="12" xfId="0" applyFont="1" applyFill="1" applyBorder="1" applyAlignment="1">
      <alignment horizontal="left" indent="2"/>
    </xf>
    <xf numFmtId="0" fontId="33" fillId="28" borderId="0" xfId="62" applyFont="1" applyFill="1" applyBorder="1" applyAlignment="1">
      <alignment horizontal="right"/>
    </xf>
    <xf numFmtId="171" fontId="11" fillId="28" borderId="14" xfId="62" applyNumberFormat="1" applyFont="1" applyFill="1" applyBorder="1" applyAlignment="1">
      <alignment horizontal="right"/>
    </xf>
    <xf numFmtId="171" fontId="11" fillId="28" borderId="0" xfId="62" applyNumberFormat="1" applyFont="1" applyFill="1" applyBorder="1" applyAlignment="1">
      <alignment horizontal="right"/>
    </xf>
    <xf numFmtId="171" fontId="11" fillId="28" borderId="12" xfId="62" applyNumberFormat="1" applyFont="1" applyFill="1" applyBorder="1" applyAlignment="1">
      <alignment horizontal="right"/>
    </xf>
    <xf numFmtId="171" fontId="18" fillId="28" borderId="14" xfId="62" applyNumberFormat="1" applyFont="1" applyFill="1" applyBorder="1" applyAlignment="1">
      <alignment horizontal="right"/>
    </xf>
    <xf numFmtId="171" fontId="18" fillId="28" borderId="0" xfId="62" applyNumberFormat="1" applyFont="1" applyFill="1" applyBorder="1" applyAlignment="1">
      <alignment horizontal="right"/>
    </xf>
    <xf numFmtId="171" fontId="18" fillId="28" borderId="12" xfId="62" applyNumberFormat="1" applyFont="1" applyFill="1" applyBorder="1" applyAlignment="1">
      <alignment horizontal="right"/>
    </xf>
    <xf numFmtId="171" fontId="11" fillId="28" borderId="0" xfId="67" applyNumberFormat="1" applyFont="1" applyFill="1" applyBorder="1" applyAlignment="1">
      <alignment horizontal="right"/>
    </xf>
    <xf numFmtId="0" fontId="11" fillId="28" borderId="0" xfId="62" applyFont="1" applyFill="1" applyBorder="1" applyAlignment="1">
      <alignment horizontal="right"/>
    </xf>
    <xf numFmtId="171" fontId="7" fillId="28" borderId="14" xfId="62" applyNumberFormat="1" applyFont="1" applyFill="1" applyBorder="1" applyAlignment="1">
      <alignment horizontal="right"/>
    </xf>
    <xf numFmtId="171" fontId="7" fillId="28" borderId="0" xfId="62" applyNumberFormat="1" applyFont="1" applyFill="1" applyBorder="1" applyAlignment="1">
      <alignment horizontal="right"/>
    </xf>
    <xf numFmtId="171" fontId="7" fillId="28" borderId="12" xfId="62" applyNumberFormat="1" applyFont="1" applyFill="1" applyBorder="1" applyAlignment="1">
      <alignment horizontal="right"/>
    </xf>
    <xf numFmtId="0" fontId="7" fillId="28" borderId="0" xfId="62" applyFont="1" applyFill="1" applyBorder="1" applyAlignment="1">
      <alignment horizontal="right"/>
    </xf>
    <xf numFmtId="0" fontId="7" fillId="28" borderId="12" xfId="0" applyFont="1" applyFill="1" applyBorder="1" applyAlignment="1">
      <alignment horizontal="left" indent="1"/>
    </xf>
    <xf numFmtId="0" fontId="16" fillId="28" borderId="24" xfId="0" applyFont="1" applyFill="1" applyBorder="1" applyAlignment="1">
      <alignment horizontal="left" indent="1"/>
    </xf>
    <xf numFmtId="0" fontId="113" fillId="28" borderId="11" xfId="62" applyFont="1" applyFill="1" applyBorder="1" applyAlignment="1">
      <alignment horizontal="right"/>
    </xf>
    <xf numFmtId="171" fontId="114" fillId="28" borderId="18" xfId="62" applyNumberFormat="1" applyFont="1" applyFill="1" applyBorder="1" applyAlignment="1">
      <alignment horizontal="right"/>
    </xf>
    <xf numFmtId="171" fontId="114" fillId="28" borderId="11" xfId="62" applyNumberFormat="1" applyFont="1" applyFill="1" applyBorder="1" applyAlignment="1">
      <alignment horizontal="right"/>
    </xf>
    <xf numFmtId="171" fontId="114" fillId="28" borderId="24" xfId="62" applyNumberFormat="1" applyFont="1" applyFill="1" applyBorder="1" applyAlignment="1">
      <alignment horizontal="right"/>
    </xf>
    <xf numFmtId="171" fontId="114" fillId="28" borderId="24" xfId="67" applyNumberFormat="1" applyFont="1" applyFill="1" applyBorder="1" applyAlignment="1">
      <alignment horizontal="right"/>
    </xf>
    <xf numFmtId="171" fontId="114" fillId="28" borderId="11" xfId="67" applyNumberFormat="1" applyFont="1" applyFill="1" applyBorder="1" applyAlignment="1">
      <alignment horizontal="right"/>
    </xf>
    <xf numFmtId="171" fontId="112" fillId="28" borderId="18" xfId="62" applyNumberFormat="1" applyFont="1" applyFill="1" applyBorder="1" applyAlignment="1">
      <alignment horizontal="right"/>
    </xf>
    <xf numFmtId="171" fontId="112" fillId="28" borderId="11" xfId="62" applyNumberFormat="1" applyFont="1" applyFill="1" applyBorder="1" applyAlignment="1">
      <alignment horizontal="right"/>
    </xf>
    <xf numFmtId="171" fontId="112" fillId="28" borderId="24" xfId="67" applyNumberFormat="1" applyFont="1" applyFill="1" applyBorder="1" applyAlignment="1">
      <alignment horizontal="right"/>
    </xf>
    <xf numFmtId="171" fontId="112" fillId="28" borderId="11" xfId="67" applyNumberFormat="1" applyFont="1" applyFill="1" applyBorder="1" applyAlignment="1">
      <alignment horizontal="right"/>
    </xf>
    <xf numFmtId="0" fontId="112" fillId="28" borderId="11" xfId="62" applyFont="1" applyFill="1" applyBorder="1" applyAlignment="1">
      <alignment horizontal="right"/>
    </xf>
    <xf numFmtId="171" fontId="16" fillId="28" borderId="18" xfId="62" applyNumberFormat="1" applyFont="1" applyFill="1" applyBorder="1" applyAlignment="1">
      <alignment horizontal="right"/>
    </xf>
    <xf numFmtId="171" fontId="16" fillId="28" borderId="11" xfId="62" applyNumberFormat="1" applyFont="1" applyFill="1" applyBorder="1" applyAlignment="1">
      <alignment horizontal="right"/>
    </xf>
    <xf numFmtId="171" fontId="16" fillId="28" borderId="24" xfId="62" applyNumberFormat="1" applyFont="1" applyFill="1" applyBorder="1" applyAlignment="1">
      <alignment horizontal="right"/>
    </xf>
    <xf numFmtId="0" fontId="16" fillId="28" borderId="0" xfId="62" applyFont="1" applyFill="1" applyBorder="1" applyAlignment="1">
      <alignment horizontal="right"/>
    </xf>
    <xf numFmtId="171" fontId="16" fillId="28" borderId="14" xfId="62" applyNumberFormat="1" applyFont="1" applyFill="1" applyBorder="1" applyAlignment="1">
      <alignment horizontal="right"/>
    </xf>
    <xf numFmtId="171" fontId="16" fillId="28" borderId="0" xfId="62" applyNumberFormat="1" applyFont="1" applyFill="1" applyBorder="1" applyAlignment="1">
      <alignment horizontal="right"/>
    </xf>
    <xf numFmtId="171" fontId="16" fillId="28" borderId="12" xfId="62" applyNumberFormat="1" applyFont="1" applyFill="1" applyBorder="1" applyAlignment="1">
      <alignment horizontal="right"/>
    </xf>
    <xf numFmtId="171" fontId="16" fillId="28" borderId="12" xfId="67" applyNumberFormat="1" applyFont="1" applyFill="1" applyBorder="1" applyAlignment="1">
      <alignment horizontal="right"/>
    </xf>
    <xf numFmtId="171" fontId="16" fillId="28" borderId="0" xfId="67" applyNumberFormat="1" applyFont="1" applyFill="1" applyBorder="1" applyAlignment="1">
      <alignment horizontal="right"/>
    </xf>
    <xf numFmtId="0" fontId="16" fillId="28" borderId="12" xfId="0" applyFont="1" applyFill="1" applyBorder="1" applyAlignment="1">
      <alignment horizontal="left" indent="1"/>
    </xf>
    <xf numFmtId="0" fontId="113" fillId="28" borderId="0" xfId="62" applyFont="1" applyFill="1" applyBorder="1" applyAlignment="1">
      <alignment horizontal="right"/>
    </xf>
    <xf numFmtId="171" fontId="114" fillId="28" borderId="14" xfId="62" applyNumberFormat="1" applyFont="1" applyFill="1" applyBorder="1" applyAlignment="1">
      <alignment horizontal="right"/>
    </xf>
    <xf numFmtId="171" fontId="114" fillId="28" borderId="0" xfId="62" applyNumberFormat="1" applyFont="1" applyFill="1" applyBorder="1" applyAlignment="1">
      <alignment horizontal="right"/>
    </xf>
    <xf numFmtId="171" fontId="114" fillId="28" borderId="12" xfId="62" applyNumberFormat="1" applyFont="1" applyFill="1" applyBorder="1" applyAlignment="1">
      <alignment horizontal="right"/>
    </xf>
    <xf numFmtId="171" fontId="114" fillId="28" borderId="12" xfId="67" applyNumberFormat="1" applyFont="1" applyFill="1" applyBorder="1" applyAlignment="1">
      <alignment horizontal="right"/>
    </xf>
    <xf numFmtId="171" fontId="114" fillId="28" borderId="0" xfId="67" applyNumberFormat="1" applyFont="1" applyFill="1" applyBorder="1" applyAlignment="1">
      <alignment horizontal="right"/>
    </xf>
    <xf numFmtId="171" fontId="112" fillId="28" borderId="14" xfId="62" applyNumberFormat="1" applyFont="1" applyFill="1" applyBorder="1" applyAlignment="1">
      <alignment horizontal="right"/>
    </xf>
    <xf numFmtId="171" fontId="112" fillId="28" borderId="0" xfId="62" applyNumberFormat="1" applyFont="1" applyFill="1" applyBorder="1" applyAlignment="1">
      <alignment horizontal="right"/>
    </xf>
    <xf numFmtId="171" fontId="112" fillId="28" borderId="12" xfId="67" applyNumberFormat="1" applyFont="1" applyFill="1" applyBorder="1" applyAlignment="1">
      <alignment horizontal="right"/>
    </xf>
    <xf numFmtId="171" fontId="112" fillId="28" borderId="0" xfId="67" applyNumberFormat="1" applyFont="1" applyFill="1" applyBorder="1" applyAlignment="1">
      <alignment horizontal="right"/>
    </xf>
    <xf numFmtId="0" fontId="112" fillId="28" borderId="0" xfId="62" applyFont="1" applyFill="1" applyBorder="1" applyAlignment="1">
      <alignment horizontal="right"/>
    </xf>
    <xf numFmtId="0" fontId="7" fillId="19" borderId="12" xfId="62" applyFont="1" applyFill="1" applyBorder="1" applyAlignment="1">
      <alignment horizontal="left"/>
    </xf>
    <xf numFmtId="0" fontId="7" fillId="19" borderId="0" xfId="62" applyFont="1" applyFill="1" applyBorder="1" applyAlignment="1">
      <alignment horizontal="right"/>
    </xf>
    <xf numFmtId="171" fontId="24" fillId="19" borderId="14" xfId="62" applyNumberFormat="1" applyFont="1" applyFill="1" applyBorder="1" applyAlignment="1">
      <alignment horizontal="right"/>
    </xf>
    <xf numFmtId="171" fontId="24" fillId="19" borderId="0" xfId="62" applyNumberFormat="1" applyFont="1" applyFill="1" applyBorder="1" applyAlignment="1">
      <alignment horizontal="right"/>
    </xf>
    <xf numFmtId="171" fontId="24" fillId="19" borderId="12" xfId="62" applyNumberFormat="1" applyFont="1" applyFill="1" applyBorder="1" applyAlignment="1">
      <alignment horizontal="right"/>
    </xf>
    <xf numFmtId="0" fontId="7" fillId="25" borderId="0" xfId="0" applyFont="1" applyFill="1" applyAlignment="1">
      <alignment horizontal="left" indent="1"/>
    </xf>
    <xf numFmtId="171" fontId="80" fillId="0" borderId="12" xfId="67" applyNumberFormat="1" applyFont="1" applyFill="1" applyBorder="1" applyAlignment="1">
      <alignment horizontal="right"/>
    </xf>
    <xf numFmtId="166" fontId="4" fillId="0" borderId="19" xfId="0" applyNumberFormat="1" applyFont="1" applyFill="1" applyBorder="1"/>
    <xf numFmtId="7" fontId="80" fillId="0" borderId="12" xfId="0" applyNumberFormat="1" applyFont="1" applyFill="1" applyBorder="1" applyAlignment="1">
      <alignment horizontal="right"/>
    </xf>
    <xf numFmtId="177" fontId="111" fillId="0" borderId="13" xfId="41" applyNumberFormat="1" applyFont="1" applyFill="1" applyBorder="1" applyAlignment="1">
      <alignment horizontal="right"/>
    </xf>
    <xf numFmtId="177" fontId="111" fillId="0" borderId="14" xfId="41" applyNumberFormat="1" applyFont="1" applyFill="1" applyBorder="1" applyAlignment="1">
      <alignment horizontal="right"/>
    </xf>
    <xf numFmtId="178" fontId="31" fillId="0" borderId="0" xfId="0" quotePrefix="1" applyNumberFormat="1" applyFont="1" applyFill="1" applyBorder="1"/>
    <xf numFmtId="178" fontId="0" fillId="0" borderId="0" xfId="0" applyNumberFormat="1" applyFill="1" applyBorder="1"/>
    <xf numFmtId="7" fontId="0" fillId="0" borderId="0" xfId="67" applyNumberFormat="1" applyFont="1" applyFill="1" applyBorder="1"/>
    <xf numFmtId="171" fontId="0" fillId="0" borderId="0" xfId="67" applyNumberFormat="1" applyFont="1" applyFill="1" applyBorder="1"/>
    <xf numFmtId="7" fontId="0" fillId="0" borderId="0" xfId="0" applyNumberFormat="1" applyFill="1" applyBorder="1"/>
    <xf numFmtId="7" fontId="21" fillId="0" borderId="0" xfId="0" applyNumberFormat="1" applyFont="1" applyFill="1" applyBorder="1"/>
    <xf numFmtId="7" fontId="2" fillId="0" borderId="0" xfId="0" applyNumberFormat="1" applyFont="1" applyFill="1" applyBorder="1"/>
    <xf numFmtId="173" fontId="0" fillId="0" borderId="0" xfId="0" applyNumberFormat="1" applyFill="1" applyBorder="1"/>
    <xf numFmtId="7" fontId="31" fillId="0" borderId="0" xfId="0" applyNumberFormat="1" applyFont="1" applyFill="1" applyBorder="1"/>
    <xf numFmtId="171" fontId="78" fillId="0" borderId="0" xfId="67" applyNumberFormat="1" applyFont="1" applyFill="1" applyBorder="1"/>
    <xf numFmtId="171" fontId="1" fillId="0" borderId="0" xfId="67" quotePrefix="1" applyNumberFormat="1" applyFont="1" applyFill="1" applyBorder="1"/>
    <xf numFmtId="0" fontId="1" fillId="0" borderId="0" xfId="0" quotePrefix="1" applyFont="1" applyFill="1" applyBorder="1"/>
    <xf numFmtId="178" fontId="24" fillId="0" borderId="13" xfId="0" applyNumberFormat="1" applyFont="1" applyFill="1" applyBorder="1"/>
    <xf numFmtId="178" fontId="7" fillId="0" borderId="16" xfId="41" applyNumberFormat="1" applyFont="1" applyFill="1" applyBorder="1"/>
    <xf numFmtId="178" fontId="24" fillId="0" borderId="27" xfId="0" applyNumberFormat="1" applyFont="1" applyFill="1" applyBorder="1"/>
    <xf numFmtId="178" fontId="68" fillId="0" borderId="14" xfId="0" applyNumberFormat="1" applyFont="1" applyFill="1" applyBorder="1"/>
    <xf numFmtId="178" fontId="68" fillId="0" borderId="15" xfId="0" applyNumberFormat="1" applyFont="1" applyFill="1" applyBorder="1"/>
    <xf numFmtId="178" fontId="68" fillId="0" borderId="27" xfId="0" applyNumberFormat="1" applyFont="1" applyFill="1" applyBorder="1"/>
    <xf numFmtId="178" fontId="7" fillId="0" borderId="17" xfId="0" applyNumberFormat="1" applyFont="1" applyFill="1" applyBorder="1"/>
    <xf numFmtId="178" fontId="4" fillId="0" borderId="12" xfId="0" applyNumberFormat="1" applyFont="1" applyFill="1" applyBorder="1" applyAlignment="1">
      <alignment horizontal="left"/>
    </xf>
    <xf numFmtId="178" fontId="4" fillId="0" borderId="17" xfId="0" applyNumberFormat="1" applyFont="1" applyFill="1" applyBorder="1"/>
    <xf numFmtId="178" fontId="7" fillId="0" borderId="24" xfId="0" applyNumberFormat="1" applyFont="1" applyFill="1" applyBorder="1" applyAlignment="1">
      <alignment horizontal="left"/>
    </xf>
    <xf numFmtId="178" fontId="7" fillId="0" borderId="23" xfId="0" applyNumberFormat="1" applyFont="1" applyFill="1" applyBorder="1"/>
    <xf numFmtId="165" fontId="65" fillId="0" borderId="14" xfId="0" applyNumberFormat="1" applyFont="1" applyFill="1" applyBorder="1"/>
    <xf numFmtId="165" fontId="65" fillId="0" borderId="0" xfId="0" applyNumberFormat="1" applyFont="1" applyFill="1" applyBorder="1"/>
    <xf numFmtId="165" fontId="65" fillId="0" borderId="17" xfId="0" applyNumberFormat="1" applyFont="1" applyFill="1" applyBorder="1"/>
    <xf numFmtId="165" fontId="39" fillId="0" borderId="14" xfId="0" applyNumberFormat="1" applyFont="1" applyFill="1" applyBorder="1"/>
    <xf numFmtId="0" fontId="7" fillId="0" borderId="12" xfId="0" applyFont="1" applyFill="1" applyBorder="1" applyAlignment="1">
      <alignment horizontal="left"/>
    </xf>
    <xf numFmtId="178" fontId="7" fillId="0" borderId="12" xfId="0" applyNumberFormat="1" applyFont="1" applyFill="1" applyBorder="1" applyAlignment="1">
      <alignment horizontal="left"/>
    </xf>
    <xf numFmtId="178" fontId="7" fillId="0" borderId="16" xfId="0" applyNumberFormat="1" applyFont="1" applyFill="1" applyBorder="1" applyAlignment="1">
      <alignment horizontal="left"/>
    </xf>
    <xf numFmtId="200" fontId="7" fillId="18" borderId="15" xfId="0" applyNumberFormat="1" applyFont="1" applyFill="1" applyBorder="1"/>
    <xf numFmtId="178" fontId="7" fillId="18" borderId="27" xfId="0" applyNumberFormat="1" applyFont="1" applyFill="1" applyBorder="1"/>
    <xf numFmtId="7" fontId="4" fillId="19" borderId="12" xfId="0" applyNumberFormat="1" applyFont="1" applyFill="1" applyBorder="1" applyAlignment="1">
      <alignment horizontal="left"/>
    </xf>
    <xf numFmtId="7" fontId="4" fillId="19" borderId="17" xfId="0" applyNumberFormat="1" applyFont="1" applyFill="1" applyBorder="1"/>
    <xf numFmtId="7" fontId="7" fillId="19" borderId="12" xfId="0" applyNumberFormat="1" applyFont="1" applyFill="1" applyBorder="1" applyAlignment="1">
      <alignment horizontal="left"/>
    </xf>
    <xf numFmtId="7" fontId="7" fillId="19" borderId="14" xfId="0" applyNumberFormat="1" applyFont="1" applyFill="1" applyBorder="1"/>
    <xf numFmtId="7" fontId="7" fillId="19" borderId="12" xfId="0" applyNumberFormat="1" applyFont="1" applyFill="1" applyBorder="1"/>
    <xf numFmtId="7" fontId="7" fillId="19" borderId="17" xfId="0" applyNumberFormat="1" applyFont="1" applyFill="1" applyBorder="1"/>
    <xf numFmtId="0" fontId="35" fillId="0" borderId="19" xfId="0" applyFont="1" applyFill="1" applyBorder="1"/>
    <xf numFmtId="191" fontId="4" fillId="0" borderId="16" xfId="0" applyNumberFormat="1" applyFont="1" applyFill="1" applyBorder="1"/>
    <xf numFmtId="191" fontId="4" fillId="0" borderId="12" xfId="0" applyNumberFormat="1" applyFont="1" applyFill="1" applyBorder="1" applyAlignment="1">
      <alignment horizontal="right"/>
    </xf>
    <xf numFmtId="191" fontId="4" fillId="0" borderId="13" xfId="0" applyNumberFormat="1" applyFont="1" applyFill="1" applyBorder="1"/>
    <xf numFmtId="191" fontId="7" fillId="0" borderId="14" xfId="0" applyNumberFormat="1" applyFont="1" applyFill="1" applyBorder="1"/>
    <xf numFmtId="191" fontId="7" fillId="0" borderId="17" xfId="0" applyNumberFormat="1" applyFont="1" applyFill="1" applyBorder="1"/>
    <xf numFmtId="191" fontId="7" fillId="0" borderId="12" xfId="0" applyNumberFormat="1" applyFont="1" applyFill="1" applyBorder="1"/>
    <xf numFmtId="191" fontId="7" fillId="0" borderId="12" xfId="0" applyNumberFormat="1" applyFont="1" applyFill="1" applyBorder="1" applyAlignment="1">
      <alignment horizontal="right"/>
    </xf>
    <xf numFmtId="208" fontId="4" fillId="0" borderId="14" xfId="0" applyNumberFormat="1" applyFont="1" applyFill="1" applyBorder="1"/>
    <xf numFmtId="208" fontId="4" fillId="0" borderId="0" xfId="0" applyNumberFormat="1" applyFont="1" applyFill="1" applyBorder="1"/>
    <xf numFmtId="208" fontId="4" fillId="0" borderId="17" xfId="0" applyNumberFormat="1" applyFont="1" applyFill="1" applyBorder="1"/>
    <xf numFmtId="208" fontId="4" fillId="0" borderId="12" xfId="0" applyNumberFormat="1" applyFont="1" applyFill="1" applyBorder="1"/>
    <xf numFmtId="208" fontId="4" fillId="0" borderId="12" xfId="0" applyNumberFormat="1" applyFont="1" applyFill="1" applyBorder="1" applyAlignment="1">
      <alignment horizontal="right"/>
    </xf>
    <xf numFmtId="202" fontId="4" fillId="0" borderId="14" xfId="0" applyNumberFormat="1" applyFont="1" applyFill="1" applyBorder="1"/>
    <xf numFmtId="202" fontId="4" fillId="0" borderId="17" xfId="0" applyNumberFormat="1" applyFont="1" applyFill="1" applyBorder="1"/>
    <xf numFmtId="171" fontId="4" fillId="0" borderId="17" xfId="0" applyNumberFormat="1" applyFont="1" applyFill="1" applyBorder="1"/>
    <xf numFmtId="208" fontId="4" fillId="0" borderId="0" xfId="0" applyNumberFormat="1" applyFont="1" applyFill="1"/>
    <xf numFmtId="191" fontId="12" fillId="0" borderId="14" xfId="0" applyNumberFormat="1" applyFont="1" applyFill="1" applyBorder="1"/>
    <xf numFmtId="191" fontId="12" fillId="0" borderId="0" xfId="0" applyNumberFormat="1" applyFont="1" applyFill="1" applyBorder="1"/>
    <xf numFmtId="165" fontId="7" fillId="0" borderId="14" xfId="0" applyNumberFormat="1" applyFont="1" applyFill="1" applyBorder="1"/>
    <xf numFmtId="0" fontId="4" fillId="0" borderId="14" xfId="0" applyFont="1" applyFill="1" applyBorder="1" applyAlignment="1">
      <alignment horizontal="left"/>
    </xf>
    <xf numFmtId="174" fontId="12" fillId="0" borderId="14" xfId="0" applyNumberFormat="1" applyFont="1" applyFill="1" applyBorder="1" applyAlignment="1">
      <alignment horizontal="right"/>
    </xf>
    <xf numFmtId="174" fontId="12" fillId="0" borderId="0" xfId="0" applyNumberFormat="1" applyFont="1" applyFill="1" applyBorder="1" applyAlignment="1">
      <alignment horizontal="right"/>
    </xf>
    <xf numFmtId="0" fontId="7" fillId="0" borderId="14" xfId="0" applyFont="1" applyFill="1" applyBorder="1" applyAlignment="1">
      <alignment horizontal="left"/>
    </xf>
    <xf numFmtId="165" fontId="7" fillId="18" borderId="14" xfId="0" applyNumberFormat="1" applyFont="1" applyFill="1" applyBorder="1"/>
    <xf numFmtId="165" fontId="7" fillId="18" borderId="0" xfId="0" applyNumberFormat="1" applyFont="1" applyFill="1" applyBorder="1"/>
    <xf numFmtId="165" fontId="7" fillId="0" borderId="17" xfId="0" applyNumberFormat="1" applyFont="1" applyFill="1" applyBorder="1"/>
    <xf numFmtId="165" fontId="7" fillId="0" borderId="14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7" fillId="0" borderId="17" xfId="0" applyNumberFormat="1" applyFont="1" applyFill="1" applyBorder="1" applyAlignment="1">
      <alignment horizontal="right"/>
    </xf>
    <xf numFmtId="167" fontId="7" fillId="0" borderId="14" xfId="0" applyNumberFormat="1" applyFont="1" applyFill="1" applyBorder="1"/>
    <xf numFmtId="0" fontId="12" fillId="0" borderId="14" xfId="0" applyFont="1" applyFill="1" applyBorder="1"/>
    <xf numFmtId="43" fontId="12" fillId="0" borderId="12" xfId="41" applyFont="1" applyFill="1" applyBorder="1"/>
    <xf numFmtId="43" fontId="12" fillId="0" borderId="14" xfId="41" applyFont="1" applyFill="1" applyBorder="1"/>
    <xf numFmtId="172" fontId="12" fillId="0" borderId="0" xfId="0" applyNumberFormat="1" applyFont="1" applyFill="1" applyBorder="1"/>
    <xf numFmtId="172" fontId="12" fillId="0" borderId="14" xfId="0" applyNumberFormat="1" applyFont="1" applyFill="1" applyBorder="1"/>
    <xf numFmtId="172" fontId="12" fillId="0" borderId="12" xfId="41" applyNumberFormat="1" applyFont="1" applyFill="1" applyBorder="1"/>
    <xf numFmtId="172" fontId="12" fillId="0" borderId="14" xfId="41" applyNumberFormat="1" applyFont="1" applyFill="1" applyBorder="1"/>
    <xf numFmtId="172" fontId="12" fillId="0" borderId="0" xfId="41" applyNumberFormat="1" applyFont="1" applyFill="1" applyBorder="1"/>
    <xf numFmtId="172" fontId="4" fillId="0" borderId="12" xfId="41" applyNumberFormat="1" applyFont="1" applyFill="1" applyBorder="1"/>
    <xf numFmtId="172" fontId="12" fillId="18" borderId="0" xfId="41" applyNumberFormat="1" applyFont="1" applyFill="1" applyBorder="1"/>
    <xf numFmtId="172" fontId="4" fillId="0" borderId="14" xfId="41" applyNumberFormat="1" applyFont="1" applyFill="1" applyBorder="1"/>
    <xf numFmtId="188" fontId="65" fillId="0" borderId="14" xfId="42" applyNumberFormat="1" applyFont="1" applyFill="1" applyBorder="1" applyAlignment="1">
      <alignment horizontal="right"/>
    </xf>
    <xf numFmtId="188" fontId="65" fillId="0" borderId="0" xfId="42" applyNumberFormat="1" applyFont="1" applyFill="1" applyBorder="1" applyAlignment="1">
      <alignment horizontal="right"/>
    </xf>
    <xf numFmtId="188" fontId="65" fillId="0" borderId="17" xfId="42" applyNumberFormat="1" applyFont="1" applyFill="1" applyBorder="1" applyAlignment="1">
      <alignment horizontal="right"/>
    </xf>
    <xf numFmtId="188" fontId="65" fillId="0" borderId="12" xfId="42" applyNumberFormat="1" applyFont="1" applyFill="1" applyBorder="1" applyAlignment="1">
      <alignment horizontal="right"/>
    </xf>
    <xf numFmtId="164" fontId="9" fillId="0" borderId="14" xfId="0" applyNumberFormat="1" applyFont="1" applyFill="1" applyBorder="1" applyAlignment="1">
      <alignment horizontal="center"/>
    </xf>
    <xf numFmtId="180" fontId="4" fillId="18" borderId="0" xfId="0" applyNumberFormat="1" applyFont="1" applyFill="1" applyBorder="1" applyAlignment="1">
      <alignment horizontal="center"/>
    </xf>
    <xf numFmtId="180" fontId="4" fillId="18" borderId="12" xfId="0" applyNumberFormat="1" applyFont="1" applyFill="1" applyBorder="1" applyAlignment="1">
      <alignment horizontal="center"/>
    </xf>
    <xf numFmtId="180" fontId="4" fillId="0" borderId="13" xfId="0" applyNumberFormat="1" applyFont="1" applyFill="1" applyBorder="1" applyAlignment="1">
      <alignment horizontal="center"/>
    </xf>
    <xf numFmtId="0" fontId="22" fillId="0" borderId="12" xfId="0" applyFont="1" applyFill="1" applyBorder="1" applyAlignment="1">
      <alignment horizontal="left" indent="1"/>
    </xf>
    <xf numFmtId="9" fontId="13" fillId="0" borderId="17" xfId="0" applyNumberFormat="1" applyFont="1" applyFill="1" applyBorder="1" applyAlignment="1">
      <alignment horizontal="center"/>
    </xf>
    <xf numFmtId="177" fontId="4" fillId="0" borderId="12" xfId="41" applyNumberFormat="1" applyFont="1" applyFill="1" applyBorder="1" applyAlignment="1">
      <alignment horizontal="center"/>
    </xf>
    <xf numFmtId="9" fontId="13" fillId="0" borderId="14" xfId="67" applyFont="1" applyFill="1" applyBorder="1" applyAlignment="1">
      <alignment horizontal="center"/>
    </xf>
    <xf numFmtId="9" fontId="13" fillId="0" borderId="0" xfId="67" applyFont="1" applyFill="1" applyBorder="1" applyAlignment="1">
      <alignment horizontal="center"/>
    </xf>
    <xf numFmtId="9" fontId="13" fillId="0" borderId="12" xfId="67" applyFont="1" applyFill="1" applyBorder="1" applyAlignment="1">
      <alignment horizontal="center"/>
    </xf>
    <xf numFmtId="171" fontId="13" fillId="18" borderId="0" xfId="0" applyNumberFormat="1" applyFont="1" applyFill="1" applyBorder="1" applyAlignment="1">
      <alignment horizontal="center"/>
    </xf>
    <xf numFmtId="9" fontId="13" fillId="18" borderId="12" xfId="67" applyFont="1" applyFill="1" applyBorder="1" applyAlignment="1">
      <alignment horizontal="center"/>
    </xf>
    <xf numFmtId="180" fontId="4" fillId="18" borderId="14" xfId="0" applyNumberFormat="1" applyFont="1" applyFill="1" applyBorder="1" applyAlignment="1">
      <alignment horizontal="center"/>
    </xf>
    <xf numFmtId="171" fontId="22" fillId="0" borderId="17" xfId="0" applyNumberFormat="1" applyFont="1" applyFill="1" applyBorder="1" applyAlignment="1">
      <alignment horizontal="center"/>
    </xf>
    <xf numFmtId="0" fontId="22" fillId="25" borderId="12" xfId="0" applyFont="1" applyFill="1" applyBorder="1" applyAlignment="1">
      <alignment horizontal="left" indent="1"/>
    </xf>
    <xf numFmtId="0" fontId="4" fillId="25" borderId="12" xfId="0" applyFont="1" applyFill="1" applyBorder="1"/>
    <xf numFmtId="164" fontId="7" fillId="25" borderId="0" xfId="0" applyNumberFormat="1" applyFont="1" applyFill="1" applyBorder="1" applyAlignment="1">
      <alignment horizontal="center"/>
    </xf>
    <xf numFmtId="164" fontId="4" fillId="25" borderId="12" xfId="0" applyNumberFormat="1" applyFont="1" applyFill="1" applyBorder="1" applyAlignment="1">
      <alignment horizontal="center"/>
    </xf>
    <xf numFmtId="164" fontId="4" fillId="25" borderId="0" xfId="0" applyNumberFormat="1" applyFont="1" applyFill="1" applyBorder="1" applyAlignment="1">
      <alignment horizontal="center"/>
    </xf>
    <xf numFmtId="164" fontId="7" fillId="25" borderId="14" xfId="0" applyNumberFormat="1" applyFont="1" applyFill="1" applyBorder="1" applyAlignment="1">
      <alignment horizontal="center"/>
    </xf>
    <xf numFmtId="43" fontId="4" fillId="25" borderId="0" xfId="41" applyFont="1" applyFill="1" applyBorder="1" applyAlignment="1">
      <alignment horizontal="center"/>
    </xf>
    <xf numFmtId="43" fontId="4" fillId="25" borderId="14" xfId="41" applyFont="1" applyFill="1" applyBorder="1" applyAlignment="1">
      <alignment horizontal="center"/>
    </xf>
    <xf numFmtId="180" fontId="4" fillId="25" borderId="17" xfId="0" applyNumberFormat="1" applyFont="1" applyFill="1" applyBorder="1" applyAlignment="1">
      <alignment horizontal="center"/>
    </xf>
    <xf numFmtId="43" fontId="4" fillId="25" borderId="12" xfId="41" applyFont="1" applyFill="1" applyBorder="1" applyAlignment="1">
      <alignment horizontal="center"/>
    </xf>
    <xf numFmtId="180" fontId="4" fillId="25" borderId="12" xfId="0" applyNumberFormat="1" applyFont="1" applyFill="1" applyBorder="1" applyAlignment="1">
      <alignment horizontal="center"/>
    </xf>
    <xf numFmtId="180" fontId="4" fillId="25" borderId="14" xfId="0" applyNumberFormat="1" applyFont="1" applyFill="1" applyBorder="1" applyAlignment="1">
      <alignment horizontal="center"/>
    </xf>
    <xf numFmtId="180" fontId="4" fillId="25" borderId="0" xfId="0" applyNumberFormat="1" applyFont="1" applyFill="1" applyBorder="1" applyAlignment="1">
      <alignment horizontal="center"/>
    </xf>
    <xf numFmtId="9" fontId="4" fillId="25" borderId="0" xfId="67" applyNumberFormat="1" applyFont="1" applyFill="1" applyBorder="1" applyAlignment="1">
      <alignment horizontal="center"/>
    </xf>
    <xf numFmtId="9" fontId="13" fillId="25" borderId="12" xfId="67" applyFont="1" applyFill="1" applyBorder="1" applyAlignment="1">
      <alignment horizontal="center"/>
    </xf>
    <xf numFmtId="171" fontId="13" fillId="25" borderId="14" xfId="0" applyNumberFormat="1" applyFont="1" applyFill="1" applyBorder="1" applyAlignment="1">
      <alignment horizontal="center"/>
    </xf>
    <xf numFmtId="171" fontId="13" fillId="25" borderId="0" xfId="0" applyNumberFormat="1" applyFont="1" applyFill="1" applyBorder="1" applyAlignment="1">
      <alignment horizontal="center"/>
    </xf>
    <xf numFmtId="171" fontId="13" fillId="25" borderId="12" xfId="67" applyNumberFormat="1" applyFont="1" applyFill="1" applyBorder="1" applyAlignment="1">
      <alignment horizontal="center"/>
    </xf>
    <xf numFmtId="43" fontId="12" fillId="0" borderId="14" xfId="41" applyFont="1" applyFill="1" applyBorder="1" applyAlignment="1">
      <alignment horizontal="center"/>
    </xf>
    <xf numFmtId="164" fontId="24" fillId="0" borderId="0" xfId="0" applyNumberFormat="1" applyFont="1" applyFill="1" applyBorder="1" applyAlignment="1">
      <alignment horizontal="center"/>
    </xf>
    <xf numFmtId="164" fontId="24" fillId="0" borderId="14" xfId="0" applyNumberFormat="1" applyFont="1" applyFill="1" applyBorder="1" applyAlignment="1">
      <alignment horizontal="center"/>
    </xf>
    <xf numFmtId="164" fontId="22" fillId="0" borderId="12" xfId="0" applyNumberFormat="1" applyFont="1" applyFill="1" applyBorder="1" applyAlignment="1">
      <alignment horizontal="center"/>
    </xf>
    <xf numFmtId="43" fontId="13" fillId="0" borderId="0" xfId="41" applyFont="1" applyFill="1" applyBorder="1" applyAlignment="1">
      <alignment horizontal="center"/>
    </xf>
    <xf numFmtId="171" fontId="115" fillId="0" borderId="0" xfId="0" applyNumberFormat="1" applyFont="1" applyFill="1" applyBorder="1" applyAlignment="1">
      <alignment horizontal="center"/>
    </xf>
    <xf numFmtId="171" fontId="22" fillId="18" borderId="0" xfId="0" applyNumberFormat="1" applyFont="1" applyFill="1" applyBorder="1" applyAlignment="1">
      <alignment horizontal="center"/>
    </xf>
    <xf numFmtId="9" fontId="13" fillId="18" borderId="12" xfId="0" applyNumberFormat="1" applyFont="1" applyFill="1" applyBorder="1" applyAlignment="1">
      <alignment horizontal="center"/>
    </xf>
    <xf numFmtId="171" fontId="22" fillId="32" borderId="0" xfId="0" applyNumberFormat="1" applyFont="1" applyFill="1" applyBorder="1" applyAlignment="1">
      <alignment horizontal="center"/>
    </xf>
    <xf numFmtId="9" fontId="22" fillId="32" borderId="14" xfId="0" applyNumberFormat="1" applyFont="1" applyFill="1" applyBorder="1" applyAlignment="1">
      <alignment horizontal="center"/>
    </xf>
    <xf numFmtId="180" fontId="22" fillId="0" borderId="12" xfId="0" applyNumberFormat="1" applyFont="1" applyFill="1" applyBorder="1" applyAlignment="1">
      <alignment horizontal="center"/>
    </xf>
    <xf numFmtId="180" fontId="116" fillId="0" borderId="12" xfId="0" applyNumberFormat="1" applyFont="1" applyFill="1" applyBorder="1" applyAlignment="1">
      <alignment horizontal="center"/>
    </xf>
    <xf numFmtId="9" fontId="22" fillId="0" borderId="12" xfId="67" applyFont="1" applyFill="1" applyBorder="1" applyAlignment="1">
      <alignment horizontal="center"/>
    </xf>
    <xf numFmtId="9" fontId="13" fillId="32" borderId="12" xfId="0" applyNumberFormat="1" applyFont="1" applyFill="1" applyBorder="1" applyAlignment="1">
      <alignment horizontal="center"/>
    </xf>
    <xf numFmtId="180" fontId="60" fillId="0" borderId="14" xfId="0" applyNumberFormat="1" applyFont="1" applyFill="1" applyBorder="1" applyAlignment="1">
      <alignment horizontal="center"/>
    </xf>
    <xf numFmtId="180" fontId="60" fillId="0" borderId="0" xfId="0" applyNumberFormat="1" applyFont="1" applyFill="1" applyBorder="1" applyAlignment="1">
      <alignment horizontal="center"/>
    </xf>
    <xf numFmtId="180" fontId="12" fillId="18" borderId="0" xfId="0" applyNumberFormat="1" applyFont="1" applyFill="1" applyBorder="1" applyAlignment="1">
      <alignment horizontal="center"/>
    </xf>
    <xf numFmtId="9" fontId="22" fillId="18" borderId="0" xfId="0" applyNumberFormat="1" applyFont="1" applyFill="1" applyBorder="1" applyAlignment="1">
      <alignment horizontal="center"/>
    </xf>
    <xf numFmtId="171" fontId="22" fillId="32" borderId="14" xfId="0" applyNumberFormat="1" applyFont="1" applyFill="1" applyBorder="1" applyAlignment="1">
      <alignment horizontal="center"/>
    </xf>
    <xf numFmtId="9" fontId="13" fillId="18" borderId="0" xfId="0" applyNumberFormat="1" applyFont="1" applyFill="1" applyBorder="1" applyAlignment="1">
      <alignment horizontal="center"/>
    </xf>
    <xf numFmtId="177" fontId="22" fillId="0" borderId="17" xfId="41" applyNumberFormat="1" applyFont="1" applyFill="1" applyBorder="1" applyAlignment="1">
      <alignment horizontal="center"/>
    </xf>
    <xf numFmtId="177" fontId="22" fillId="0" borderId="12" xfId="41" applyNumberFormat="1" applyFont="1" applyFill="1" applyBorder="1" applyAlignment="1">
      <alignment horizontal="center"/>
    </xf>
    <xf numFmtId="164" fontId="9" fillId="23" borderId="0" xfId="54" applyNumberFormat="1" applyFont="1" applyFill="1" applyBorder="1" applyAlignment="1" applyProtection="1">
      <alignment horizontal="centerContinuous" vertical="center"/>
    </xf>
    <xf numFmtId="164" fontId="9" fillId="23" borderId="32" xfId="54" applyNumberFormat="1" applyFont="1" applyFill="1" applyBorder="1" applyAlignment="1" applyProtection="1">
      <alignment horizontal="centerContinuous" vertical="center"/>
    </xf>
    <xf numFmtId="164" fontId="9" fillId="23" borderId="33" xfId="54" applyNumberFormat="1" applyFont="1" applyFill="1" applyBorder="1" applyAlignment="1" applyProtection="1">
      <alignment horizontal="center" vertical="center"/>
    </xf>
    <xf numFmtId="164" fontId="9" fillId="23" borderId="0" xfId="54" applyNumberFormat="1" applyFont="1" applyFill="1" applyBorder="1" applyAlignment="1" applyProtection="1">
      <alignment horizontal="left" vertical="center"/>
    </xf>
    <xf numFmtId="164" fontId="9" fillId="23" borderId="32" xfId="54" applyNumberFormat="1" applyFont="1" applyFill="1" applyBorder="1" applyAlignment="1" applyProtection="1">
      <alignment horizontal="center" vertical="center"/>
    </xf>
    <xf numFmtId="164" fontId="9" fillId="23" borderId="0" xfId="54" applyNumberFormat="1" applyFont="1" applyFill="1" applyBorder="1" applyAlignment="1" applyProtection="1">
      <alignment horizontal="center" vertical="center"/>
    </xf>
    <xf numFmtId="173" fontId="7" fillId="25" borderId="0" xfId="0" applyNumberFormat="1" applyFont="1" applyFill="1" applyBorder="1"/>
    <xf numFmtId="171" fontId="5" fillId="25" borderId="32" xfId="68" applyNumberFormat="1" applyFont="1" applyFill="1" applyBorder="1" applyAlignment="1"/>
    <xf numFmtId="171" fontId="5" fillId="25" borderId="0" xfId="68" applyNumberFormat="1" applyFont="1" applyFill="1" applyBorder="1" applyAlignment="1"/>
    <xf numFmtId="171" fontId="5" fillId="25" borderId="33" xfId="68" applyNumberFormat="1" applyFont="1" applyFill="1" applyBorder="1" applyAlignment="1"/>
    <xf numFmtId="173" fontId="4" fillId="24" borderId="0" xfId="0" applyNumberFormat="1" applyFont="1" applyFill="1" applyBorder="1" applyAlignment="1"/>
    <xf numFmtId="171" fontId="107" fillId="24" borderId="32" xfId="0" applyNumberFormat="1" applyFont="1" applyFill="1" applyBorder="1" applyAlignment="1"/>
    <xf numFmtId="171" fontId="107" fillId="24" borderId="0" xfId="0" applyNumberFormat="1" applyFont="1" applyFill="1" applyBorder="1" applyAlignment="1"/>
    <xf numFmtId="171" fontId="107" fillId="24" borderId="33" xfId="0" applyNumberFormat="1" applyFont="1" applyFill="1" applyBorder="1" applyAlignment="1"/>
    <xf numFmtId="171" fontId="107" fillId="33" borderId="0" xfId="0" applyNumberFormat="1" applyFont="1" applyFill="1" applyBorder="1" applyAlignment="1"/>
    <xf numFmtId="171" fontId="107" fillId="33" borderId="33" xfId="0" applyNumberFormat="1" applyFont="1" applyFill="1" applyBorder="1" applyAlignment="1"/>
    <xf numFmtId="171" fontId="107" fillId="33" borderId="32" xfId="0" applyNumberFormat="1" applyFont="1" applyFill="1" applyBorder="1" applyAlignment="1"/>
    <xf numFmtId="173" fontId="4" fillId="0" borderId="0" xfId="0" applyNumberFormat="1" applyFont="1" applyFill="1" applyBorder="1" applyAlignment="1"/>
    <xf numFmtId="171" fontId="4" fillId="0" borderId="32" xfId="0" applyNumberFormat="1" applyFont="1" applyFill="1" applyBorder="1" applyAlignment="1"/>
    <xf numFmtId="171" fontId="4" fillId="0" borderId="0" xfId="0" applyNumberFormat="1" applyFont="1" applyFill="1" applyBorder="1" applyAlignment="1"/>
    <xf numFmtId="171" fontId="4" fillId="24" borderId="33" xfId="0" applyNumberFormat="1" applyFont="1" applyFill="1" applyBorder="1" applyAlignment="1"/>
    <xf numFmtId="173" fontId="4" fillId="24" borderId="0" xfId="0" applyNumberFormat="1" applyFont="1" applyFill="1" applyBorder="1"/>
    <xf numFmtId="182" fontId="39" fillId="24" borderId="32" xfId="68" applyNumberFormat="1" applyFont="1" applyFill="1" applyBorder="1" applyAlignment="1"/>
    <xf numFmtId="182" fontId="39" fillId="24" borderId="0" xfId="68" applyNumberFormat="1" applyFont="1" applyFill="1" applyBorder="1" applyAlignment="1"/>
    <xf numFmtId="182" fontId="39" fillId="24" borderId="33" xfId="68" applyNumberFormat="1" applyFont="1" applyFill="1" applyBorder="1" applyAlignment="1"/>
    <xf numFmtId="182" fontId="39" fillId="0" borderId="32" xfId="68" applyNumberFormat="1" applyFont="1" applyFill="1" applyBorder="1" applyAlignment="1"/>
    <xf numFmtId="182" fontId="39" fillId="0" borderId="0" xfId="68" applyNumberFormat="1" applyFont="1" applyFill="1" applyBorder="1" applyAlignment="1"/>
    <xf numFmtId="0" fontId="4" fillId="24" borderId="0" xfId="0" applyFont="1" applyFill="1" applyBorder="1" applyAlignment="1">
      <alignment horizontal="left"/>
    </xf>
    <xf numFmtId="9" fontId="4" fillId="24" borderId="32" xfId="0" applyNumberFormat="1" applyFont="1" applyFill="1" applyBorder="1"/>
    <xf numFmtId="9" fontId="4" fillId="24" borderId="0" xfId="0" applyNumberFormat="1" applyFont="1" applyFill="1" applyBorder="1"/>
    <xf numFmtId="9" fontId="4" fillId="24" borderId="33" xfId="0" applyNumberFormat="1" applyFont="1" applyFill="1" applyBorder="1"/>
    <xf numFmtId="182" fontId="4" fillId="0" borderId="0" xfId="0" applyNumberFormat="1" applyFont="1" applyFill="1"/>
    <xf numFmtId="182" fontId="4" fillId="33" borderId="0" xfId="0" applyNumberFormat="1" applyFont="1" applyFill="1"/>
    <xf numFmtId="182" fontId="4" fillId="0" borderId="0" xfId="0" applyNumberFormat="1" applyFont="1"/>
    <xf numFmtId="171" fontId="13" fillId="0" borderId="0" xfId="67" applyNumberFormat="1" applyFont="1" applyFill="1"/>
    <xf numFmtId="177" fontId="4" fillId="0" borderId="0" xfId="41" applyNumberFormat="1" applyFont="1" applyFill="1"/>
    <xf numFmtId="177" fontId="4" fillId="0" borderId="0" xfId="41" applyNumberFormat="1" applyFont="1"/>
    <xf numFmtId="0" fontId="16" fillId="19" borderId="14" xfId="62" applyFont="1" applyFill="1" applyBorder="1" applyAlignment="1">
      <alignment horizontal="right"/>
    </xf>
    <xf numFmtId="171" fontId="4" fillId="19" borderId="18" xfId="62" applyNumberFormat="1" applyFont="1" applyFill="1" applyBorder="1" applyAlignment="1">
      <alignment horizontal="right"/>
    </xf>
    <xf numFmtId="171" fontId="4" fillId="19" borderId="11" xfId="62" applyNumberFormat="1" applyFont="1" applyFill="1" applyBorder="1" applyAlignment="1">
      <alignment horizontal="right"/>
    </xf>
    <xf numFmtId="171" fontId="4" fillId="19" borderId="24" xfId="62" applyNumberFormat="1" applyFont="1" applyFill="1" applyBorder="1" applyAlignment="1">
      <alignment horizontal="right"/>
    </xf>
    <xf numFmtId="171" fontId="84" fillId="19" borderId="24" xfId="62" applyNumberFormat="1" applyFont="1" applyFill="1" applyBorder="1" applyAlignment="1">
      <alignment horizontal="right"/>
    </xf>
    <xf numFmtId="171" fontId="84" fillId="19" borderId="18" xfId="62" applyNumberFormat="1" applyFont="1" applyFill="1" applyBorder="1" applyAlignment="1">
      <alignment horizontal="right"/>
    </xf>
    <xf numFmtId="171" fontId="84" fillId="19" borderId="11" xfId="62" applyNumberFormat="1" applyFont="1" applyFill="1" applyBorder="1" applyAlignment="1">
      <alignment horizontal="right"/>
    </xf>
    <xf numFmtId="171" fontId="15" fillId="0" borderId="0" xfId="67" applyNumberFormat="1" applyFont="1" applyFill="1" applyBorder="1" applyAlignment="1">
      <alignment horizontal="center"/>
    </xf>
    <xf numFmtId="177" fontId="111" fillId="0" borderId="15" xfId="41" applyNumberFormat="1" applyFont="1" applyFill="1" applyBorder="1" applyAlignment="1">
      <alignment horizontal="right"/>
    </xf>
    <xf numFmtId="177" fontId="111" fillId="0" borderId="0" xfId="41" applyNumberFormat="1" applyFont="1" applyFill="1" applyBorder="1" applyAlignment="1">
      <alignment horizontal="right"/>
    </xf>
    <xf numFmtId="9" fontId="93" fillId="0" borderId="0" xfId="67" applyFont="1" applyFill="1" applyBorder="1"/>
    <xf numFmtId="171" fontId="82" fillId="0" borderId="12" xfId="0" applyNumberFormat="1" applyFont="1" applyFill="1" applyBorder="1"/>
    <xf numFmtId="178" fontId="80" fillId="0" borderId="0" xfId="0" applyNumberFormat="1" applyFont="1" applyFill="1" applyBorder="1" applyAlignment="1">
      <alignment horizontal="right"/>
    </xf>
    <xf numFmtId="165" fontId="80" fillId="0" borderId="13" xfId="0" applyNumberFormat="1" applyFont="1" applyFill="1" applyBorder="1"/>
    <xf numFmtId="7" fontId="4" fillId="0" borderId="14" xfId="75" applyNumberFormat="1" applyFont="1" applyFill="1" applyBorder="1" applyProtection="1"/>
    <xf numFmtId="9" fontId="11" fillId="0" borderId="12" xfId="67" applyFont="1" applyFill="1" applyBorder="1" applyAlignment="1">
      <alignment horizontal="right"/>
    </xf>
    <xf numFmtId="171" fontId="7" fillId="0" borderId="0" xfId="67" applyNumberFormat="1" applyFont="1" applyFill="1" applyBorder="1" applyAlignment="1">
      <alignment horizontal="center"/>
    </xf>
    <xf numFmtId="0" fontId="103" fillId="31" borderId="16" xfId="0" applyFont="1" applyFill="1" applyBorder="1" applyAlignment="1" applyProtection="1">
      <protection locked="0"/>
    </xf>
    <xf numFmtId="177" fontId="86" fillId="31" borderId="0" xfId="41" applyNumberFormat="1" applyFont="1" applyFill="1" applyBorder="1" applyAlignment="1" applyProtection="1">
      <alignment horizontal="right"/>
    </xf>
    <xf numFmtId="177" fontId="86" fillId="31" borderId="0" xfId="41" applyNumberFormat="1" applyFont="1" applyFill="1" applyBorder="1" applyProtection="1"/>
    <xf numFmtId="0" fontId="4" fillId="0" borderId="34" xfId="0" applyFont="1" applyFill="1" applyBorder="1" applyAlignment="1" applyProtection="1">
      <protection locked="0"/>
    </xf>
    <xf numFmtId="172" fontId="84" fillId="0" borderId="35" xfId="41" applyNumberFormat="1" applyFont="1" applyFill="1" applyBorder="1" applyAlignment="1" applyProtection="1">
      <alignment horizontal="right"/>
      <protection locked="0"/>
    </xf>
    <xf numFmtId="172" fontId="84" fillId="0" borderId="15" xfId="41" applyNumberFormat="1" applyFont="1" applyFill="1" applyBorder="1" applyAlignment="1" applyProtection="1">
      <alignment horizontal="right"/>
    </xf>
    <xf numFmtId="172" fontId="84" fillId="0" borderId="16" xfId="41" applyNumberFormat="1" applyFont="1" applyFill="1" applyBorder="1" applyProtection="1"/>
    <xf numFmtId="199" fontId="4" fillId="0" borderId="0" xfId="41" applyNumberFormat="1" applyFont="1" applyFill="1" applyBorder="1" applyProtection="1"/>
    <xf numFmtId="172" fontId="84" fillId="0" borderId="0" xfId="41" applyNumberFormat="1" applyFont="1" applyFill="1" applyBorder="1" applyAlignment="1" applyProtection="1">
      <alignment horizontal="right"/>
    </xf>
    <xf numFmtId="172" fontId="84" fillId="0" borderId="34" xfId="41" applyNumberFormat="1" applyFont="1" applyFill="1" applyBorder="1" applyProtection="1"/>
    <xf numFmtId="171" fontId="84" fillId="0" borderId="35" xfId="67" applyNumberFormat="1" applyFont="1" applyFill="1" applyBorder="1" applyAlignment="1" applyProtection="1">
      <alignment horizontal="right"/>
      <protection locked="0"/>
    </xf>
    <xf numFmtId="171" fontId="84" fillId="0" borderId="0" xfId="67" applyNumberFormat="1" applyFont="1" applyFill="1" applyBorder="1" applyAlignment="1" applyProtection="1">
      <alignment horizontal="right"/>
    </xf>
    <xf numFmtId="171" fontId="84" fillId="0" borderId="34" xfId="67" applyNumberFormat="1" applyFont="1" applyFill="1" applyBorder="1" applyProtection="1"/>
    <xf numFmtId="171" fontId="4" fillId="0" borderId="0" xfId="67" applyNumberFormat="1" applyFont="1" applyFill="1" applyBorder="1" applyProtection="1"/>
    <xf numFmtId="172" fontId="4" fillId="0" borderId="35" xfId="41" applyNumberFormat="1" applyFont="1" applyFill="1" applyBorder="1" applyAlignment="1" applyProtection="1">
      <alignment horizontal="right"/>
      <protection locked="0"/>
    </xf>
    <xf numFmtId="172" fontId="4" fillId="0" borderId="0" xfId="67" applyNumberFormat="1" applyFont="1" applyFill="1" applyBorder="1" applyAlignment="1" applyProtection="1">
      <alignment horizontal="right"/>
    </xf>
    <xf numFmtId="172" fontId="4" fillId="0" borderId="34" xfId="67" applyNumberFormat="1" applyFont="1" applyFill="1" applyBorder="1" applyProtection="1"/>
    <xf numFmtId="0" fontId="7" fillId="0" borderId="34" xfId="0" applyFont="1" applyFill="1" applyBorder="1" applyAlignment="1" applyProtection="1">
      <protection locked="0"/>
    </xf>
    <xf numFmtId="172" fontId="7" fillId="0" borderId="35" xfId="41" applyNumberFormat="1" applyFont="1" applyFill="1" applyBorder="1" applyAlignment="1" applyProtection="1">
      <alignment horizontal="right"/>
      <protection locked="0"/>
    </xf>
    <xf numFmtId="172" fontId="7" fillId="0" borderId="0" xfId="67" applyNumberFormat="1" applyFont="1" applyFill="1" applyBorder="1" applyAlignment="1" applyProtection="1">
      <alignment horizontal="right"/>
    </xf>
    <xf numFmtId="172" fontId="7" fillId="0" borderId="34" xfId="67" applyNumberFormat="1" applyFont="1" applyFill="1" applyBorder="1" applyProtection="1"/>
    <xf numFmtId="171" fontId="7" fillId="0" borderId="0" xfId="67" applyNumberFormat="1" applyFont="1" applyFill="1" applyBorder="1" applyProtection="1"/>
    <xf numFmtId="171" fontId="7" fillId="0" borderId="35" xfId="67" applyNumberFormat="1" applyFont="1" applyFill="1" applyBorder="1" applyAlignment="1" applyProtection="1">
      <alignment horizontal="right"/>
      <protection locked="0"/>
    </xf>
    <xf numFmtId="171" fontId="7" fillId="0" borderId="0" xfId="67" applyNumberFormat="1" applyFont="1" applyFill="1" applyBorder="1" applyAlignment="1" applyProtection="1">
      <alignment horizontal="right"/>
    </xf>
    <xf numFmtId="171" fontId="7" fillId="0" borderId="34" xfId="67" applyNumberFormat="1" applyFont="1" applyFill="1" applyBorder="1" applyProtection="1"/>
    <xf numFmtId="9" fontId="7" fillId="0" borderId="0" xfId="67" applyFont="1" applyFill="1" applyBorder="1" applyProtection="1"/>
    <xf numFmtId="9" fontId="4" fillId="0" borderId="35" xfId="67" applyFont="1" applyFill="1" applyBorder="1" applyAlignment="1" applyProtection="1">
      <alignment horizontal="right"/>
    </xf>
    <xf numFmtId="9" fontId="4" fillId="0" borderId="0" xfId="67" applyFont="1" applyFill="1" applyBorder="1" applyAlignment="1" applyProtection="1">
      <alignment horizontal="right"/>
    </xf>
    <xf numFmtId="9" fontId="4" fillId="0" borderId="34" xfId="67" applyFont="1" applyFill="1" applyBorder="1" applyProtection="1"/>
    <xf numFmtId="9" fontId="4" fillId="0" borderId="0" xfId="67" applyFont="1" applyFill="1" applyBorder="1" applyProtection="1"/>
    <xf numFmtId="9" fontId="84" fillId="0" borderId="35" xfId="67" applyFont="1" applyFill="1" applyBorder="1" applyAlignment="1" applyProtection="1">
      <alignment horizontal="right"/>
    </xf>
    <xf numFmtId="9" fontId="84" fillId="0" borderId="0" xfId="67" applyFont="1" applyFill="1" applyBorder="1" applyAlignment="1" applyProtection="1">
      <alignment horizontal="right"/>
    </xf>
    <xf numFmtId="177" fontId="4" fillId="0" borderId="35" xfId="41" applyNumberFormat="1" applyFont="1" applyFill="1" applyBorder="1" applyAlignment="1" applyProtection="1">
      <alignment horizontal="right"/>
      <protection locked="0"/>
    </xf>
    <xf numFmtId="177" fontId="4" fillId="0" borderId="0" xfId="41" applyNumberFormat="1" applyFont="1" applyFill="1" applyBorder="1" applyAlignment="1" applyProtection="1">
      <alignment horizontal="right"/>
    </xf>
    <xf numFmtId="177" fontId="4" fillId="0" borderId="34" xfId="41" applyNumberFormat="1" applyFont="1" applyFill="1" applyBorder="1" applyProtection="1"/>
    <xf numFmtId="0" fontId="13" fillId="0" borderId="34" xfId="0" applyFont="1" applyFill="1" applyBorder="1" applyAlignment="1" applyProtection="1">
      <protection locked="0"/>
    </xf>
    <xf numFmtId="186" fontId="4" fillId="0" borderId="0" xfId="67" applyNumberFormat="1" applyFont="1" applyFill="1" applyBorder="1" applyProtection="1"/>
    <xf numFmtId="177" fontId="7" fillId="0" borderId="35" xfId="41" applyNumberFormat="1" applyFont="1" applyFill="1" applyBorder="1" applyAlignment="1" applyProtection="1">
      <alignment horizontal="right"/>
      <protection locked="0"/>
    </xf>
    <xf numFmtId="177" fontId="7" fillId="0" borderId="0" xfId="41" applyNumberFormat="1" applyFont="1" applyFill="1" applyBorder="1" applyAlignment="1" applyProtection="1">
      <alignment horizontal="right"/>
    </xf>
    <xf numFmtId="177" fontId="7" fillId="0" borderId="34" xfId="41" applyNumberFormat="1" applyFont="1" applyFill="1" applyBorder="1" applyProtection="1"/>
    <xf numFmtId="186" fontId="7" fillId="0" borderId="35" xfId="41" applyNumberFormat="1" applyFont="1" applyFill="1" applyBorder="1" applyAlignment="1" applyProtection="1">
      <alignment horizontal="right"/>
      <protection locked="0"/>
    </xf>
    <xf numFmtId="186" fontId="7" fillId="0" borderId="0" xfId="41" applyNumberFormat="1" applyFont="1" applyFill="1" applyBorder="1" applyAlignment="1" applyProtection="1">
      <alignment horizontal="right"/>
    </xf>
    <xf numFmtId="186" fontId="7" fillId="0" borderId="34" xfId="41" applyNumberFormat="1" applyFont="1" applyFill="1" applyBorder="1" applyProtection="1"/>
    <xf numFmtId="172" fontId="4" fillId="0" borderId="35" xfId="41" applyNumberFormat="1" applyFont="1" applyFill="1" applyBorder="1" applyAlignment="1" applyProtection="1">
      <alignment horizontal="right"/>
    </xf>
    <xf numFmtId="172" fontId="4" fillId="0" borderId="0" xfId="41" applyNumberFormat="1" applyFont="1" applyFill="1" applyBorder="1" applyAlignment="1" applyProtection="1">
      <alignment horizontal="right"/>
    </xf>
    <xf numFmtId="172" fontId="4" fillId="0" borderId="34" xfId="41" applyNumberFormat="1" applyFont="1" applyFill="1" applyBorder="1" applyProtection="1"/>
    <xf numFmtId="172" fontId="4" fillId="0" borderId="0" xfId="41" applyNumberFormat="1" applyFont="1" applyFill="1" applyBorder="1" applyProtection="1"/>
    <xf numFmtId="172" fontId="84" fillId="0" borderId="35" xfId="41" applyNumberFormat="1" applyFont="1" applyFill="1" applyBorder="1" applyAlignment="1" applyProtection="1">
      <alignment horizontal="right"/>
    </xf>
    <xf numFmtId="171" fontId="7" fillId="0" borderId="35" xfId="67" applyNumberFormat="1" applyFont="1" applyFill="1" applyBorder="1" applyAlignment="1" applyProtection="1">
      <alignment horizontal="right"/>
    </xf>
    <xf numFmtId="171" fontId="4" fillId="0" borderId="36" xfId="67" applyNumberFormat="1" applyFont="1" applyFill="1" applyBorder="1" applyAlignment="1" applyProtection="1">
      <alignment horizontal="right"/>
    </xf>
    <xf numFmtId="171" fontId="4" fillId="0" borderId="37" xfId="67" applyNumberFormat="1" applyFont="1" applyFill="1" applyBorder="1" applyProtection="1"/>
    <xf numFmtId="171" fontId="4" fillId="0" borderId="38" xfId="67" applyNumberFormat="1" applyFont="1" applyFill="1" applyBorder="1" applyAlignment="1" applyProtection="1">
      <alignment horizontal="right"/>
    </xf>
    <xf numFmtId="171" fontId="84" fillId="0" borderId="38" xfId="67" applyNumberFormat="1" applyFont="1" applyFill="1" applyBorder="1" applyAlignment="1" applyProtection="1">
      <alignment horizontal="right"/>
    </xf>
    <xf numFmtId="171" fontId="84" fillId="0" borderId="36" xfId="67" applyNumberFormat="1" applyFont="1" applyFill="1" applyBorder="1" applyAlignment="1" applyProtection="1">
      <alignment horizontal="right"/>
    </xf>
    <xf numFmtId="0" fontId="4" fillId="0" borderId="37" xfId="0" applyFont="1" applyFill="1" applyBorder="1" applyAlignment="1" applyProtection="1">
      <protection locked="0"/>
    </xf>
    <xf numFmtId="171" fontId="4" fillId="0" borderId="18" xfId="75" applyNumberFormat="1" applyFont="1" applyFill="1" applyBorder="1" applyProtection="1"/>
    <xf numFmtId="0" fontId="7" fillId="0" borderId="13" xfId="0" applyFont="1" applyFill="1" applyBorder="1" applyAlignment="1">
      <alignment horizontal="left" wrapText="1" indent="1"/>
    </xf>
    <xf numFmtId="12" fontId="4" fillId="0" borderId="12" xfId="67" applyNumberFormat="1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indent="1"/>
    </xf>
    <xf numFmtId="0" fontId="12" fillId="0" borderId="34" xfId="0" applyFont="1" applyFill="1" applyBorder="1"/>
    <xf numFmtId="9" fontId="25" fillId="0" borderId="34" xfId="67" applyFont="1" applyFill="1" applyBorder="1" applyAlignment="1">
      <alignment horizontal="center"/>
    </xf>
    <xf numFmtId="9" fontId="25" fillId="0" borderId="35" xfId="0" applyNumberFormat="1" applyFont="1" applyFill="1" applyBorder="1" applyAlignment="1">
      <alignment horizontal="center"/>
    </xf>
    <xf numFmtId="171" fontId="38" fillId="0" borderId="35" xfId="0" applyNumberFormat="1" applyFont="1" applyFill="1" applyBorder="1" applyAlignment="1">
      <alignment horizontal="center"/>
    </xf>
    <xf numFmtId="171" fontId="13" fillId="0" borderId="35" xfId="67" applyNumberFormat="1" applyFont="1" applyFill="1" applyBorder="1" applyAlignment="1">
      <alignment horizontal="center"/>
    </xf>
    <xf numFmtId="171" fontId="25" fillId="0" borderId="34" xfId="67" applyNumberFormat="1" applyFont="1" applyFill="1" applyBorder="1" applyAlignment="1">
      <alignment horizontal="center"/>
    </xf>
    <xf numFmtId="181" fontId="4" fillId="0" borderId="0" xfId="0" applyNumberFormat="1" applyFont="1" applyFill="1" applyBorder="1" applyAlignment="1">
      <alignment horizontal="center"/>
    </xf>
    <xf numFmtId="228" fontId="80" fillId="0" borderId="0" xfId="0" applyNumberFormat="1" applyFont="1" applyFill="1" applyBorder="1" applyAlignment="1">
      <alignment horizontal="center"/>
    </xf>
    <xf numFmtId="9" fontId="25" fillId="0" borderId="35" xfId="67" applyFont="1" applyFill="1" applyBorder="1" applyAlignment="1">
      <alignment horizontal="center"/>
    </xf>
    <xf numFmtId="9" fontId="25" fillId="0" borderId="34" xfId="0" applyNumberFormat="1" applyFont="1" applyFill="1" applyBorder="1" applyAlignment="1">
      <alignment horizontal="center"/>
    </xf>
    <xf numFmtId="164" fontId="4" fillId="0" borderId="34" xfId="0" applyNumberFormat="1" applyFont="1" applyFill="1" applyBorder="1" applyAlignment="1">
      <alignment horizontal="center"/>
    </xf>
    <xf numFmtId="171" fontId="13" fillId="0" borderId="35" xfId="0" applyNumberFormat="1" applyFont="1" applyFill="1" applyBorder="1" applyAlignment="1">
      <alignment horizontal="center"/>
    </xf>
    <xf numFmtId="228" fontId="80" fillId="0" borderId="35" xfId="0" applyNumberFormat="1" applyFont="1" applyFill="1" applyBorder="1" applyAlignment="1">
      <alignment horizontal="center"/>
    </xf>
    <xf numFmtId="228" fontId="4" fillId="0" borderId="34" xfId="67" applyNumberFormat="1" applyFont="1" applyFill="1" applyBorder="1" applyAlignment="1">
      <alignment horizontal="center"/>
    </xf>
    <xf numFmtId="1" fontId="4" fillId="0" borderId="12" xfId="67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horizontal="left" indent="1"/>
    </xf>
    <xf numFmtId="181" fontId="4" fillId="0" borderId="0" xfId="0" applyNumberFormat="1" applyFont="1" applyFill="1"/>
    <xf numFmtId="181" fontId="4" fillId="0" borderId="34" xfId="0" applyNumberFormat="1" applyFont="1" applyFill="1" applyBorder="1" applyAlignment="1">
      <alignment horizontal="center"/>
    </xf>
    <xf numFmtId="181" fontId="12" fillId="0" borderId="35" xfId="0" applyNumberFormat="1" applyFont="1" applyFill="1" applyBorder="1" applyAlignment="1">
      <alignment horizontal="center"/>
    </xf>
    <xf numFmtId="181" fontId="1" fillId="0" borderId="0" xfId="0" applyNumberFormat="1" applyFont="1"/>
    <xf numFmtId="181" fontId="1" fillId="0" borderId="0" xfId="0" applyNumberFormat="1" applyFont="1" applyFill="1"/>
    <xf numFmtId="181" fontId="111" fillId="0" borderId="0" xfId="0" applyNumberFormat="1" applyFont="1" applyFill="1" applyBorder="1" applyAlignment="1">
      <alignment horizontal="center"/>
    </xf>
    <xf numFmtId="1" fontId="111" fillId="0" borderId="0" xfId="0" applyNumberFormat="1" applyFont="1" applyFill="1" applyBorder="1" applyAlignment="1">
      <alignment horizontal="center"/>
    </xf>
    <xf numFmtId="228" fontId="111" fillId="0" borderId="0" xfId="0" applyNumberFormat="1" applyFont="1" applyFill="1" applyBorder="1" applyAlignment="1">
      <alignment horizontal="center"/>
    </xf>
    <xf numFmtId="164" fontId="4" fillId="28" borderId="34" xfId="0" applyNumberFormat="1" applyFont="1" applyFill="1" applyBorder="1" applyAlignment="1">
      <alignment horizontal="center"/>
    </xf>
    <xf numFmtId="44" fontId="25" fillId="26" borderId="13" xfId="42" applyFont="1" applyFill="1" applyBorder="1" applyAlignment="1">
      <alignment horizontal="center"/>
    </xf>
    <xf numFmtId="44" fontId="25" fillId="26" borderId="15" xfId="42" applyFont="1" applyFill="1" applyBorder="1" applyAlignment="1">
      <alignment horizontal="center"/>
    </xf>
    <xf numFmtId="44" fontId="25" fillId="26" borderId="16" xfId="42" applyFont="1" applyFill="1" applyBorder="1" applyAlignment="1">
      <alignment horizontal="center"/>
    </xf>
    <xf numFmtId="177" fontId="7" fillId="27" borderId="18" xfId="41" applyNumberFormat="1" applyFont="1" applyFill="1" applyBorder="1" applyAlignment="1">
      <alignment horizontal="center"/>
    </xf>
    <xf numFmtId="1" fontId="4" fillId="0" borderId="35" xfId="0" applyNumberFormat="1" applyFont="1" applyFill="1" applyBorder="1" applyAlignment="1">
      <alignment horizontal="center"/>
    </xf>
    <xf numFmtId="1" fontId="80" fillId="0" borderId="34" xfId="0" applyNumberFormat="1" applyFont="1" applyFill="1" applyBorder="1" applyAlignment="1">
      <alignment horizontal="center"/>
    </xf>
    <xf numFmtId="171" fontId="13" fillId="0" borderId="34" xfId="67" applyNumberFormat="1" applyFont="1" applyFill="1" applyBorder="1" applyAlignment="1">
      <alignment horizontal="center"/>
    </xf>
    <xf numFmtId="172" fontId="11" fillId="0" borderId="35" xfId="41" applyNumberFormat="1" applyFont="1" applyFill="1" applyBorder="1" applyAlignment="1">
      <alignment horizontal="center"/>
    </xf>
    <xf numFmtId="172" fontId="11" fillId="0" borderId="34" xfId="41" applyNumberFormat="1" applyFont="1" applyFill="1" applyBorder="1" applyAlignment="1">
      <alignment horizontal="center"/>
    </xf>
    <xf numFmtId="43" fontId="4" fillId="0" borderId="35" xfId="41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indent="2"/>
    </xf>
    <xf numFmtId="177" fontId="94" fillId="0" borderId="17" xfId="41" applyNumberFormat="1" applyFont="1" applyFill="1" applyBorder="1" applyAlignment="1">
      <alignment vertical="center"/>
    </xf>
    <xf numFmtId="7" fontId="111" fillId="0" borderId="14" xfId="0" applyNumberFormat="1" applyFont="1" applyFill="1" applyBorder="1" applyAlignment="1">
      <alignment horizontal="right"/>
    </xf>
    <xf numFmtId="171" fontId="110" fillId="0" borderId="12" xfId="0" applyNumberFormat="1" applyFont="1" applyFill="1" applyBorder="1"/>
    <xf numFmtId="177" fontId="80" fillId="0" borderId="15" xfId="41" applyNumberFormat="1" applyFont="1" applyFill="1" applyBorder="1" applyAlignment="1">
      <alignment horizontal="right"/>
    </xf>
    <xf numFmtId="43" fontId="80" fillId="0" borderId="16" xfId="41" applyFont="1" applyFill="1" applyBorder="1" applyAlignment="1">
      <alignment horizontal="right"/>
    </xf>
    <xf numFmtId="177" fontId="80" fillId="0" borderId="0" xfId="41" applyNumberFormat="1" applyFont="1" applyFill="1" applyBorder="1" applyAlignment="1">
      <alignment horizontal="right"/>
    </xf>
    <xf numFmtId="177" fontId="80" fillId="0" borderId="12" xfId="41" applyNumberFormat="1" applyFont="1" applyFill="1" applyBorder="1" applyAlignment="1">
      <alignment horizontal="right"/>
    </xf>
    <xf numFmtId="167" fontId="4" fillId="0" borderId="16" xfId="0" applyNumberFormat="1" applyFont="1" applyFill="1" applyBorder="1"/>
    <xf numFmtId="171" fontId="82" fillId="34" borderId="0" xfId="0" applyNumberFormat="1" applyFont="1" applyFill="1" applyBorder="1"/>
    <xf numFmtId="171" fontId="13" fillId="34" borderId="12" xfId="0" applyNumberFormat="1" applyFont="1" applyFill="1" applyBorder="1"/>
    <xf numFmtId="171" fontId="13" fillId="34" borderId="14" xfId="0" applyNumberFormat="1" applyFont="1" applyFill="1" applyBorder="1"/>
    <xf numFmtId="171" fontId="13" fillId="34" borderId="0" xfId="0" applyNumberFormat="1" applyFont="1" applyFill="1" applyBorder="1"/>
    <xf numFmtId="0" fontId="0" fillId="34" borderId="0" xfId="0" applyFill="1"/>
    <xf numFmtId="171" fontId="13" fillId="34" borderId="12" xfId="67" applyNumberFormat="1" applyFont="1" applyFill="1" applyBorder="1"/>
    <xf numFmtId="171" fontId="22" fillId="34" borderId="17" xfId="67" applyNumberFormat="1" applyFont="1" applyFill="1" applyBorder="1"/>
    <xf numFmtId="0" fontId="93" fillId="0" borderId="0" xfId="0" applyFont="1" applyFill="1" applyBorder="1" applyAlignment="1">
      <alignment horizontal="center"/>
    </xf>
    <xf numFmtId="0" fontId="1" fillId="35" borderId="0" xfId="80" applyFont="1" applyFill="1" applyAlignment="1">
      <alignment vertical="top"/>
    </xf>
    <xf numFmtId="0" fontId="1" fillId="35" borderId="0" xfId="2" applyFill="1" applyAlignment="1">
      <alignment vertical="top"/>
    </xf>
    <xf numFmtId="0" fontId="1" fillId="35" borderId="0" xfId="2" applyFill="1"/>
    <xf numFmtId="0" fontId="20" fillId="35" borderId="0" xfId="80" applyFont="1" applyFill="1" applyAlignment="1">
      <alignment horizontal="left" vertical="top"/>
    </xf>
    <xf numFmtId="0" fontId="1" fillId="35" borderId="0" xfId="2" applyFont="1" applyFill="1" applyAlignment="1">
      <alignment vertical="top"/>
    </xf>
    <xf numFmtId="0" fontId="31" fillId="35" borderId="0" xfId="80" applyFont="1" applyFill="1" applyAlignment="1">
      <alignment vertical="top"/>
    </xf>
    <xf numFmtId="0" fontId="0" fillId="35" borderId="0" xfId="0" applyFill="1" applyAlignment="1">
      <alignment vertical="top"/>
    </xf>
    <xf numFmtId="0" fontId="118" fillId="35" borderId="0" xfId="0" applyFont="1" applyFill="1" applyAlignment="1">
      <alignment vertical="top"/>
    </xf>
    <xf numFmtId="0" fontId="119" fillId="35" borderId="0" xfId="0" applyFont="1" applyFill="1" applyAlignment="1">
      <alignment vertical="top"/>
    </xf>
    <xf numFmtId="0" fontId="119" fillId="35" borderId="0" xfId="0" applyFont="1" applyFill="1" applyAlignment="1">
      <alignment vertical="top"/>
    </xf>
    <xf numFmtId="0" fontId="118" fillId="35" borderId="0" xfId="0" applyFont="1" applyFill="1" applyAlignment="1">
      <alignment vertical="top"/>
    </xf>
    <xf numFmtId="0" fontId="0" fillId="35" borderId="0" xfId="0" applyFill="1" applyAlignment="1">
      <alignment vertical="top"/>
    </xf>
    <xf numFmtId="0" fontId="0" fillId="35" borderId="43" xfId="0" applyFill="1" applyBorder="1" applyAlignment="1">
      <alignment vertical="top"/>
    </xf>
    <xf numFmtId="0" fontId="118" fillId="35" borderId="39" xfId="0" applyFont="1" applyFill="1" applyBorder="1" applyAlignment="1">
      <alignment vertical="top"/>
    </xf>
    <xf numFmtId="0" fontId="118" fillId="35" borderId="40" xfId="0" applyFont="1" applyFill="1" applyBorder="1" applyAlignment="1">
      <alignment vertical="top"/>
    </xf>
    <xf numFmtId="0" fontId="118" fillId="35" borderId="41" xfId="0" applyFont="1" applyFill="1" applyBorder="1" applyAlignment="1">
      <alignment vertical="top"/>
    </xf>
    <xf numFmtId="0" fontId="118" fillId="35" borderId="42" xfId="0" applyFont="1" applyFill="1" applyBorder="1" applyAlignment="1">
      <alignment vertical="top"/>
    </xf>
    <xf numFmtId="9" fontId="118" fillId="35" borderId="39" xfId="0" applyNumberFormat="1" applyFont="1" applyFill="1" applyBorder="1" applyAlignment="1">
      <alignment vertical="top"/>
    </xf>
    <xf numFmtId="3" fontId="118" fillId="35" borderId="39" xfId="0" applyNumberFormat="1" applyFont="1" applyFill="1" applyBorder="1" applyAlignment="1">
      <alignment vertical="top"/>
    </xf>
    <xf numFmtId="0" fontId="0" fillId="35" borderId="44" xfId="0" applyFill="1" applyBorder="1" applyAlignment="1">
      <alignment vertical="top"/>
    </xf>
    <xf numFmtId="2" fontId="1" fillId="0" borderId="0" xfId="2" applyNumberFormat="1" applyAlignment="1">
      <alignment horizontal="left"/>
    </xf>
    <xf numFmtId="0" fontId="1" fillId="0" borderId="0" xfId="2" applyNumberFormat="1" applyAlignment="1">
      <alignment horizontal="left"/>
    </xf>
    <xf numFmtId="1" fontId="1" fillId="0" borderId="0" xfId="2" applyNumberFormat="1" applyAlignment="1">
      <alignment horizontal="left"/>
    </xf>
    <xf numFmtId="0" fontId="1" fillId="0" borderId="0" xfId="2" applyFont="1"/>
    <xf numFmtId="234" fontId="1" fillId="0" borderId="0" xfId="2" applyNumberFormat="1" applyAlignment="1">
      <alignment horizontal="left"/>
    </xf>
    <xf numFmtId="49" fontId="1" fillId="0" borderId="0" xfId="2" applyNumberFormat="1"/>
  </cellXfs>
  <cellStyles count="81">
    <cellStyle name=" 1" xfId="1"/>
    <cellStyle name="_COV" xfId="3"/>
    <cellStyle name="_COV_A_Nov20" xfId="4"/>
    <cellStyle name="_COV_A_Nov20 2 2" xfId="5"/>
    <cellStyle name="_SUMMARY " xfId="7"/>
    <cellStyle name="0_Capex &amp; Depreciation " xfId="8"/>
    <cellStyle name="0_Pension_UTX Example_Acute Care " xfId="9"/>
    <cellStyle name="0_Quarterly " xfId="10"/>
    <cellStyle name="0_TPP.N Ver 15_Acute Care " xfId="11"/>
    <cellStyle name="0_Valuing BP " xfId="12"/>
    <cellStyle name="20% - Accent1" xfId="13" builtinId="30" customBuiltin="1"/>
    <cellStyle name="20% - Accent2" xfId="14" builtinId="34" customBuiltin="1"/>
    <cellStyle name="20% - Accent3" xfId="15" builtinId="38" customBuiltin="1"/>
    <cellStyle name="20% - Accent4" xfId="16" builtinId="42" customBuiltin="1"/>
    <cellStyle name="20% - Accent5" xfId="17" builtinId="46" customBuiltin="1"/>
    <cellStyle name="20% - Accent6" xfId="18" builtinId="50" customBuiltin="1"/>
    <cellStyle name="40% - Accent1" xfId="19" builtinId="31" customBuiltin="1"/>
    <cellStyle name="40% - Accent2" xfId="20" builtinId="35" customBuiltin="1"/>
    <cellStyle name="40% - Accent3" xfId="21" builtinId="39" customBuiltin="1"/>
    <cellStyle name="40% - Accent4" xfId="22" builtinId="43" customBuiltin="1"/>
    <cellStyle name="40% - Accent5" xfId="23" builtinId="47" customBuiltin="1"/>
    <cellStyle name="40% - Accent6" xfId="24" builtinId="51" customBuiltin="1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Accent1" xfId="31" builtinId="29" customBuiltin="1"/>
    <cellStyle name="Accent2" xfId="32" builtinId="33" customBuiltin="1"/>
    <cellStyle name="Accent3" xfId="33" builtinId="37" customBuiltin="1"/>
    <cellStyle name="Accent4" xfId="34" builtinId="41" customBuiltin="1"/>
    <cellStyle name="Accent5" xfId="35" builtinId="45" customBuiltin="1"/>
    <cellStyle name="Accent6" xfId="36" builtinId="49" customBuiltin="1"/>
    <cellStyle name="Bad" xfId="37" builtinId="27" customBuiltin="1"/>
    <cellStyle name="c_HardInc " xfId="38"/>
    <cellStyle name="Calculation" xfId="39" builtinId="22" customBuiltin="1"/>
    <cellStyle name="Check Cell" xfId="40" builtinId="23" customBuiltin="1"/>
    <cellStyle name="Comma" xfId="41" builtinId="3"/>
    <cellStyle name="Currency" xfId="42" builtinId="4"/>
    <cellStyle name="Currency 3" xfId="43"/>
    <cellStyle name="Explanatory Text" xfId="44" builtinId="53" customBuiltin="1"/>
    <cellStyle name="Good" xfId="45" builtinId="26" customBuiltin="1"/>
    <cellStyle name="Heading 1" xfId="46" builtinId="16" customBuiltin="1"/>
    <cellStyle name="Heading 2" xfId="47" builtinId="17" customBuiltin="1"/>
    <cellStyle name="Heading 3" xfId="48" builtinId="18" customBuiltin="1"/>
    <cellStyle name="Heading 4" xfId="49" builtinId="19" customBuiltin="1"/>
    <cellStyle name="Input" xfId="50" builtinId="20" customBuiltin="1"/>
    <cellStyle name="Linked Cell" xfId="51" builtinId="24" customBuiltin="1"/>
    <cellStyle name="Neutral" xfId="52" builtinId="28" customBuiltin="1"/>
    <cellStyle name="nonsignificant " xfId="53"/>
    <cellStyle name="Normal" xfId="0" builtinId="0"/>
    <cellStyle name="Normal 1 2 2" xfId="54"/>
    <cellStyle name="Normal 2" xfId="55"/>
    <cellStyle name="Normal 2 2" xfId="56"/>
    <cellStyle name="Normal 3" xfId="2"/>
    <cellStyle name="Normal 4" xfId="57"/>
    <cellStyle name="Normal_bec" xfId="58"/>
    <cellStyle name="Normal_bec_AFFX" xfId="59"/>
    <cellStyle name="Normal_BS" xfId="60"/>
    <cellStyle name="Normal_DisclaimerSheet Samples" xfId="80"/>
    <cellStyle name="Normal_HOLXcurrent" xfId="61"/>
    <cellStyle name="Normal_HRC(1)" xfId="62"/>
    <cellStyle name="Normal_WBMD" xfId="63"/>
    <cellStyle name="Note" xfId="64" builtinId="10" customBuiltin="1"/>
    <cellStyle name="Output" xfId="65" builtinId="21" customBuiltin="1"/>
    <cellStyle name="p " xfId="66"/>
    <cellStyle name="Percent" xfId="67" builtinId="5"/>
    <cellStyle name="Percent 2" xfId="68"/>
    <cellStyle name="Percent 4" xfId="69"/>
    <cellStyle name="RRSInstruction" xfId="70"/>
    <cellStyle name="RRSInstruction 2" xfId="6"/>
    <cellStyle name="s_HardInc " xfId="71"/>
    <cellStyle name="s_Valuation " xfId="72"/>
    <cellStyle name="significantPairwiseTtest " xfId="73"/>
    <cellStyle name="ssp " xfId="74"/>
    <cellStyle name="Style 1" xfId="75"/>
    <cellStyle name="Title" xfId="76" builtinId="15" customBuiltin="1"/>
    <cellStyle name="Total" xfId="77" builtinId="25" customBuiltin="1"/>
    <cellStyle name="totalCell " xfId="78"/>
    <cellStyle name="Warning Text" xfId="79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externalLinks/externalLink1.xml" Type="http://schemas.openxmlformats.org/officeDocument/2006/relationships/externalLink"/>
<Relationship Id="rId15" Target="externalLinks/externalLink2.xml" Type="http://schemas.openxmlformats.org/officeDocument/2006/relationships/externalLink"/>
<Relationship Id="rId16" Target="externalLinks/externalLink3.xml" Type="http://schemas.openxmlformats.org/officeDocument/2006/relationships/externalLink"/>
<Relationship Id="rId17" Target="externalLinks/externalLink4.xml" Type="http://schemas.openxmlformats.org/officeDocument/2006/relationships/externalLink"/>
<Relationship Id="rId18" Target="externalLinks/externalLink5.xml" Type="http://schemas.openxmlformats.org/officeDocument/2006/relationships/externalLink"/>
<Relationship Id="rId19" Target="externalLinks/externalLink6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7.xml" Type="http://schemas.openxmlformats.org/officeDocument/2006/relationships/externalLink"/>
<Relationship Id="rId21" Target="externalLinks/externalLink8.xml" Type="http://schemas.openxmlformats.org/officeDocument/2006/relationships/externalLink"/>
<Relationship Id="rId22" Target="externalLinks/externalLink9.xml" Type="http://schemas.openxmlformats.org/officeDocument/2006/relationships/externalLink"/>
<Relationship Id="rId23" Target="theme/theme1.xml" Type="http://schemas.openxmlformats.org/officeDocument/2006/relationships/theme"/>
<Relationship Id="rId24" Target="styles.xml" Type="http://schemas.openxmlformats.org/officeDocument/2006/relationships/styles"/>
<Relationship Id="rId25" Target="sharedStrings.xml" Type="http://schemas.openxmlformats.org/officeDocument/2006/relationships/sharedStrings"/>
<Relationship Id="rId26" Target="calcChain.xml" Type="http://schemas.openxmlformats.org/officeDocument/2006/relationships/calcChain"/>
<Relationship Id="rId27" Target="../customXml/item1.xml" Type="http://schemas.openxmlformats.org/officeDocument/2006/relationships/customXml"/>
<Relationship Id="rId28" Target="../customXml/item2.xml" Type="http://schemas.openxmlformats.org/officeDocument/2006/relationships/customXml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7</xdr:col>
      <xdr:colOff>390525</xdr:colOff>
      <xdr:row>194</xdr:row>
      <xdr:rowOff>104775</xdr:rowOff>
    </xdr:to>
    <xdr:pic>
      <xdr:nvPicPr>
        <xdr:cNvPr id="49717249" name="Picture 1" descr="C:\Users\wachter\AppData\Local\Temp\MercuryPriceRatingHistoryChart\QGEN.N_2018_03_05_18_47_18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175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54</xdr:col>
      <xdr:colOff>142875</xdr:colOff>
      <xdr:row>11</xdr:row>
      <xdr:rowOff>47625</xdr:rowOff>
    </xdr:from>
    <xdr:to>
      <xdr:col>72</xdr:col>
      <xdr:colOff>238125</xdr:colOff>
      <xdr:row>14</xdr:row>
      <xdr:rowOff>28575</xdr:rowOff>
    </xdr:to>
    <xdr:sp macro="" textlink="">
      <xdr:nvSpPr>
        <xdr:cNvPr id="49583" name="Text Box 431" hidden="1"/>
        <xdr:cNvSpPr txBox="1">
          <a:spLocks noChangeArrowheads="1"/>
        </xdr:cNvSpPr>
      </xdr:nvSpPr>
      <xdr:spPr bwMode="auto">
        <a:xfrm>
          <a:off x="1914525" y="1676400"/>
          <a:ext cx="1609725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54</xdr:col>
      <xdr:colOff>142875</xdr:colOff>
      <xdr:row>11</xdr:row>
      <xdr:rowOff>47625</xdr:rowOff>
    </xdr:from>
    <xdr:to>
      <xdr:col>72</xdr:col>
      <xdr:colOff>323850</xdr:colOff>
      <xdr:row>14</xdr:row>
      <xdr:rowOff>28575</xdr:rowOff>
    </xdr:to>
    <xdr:sp macro="" textlink="">
      <xdr:nvSpPr>
        <xdr:cNvPr id="49584" name="Text Box 432" hidden="1"/>
        <xdr:cNvSpPr txBox="1">
          <a:spLocks noChangeArrowheads="1"/>
        </xdr:cNvSpPr>
      </xdr:nvSpPr>
      <xdr:spPr bwMode="auto">
        <a:xfrm>
          <a:off x="1914525" y="1676400"/>
          <a:ext cx="1695450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117</xdr:col>
      <xdr:colOff>238125</xdr:colOff>
      <xdr:row>12</xdr:row>
      <xdr:rowOff>47625</xdr:rowOff>
    </xdr:from>
    <xdr:to>
      <xdr:col>121</xdr:col>
      <xdr:colOff>85725</xdr:colOff>
      <xdr:row>17</xdr:row>
      <xdr:rowOff>85725</xdr:rowOff>
    </xdr:to>
    <xdr:sp macro="" textlink="">
      <xdr:nvSpPr>
        <xdr:cNvPr id="49588" name="Text Box 436" hidden="1"/>
        <xdr:cNvSpPr txBox="1">
          <a:spLocks noChangeArrowheads="1"/>
        </xdr:cNvSpPr>
      </xdr:nvSpPr>
      <xdr:spPr bwMode="auto">
        <a:xfrm>
          <a:off x="13335000" y="1819275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118</xdr:col>
      <xdr:colOff>304800</xdr:colOff>
      <xdr:row>12</xdr:row>
      <xdr:rowOff>47625</xdr:rowOff>
    </xdr:from>
    <xdr:to>
      <xdr:col>122</xdr:col>
      <xdr:colOff>152400</xdr:colOff>
      <xdr:row>17</xdr:row>
      <xdr:rowOff>85725</xdr:rowOff>
    </xdr:to>
    <xdr:sp macro="" textlink="">
      <xdr:nvSpPr>
        <xdr:cNvPr id="49589" name="Text Box 437" hidden="1"/>
        <xdr:cNvSpPr txBox="1">
          <a:spLocks noChangeArrowheads="1"/>
        </xdr:cNvSpPr>
      </xdr:nvSpPr>
      <xdr:spPr bwMode="auto">
        <a:xfrm>
          <a:off x="13782675" y="1819275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119</xdr:col>
      <xdr:colOff>371475</xdr:colOff>
      <xdr:row>12</xdr:row>
      <xdr:rowOff>47625</xdr:rowOff>
    </xdr:from>
    <xdr:to>
      <xdr:col>123</xdr:col>
      <xdr:colOff>219075</xdr:colOff>
      <xdr:row>17</xdr:row>
      <xdr:rowOff>85725</xdr:rowOff>
    </xdr:to>
    <xdr:sp macro="" textlink="">
      <xdr:nvSpPr>
        <xdr:cNvPr id="49590" name="Text Box 438" hidden="1"/>
        <xdr:cNvSpPr txBox="1">
          <a:spLocks noChangeArrowheads="1"/>
        </xdr:cNvSpPr>
      </xdr:nvSpPr>
      <xdr:spPr bwMode="auto">
        <a:xfrm>
          <a:off x="14230350" y="1819275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TEMP/data/excel/P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file://///Sony/c/business/&#38750;&#37444;/&#38750;&#37444;&#20250;~1/&#21516;&#21644;&#37489;&#26989;/5714work.wk4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file://///172.16.68.11/Archimedes/TEMP/Regions%20Fin%20Stmts%20THE%20GOAL%20HC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5.xml.rels><?xml version="1.0" encoding="UTF-8" standalone="yes"?>
<Relationships xmlns="http://schemas.openxmlformats.org/package/2006/relationships">
<Relationship Id="rId1" Target="Book6" TargetMode="External" Type="http://schemas.microsoft.com/office/2006/relationships/xlExternalLinkPath/xlPathMissing"/>
</Relationships>

</file>

<file path=xl/externalLinks/_rels/externalLink6.xml.rels><?xml version="1.0" encoding="UTF-8" standalone="yes"?>
<Relationships xmlns="http://schemas.openxmlformats.org/package/2006/relationships">
<Relationship Id="rId1" Target="file://///MSAD/ROOT/NA/NY/LIB/ER/HEALTH/RubinJ/Company/Pfe/PFEwork.xls" TargetMode="External" Type="http://schemas.openxmlformats.org/officeDocument/2006/relationships/externalLinkPath"/>
</Relationships>

</file>

<file path=xl/externalLinks/_rels/externalLink7.xml.rels><?xml version="1.0" encoding="UTF-8" standalone="yes"?>
<Relationships xmlns="http://schemas.openxmlformats.org/package/2006/relationships">
<Relationship Id="rId1" Target="/Documents%20and%20Settings/gorinaar/Local%20Settings/Temporary%20Internet%20Files/OLK151/QGEN%20Files/TMO.xls" TargetMode="External" Type="http://schemas.openxmlformats.org/officeDocument/2006/relationships/externalLinkPath"/>
</Relationships>

</file>

<file path=xl/externalLinks/_rels/externalLink8.xml.rels><?xml version="1.0" encoding="UTF-8" standalone="yes"?>
<Relationships xmlns="http://schemas.openxmlformats.org/package/2006/relationships">
<Relationship Id="rId1" Target="I" TargetMode="External" Type="http://schemas.microsoft.com/office/2006/relationships/xlExternalLinkPath/xlPathMissing"/>
</Relationships>

</file>

<file path=xl/externalLinks/_rels/externalLink9.xml.rels><?xml version="1.0" encoding="UTF-8" standalone="yes"?>
<Relationships xmlns="http://schemas.openxmlformats.org/package/2006/relationships">
<Relationship Id="rId1" Target="HEALTH/Tools/Weekly/Industry%20Multiples.xlsm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P"/>
      <sheetName val="BS"/>
      <sheetName val="TOSCO"/>
      <sheetName val="Segment ROCE"/>
      <sheetName val="ROGIC"/>
      <sheetName val="E&amp;P"/>
      <sheetName val="NEPS"/>
      <sheetName val="RefineryMaint"/>
      <sheetName val="Hamaca"/>
      <sheetName val="Bohai"/>
      <sheetName val="Bayu Undan"/>
      <sheetName val="R&amp;M"/>
      <sheetName val="GPM"/>
      <sheetName val="Variance"/>
      <sheetName val="ARCO - Alaska"/>
      <sheetName val="Capex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IndexInformation"/>
      <sheetName val="MainCode"/>
      <sheetName val="NY UPLOAD"/>
      <sheetName val="NY UPLOAD Shadow"/>
      <sheetName val="Distribution"/>
      <sheetName val="A-Link Source"/>
      <sheetName val="Q-Link Source"/>
      <sheetName val="Income Statement"/>
      <sheetName val="Revenue&amp;EBIT"/>
      <sheetName val="Fin. Summary"/>
      <sheetName val="COP"/>
      <sheetName val="Inputs"/>
      <sheetName val="XOM"/>
      <sheetName val="New Source Charts"/>
      <sheetName val="Modelware"/>
      <sheetName val="R&amp;MIS"/>
      <sheetName val="E&amp;P Growth &amp; Returns"/>
      <sheetName val="Global Product Sum"/>
      <sheetName val="Scenario"/>
      <sheetName val="Quarter"/>
      <sheetName val="Annual"/>
      <sheetName val="AN"/>
      <sheetName val="COC"/>
      <sheetName val="ｾｸﾞﾒﾝﾄ"/>
      <sheetName val="単独"/>
      <sheetName val="Factset Profile"/>
      <sheetName val="ca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単独"/>
      <sheetName val="連結"/>
      <sheetName val="期中"/>
      <sheetName val="valu"/>
      <sheetName val="増減分析"/>
      <sheetName val="新素材"/>
      <sheetName val="子会社"/>
      <sheetName val="環境"/>
      <sheetName val="製錬拠点"/>
      <sheetName val="ﾃｨｻﾊﾟ"/>
      <sheetName val="ﾚｲﾃﾞﾌﾟﾗﾀ"/>
      <sheetName val="小坂"/>
      <sheetName val="中計"/>
      <sheetName val="cash"/>
      <sheetName val="ｾｸﾞﾒﾝﾄ"/>
      <sheetName val="含み益"/>
      <sheetName val="capx"/>
      <sheetName val="dep"/>
      <sheetName val="人"/>
      <sheetName val="exp"/>
      <sheetName val="Valuation Matrix"/>
      <sheetName val="HANDOUT"/>
      <sheetName val="Interm-Euro"/>
      <sheetName val="SCATTER DATA"/>
      <sheetName val="10 Yr DCF"/>
      <sheetName val="Annual-Euro"/>
      <sheetName val="Residual Income Model"/>
      <sheetName val="P"/>
      <sheetName val="EARNMOD"/>
      <sheetName val="Operating Leases tagged"/>
      <sheetName val="exh 11"/>
      <sheetName val="exh 14"/>
      <sheetName val="exh 12"/>
      <sheetName val="exh 10"/>
      <sheetName val="exh 1 and 5"/>
      <sheetName val="exh 15"/>
      <sheetName val="exh 3"/>
      <sheetName val="exh 9"/>
      <sheetName val="Good 12-00 (2)"/>
      <sheetName val="Good 11-36"/>
      <sheetName val="Good 11-50"/>
      <sheetName val="Sheet3 (5)"/>
      <sheetName val="WACC"/>
      <sheetName val="Sheet1"/>
      <sheetName val="Fixed Line Mkt"/>
      <sheetName val="Cash Flow"/>
      <sheetName val="upside_downside"/>
      <sheetName val="Income Statement"/>
      <sheetName val="Balance Sheet"/>
      <sheetName val="Valsum"/>
      <sheetName val="Total_Production"/>
      <sheetName val="RFS"/>
      <sheetName val="Corn_Uses"/>
      <sheetName val="US_Production"/>
      <sheetName val="DCF"/>
      <sheetName val="OP"/>
      <sheetName val="Inputs"/>
      <sheetName val="MWA RR"/>
      <sheetName val="Summary"/>
      <sheetName val="IS"/>
      <sheetName val="Risk-Reward_View_Chart"/>
      <sheetName val="variables"/>
      <sheetName val="IS Quarterly"/>
      <sheetName val="Sheet1 (2)"/>
      <sheetName val="1Q11 Preview"/>
      <sheetName val="2Q11 Preview"/>
      <sheetName val="Model"/>
      <sheetName val="Intrinsic Value"/>
      <sheetName val="Rev by Geo"/>
      <sheetName val="fin"/>
      <sheetName val="Report template"/>
      <sheetName val="Model (WIP)"/>
      <sheetName val="sales bkd"/>
      <sheetName val="Presentation"/>
      <sheetName val="Valuation"/>
      <sheetName val="Exclusion List"/>
    </sheetNames>
    <sheetDataSet>
      <sheetData sheetId="0" refreshError="1">
        <row r="14">
          <cell r="AR14">
            <v>28</v>
          </cell>
        </row>
        <row r="15">
          <cell r="AR15">
            <v>5</v>
          </cell>
        </row>
        <row r="16">
          <cell r="AR16">
            <v>14</v>
          </cell>
        </row>
        <row r="17">
          <cell r="AR17">
            <v>6</v>
          </cell>
        </row>
        <row r="18">
          <cell r="AR18">
            <v>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64">
          <cell r="E164">
            <v>1247</v>
          </cell>
          <cell r="F164">
            <v>1807</v>
          </cell>
          <cell r="G164">
            <v>2812</v>
          </cell>
          <cell r="H164">
            <v>2828</v>
          </cell>
          <cell r="I164">
            <v>6670</v>
          </cell>
        </row>
        <row r="165">
          <cell r="E165" t="e">
            <v>#VALUE!</v>
          </cell>
          <cell r="F165" t="e">
            <v>#VALUE!</v>
          </cell>
          <cell r="G165" t="e">
            <v>#VALUE!</v>
          </cell>
          <cell r="H165" t="e">
            <v>#VALUE!</v>
          </cell>
          <cell r="I165" t="e">
            <v>#VALUE!</v>
          </cell>
        </row>
        <row r="167">
          <cell r="E167">
            <v>2721</v>
          </cell>
          <cell r="F167">
            <v>1584</v>
          </cell>
          <cell r="G167">
            <v>1802</v>
          </cell>
          <cell r="H167">
            <v>1616</v>
          </cell>
          <cell r="I167">
            <v>795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ntents"/>
      <sheetName val="MW"/>
      <sheetName val="MW1"/>
      <sheetName val="MW2"/>
      <sheetName val="Graphs"/>
      <sheetName val="Americas Exec"/>
      <sheetName val="Consulting Services"/>
      <sheetName val="Corp OH"/>
      <sheetName val="Corp Funding"/>
      <sheetName val="SCEM"/>
      <sheetName val="SPS"/>
      <sheetName val="NA"/>
      <sheetName val="LA"/>
      <sheetName val="AMERICAS"/>
      <sheetName val="EUROPE"/>
      <sheetName val="Asia"/>
      <sheetName val="TOTAL SEI"/>
      <sheetName val="ROE"/>
    </sheetNames>
    <sheetDataSet>
      <sheetData sheetId="0" refreshError="1">
        <row r="16">
          <cell r="D16" t="str">
            <v>Hold Com</v>
          </cell>
          <cell r="E16">
            <v>547</v>
          </cell>
          <cell r="F16" t="str">
            <v>Accounts Payable Associated Companies</v>
          </cell>
        </row>
        <row r="17">
          <cell r="D17" t="str">
            <v>SE Americas Exec</v>
          </cell>
          <cell r="E17">
            <v>3</v>
          </cell>
          <cell r="F17" t="str">
            <v>ACCUMULATED DEPRECIATION</v>
          </cell>
        </row>
        <row r="18">
          <cell r="D18" t="str">
            <v>SE Consulting Serv</v>
          </cell>
          <cell r="E18">
            <v>507</v>
          </cell>
          <cell r="F18" t="str">
            <v>Administrative and General O&amp;M Expense</v>
          </cell>
        </row>
        <row r="19">
          <cell r="D19" t="str">
            <v>SE Corp Funding</v>
          </cell>
          <cell r="E19">
            <v>518</v>
          </cell>
          <cell r="F19" t="str">
            <v>AFUDC Debt</v>
          </cell>
        </row>
        <row r="23">
          <cell r="D23" t="str">
            <v>SEG SCEM</v>
          </cell>
          <cell r="E23">
            <v>493</v>
          </cell>
          <cell r="F23" t="str">
            <v>Associated Revenues</v>
          </cell>
        </row>
        <row r="24">
          <cell r="D24" t="str">
            <v>SEI Asia</v>
          </cell>
          <cell r="E24">
            <v>1130</v>
          </cell>
          <cell r="F24" t="str">
            <v>Average Price Per Share</v>
          </cell>
        </row>
        <row r="25">
          <cell r="D25" t="str">
            <v>SEI Europe</v>
          </cell>
          <cell r="E25">
            <v>291</v>
          </cell>
          <cell r="F25" t="str">
            <v>Average Return on Equity %</v>
          </cell>
        </row>
        <row r="83">
          <cell r="E83">
            <v>1104</v>
          </cell>
          <cell r="F83" t="str">
            <v>Intercompany Preferred Stock</v>
          </cell>
        </row>
        <row r="88">
          <cell r="E88">
            <v>16</v>
          </cell>
          <cell r="F88" t="str">
            <v>LONG TERM DEBT</v>
          </cell>
        </row>
        <row r="92">
          <cell r="E92">
            <v>579</v>
          </cell>
          <cell r="F92" t="str">
            <v>Minority Interest Debt B Redemptions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Summary"/>
      <sheetName val="Floater Demand"/>
      <sheetName val="Inputs"/>
      <sheetName val="FX"/>
      <sheetName val="Good 12-00 (2)"/>
      <sheetName val="Good 11-36"/>
      <sheetName val="Good 11-50"/>
      <sheetName val="Sheet3 (5)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WP Detail "/>
      <sheetName val="Model"/>
      <sheetName val="Sheet4"/>
      <sheetName val="ForeignStake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cGro"/>
      <sheetName val="Proton"/>
      <sheetName val="Graphs"/>
      <sheetName val="LINKS"/>
      <sheetName val="CapexComps"/>
      <sheetName val="AW"/>
      <sheetName val="Changes"/>
      <sheetName val="B-B"/>
      <sheetName val="Guidance"/>
      <sheetName val="Variance"/>
      <sheetName val="Cons"/>
      <sheetName val="Preview"/>
      <sheetName val="UnitModel"/>
      <sheetName val="CERN"/>
      <sheetName val="HCIT"/>
      <sheetName val="GeoOrders"/>
      <sheetName val="FX"/>
      <sheetName val="Overview"/>
      <sheetName val="Timeline"/>
      <sheetName val="DCF"/>
      <sheetName val="RevBuild"/>
      <sheetName val="ValSimple"/>
      <sheetName val="BBB"/>
      <sheetName val="Back Up"/>
      <sheetName val="NIPT_Mkt"/>
      <sheetName val="SQNM"/>
      <sheetName val="QVariance"/>
      <sheetName val="LinksQ"/>
      <sheetName val="LinksA"/>
      <sheetName val="#REF"/>
      <sheetName val="Book6"/>
      <sheetName val="Sheet1"/>
      <sheetName val="Sheet2"/>
      <sheetName val="Sheet3"/>
      <sheetName val="End_Markets"/>
      <sheetName val="OrgGro"/>
      <sheetName val="Q Variance"/>
    </sheetNames>
    <sheetDataSet>
      <sheetData sheetId="0">
        <row r="1">
          <cell r="Z1" t="str">
            <v>Violet cells are adjusted for writedown</v>
          </cell>
        </row>
      </sheetData>
      <sheetData sheetId="1" refreshError="1"/>
      <sheetData sheetId="2"/>
      <sheetData sheetId="3" refreshError="1"/>
      <sheetData sheetId="4"/>
      <sheetData sheetId="5"/>
      <sheetData sheetId="6">
        <row r="1">
          <cell r="A1" t="str">
            <v>Natera</v>
          </cell>
          <cell r="B1" t="str">
            <v>($ in 000s, except per share data)</v>
          </cell>
          <cell r="H1" t="str">
            <v>Updated:</v>
          </cell>
        </row>
        <row r="2">
          <cell r="A2" t="str">
            <v>Earnings Charts</v>
          </cell>
          <cell r="C2" t="str">
            <v>2014E</v>
          </cell>
          <cell r="D2" t="str">
            <v>2015E</v>
          </cell>
          <cell r="E2" t="str">
            <v>2016E</v>
          </cell>
          <cell r="F2" t="str">
            <v>Comments</v>
          </cell>
          <cell r="H2" t="str">
            <v>2014E</v>
          </cell>
          <cell r="I2" t="str">
            <v>2015E</v>
          </cell>
          <cell r="J2" t="str">
            <v>2016E</v>
          </cell>
        </row>
        <row r="3">
          <cell r="A3" t="str">
            <v>(All numbers in millions, except per share numbers or unless otherwise indicated)</v>
          </cell>
          <cell r="B3" t="str">
            <v>($ in millions, except per share data)</v>
          </cell>
          <cell r="H3">
            <v>119</v>
          </cell>
          <cell r="I3">
            <v>2943.3257996000002</v>
          </cell>
          <cell r="J3">
            <v>15349.708356514771</v>
          </cell>
          <cell r="L3" t="str">
            <v>Changes</v>
          </cell>
        </row>
        <row r="4">
          <cell r="B4" t="str">
            <v>Current</v>
          </cell>
          <cell r="C4">
            <v>119</v>
          </cell>
          <cell r="D4" t="str">
            <v>2010A</v>
          </cell>
          <cell r="E4" t="str">
            <v>2011A</v>
          </cell>
          <cell r="F4" t="str">
            <v>2012A</v>
          </cell>
          <cell r="G4" t="str">
            <v>2013A</v>
          </cell>
          <cell r="H4" t="str">
            <v>2014A</v>
          </cell>
          <cell r="I4" t="str">
            <v>2015E</v>
          </cell>
          <cell r="J4" t="str">
            <v>2016E</v>
          </cell>
          <cell r="K4" t="str">
            <v>4Q12</v>
          </cell>
          <cell r="L4" t="str">
            <v>2013A</v>
          </cell>
          <cell r="M4" t="str">
            <v>2014A</v>
          </cell>
          <cell r="N4" t="str">
            <v>2015E</v>
          </cell>
          <cell r="O4" t="str">
            <v>2016E</v>
          </cell>
          <cell r="P4" t="str">
            <v>1Q14</v>
          </cell>
          <cell r="Q4" t="str">
            <v>2Q14</v>
          </cell>
          <cell r="R4" t="str">
            <v>3Q14</v>
          </cell>
          <cell r="S4" t="str">
            <v>4Q14</v>
          </cell>
        </row>
        <row r="5">
          <cell r="B5" t="str">
            <v>Net Orders</v>
          </cell>
          <cell r="C5" t="str">
            <v>NM</v>
          </cell>
          <cell r="D5">
            <v>23.733830248739498</v>
          </cell>
          <cell r="E5">
            <v>4.2150898003207145</v>
          </cell>
          <cell r="G5" t="str">
            <v>Incremental EBIT</v>
          </cell>
          <cell r="P5" t="str">
            <v>Last Update: 02/19/15</v>
          </cell>
        </row>
        <row r="6">
          <cell r="B6" t="str">
            <v>Current</v>
          </cell>
          <cell r="C6" t="str">
            <v>NM</v>
          </cell>
          <cell r="D6">
            <v>2495</v>
          </cell>
          <cell r="E6">
            <v>2933.5</v>
          </cell>
          <cell r="F6">
            <v>3121.9000000000005</v>
          </cell>
          <cell r="G6">
            <v>2967.6000000000004</v>
          </cell>
          <cell r="H6">
            <v>3351</v>
          </cell>
          <cell r="I6">
            <v>3376.9197816971623</v>
          </cell>
          <cell r="J6">
            <v>3522.2168952483507</v>
          </cell>
          <cell r="K6" t="str">
            <v>NA</v>
          </cell>
          <cell r="L6">
            <v>0</v>
          </cell>
          <cell r="M6">
            <v>0</v>
          </cell>
          <cell r="N6">
            <v>-67.572487271147111</v>
          </cell>
          <cell r="O6">
            <v>-104.91685523742399</v>
          </cell>
          <cell r="P6">
            <v>-0.26604112501361077</v>
          </cell>
          <cell r="Q6">
            <v>-3.4071098077047932E-2</v>
          </cell>
          <cell r="R6">
            <v>0.10277444600319846</v>
          </cell>
          <cell r="S6">
            <v>8.8873267388562119E-2</v>
          </cell>
        </row>
        <row r="7">
          <cell r="B7" t="str">
            <v xml:space="preserve">y/y growth </v>
          </cell>
          <cell r="C7" t="e">
            <v>#VALUE!</v>
          </cell>
          <cell r="D7">
            <v>0</v>
          </cell>
          <cell r="E7">
            <v>0.17575150300601194</v>
          </cell>
          <cell r="F7">
            <v>6.422362365774692E-2</v>
          </cell>
          <cell r="G7">
            <v>-4.9425029629392436E-2</v>
          </cell>
          <cell r="H7">
            <v>0.1291953093408813</v>
          </cell>
          <cell r="I7">
            <v>7.7349393306960224E-3</v>
          </cell>
          <cell r="J7">
            <v>4.3026522080475749E-2</v>
          </cell>
          <cell r="L7">
            <v>0</v>
          </cell>
          <cell r="M7">
            <v>0</v>
          </cell>
          <cell r="N7">
            <v>-1.9617546504578556E-2</v>
          </cell>
          <cell r="O7">
            <v>-2.892555457139475E-2</v>
          </cell>
        </row>
        <row r="8">
          <cell r="B8" t="str">
            <v>ex-FX</v>
          </cell>
          <cell r="C8" t="str">
            <v>Prior</v>
          </cell>
          <cell r="D8">
            <v>538.57600000000002</v>
          </cell>
          <cell r="E8">
            <v>0.15602823819697687</v>
          </cell>
          <cell r="F8">
            <v>7.6198652030220249E-2</v>
          </cell>
          <cell r="G8">
            <v>-4.2523711496154193E-2</v>
          </cell>
          <cell r="H8">
            <v>0.13380980524628072</v>
          </cell>
          <cell r="I8">
            <v>4.8125579680255992E-2</v>
          </cell>
          <cell r="J8">
            <v>5.1941892429559156E-2</v>
          </cell>
        </row>
        <row r="9">
          <cell r="B9" t="str">
            <v>Oncology</v>
          </cell>
          <cell r="C9" t="str">
            <v>% Y/Y</v>
          </cell>
          <cell r="D9">
            <v>2076</v>
          </cell>
          <cell r="E9">
            <v>2249.5</v>
          </cell>
          <cell r="F9">
            <v>2400.1000000000004</v>
          </cell>
          <cell r="G9">
            <v>2299.1000000000004</v>
          </cell>
          <cell r="H9">
            <v>2520.8000000000002</v>
          </cell>
          <cell r="I9">
            <v>2467.5735153297373</v>
          </cell>
          <cell r="J9">
            <v>2462.6897580921468</v>
          </cell>
          <cell r="L9">
            <v>0</v>
          </cell>
          <cell r="M9">
            <v>0</v>
          </cell>
          <cell r="N9">
            <v>-51.223753638571907</v>
          </cell>
          <cell r="O9">
            <v>-120.5880423936278</v>
          </cell>
        </row>
        <row r="10">
          <cell r="B10" t="str">
            <v>X-Ray</v>
          </cell>
          <cell r="C10" t="str">
            <v>% Change</v>
          </cell>
          <cell r="D10">
            <v>419</v>
          </cell>
          <cell r="E10">
            <v>482.8</v>
          </cell>
          <cell r="F10">
            <v>595.5</v>
          </cell>
          <cell r="G10">
            <v>665.7</v>
          </cell>
          <cell r="H10">
            <v>710.7</v>
          </cell>
          <cell r="I10">
            <v>787.94626636742464</v>
          </cell>
          <cell r="J10">
            <v>859.52713715620393</v>
          </cell>
          <cell r="L10">
            <v>0</v>
          </cell>
          <cell r="M10">
            <v>0</v>
          </cell>
          <cell r="N10">
            <v>-2.0336592495811694E-2</v>
          </cell>
          <cell r="O10">
            <v>-4.6680245682811088E-2</v>
          </cell>
        </row>
        <row r="11">
          <cell r="B11" t="str">
            <v>Constant currency</v>
          </cell>
        </row>
        <row r="12">
          <cell r="B12" t="str">
            <v>Prior</v>
          </cell>
          <cell r="C12" t="str">
            <v>Current</v>
          </cell>
          <cell r="D12">
            <v>2495</v>
          </cell>
          <cell r="E12">
            <v>2933.5</v>
          </cell>
          <cell r="F12">
            <v>3121.9</v>
          </cell>
          <cell r="G12">
            <v>2967.6000000000004</v>
          </cell>
          <cell r="H12">
            <v>3351</v>
          </cell>
          <cell r="I12">
            <v>3444.4922689683094</v>
          </cell>
          <cell r="J12">
            <v>3627.1337504857747</v>
          </cell>
        </row>
        <row r="13">
          <cell r="B13" t="str">
            <v xml:space="preserve">y/y growth </v>
          </cell>
          <cell r="C13" t="str">
            <v>% sales</v>
          </cell>
          <cell r="D13">
            <v>0.5140240188942693</v>
          </cell>
          <cell r="E13">
            <v>0.17575150300601194</v>
          </cell>
          <cell r="F13">
            <v>6.4223623657746698E-2</v>
          </cell>
          <cell r="G13">
            <v>-4.9425029629392214E-2</v>
          </cell>
          <cell r="H13">
            <v>0.1291953093408813</v>
          </cell>
          <cell r="I13">
            <v>2.7899811688543608E-2</v>
          </cell>
          <cell r="J13">
            <v>5.3024210030284014E-2</v>
          </cell>
        </row>
        <row r="14">
          <cell r="B14" t="str">
            <v>ex-FX</v>
          </cell>
          <cell r="C14">
            <v>119</v>
          </cell>
          <cell r="D14">
            <v>1197.4651599200001</v>
          </cell>
          <cell r="E14">
            <v>0.15602823819697687</v>
          </cell>
          <cell r="F14">
            <v>7.6198652030220027E-2</v>
          </cell>
          <cell r="G14">
            <v>-4.2523711496153971E-2</v>
          </cell>
          <cell r="H14">
            <v>0.13380980524628072</v>
          </cell>
          <cell r="I14">
            <v>6.7438996115503191E-2</v>
          </cell>
          <cell r="J14">
            <v>5.3024210030284014E-2</v>
          </cell>
        </row>
        <row r="15">
          <cell r="B15" t="str">
            <v>Oncology</v>
          </cell>
          <cell r="C15">
            <v>1</v>
          </cell>
          <cell r="D15">
            <v>2076</v>
          </cell>
          <cell r="E15">
            <v>2249.5</v>
          </cell>
          <cell r="F15">
            <v>2400.1</v>
          </cell>
          <cell r="G15">
            <v>2299.1000000000004</v>
          </cell>
          <cell r="H15">
            <v>2520.8000000000002</v>
          </cell>
          <cell r="I15">
            <v>2518.7972689683093</v>
          </cell>
          <cell r="J15">
            <v>2583.2778004857746</v>
          </cell>
        </row>
        <row r="16">
          <cell r="B16" t="str">
            <v>X-Ray</v>
          </cell>
          <cell r="D16">
            <v>419</v>
          </cell>
          <cell r="E16">
            <v>482.8</v>
          </cell>
          <cell r="F16">
            <v>595.5</v>
          </cell>
          <cell r="G16">
            <v>665.7</v>
          </cell>
          <cell r="H16">
            <v>710.7</v>
          </cell>
          <cell r="I16">
            <v>765.69500000000016</v>
          </cell>
          <cell r="J16">
            <v>843.85595000000012</v>
          </cell>
        </row>
        <row r="17">
          <cell r="B17" t="str">
            <v>Total Revenues</v>
          </cell>
          <cell r="C17" t="str">
            <v>Current</v>
          </cell>
          <cell r="D17">
            <v>154.63200000000001</v>
          </cell>
          <cell r="E17">
            <v>168.38326496942005</v>
          </cell>
          <cell r="F17">
            <v>194.82626258154122</v>
          </cell>
          <cell r="G17">
            <v>227.89467509951075</v>
          </cell>
        </row>
        <row r="18">
          <cell r="B18" t="str">
            <v>Current</v>
          </cell>
          <cell r="C18" t="str">
            <v>% sales</v>
          </cell>
          <cell r="D18">
            <v>2356.5340000000001</v>
          </cell>
          <cell r="E18">
            <v>2596.7069999999999</v>
          </cell>
          <cell r="F18">
            <v>2806.9999999999995</v>
          </cell>
          <cell r="G18">
            <v>2942.9</v>
          </cell>
          <cell r="H18">
            <v>3049.7999999999997</v>
          </cell>
          <cell r="I18">
            <v>3145.9745554550982</v>
          </cell>
          <cell r="J18">
            <v>3221.3503087651952</v>
          </cell>
          <cell r="L18">
            <v>0</v>
          </cell>
          <cell r="M18">
            <v>0</v>
          </cell>
          <cell r="N18">
            <v>-59.864444544901744</v>
          </cell>
          <cell r="O18">
            <v>-131.62666123480494</v>
          </cell>
        </row>
        <row r="19">
          <cell r="B19" t="str">
            <v xml:space="preserve">y/y growth </v>
          </cell>
          <cell r="C19" t="str">
            <v>Prior</v>
          </cell>
          <cell r="D19">
            <v>154.63200000000001</v>
          </cell>
          <cell r="E19">
            <v>0.10191790146036506</v>
          </cell>
          <cell r="F19">
            <v>8.098449305216171E-2</v>
          </cell>
          <cell r="G19">
            <v>4.8414677591735122E-2</v>
          </cell>
          <cell r="H19">
            <v>3.6324713717761359E-2</v>
          </cell>
          <cell r="I19">
            <v>3.1534708982588588E-2</v>
          </cell>
          <cell r="J19">
            <v>2.3959428781582526E-2</v>
          </cell>
          <cell r="L19">
            <v>0</v>
          </cell>
          <cell r="M19">
            <v>0</v>
          </cell>
          <cell r="N19">
            <v>-1.867356549873582E-2</v>
          </cell>
          <cell r="O19">
            <v>-3.925665532823655E-2</v>
          </cell>
        </row>
        <row r="20">
          <cell r="B20" t="str">
            <v>ex-FX</v>
          </cell>
          <cell r="C20">
            <v>11019</v>
          </cell>
          <cell r="D20">
            <v>20197.443027859998</v>
          </cell>
          <cell r="E20">
            <v>8.2170789511093245E-2</v>
          </cell>
          <cell r="F20">
            <v>9.2959521424635039E-2</v>
          </cell>
          <cell r="G20">
            <v>0.06</v>
          </cell>
          <cell r="H20">
            <v>4.0939209623160888E-2</v>
          </cell>
          <cell r="I20">
            <v>7.1925349332148558E-2</v>
          </cell>
          <cell r="J20">
            <v>3.2874799130665711E-2</v>
          </cell>
        </row>
        <row r="21">
          <cell r="B21" t="str">
            <v>Oncology</v>
          </cell>
          <cell r="C21">
            <v>92.596638655462186</v>
          </cell>
          <cell r="D21">
            <v>1862</v>
          </cell>
          <cell r="E21">
            <v>2021.9</v>
          </cell>
          <cell r="F21">
            <v>2189.5</v>
          </cell>
          <cell r="G21">
            <v>2252.6999999999998</v>
          </cell>
          <cell r="H21">
            <v>2344.1999999999998</v>
          </cell>
          <cell r="I21">
            <v>2377.9501847425845</v>
          </cell>
          <cell r="J21">
            <v>2397.1727927998695</v>
          </cell>
          <cell r="L21">
            <v>0</v>
          </cell>
          <cell r="M21">
            <v>0</v>
          </cell>
          <cell r="N21">
            <v>-75.654815257415521</v>
          </cell>
          <cell r="O21">
            <v>-151.59139720013081</v>
          </cell>
        </row>
        <row r="22">
          <cell r="B22" t="str">
            <v>X-Ray</v>
          </cell>
          <cell r="C22" t="str">
            <v>Current</v>
          </cell>
          <cell r="D22">
            <v>403.20000000000005</v>
          </cell>
          <cell r="E22">
            <v>469.2</v>
          </cell>
          <cell r="F22">
            <v>580.4</v>
          </cell>
          <cell r="G22">
            <v>641.9</v>
          </cell>
          <cell r="H22">
            <v>660.2</v>
          </cell>
          <cell r="I22">
            <v>703.20757708023473</v>
          </cell>
          <cell r="J22">
            <v>732.34916698540974</v>
          </cell>
          <cell r="L22">
            <v>0</v>
          </cell>
          <cell r="M22">
            <v>0</v>
          </cell>
          <cell r="N22">
            <v>-3.0834146187921657E-2</v>
          </cell>
          <cell r="O22">
            <v>-5.9476430889485621E-2</v>
          </cell>
        </row>
        <row r="23">
          <cell r="B23" t="str">
            <v>Prior</v>
          </cell>
          <cell r="C23" t="str">
            <v>% sales</v>
          </cell>
          <cell r="D23">
            <v>0.19509781349336025</v>
          </cell>
          <cell r="E23">
            <v>0.19425326372427026</v>
          </cell>
          <cell r="F23">
            <v>0.1452214937953665</v>
          </cell>
          <cell r="G23">
            <v>0.14249999999999996</v>
          </cell>
        </row>
        <row r="24">
          <cell r="B24" t="str">
            <v>Prior</v>
          </cell>
          <cell r="C24" t="str">
            <v>Prior</v>
          </cell>
          <cell r="D24">
            <v>2356.5340000000001</v>
          </cell>
          <cell r="E24">
            <v>2596.7069999999999</v>
          </cell>
          <cell r="F24">
            <v>2806.9999999999995</v>
          </cell>
          <cell r="G24">
            <v>2942.9</v>
          </cell>
          <cell r="H24">
            <v>3049.7999999999997</v>
          </cell>
          <cell r="I24">
            <v>3205.8389999999999</v>
          </cell>
          <cell r="J24">
            <v>3352.9769700000002</v>
          </cell>
        </row>
        <row r="25">
          <cell r="B25" t="str">
            <v xml:space="preserve">y/y growth </v>
          </cell>
          <cell r="C25" t="str">
            <v>% sales</v>
          </cell>
          <cell r="D25">
            <v>0.19509781349336025</v>
          </cell>
          <cell r="E25">
            <v>0.10191790146036506</v>
          </cell>
          <cell r="F25">
            <v>8.098449305216171E-2</v>
          </cell>
          <cell r="G25">
            <v>4.8414677591735122E-2</v>
          </cell>
          <cell r="H25">
            <v>3.6324713717761359E-2</v>
          </cell>
          <cell r="I25">
            <v>5.1163682864450166E-2</v>
          </cell>
          <cell r="J25">
            <v>4.5896868183336714E-2</v>
          </cell>
        </row>
        <row r="26">
          <cell r="B26" t="str">
            <v>ex-FX</v>
          </cell>
          <cell r="C26">
            <v>19781</v>
          </cell>
          <cell r="D26">
            <v>25005.791897800002</v>
          </cell>
          <cell r="E26">
            <v>8.2170789511093245E-2</v>
          </cell>
          <cell r="F26">
            <v>9.2959521424635039E-2</v>
          </cell>
          <cell r="G26">
            <v>0.06</v>
          </cell>
          <cell r="H26">
            <v>4.0939209623160888E-2</v>
          </cell>
          <cell r="I26">
            <v>9.0702867291409861E-2</v>
          </cell>
          <cell r="J26">
            <v>4.5896868183336714E-2</v>
          </cell>
        </row>
        <row r="27">
          <cell r="B27" t="str">
            <v>Oncology</v>
          </cell>
          <cell r="C27">
            <v>166.22689075630251</v>
          </cell>
          <cell r="D27">
            <v>1862</v>
          </cell>
          <cell r="E27">
            <v>2021.9</v>
          </cell>
          <cell r="F27">
            <v>2189.5</v>
          </cell>
          <cell r="G27">
            <v>2252.6999999999998</v>
          </cell>
          <cell r="H27">
            <v>2344.1999999999998</v>
          </cell>
          <cell r="I27">
            <v>2453.605</v>
          </cell>
          <cell r="J27">
            <v>2548.7641900000003</v>
          </cell>
        </row>
        <row r="28">
          <cell r="B28" t="str">
            <v>X-Ray</v>
          </cell>
          <cell r="C28" t="str">
            <v>% sales</v>
          </cell>
          <cell r="D28">
            <v>403.20000000000005</v>
          </cell>
          <cell r="E28">
            <v>469.2</v>
          </cell>
          <cell r="F28">
            <v>580.4</v>
          </cell>
          <cell r="G28">
            <v>641.9</v>
          </cell>
          <cell r="H28">
            <v>660.2</v>
          </cell>
          <cell r="I28">
            <v>704.95399999999995</v>
          </cell>
          <cell r="J28">
            <v>754.30078000000003</v>
          </cell>
        </row>
        <row r="29">
          <cell r="B29" t="str">
            <v>Gross Profit</v>
          </cell>
          <cell r="C29" t="str">
            <v>Prior</v>
          </cell>
          <cell r="D29">
            <v>11.307999999999993</v>
          </cell>
          <cell r="E29">
            <v>28.123756495465727</v>
          </cell>
          <cell r="F29">
            <v>104.03579834137071</v>
          </cell>
          <cell r="G29">
            <v>130.76725661239186</v>
          </cell>
        </row>
        <row r="30">
          <cell r="B30" t="str">
            <v>Current</v>
          </cell>
          <cell r="C30" t="str">
            <v>% sales</v>
          </cell>
          <cell r="D30">
            <v>1025.6610000000001</v>
          </cell>
          <cell r="E30">
            <v>1135.9329999999998</v>
          </cell>
          <cell r="F30">
            <v>1196.2999999999997</v>
          </cell>
          <cell r="G30">
            <v>1249.7000000000003</v>
          </cell>
          <cell r="H30">
            <v>1301.6999999999998</v>
          </cell>
          <cell r="I30">
            <v>1339.9537852054589</v>
          </cell>
          <cell r="J30">
            <v>1365.2944215468556</v>
          </cell>
          <cell r="L30">
            <v>0</v>
          </cell>
          <cell r="M30">
            <v>0</v>
          </cell>
          <cell r="N30">
            <v>-17.482711794540819</v>
          </cell>
          <cell r="O30">
            <v>-46.365306993144486</v>
          </cell>
        </row>
        <row r="31">
          <cell r="B31" t="str">
            <v>gross margin</v>
          </cell>
          <cell r="D31">
            <v>0.43524133324619974</v>
          </cell>
          <cell r="E31">
            <v>0.43745135666057039</v>
          </cell>
          <cell r="F31">
            <v>0.42618453865336653</v>
          </cell>
          <cell r="G31">
            <v>0.42464915559482153</v>
          </cell>
          <cell r="H31">
            <v>0.42681487310643318</v>
          </cell>
          <cell r="I31">
            <v>0.42592645349975516</v>
          </cell>
          <cell r="J31">
            <v>0.42382674676266391</v>
          </cell>
        </row>
        <row r="32">
          <cell r="B32">
            <v>2013</v>
          </cell>
          <cell r="C32">
            <v>2014</v>
          </cell>
          <cell r="D32" t="str">
            <v>2015E</v>
          </cell>
          <cell r="E32" t="str">
            <v>2016E</v>
          </cell>
          <cell r="F32">
            <v>-1.5482299786918672</v>
          </cell>
          <cell r="G32">
            <v>-1.8833134069685435</v>
          </cell>
          <cell r="H32">
            <v>-30681</v>
          </cell>
          <cell r="I32">
            <v>-44005.769765739999</v>
          </cell>
          <cell r="J32">
            <v>-41799.301640778896</v>
          </cell>
        </row>
        <row r="33">
          <cell r="A33" t="str">
            <v>Total Revenues</v>
          </cell>
          <cell r="B33" t="str">
            <v>Prior</v>
          </cell>
          <cell r="C33">
            <v>-257.8235294117647</v>
          </cell>
          <cell r="D33">
            <v>1025.6610000000001</v>
          </cell>
          <cell r="E33">
            <v>1135.9329999999998</v>
          </cell>
          <cell r="F33">
            <v>1196.2999999999997</v>
          </cell>
          <cell r="G33">
            <v>1249.7000000000003</v>
          </cell>
          <cell r="H33">
            <v>1301.6999999999998</v>
          </cell>
          <cell r="I33">
            <v>1357.4364969999997</v>
          </cell>
          <cell r="J33">
            <v>1411.6597285400001</v>
          </cell>
        </row>
        <row r="34">
          <cell r="A34" t="str">
            <v>Current</v>
          </cell>
          <cell r="B34" t="str">
            <v>gross margin</v>
          </cell>
          <cell r="C34">
            <v>159.334788</v>
          </cell>
          <cell r="D34">
            <v>0.43524133324619974</v>
          </cell>
          <cell r="E34">
            <v>0.43745135666057039</v>
          </cell>
          <cell r="F34">
            <v>0.42618453865336653</v>
          </cell>
          <cell r="G34">
            <v>0.42464915559482153</v>
          </cell>
          <cell r="H34">
            <v>0.42681487310643318</v>
          </cell>
          <cell r="I34">
            <v>0.42342628466370263</v>
          </cell>
          <cell r="J34">
            <v>0.42101682808158386</v>
          </cell>
        </row>
        <row r="35">
          <cell r="A35" t="str">
            <v>% Y/Y</v>
          </cell>
          <cell r="B35" t="str">
            <v>SG&amp;A</v>
          </cell>
          <cell r="C35">
            <v>1.8880260677619884</v>
          </cell>
          <cell r="D35">
            <v>0.12327254188160985</v>
          </cell>
          <cell r="E35">
            <v>0.30854382554246107</v>
          </cell>
          <cell r="F35">
            <v>-5.8771447934294046E-3</v>
          </cell>
          <cell r="G35">
            <v>-4.8999325007970662E-3</v>
          </cell>
        </row>
        <row r="36">
          <cell r="A36" t="str">
            <v>Prior</v>
          </cell>
          <cell r="B36" t="str">
            <v>Current</v>
          </cell>
          <cell r="C36">
            <v>159.334788</v>
          </cell>
          <cell r="D36">
            <v>334.69200000000001</v>
          </cell>
          <cell r="E36">
            <v>376.834</v>
          </cell>
          <cell r="F36">
            <v>414.03999999999996</v>
          </cell>
          <cell r="G36">
            <v>432.59999999999997</v>
          </cell>
          <cell r="H36">
            <v>462.6</v>
          </cell>
          <cell r="I36">
            <v>486.4838422073546</v>
          </cell>
        </row>
        <row r="37">
          <cell r="A37" t="str">
            <v>% Y/Y</v>
          </cell>
          <cell r="B37" t="str">
            <v>% of sales</v>
          </cell>
          <cell r="C37">
            <v>1.8880260677619884</v>
          </cell>
          <cell r="D37">
            <v>0.14202723151883231</v>
          </cell>
          <cell r="E37">
            <v>0.14511995384924059</v>
          </cell>
          <cell r="F37">
            <v>0.14750267189169933</v>
          </cell>
          <cell r="G37">
            <v>0.14699785925447686</v>
          </cell>
          <cell r="H37">
            <v>0.15168207751327958</v>
          </cell>
          <cell r="I37">
            <v>0.15463692844043986</v>
          </cell>
        </row>
        <row r="38">
          <cell r="A38" t="str">
            <v>Gross Profit</v>
          </cell>
          <cell r="B38" t="str">
            <v>Current</v>
          </cell>
          <cell r="C38">
            <v>-31390</v>
          </cell>
          <cell r="D38">
            <v>-45759.117170728205</v>
          </cell>
          <cell r="E38">
            <v>-43384.949049218398</v>
          </cell>
          <cell r="F38">
            <v>0.13534617178021008</v>
          </cell>
          <cell r="G38">
            <v>0.14629203751560077</v>
          </cell>
          <cell r="H38">
            <v>-31390</v>
          </cell>
          <cell r="I38">
            <v>-45759.117170728205</v>
          </cell>
          <cell r="J38">
            <v>-43384.949049218398</v>
          </cell>
        </row>
        <row r="39">
          <cell r="A39" t="str">
            <v>Current</v>
          </cell>
          <cell r="B39" t="str">
            <v>Prior</v>
          </cell>
          <cell r="C39">
            <v>80.938778000000013</v>
          </cell>
          <cell r="D39">
            <v>334.69200000000001</v>
          </cell>
          <cell r="E39">
            <v>376.834</v>
          </cell>
          <cell r="F39">
            <v>414.03999999999996</v>
          </cell>
          <cell r="G39">
            <v>432.59999999999997</v>
          </cell>
          <cell r="H39">
            <v>462.6</v>
          </cell>
          <cell r="I39">
            <v>473.51474903999997</v>
          </cell>
        </row>
        <row r="40">
          <cell r="A40" t="str">
            <v>% of Revenues</v>
          </cell>
          <cell r="B40" t="str">
            <v>% of sales</v>
          </cell>
          <cell r="C40">
            <v>0.50797932464064288</v>
          </cell>
          <cell r="D40">
            <v>0.14202723151883231</v>
          </cell>
          <cell r="E40">
            <v>0.14511995384924059</v>
          </cell>
          <cell r="F40">
            <v>0.14750267189169933</v>
          </cell>
          <cell r="G40">
            <v>0.14699785925447686</v>
          </cell>
          <cell r="H40">
            <v>0.15168207751327958</v>
          </cell>
          <cell r="I40">
            <v>0.14799999999999996</v>
          </cell>
        </row>
        <row r="41">
          <cell r="A41" t="str">
            <v>Prior</v>
          </cell>
          <cell r="B41" t="str">
            <v>R&amp;D</v>
          </cell>
          <cell r="C41">
            <v>80.938778000000013</v>
          </cell>
          <cell r="D41">
            <v>65.939895400537921</v>
          </cell>
          <cell r="E41">
            <v>93.51316070262925</v>
          </cell>
          <cell r="H41">
            <v>-35960</v>
          </cell>
          <cell r="I41">
            <v>-45759.117170728205</v>
          </cell>
          <cell r="J41">
            <v>-43384.949049218398</v>
          </cell>
        </row>
        <row r="42">
          <cell r="A42" t="str">
            <v>% of Revenues</v>
          </cell>
          <cell r="B42" t="str">
            <v>Current</v>
          </cell>
          <cell r="C42">
            <v>0.50797932464064288</v>
          </cell>
          <cell r="D42">
            <v>156.74799999999999</v>
          </cell>
          <cell r="E42">
            <v>170.67500000000001</v>
          </cell>
          <cell r="F42">
            <v>185.70000000000002</v>
          </cell>
          <cell r="G42">
            <v>208.2</v>
          </cell>
          <cell r="H42">
            <v>234.79999999999998</v>
          </cell>
          <cell r="I42">
            <v>247.91458113774388</v>
          </cell>
        </row>
        <row r="43">
          <cell r="A43" t="str">
            <v>SG&amp;A</v>
          </cell>
          <cell r="B43" t="str">
            <v>% of sales</v>
          </cell>
          <cell r="C43" t="str">
            <v>% Y/Y</v>
          </cell>
          <cell r="D43">
            <v>6.6516332885500476E-2</v>
          </cell>
          <cell r="E43">
            <v>6.5727477147017363E-2</v>
          </cell>
          <cell r="F43">
            <v>6.6156038475240486E-2</v>
          </cell>
          <cell r="G43">
            <v>7.0746542526079717E-2</v>
          </cell>
          <cell r="H43">
            <v>7.6988654993770084E-2</v>
          </cell>
          <cell r="I43">
            <v>7.880374642822896E-2</v>
          </cell>
        </row>
        <row r="44">
          <cell r="A44" t="str">
            <v>Current</v>
          </cell>
          <cell r="B44">
            <v>31.614000000000001</v>
          </cell>
          <cell r="C44">
            <v>62.936010000000003</v>
          </cell>
          <cell r="D44">
            <v>107.50577968557693</v>
          </cell>
          <cell r="E44">
            <v>112.02148831833924</v>
          </cell>
          <cell r="F44">
            <v>1.273076232326896</v>
          </cell>
          <cell r="G44">
            <v>1.5911988128674197</v>
          </cell>
          <cell r="H44">
            <v>-4.1452779278590226</v>
          </cell>
          <cell r="I44">
            <v>-2.2365877132167404</v>
          </cell>
          <cell r="J44">
            <v>-1.8317241889128859</v>
          </cell>
        </row>
        <row r="45">
          <cell r="A45" t="str">
            <v>% of Revenues</v>
          </cell>
          <cell r="B45" t="str">
            <v>Prior</v>
          </cell>
          <cell r="C45">
            <v>0.3949922724973281</v>
          </cell>
          <cell r="D45">
            <v>156.74799999999999</v>
          </cell>
          <cell r="E45">
            <v>170.67500000000001</v>
          </cell>
          <cell r="F45">
            <v>185.70000000000002</v>
          </cell>
          <cell r="G45">
            <v>208.2</v>
          </cell>
          <cell r="H45">
            <v>234.79999999999998</v>
          </cell>
          <cell r="I45">
            <v>281.79453696000036</v>
          </cell>
        </row>
        <row r="46">
          <cell r="A46" t="str">
            <v>Prior</v>
          </cell>
          <cell r="B46" t="str">
            <v>% of sales</v>
          </cell>
          <cell r="C46">
            <v>62.936010000000003</v>
          </cell>
          <cell r="D46">
            <v>6.6516332885500476E-2</v>
          </cell>
          <cell r="E46">
            <v>6.5727477147017363E-2</v>
          </cell>
          <cell r="F46">
            <v>6.6156038475240486E-2</v>
          </cell>
          <cell r="G46">
            <v>7.0746542526079717E-2</v>
          </cell>
          <cell r="H46">
            <v>7.6988654993770084E-2</v>
          </cell>
          <cell r="I46">
            <v>8.80766471469656E-2</v>
          </cell>
        </row>
        <row r="47">
          <cell r="A47" t="str">
            <v>% of Revenues</v>
          </cell>
          <cell r="B47" t="str">
            <v>Operating Income</v>
          </cell>
          <cell r="C47">
            <v>0.3949922724973281</v>
          </cell>
          <cell r="D47">
            <v>0.59897120336558185</v>
          </cell>
          <cell r="E47">
            <v>0.4780832247244855</v>
          </cell>
        </row>
        <row r="48">
          <cell r="A48" t="str">
            <v>R&amp;D</v>
          </cell>
          <cell r="B48" t="str">
            <v>Current</v>
          </cell>
          <cell r="C48" t="str">
            <v>Current</v>
          </cell>
          <cell r="D48">
            <v>534.221</v>
          </cell>
          <cell r="E48">
            <v>588.42399999999975</v>
          </cell>
          <cell r="F48">
            <v>596.55999999999972</v>
          </cell>
          <cell r="G48">
            <v>608.90000000000032</v>
          </cell>
          <cell r="H48">
            <v>604.29999999999984</v>
          </cell>
          <cell r="I48">
            <v>605.55536186036034</v>
          </cell>
          <cell r="J48">
            <v>627.32023448120844</v>
          </cell>
          <cell r="L48">
            <v>0</v>
          </cell>
          <cell r="M48">
            <v>0</v>
          </cell>
          <cell r="N48">
            <v>-16.53757913963932</v>
          </cell>
          <cell r="O48">
            <v>-47.230037618791471</v>
          </cell>
        </row>
        <row r="49">
          <cell r="A49" t="str">
            <v>Current</v>
          </cell>
          <cell r="B49" t="str">
            <v>operating margin</v>
          </cell>
          <cell r="C49">
            <v>17.292000000000002</v>
          </cell>
          <cell r="D49">
            <v>0.2266977688418669</v>
          </cell>
          <cell r="E49">
            <v>0.22660392566431245</v>
          </cell>
          <cell r="F49">
            <v>0.21252582828642672</v>
          </cell>
          <cell r="G49">
            <v>0.20690475381426493</v>
          </cell>
          <cell r="H49">
            <v>0.19814414059938354</v>
          </cell>
          <cell r="I49">
            <v>0.19248577863108635</v>
          </cell>
          <cell r="J49">
            <v>0.194738284990083</v>
          </cell>
        </row>
        <row r="50">
          <cell r="A50" t="str">
            <v>% of Revenues</v>
          </cell>
          <cell r="B50">
            <v>0.20934976913297157</v>
          </cell>
          <cell r="C50">
            <v>0.10852620584024628</v>
          </cell>
          <cell r="D50">
            <v>0.15119930868627454</v>
          </cell>
          <cell r="E50">
            <v>0.12239036211636012</v>
          </cell>
          <cell r="F50">
            <v>75.443368598411681</v>
          </cell>
          <cell r="G50">
            <v>76.595733290397533</v>
          </cell>
        </row>
        <row r="51">
          <cell r="A51" t="str">
            <v>Prior</v>
          </cell>
          <cell r="B51" t="str">
            <v>Prior</v>
          </cell>
          <cell r="C51">
            <v>17.292000000000002</v>
          </cell>
          <cell r="D51">
            <v>534.221</v>
          </cell>
          <cell r="E51">
            <v>588.42399999999975</v>
          </cell>
          <cell r="F51">
            <v>596.55999999999972</v>
          </cell>
          <cell r="G51">
            <v>608.90000000000032</v>
          </cell>
          <cell r="H51">
            <v>604.29999999999984</v>
          </cell>
          <cell r="I51">
            <v>622.09294099999966</v>
          </cell>
          <cell r="J51">
            <v>674.55027209999992</v>
          </cell>
        </row>
        <row r="52">
          <cell r="A52" t="str">
            <v>% of Revenues</v>
          </cell>
          <cell r="B52" t="str">
            <v>operating margin</v>
          </cell>
          <cell r="C52">
            <v>0.10852620584024628</v>
          </cell>
          <cell r="D52">
            <v>0.2266977688418669</v>
          </cell>
          <cell r="E52">
            <v>0.22660392566431245</v>
          </cell>
          <cell r="F52">
            <v>0.21252582828642672</v>
          </cell>
          <cell r="G52">
            <v>0.20690475381426493</v>
          </cell>
          <cell r="H52">
            <v>0.19814414059938354</v>
          </cell>
          <cell r="I52">
            <v>0.19404996351969006</v>
          </cell>
          <cell r="J52">
            <v>0.20117951245576252</v>
          </cell>
        </row>
        <row r="53">
          <cell r="A53" t="str">
            <v>EBIT</v>
          </cell>
          <cell r="B53" t="str">
            <v>EPS, diluted</v>
          </cell>
          <cell r="C53" t="str">
            <v>Current</v>
          </cell>
          <cell r="D53">
            <v>-6.6010000000000097</v>
          </cell>
          <cell r="E53">
            <v>-70.354183864934541</v>
          </cell>
          <cell r="F53">
            <v>57.88300453924569</v>
          </cell>
          <cell r="G53">
            <v>93.224302471320925</v>
          </cell>
        </row>
        <row r="54">
          <cell r="A54" t="str">
            <v>Current</v>
          </cell>
          <cell r="B54" t="str">
            <v>Current</v>
          </cell>
          <cell r="C54">
            <v>0.71076800000000162</v>
          </cell>
          <cell r="D54">
            <v>2.9631122757508566</v>
          </cell>
          <cell r="E54">
            <v>3.4267537293089911</v>
          </cell>
          <cell r="F54">
            <v>3.7900727994705474</v>
          </cell>
          <cell r="G54">
            <v>3.9803703384095548</v>
          </cell>
          <cell r="H54">
            <v>3.987741129886099</v>
          </cell>
          <cell r="I54">
            <v>4.219649235109503</v>
          </cell>
          <cell r="J54">
            <v>4.5518801414962899</v>
          </cell>
          <cell r="L54">
            <v>0</v>
          </cell>
          <cell r="M54">
            <v>0</v>
          </cell>
          <cell r="N54">
            <v>-0.20238490331692294</v>
          </cell>
          <cell r="O54">
            <v>-0.44983259924487129</v>
          </cell>
        </row>
        <row r="55">
          <cell r="A55" t="str">
            <v>% of Revenues</v>
          </cell>
          <cell r="B55" t="str">
            <v>Prior</v>
          </cell>
          <cell r="C55">
            <v>4.4608463030684897E-3</v>
          </cell>
          <cell r="D55">
            <v>2.9631122757508566</v>
          </cell>
          <cell r="E55">
            <v>3.4267537293089911</v>
          </cell>
          <cell r="F55">
            <v>3.7900727994705474</v>
          </cell>
          <cell r="G55">
            <v>3.9803703384095548</v>
          </cell>
          <cell r="H55">
            <v>3.987741129886099</v>
          </cell>
          <cell r="I55">
            <v>4.4220341384264259</v>
          </cell>
          <cell r="J55">
            <v>5.0017127407411612</v>
          </cell>
          <cell r="L55">
            <v>0</v>
          </cell>
          <cell r="M55">
            <v>0</v>
          </cell>
          <cell r="N55">
            <v>-4.5767376954023539E-2</v>
          </cell>
          <cell r="O55">
            <v>-8.99357125371847E-2</v>
          </cell>
        </row>
        <row r="56">
          <cell r="A56" t="str">
            <v>Prior</v>
          </cell>
          <cell r="B56">
            <v>-25.268172499999991</v>
          </cell>
          <cell r="C56">
            <v>0.71076800000000162</v>
          </cell>
          <cell r="D56">
            <v>-66.066090530088672</v>
          </cell>
          <cell r="E56">
            <v>-44.310866783117916</v>
          </cell>
          <cell r="F56" t="str">
            <v>NM</v>
          </cell>
          <cell r="G56">
            <v>0.62407303324195484</v>
          </cell>
        </row>
        <row r="57">
          <cell r="A57" t="str">
            <v>% of Revenues</v>
          </cell>
          <cell r="B57">
            <v>-0.45799879474347177</v>
          </cell>
          <cell r="C57">
            <v>4.4608463030684897E-3</v>
          </cell>
          <cell r="D57">
            <v>-0.37532703122651329</v>
          </cell>
          <cell r="E57">
            <v>-0.19300177035539473</v>
          </cell>
        </row>
        <row r="58">
          <cell r="A58" t="str">
            <v>Net Income</v>
          </cell>
        </row>
        <row r="59">
          <cell r="A59" t="str">
            <v>Current</v>
          </cell>
          <cell r="B59">
            <v>-37.11017249999999</v>
          </cell>
          <cell r="C59">
            <v>-5.1522319999999979</v>
          </cell>
          <cell r="D59">
            <v>-74.885670805278494</v>
          </cell>
          <cell r="E59">
            <v>-44.72402637605984</v>
          </cell>
        </row>
        <row r="60">
          <cell r="A60" t="str">
            <v>% of Revenues</v>
          </cell>
          <cell r="B60">
            <v>-0.67264121604846305</v>
          </cell>
          <cell r="C60">
            <v>-3.2335888883223654E-2</v>
          </cell>
          <cell r="D60">
            <v>-0.41841088554566741</v>
          </cell>
          <cell r="E60">
            <v>-0.1909663611547652</v>
          </cell>
        </row>
        <row r="61">
          <cell r="A61" t="str">
            <v>Prior</v>
          </cell>
          <cell r="B61">
            <v>-37.11017249999999</v>
          </cell>
          <cell r="C61">
            <v>-5.1522319999999979</v>
          </cell>
          <cell r="D61">
            <v>-72.23273394025199</v>
          </cell>
          <cell r="E61">
            <v>-47.909402768076234</v>
          </cell>
        </row>
        <row r="62">
          <cell r="A62" t="str">
            <v>% of Revenues</v>
          </cell>
          <cell r="B62">
            <v>-0.67264121604846305</v>
          </cell>
          <cell r="C62">
            <v>-3.2335888883223654E-2</v>
          </cell>
          <cell r="D62">
            <v>-0.41036025243270885</v>
          </cell>
          <cell r="E62">
            <v>-0.20867566405699928</v>
          </cell>
        </row>
        <row r="63">
          <cell r="A63" t="str">
            <v>EPS</v>
          </cell>
        </row>
        <row r="64">
          <cell r="A64" t="str">
            <v>Current</v>
          </cell>
          <cell r="B64">
            <v>-1.6029250119246357</v>
          </cell>
          <cell r="C64">
            <v>-0.15938353028521926</v>
          </cell>
          <cell r="D64">
            <v>-1.5847119906451357</v>
          </cell>
          <cell r="E64">
            <v>-0.7725051213012647</v>
          </cell>
        </row>
        <row r="65">
          <cell r="A65" t="str">
            <v>Prior</v>
          </cell>
          <cell r="B65">
            <v>-1.6029250119246357</v>
          </cell>
          <cell r="C65">
            <v>-0.15938353028521926</v>
          </cell>
          <cell r="D65">
            <v>-1.5400112895511378</v>
          </cell>
          <cell r="E65">
            <v>-0.83768358196159576</v>
          </cell>
        </row>
      </sheetData>
      <sheetData sheetId="7" refreshError="1"/>
      <sheetData sheetId="8">
        <row r="1">
          <cell r="A1" t="str">
            <v>Natera</v>
          </cell>
          <cell r="X1">
            <v>2012</v>
          </cell>
          <cell r="Y1">
            <v>2012</v>
          </cell>
          <cell r="Z1">
            <v>2012</v>
          </cell>
          <cell r="AA1">
            <v>2012</v>
          </cell>
          <cell r="AB1">
            <v>2012</v>
          </cell>
          <cell r="AD1">
            <v>2014</v>
          </cell>
          <cell r="AE1">
            <v>2014</v>
          </cell>
          <cell r="AF1">
            <v>2014</v>
          </cell>
          <cell r="AG1">
            <v>2014</v>
          </cell>
          <cell r="AH1">
            <v>2014</v>
          </cell>
          <cell r="AJ1">
            <v>2015</v>
          </cell>
          <cell r="AK1">
            <v>2015</v>
          </cell>
          <cell r="AL1">
            <v>2015</v>
          </cell>
          <cell r="AM1">
            <v>2015</v>
          </cell>
          <cell r="AN1">
            <v>2015</v>
          </cell>
          <cell r="AP1">
            <v>2016</v>
          </cell>
          <cell r="AQ1">
            <v>2016</v>
          </cell>
          <cell r="AR1">
            <v>2016</v>
          </cell>
          <cell r="AS1">
            <v>2016</v>
          </cell>
          <cell r="AT1">
            <v>2016</v>
          </cell>
        </row>
        <row r="2">
          <cell r="A2" t="str">
            <v>Company Guidance, MS Estimates vs Consensus</v>
          </cell>
          <cell r="X2" t="str">
            <v>Q1</v>
          </cell>
          <cell r="Y2" t="str">
            <v>Q2</v>
          </cell>
          <cell r="Z2" t="str">
            <v>Q3</v>
          </cell>
          <cell r="AA2" t="str">
            <v>Q4</v>
          </cell>
          <cell r="AB2" t="str">
            <v>FY</v>
          </cell>
          <cell r="AD2" t="str">
            <v>Q1</v>
          </cell>
          <cell r="AE2" t="str">
            <v>Q2</v>
          </cell>
          <cell r="AF2" t="str">
            <v>Q3</v>
          </cell>
          <cell r="AG2" t="str">
            <v>Q4</v>
          </cell>
          <cell r="AH2" t="str">
            <v>FY</v>
          </cell>
          <cell r="AJ2" t="str">
            <v>Q1</v>
          </cell>
          <cell r="AK2" t="str">
            <v>Q2</v>
          </cell>
          <cell r="AL2" t="str">
            <v>Q3</v>
          </cell>
          <cell r="AM2" t="str">
            <v>Q4</v>
          </cell>
          <cell r="AN2" t="str">
            <v>FY</v>
          </cell>
          <cell r="AP2" t="str">
            <v>Q1</v>
          </cell>
          <cell r="AQ2" t="str">
            <v>Q2</v>
          </cell>
          <cell r="AR2" t="str">
            <v>Q3</v>
          </cell>
          <cell r="AS2" t="str">
            <v>Q4</v>
          </cell>
          <cell r="AT2" t="str">
            <v>FY</v>
          </cell>
        </row>
        <row r="3">
          <cell r="X3" t="str">
            <v>2012Q1</v>
          </cell>
          <cell r="Y3" t="str">
            <v>2012Q2</v>
          </cell>
          <cell r="Z3" t="str">
            <v>2012Q3</v>
          </cell>
          <cell r="AA3" t="str">
            <v>2012Q4</v>
          </cell>
          <cell r="AB3" t="str">
            <v>2012FY</v>
          </cell>
          <cell r="AD3" t="str">
            <v>2014Q1</v>
          </cell>
          <cell r="AE3" t="str">
            <v>2014Q2</v>
          </cell>
          <cell r="AF3" t="str">
            <v>2014Q3</v>
          </cell>
          <cell r="AG3" t="str">
            <v>2014Q4</v>
          </cell>
          <cell r="AH3" t="str">
            <v>2014FY</v>
          </cell>
          <cell r="AJ3" t="str">
            <v>2015Q1</v>
          </cell>
          <cell r="AK3" t="str">
            <v>2015Q2</v>
          </cell>
          <cell r="AL3" t="str">
            <v>2015Q3</v>
          </cell>
          <cell r="AM3" t="str">
            <v>2015Q4</v>
          </cell>
          <cell r="AN3" t="str">
            <v>2015FY</v>
          </cell>
          <cell r="AP3" t="str">
            <v>2016Q1</v>
          </cell>
          <cell r="AQ3" t="str">
            <v>2016Q2</v>
          </cell>
          <cell r="AR3" t="str">
            <v>2016Q3</v>
          </cell>
          <cell r="AS3" t="str">
            <v>2016Q4</v>
          </cell>
          <cell r="AT3" t="str">
            <v>2016FY</v>
          </cell>
        </row>
        <row r="4">
          <cell r="A4" t="str">
            <v>Annual</v>
          </cell>
          <cell r="G4" t="str">
            <v>MS</v>
          </cell>
          <cell r="H4" t="str">
            <v>MS</v>
          </cell>
          <cell r="O4" t="str">
            <v>MS</v>
          </cell>
          <cell r="R4" t="str">
            <v>*Jose we will paste like this as this is likely what will be provided can be a full sized exhibit if easier</v>
          </cell>
          <cell r="T4" t="str">
            <v>Updated 7/23/14</v>
          </cell>
        </row>
        <row r="5">
          <cell r="A5" t="str">
            <v>Guidance as of</v>
          </cell>
          <cell r="B5" t="str">
            <v>Varian Guidance Tracker</v>
          </cell>
          <cell r="C5">
            <v>42150</v>
          </cell>
          <cell r="D5">
            <v>42208</v>
          </cell>
          <cell r="E5">
            <v>42228</v>
          </cell>
          <cell r="F5">
            <v>42580</v>
          </cell>
          <cell r="G5" t="str">
            <v>Current</v>
          </cell>
          <cell r="H5" t="str">
            <v>Prior</v>
          </cell>
          <cell r="I5" t="str">
            <v>Prior</v>
          </cell>
          <cell r="J5">
            <v>42114</v>
          </cell>
          <cell r="K5">
            <v>42150</v>
          </cell>
          <cell r="L5">
            <v>42208</v>
          </cell>
          <cell r="M5">
            <v>42228</v>
          </cell>
          <cell r="O5" t="str">
            <v>Current</v>
          </cell>
          <cell r="P5" t="str">
            <v>Prior</v>
          </cell>
          <cell r="W5" t="str">
            <v>Varian Medical Systems, Inc.: MS Estimates vs Consensus</v>
          </cell>
          <cell r="AV5" t="str">
            <v>SIE reports 2000, 150 placements per year so implies 7.5% or 13 year cycle</v>
          </cell>
        </row>
        <row r="6">
          <cell r="A6" t="str">
            <v>Period</v>
          </cell>
          <cell r="B6">
            <v>2015</v>
          </cell>
          <cell r="C6">
            <v>2015</v>
          </cell>
          <cell r="D6" t="str">
            <v>2015E</v>
          </cell>
          <cell r="E6" t="str">
            <v>2015E</v>
          </cell>
          <cell r="F6" t="str">
            <v>2016E</v>
          </cell>
          <cell r="G6" t="str">
            <v>2015E</v>
          </cell>
          <cell r="H6" t="str">
            <v>2016E</v>
          </cell>
          <cell r="J6">
            <v>2016</v>
          </cell>
          <cell r="K6">
            <v>2016</v>
          </cell>
          <cell r="L6" t="str">
            <v>2016E</v>
          </cell>
          <cell r="M6" t="str">
            <v>2016E</v>
          </cell>
          <cell r="O6" t="str">
            <v>2016E</v>
          </cell>
          <cell r="T6" t="str">
            <v>MS</v>
          </cell>
          <cell r="AD6">
            <v>2014</v>
          </cell>
          <cell r="AJ6">
            <v>2015</v>
          </cell>
          <cell r="AP6">
            <v>2016</v>
          </cell>
          <cell r="AV6" t="str">
            <v>But Tim Guertin indicating only 100 incremental are up for grabs</v>
          </cell>
        </row>
        <row r="7">
          <cell r="A7" t="str">
            <v>GAAP / Non-GAAP</v>
          </cell>
          <cell r="B7" t="str">
            <v>Non-GAAP</v>
          </cell>
          <cell r="C7">
            <v>40660</v>
          </cell>
          <cell r="D7">
            <v>40751</v>
          </cell>
          <cell r="E7">
            <v>40843</v>
          </cell>
          <cell r="F7">
            <v>40933</v>
          </cell>
          <cell r="G7">
            <v>41024</v>
          </cell>
          <cell r="H7">
            <v>41115</v>
          </cell>
          <cell r="I7">
            <v>41207</v>
          </cell>
          <cell r="J7">
            <v>41297</v>
          </cell>
          <cell r="K7">
            <v>41388</v>
          </cell>
          <cell r="L7">
            <v>41479</v>
          </cell>
          <cell r="M7">
            <v>41570</v>
          </cell>
          <cell r="N7">
            <v>41661</v>
          </cell>
          <cell r="O7">
            <v>41752</v>
          </cell>
          <cell r="P7">
            <v>41843</v>
          </cell>
          <cell r="Q7">
            <v>41935</v>
          </cell>
          <cell r="R7">
            <v>42105</v>
          </cell>
          <cell r="T7" t="str">
            <v>Current</v>
          </cell>
          <cell r="U7" t="str">
            <v>Prior</v>
          </cell>
          <cell r="AD7" t="str">
            <v>1Q14</v>
          </cell>
          <cell r="AE7" t="str">
            <v>2Q14</v>
          </cell>
          <cell r="AF7" t="str">
            <v>3Q14</v>
          </cell>
          <cell r="AG7" t="str">
            <v>4Q14</v>
          </cell>
          <cell r="AH7" t="str">
            <v>FY</v>
          </cell>
          <cell r="AJ7" t="str">
            <v>1Q15e</v>
          </cell>
          <cell r="AK7" t="str">
            <v>2Q15e</v>
          </cell>
          <cell r="AL7" t="str">
            <v>3Q15e</v>
          </cell>
          <cell r="AM7" t="str">
            <v>4Q15e</v>
          </cell>
          <cell r="AN7" t="str">
            <v>FY</v>
          </cell>
          <cell r="AP7" t="str">
            <v>1Q16e</v>
          </cell>
          <cell r="AQ7" t="str">
            <v>2Q16e</v>
          </cell>
          <cell r="AR7" t="str">
            <v>3Q16e</v>
          </cell>
          <cell r="AS7" t="str">
            <v>4Q16e</v>
          </cell>
          <cell r="AT7" t="str">
            <v>FY</v>
          </cell>
        </row>
        <row r="8">
          <cell r="A8" t="str">
            <v>Revenue</v>
          </cell>
          <cell r="B8" t="str">
            <v>$200-$220mn</v>
          </cell>
          <cell r="C8" t="str">
            <v>$175-$200mn</v>
          </cell>
          <cell r="D8" t="str">
            <v>$175-$190mn</v>
          </cell>
          <cell r="E8" t="str">
            <v>$175-$190mn</v>
          </cell>
          <cell r="F8" t="str">
            <v>$618-$635</v>
          </cell>
          <cell r="G8">
            <v>178.97639232692742</v>
          </cell>
          <cell r="H8">
            <v>176.02273493117309</v>
          </cell>
          <cell r="I8">
            <v>619.49096252947254</v>
          </cell>
          <cell r="J8" t="str">
            <v>$260-$340mn</v>
          </cell>
          <cell r="K8" t="str">
            <v>$220-$260mn</v>
          </cell>
          <cell r="L8" t="str">
            <v>$220-$240mn</v>
          </cell>
          <cell r="M8" t="str">
            <v>$220-$240mn</v>
          </cell>
          <cell r="O8">
            <v>2014</v>
          </cell>
          <cell r="P8">
            <v>2014</v>
          </cell>
          <cell r="Q8" t="str">
            <v>2015E</v>
          </cell>
          <cell r="R8" t="str">
            <v>2015E</v>
          </cell>
          <cell r="W8" t="str">
            <v>Total Revenue ($mn)</v>
          </cell>
          <cell r="AD8">
            <v>711.5</v>
          </cell>
          <cell r="AE8">
            <v>778.5</v>
          </cell>
          <cell r="AF8">
            <v>747.7</v>
          </cell>
          <cell r="AG8">
            <v>812.1</v>
          </cell>
          <cell r="AH8">
            <v>3049.7999999999997</v>
          </cell>
          <cell r="AJ8">
            <v>737.85399999999993</v>
          </cell>
          <cell r="AK8">
            <v>784.64633631184847</v>
          </cell>
          <cell r="AL8">
            <v>782.20037949403491</v>
          </cell>
          <cell r="AM8">
            <v>841.27383964921523</v>
          </cell>
          <cell r="AN8">
            <v>3145.9745554550982</v>
          </cell>
          <cell r="AP8">
            <v>740.40310834676984</v>
          </cell>
          <cell r="AQ8">
            <v>805.06038238912492</v>
          </cell>
          <cell r="AR8">
            <v>795.98320096700536</v>
          </cell>
          <cell r="AS8">
            <v>879.90361706229498</v>
          </cell>
          <cell r="AT8">
            <v>3221.3503087651952</v>
          </cell>
          <cell r="AV8" t="str">
            <v>This number is 45% WW, 35% in APAC and EMEA, US 75%</v>
          </cell>
        </row>
        <row r="9">
          <cell r="A9" t="str">
            <v>US Volume</v>
          </cell>
          <cell r="B9" t="str">
            <v>Reported Revenue</v>
          </cell>
          <cell r="C9" t="str">
            <v>189.7-203.8K</v>
          </cell>
          <cell r="D9" t="str">
            <v>Reported +14%-15%
CC +16%-17%</v>
          </cell>
          <cell r="E9" t="str">
            <v>10% - 11%</v>
          </cell>
          <cell r="F9">
            <v>0.1</v>
          </cell>
          <cell r="G9">
            <v>0.1</v>
          </cell>
          <cell r="H9">
            <v>158550.19019142055</v>
          </cell>
          <cell r="I9" t="str">
            <v>8-9% Incl ~$80-90mn Proton</v>
          </cell>
          <cell r="J9" t="str">
            <v>8-9% Incl ~$80mn Proton</v>
          </cell>
          <cell r="K9" t="str">
            <v>349.0-404.4K</v>
          </cell>
          <cell r="M9" t="str">
            <v>6-8%</v>
          </cell>
          <cell r="N9" t="str">
            <v>6-8%</v>
          </cell>
          <cell r="O9" t="str">
            <v>6-8%</v>
          </cell>
          <cell r="P9">
            <v>344577.05199666077</v>
          </cell>
          <cell r="Q9" t="str">
            <v>5-6%</v>
          </cell>
          <cell r="R9" t="str">
            <v>5% due to FX</v>
          </cell>
          <cell r="T9">
            <v>3.1534708982588588E-2</v>
          </cell>
          <cell r="U9">
            <v>5.1163682864450166E-2</v>
          </cell>
          <cell r="W9" t="str">
            <v>Growth</v>
          </cell>
          <cell r="AH9" t="e">
            <v>#DIV/0!</v>
          </cell>
          <cell r="AN9">
            <v>3.1534708982588588E-2</v>
          </cell>
          <cell r="AT9">
            <v>2.3959428781582526E-2</v>
          </cell>
          <cell r="AV9" t="str">
            <v>TBs coming off warranty should drive some upside to service</v>
          </cell>
        </row>
        <row r="10">
          <cell r="A10" t="str">
            <v>LDT US</v>
          </cell>
          <cell r="B10" t="str">
            <v>Proton</v>
          </cell>
          <cell r="C10" t="str">
            <v>0.0-0.0K</v>
          </cell>
          <cell r="D10" t="str">
            <v>~ 51%</v>
          </cell>
          <cell r="E10" t="str">
            <v>~ 52%</v>
          </cell>
          <cell r="F10" t="str">
            <v>~ 52%</v>
          </cell>
          <cell r="H10">
            <v>0.51930429312706039</v>
          </cell>
          <cell r="I10">
            <v>0.52287067435657553</v>
          </cell>
          <cell r="M10" t="str">
            <v>$100-150mn</v>
          </cell>
          <cell r="R10" t="str">
            <v>+$65mn</v>
          </cell>
          <cell r="T10">
            <v>64.81679363227903</v>
          </cell>
          <cell r="U10">
            <v>47.280000000000129</v>
          </cell>
          <cell r="W10" t="str">
            <v>Consensus</v>
          </cell>
          <cell r="AD10" t="str">
            <v>#Refresh#</v>
          </cell>
          <cell r="AE10" t="str">
            <v>#Refresh#</v>
          </cell>
          <cell r="AF10" t="str">
            <v>#Refresh#</v>
          </cell>
          <cell r="AG10" t="str">
            <v>#Refresh#</v>
          </cell>
          <cell r="AH10" t="str">
            <v>#Refresh#</v>
          </cell>
          <cell r="AJ10" t="str">
            <v>#Refresh#</v>
          </cell>
          <cell r="AK10" t="str">
            <v>#Refresh#</v>
          </cell>
          <cell r="AL10" t="str">
            <v>#Refresh#</v>
          </cell>
          <cell r="AM10" t="str">
            <v>#Refresh#</v>
          </cell>
          <cell r="AN10" t="str">
            <v>#Refresh#</v>
          </cell>
          <cell r="AP10" t="str">
            <v>#Refresh#</v>
          </cell>
          <cell r="AQ10" t="str">
            <v>#Refresh#</v>
          </cell>
          <cell r="AR10" t="str">
            <v>#Refresh#</v>
          </cell>
          <cell r="AS10" t="str">
            <v>#Refresh#</v>
          </cell>
          <cell r="AT10" t="str">
            <v>#Refresh#</v>
          </cell>
        </row>
        <row r="11">
          <cell r="A11" t="str">
            <v>US Lab Volumes</v>
          </cell>
          <cell r="B11" t="str">
            <v>Gross Margin</v>
          </cell>
          <cell r="C11" t="str">
            <v>52.1-53.0K</v>
          </cell>
          <cell r="D11" t="str">
            <v>Trend 10% below guide</v>
          </cell>
          <cell r="E11" t="str">
            <v>~ 5%</v>
          </cell>
          <cell r="F11" t="str">
            <v>~ 5%</v>
          </cell>
          <cell r="G11">
            <v>43595.328968398142</v>
          </cell>
          <cell r="H11">
            <v>40003.547547855138</v>
          </cell>
          <cell r="I11">
            <v>4.5398170750760108E-2</v>
          </cell>
          <cell r="J11" t="str">
            <v>100.7-119.2K</v>
          </cell>
          <cell r="K11" t="str">
            <v>81.9-98.6K</v>
          </cell>
          <cell r="M11">
            <v>0.42</v>
          </cell>
          <cell r="O11">
            <v>65053.90127503594</v>
          </cell>
          <cell r="P11">
            <v>62023.869359398945</v>
          </cell>
          <cell r="R11" t="str">
            <v>43%-44%</v>
          </cell>
          <cell r="T11">
            <v>0.42592645349975516</v>
          </cell>
          <cell r="U11">
            <v>0.42342628466370263</v>
          </cell>
          <cell r="W11" t="str">
            <v>Growth</v>
          </cell>
          <cell r="AH11" t="e">
            <v>#VALUE!</v>
          </cell>
          <cell r="AJ11" t="e">
            <v>#VALUE!</v>
          </cell>
          <cell r="AK11" t="e">
            <v>#VALUE!</v>
          </cell>
          <cell r="AL11" t="e">
            <v>#VALUE!</v>
          </cell>
          <cell r="AN11" t="e">
            <v>#VALUE!</v>
          </cell>
          <cell r="AT11" t="e">
            <v>#VALUE!</v>
          </cell>
        </row>
        <row r="12">
          <cell r="A12" t="str">
            <v>International Volume</v>
          </cell>
          <cell r="B12" t="str">
            <v>EBIT Margin</v>
          </cell>
          <cell r="C12" t="str">
            <v>56.1-57.7K</v>
          </cell>
          <cell r="D12" t="str">
            <v>Trend 15% below guide</v>
          </cell>
          <cell r="E12">
            <v>0.23</v>
          </cell>
          <cell r="F12" t="str">
            <v>$(0.44)  -  $(0.47)</v>
          </cell>
          <cell r="G12">
            <v>55488.393086927215</v>
          </cell>
          <cell r="H12">
            <v>53765.862089335234</v>
          </cell>
          <cell r="I12">
            <v>-0.50285141545457879</v>
          </cell>
          <cell r="J12" t="str">
            <v>101.1-154.0K</v>
          </cell>
          <cell r="K12" t="str">
            <v>108.4-139.3K</v>
          </cell>
          <cell r="M12" t="str">
            <v>20-21%</v>
          </cell>
          <cell r="O12">
            <v>95635.525812537206</v>
          </cell>
          <cell r="P12">
            <v>94898.234704332746</v>
          </cell>
          <cell r="R12" t="str">
            <v>~19%</v>
          </cell>
          <cell r="T12">
            <v>0.19248577863108635</v>
          </cell>
          <cell r="U12">
            <v>0.19404996351969006</v>
          </cell>
          <cell r="W12" t="str">
            <v>MSe vs Consensus</v>
          </cell>
          <cell r="AD12" t="str">
            <v>NM</v>
          </cell>
          <cell r="AE12" t="str">
            <v>NM</v>
          </cell>
          <cell r="AF12" t="str">
            <v>NM</v>
          </cell>
          <cell r="AG12" t="str">
            <v>NM</v>
          </cell>
          <cell r="AH12" t="str">
            <v>NM</v>
          </cell>
          <cell r="AJ12" t="str">
            <v>NM</v>
          </cell>
          <cell r="AK12" t="str">
            <v>NM</v>
          </cell>
          <cell r="AL12" t="str">
            <v>NM</v>
          </cell>
          <cell r="AM12" t="str">
            <v>NM</v>
          </cell>
          <cell r="AN12" t="str">
            <v>NM</v>
          </cell>
          <cell r="AP12" t="str">
            <v>NM</v>
          </cell>
          <cell r="AQ12" t="str">
            <v>NM</v>
          </cell>
          <cell r="AR12" t="str">
            <v>NM</v>
          </cell>
          <cell r="AS12" t="str">
            <v>NM</v>
          </cell>
          <cell r="AT12" t="str">
            <v>NM</v>
          </cell>
        </row>
        <row r="13">
          <cell r="A13" t="str">
            <v>LDT International</v>
          </cell>
          <cell r="B13" t="str">
            <v>R&amp;D</v>
          </cell>
          <cell r="C13" t="str">
            <v>14.0-17.3K</v>
          </cell>
          <cell r="D13" t="str">
            <v>$(0.01)  -  $0.01</v>
          </cell>
          <cell r="E13" t="str">
            <v>Grow &gt;Sales</v>
          </cell>
          <cell r="F13" t="str">
            <v xml:space="preserve">$0.31  -  $0.34 </v>
          </cell>
          <cell r="H13">
            <v>0.32544434366078834</v>
          </cell>
          <cell r="I13">
            <v>0.26904301927540586</v>
          </cell>
          <cell r="J13" t="str">
            <v>60.7-100.1K</v>
          </cell>
          <cell r="K13" t="str">
            <v>59.6-80.8K</v>
          </cell>
          <cell r="M13">
            <v>7.0000000000000007E-2</v>
          </cell>
          <cell r="T13">
            <v>7.880374642822896E-2</v>
          </cell>
          <cell r="U13">
            <v>8.1376321144012581E-2</v>
          </cell>
          <cell r="W13" t="str">
            <v>EPS</v>
          </cell>
          <cell r="AD13">
            <v>0.91247672253258871</v>
          </cell>
          <cell r="AE13">
            <v>1.0356011607837188</v>
          </cell>
          <cell r="AF13">
            <v>1.0181124880838901</v>
          </cell>
          <cell r="AG13">
            <v>1.0231884057971017</v>
          </cell>
          <cell r="AH13">
            <v>3.987741129886099</v>
          </cell>
          <cell r="AJ13">
            <v>0.99087310954133134</v>
          </cell>
          <cell r="AK13">
            <v>1.028022203602458</v>
          </cell>
          <cell r="AL13">
            <v>1.0578723801434591</v>
          </cell>
          <cell r="AM13">
            <v>1.1449731598146324</v>
          </cell>
          <cell r="AN13">
            <v>4.219649235109503</v>
          </cell>
          <cell r="AP13">
            <v>1.1198511720808866</v>
          </cell>
          <cell r="AQ13">
            <v>1.1221842385804406</v>
          </cell>
          <cell r="AR13">
            <v>1.1476992361722782</v>
          </cell>
          <cell r="AS13">
            <v>1.1627815329980131</v>
          </cell>
          <cell r="AT13">
            <v>4.5518801414962899</v>
          </cell>
        </row>
        <row r="14">
          <cell r="A14" t="str">
            <v>Horizon Volume</v>
          </cell>
          <cell r="B14" t="str">
            <v>Tax Rate</v>
          </cell>
          <cell r="C14" t="str">
            <v>27.7-35.5K</v>
          </cell>
          <cell r="D14" t="str">
            <v>Trend +10% above guide</v>
          </cell>
          <cell r="E14">
            <v>0.31</v>
          </cell>
          <cell r="F14">
            <v>0.3</v>
          </cell>
          <cell r="G14">
            <v>0.28000000000000003</v>
          </cell>
          <cell r="H14">
            <v>27831.585080713929</v>
          </cell>
          <cell r="I14" t="str">
            <v>28-29%</v>
          </cell>
          <cell r="J14" t="str">
            <v>28-29%</v>
          </cell>
          <cell r="K14" t="str">
            <v>66.8-76.5K</v>
          </cell>
          <cell r="M14">
            <v>0.28000000000000003</v>
          </cell>
          <cell r="O14">
            <v>33785.583085702063</v>
          </cell>
          <cell r="P14">
            <v>34849.090626071578</v>
          </cell>
          <cell r="T14">
            <v>0.28879985127257674</v>
          </cell>
          <cell r="U14">
            <v>0.29000000000000009</v>
          </cell>
          <cell r="W14" t="str">
            <v>Growth</v>
          </cell>
          <cell r="AH14" t="e">
            <v>#DIV/0!</v>
          </cell>
          <cell r="AN14">
            <v>5.8155255737482703E-2</v>
          </cell>
          <cell r="AT14">
            <v>7.8734247297729487E-2</v>
          </cell>
        </row>
        <row r="15">
          <cell r="A15" t="str">
            <v>Gross Margin (%)</v>
          </cell>
          <cell r="B15" t="str">
            <v>EPS ex Items</v>
          </cell>
          <cell r="C15" t="str">
            <v>38%-41%</v>
          </cell>
          <cell r="D15" t="str">
            <v>~35%</v>
          </cell>
          <cell r="E15" t="str">
            <v>$3.92 - $4.02</v>
          </cell>
          <cell r="F15" t="str">
            <v>~$3.94/+15%</v>
          </cell>
          <cell r="G15" t="str">
            <v>$3.76 - 3.84 / 9%-12%</v>
          </cell>
          <cell r="H15">
            <v>0.37461010605431838</v>
          </cell>
          <cell r="I15" t="str">
            <v>$4.06-4.16</v>
          </cell>
          <cell r="J15" t="str">
            <v>$4.08-4.16</v>
          </cell>
          <cell r="K15" t="str">
            <v>39%-43%</v>
          </cell>
          <cell r="M15" t="str">
            <v>$4.22-4.34</v>
          </cell>
          <cell r="N15" t="str">
            <v>$4.22-4.34</v>
          </cell>
          <cell r="O15" t="str">
            <v>$4.22-4.34 ex $0.16 litigation</v>
          </cell>
          <cell r="P15" t="str">
            <v>$4.11-4.26</v>
          </cell>
          <cell r="Q15" t="str">
            <v>$4.25-4.35</v>
          </cell>
          <cell r="R15" t="str">
            <v>$4.25-4.35</v>
          </cell>
          <cell r="T15">
            <v>4.219649235109503</v>
          </cell>
          <cell r="U15">
            <v>4.4220341384264259</v>
          </cell>
          <cell r="W15" t="str">
            <v>Consensus</v>
          </cell>
          <cell r="AD15">
            <v>0.91247672253258871</v>
          </cell>
          <cell r="AE15">
            <v>1.0356011607837188</v>
          </cell>
          <cell r="AF15">
            <v>1.0181124880838901</v>
          </cell>
          <cell r="AG15">
            <v>1.0231884057971017</v>
          </cell>
          <cell r="AH15">
            <v>3.987741129886099</v>
          </cell>
          <cell r="AJ15" t="str">
            <v>#Refresh#</v>
          </cell>
          <cell r="AK15" t="str">
            <v>#Refresh#</v>
          </cell>
          <cell r="AL15" t="str">
            <v>#Refresh#</v>
          </cell>
          <cell r="AM15" t="e">
            <v>#VALUE!</v>
          </cell>
          <cell r="AN15" t="str">
            <v>#Refresh#</v>
          </cell>
          <cell r="AP15" t="str">
            <v>#Refresh#</v>
          </cell>
          <cell r="AQ15" t="str">
            <v>#Refresh#</v>
          </cell>
          <cell r="AR15" t="str">
            <v>#Refresh#</v>
          </cell>
          <cell r="AS15" t="str">
            <v>#Refresh#</v>
          </cell>
          <cell r="AT15" t="str">
            <v>#Refresh#</v>
          </cell>
        </row>
        <row r="16">
          <cell r="A16" t="str">
            <v>R&amp;D (%)</v>
          </cell>
          <cell r="B16" t="str">
            <v>Shares</v>
          </cell>
          <cell r="C16" t="str">
            <v>NA</v>
          </cell>
          <cell r="D16" t="str">
            <v>15%-18%</v>
          </cell>
          <cell r="E16" t="str">
            <v>116mn</v>
          </cell>
          <cell r="G16">
            <v>0.15119930868627454</v>
          </cell>
          <cell r="H16">
            <v>0.15096593391524982</v>
          </cell>
          <cell r="I16">
            <v>0.12866421033502107</v>
          </cell>
          <cell r="O16">
            <v>0.12239036211636012</v>
          </cell>
          <cell r="P16">
            <v>0.12222733639489843</v>
          </cell>
          <cell r="T16">
            <v>100.292</v>
          </cell>
          <cell r="U16">
            <v>101.15</v>
          </cell>
          <cell r="W16" t="str">
            <v>Growth</v>
          </cell>
          <cell r="AH16" t="e">
            <v>#DIV/0!</v>
          </cell>
          <cell r="AJ16" t="e">
            <v>#VALUE!</v>
          </cell>
          <cell r="AK16" t="e">
            <v>#VALUE!</v>
          </cell>
          <cell r="AL16" t="e">
            <v>#VALUE!</v>
          </cell>
          <cell r="AM16" t="e">
            <v>#VALUE!</v>
          </cell>
          <cell r="AN16" t="e">
            <v>#VALUE!</v>
          </cell>
          <cell r="AT16" t="e">
            <v>#VALUE!</v>
          </cell>
        </row>
        <row r="17">
          <cell r="A17" t="str">
            <v>SG&amp;A (%)</v>
          </cell>
          <cell r="D17" t="str">
            <v>~60%</v>
          </cell>
          <cell r="E17" t="str">
            <v>~60%</v>
          </cell>
          <cell r="G17">
            <v>0.60067016821526598</v>
          </cell>
          <cell r="H17">
            <v>0.59897120336558185</v>
          </cell>
          <cell r="O17">
            <v>0.47831865171122673</v>
          </cell>
          <cell r="P17">
            <v>0.4780832247244855</v>
          </cell>
          <cell r="W17" t="str">
            <v>MSe vs Consensus</v>
          </cell>
          <cell r="AJ17" t="str">
            <v>NM</v>
          </cell>
          <cell r="AK17" t="str">
            <v>NM</v>
          </cell>
          <cell r="AL17" t="str">
            <v>NM</v>
          </cell>
          <cell r="AM17" t="str">
            <v>NM</v>
          </cell>
          <cell r="AN17" t="str">
            <v>NM</v>
          </cell>
          <cell r="AP17" t="str">
            <v>NM</v>
          </cell>
          <cell r="AQ17" t="str">
            <v>NM</v>
          </cell>
          <cell r="AR17" t="str">
            <v>NM</v>
          </cell>
          <cell r="AS17" t="str">
            <v>NM</v>
          </cell>
          <cell r="AT17" t="str">
            <v>NM</v>
          </cell>
        </row>
        <row r="18">
          <cell r="A18" t="str">
            <v>Quarterly</v>
          </cell>
          <cell r="H18" t="str">
            <v>MS</v>
          </cell>
          <cell r="O18" t="str">
            <v>3Q14</v>
          </cell>
          <cell r="P18" t="str">
            <v>4Q14</v>
          </cell>
          <cell r="Q18" t="str">
            <v>1Q15E</v>
          </cell>
          <cell r="R18" t="str">
            <v>2Q15E</v>
          </cell>
          <cell r="AU18" t="str">
            <v>Varian estimates Siemens $100-200mn "potential"</v>
          </cell>
          <cell r="AX18" t="str">
            <v>THIS WAS THE FY12 HIT, SO DOUBLE THE IMPACTS FOR FY13</v>
          </cell>
        </row>
        <row r="19">
          <cell r="A19" t="str">
            <v>Pre-Updated Guidance</v>
          </cell>
          <cell r="B19" t="str">
            <v>Reported Revenue</v>
          </cell>
          <cell r="C19">
            <v>42208</v>
          </cell>
          <cell r="D19">
            <v>42297</v>
          </cell>
          <cell r="E19" t="str">
            <v>10% - 11%</v>
          </cell>
          <cell r="F19">
            <v>0.1</v>
          </cell>
          <cell r="G19">
            <v>0.1</v>
          </cell>
          <cell r="H19" t="str">
            <v>Current</v>
          </cell>
          <cell r="I19" t="str">
            <v>8-9% Incl ~$80-90mn Proton</v>
          </cell>
          <cell r="J19" t="str">
            <v>8-9% Incl ~$80mn Proton</v>
          </cell>
          <cell r="K19" t="str">
            <v>8% Incl ~$80mn Proton</v>
          </cell>
          <cell r="L19">
            <v>0.05</v>
          </cell>
          <cell r="O19" t="str">
            <v>5-6%</v>
          </cell>
          <cell r="P19" t="str">
            <v>7-15%</v>
          </cell>
          <cell r="Q19" t="str">
            <v>0-2%</v>
          </cell>
          <cell r="R19">
            <v>0.02</v>
          </cell>
          <cell r="T19">
            <v>7.8951012355150674E-3</v>
          </cell>
          <cell r="U19">
            <v>4.405266538214514E-2</v>
          </cell>
          <cell r="AX19" t="str">
            <v>($mn)</v>
          </cell>
          <cell r="AY19">
            <v>2011</v>
          </cell>
          <cell r="AZ19">
            <v>2012</v>
          </cell>
          <cell r="BA19" t="str">
            <v>Change</v>
          </cell>
        </row>
        <row r="20">
          <cell r="A20" t="str">
            <v>Revenue</v>
          </cell>
          <cell r="B20" t="str">
            <v>EBIT Margin</v>
          </cell>
          <cell r="C20" t="str">
            <v>3Q15</v>
          </cell>
          <cell r="D20" t="str">
            <v>4Q15</v>
          </cell>
          <cell r="E20">
            <v>0.23</v>
          </cell>
          <cell r="F20" t="str">
            <v>3Q16</v>
          </cell>
          <cell r="G20">
            <v>1.6779976728058754E-2</v>
          </cell>
          <cell r="H20">
            <v>188.9199680241542</v>
          </cell>
          <cell r="O20">
            <v>2.0081965074272068E-2</v>
          </cell>
          <cell r="P20">
            <v>254.61637786748523</v>
          </cell>
          <cell r="T20">
            <v>0.19113005864688892</v>
          </cell>
          <cell r="U20">
            <v>0.19192385779932206</v>
          </cell>
          <cell r="AU20" t="str">
            <v>Siemens Impact in Varian Est's</v>
          </cell>
          <cell r="AX20" t="str">
            <v>Average Center Revenue</v>
          </cell>
          <cell r="AY20">
            <v>6800</v>
          </cell>
          <cell r="AZ20">
            <v>6260</v>
          </cell>
          <cell r="BA20">
            <v>-7.9411764705882404E-2</v>
          </cell>
        </row>
        <row r="21">
          <cell r="A21" t="str">
            <v>US Volume</v>
          </cell>
          <cell r="B21" t="str">
            <v>R&amp;D</v>
          </cell>
          <cell r="C21" t="str">
            <v>Non-GAAP</v>
          </cell>
          <cell r="D21" t="str">
            <v>Non-GAAP</v>
          </cell>
          <cell r="E21" t="str">
            <v>Grow &gt;Sales</v>
          </cell>
          <cell r="F21" t="str">
            <v>Non-GAAP</v>
          </cell>
          <cell r="H21">
            <v>179744.99178521754</v>
          </cell>
          <cell r="P21">
            <v>404143.8381669654</v>
          </cell>
          <cell r="T21">
            <v>7.9618859412648874E-2</v>
          </cell>
          <cell r="U21">
            <v>7.9752979533584775E-2</v>
          </cell>
          <cell r="AU21" t="str">
            <v>Installed Base</v>
          </cell>
          <cell r="AV21">
            <v>2200</v>
          </cell>
          <cell r="AX21" t="str">
            <v>Physician/Contract Svcs</v>
          </cell>
          <cell r="AY21">
            <v>-1373</v>
          </cell>
          <cell r="AZ21">
            <v>-1264</v>
          </cell>
          <cell r="BA21">
            <v>-7.9388201019664928E-2</v>
          </cell>
        </row>
        <row r="22">
          <cell r="A22" t="str">
            <v>LDT US</v>
          </cell>
          <cell r="B22" t="str">
            <v>Tax Rate</v>
          </cell>
          <cell r="C22" t="str">
            <v>$125-$128</v>
          </cell>
          <cell r="D22" t="str">
            <v>$146-$150</v>
          </cell>
          <cell r="E22">
            <v>0.31</v>
          </cell>
          <cell r="F22">
            <v>0.3</v>
          </cell>
          <cell r="G22">
            <v>0.28000000000000003</v>
          </cell>
          <cell r="H22">
            <v>152.75029504233635</v>
          </cell>
          <cell r="I22" t="str">
            <v>28-29%</v>
          </cell>
          <cell r="J22" t="str">
            <v>28-29%</v>
          </cell>
          <cell r="K22" t="str">
            <v>28-29%</v>
          </cell>
          <cell r="L22" t="str">
            <v>Approach 29%</v>
          </cell>
          <cell r="T22">
            <v>0.28999999999999998</v>
          </cell>
          <cell r="U22">
            <v>0.28999999999999998</v>
          </cell>
          <cell r="AU22" t="str">
            <v>Annual Repl. Rate</v>
          </cell>
          <cell r="AV22">
            <v>8.3333333333333329E-2</v>
          </cell>
          <cell r="AX22" t="str">
            <v>Staff Salaries</v>
          </cell>
          <cell r="AY22">
            <v>-858</v>
          </cell>
          <cell r="AZ22">
            <v>-832</v>
          </cell>
          <cell r="BA22">
            <v>-3.0303030303030276E-2</v>
          </cell>
        </row>
        <row r="23">
          <cell r="A23" t="str">
            <v>US Lab Volumes</v>
          </cell>
          <cell r="B23" t="str">
            <v>EPS</v>
          </cell>
          <cell r="C23" t="str">
            <v>Reported +9%-11%
CC NA</v>
          </cell>
          <cell r="D23" t="str">
            <v>Reported +11%-14%
CC +14%-17%</v>
          </cell>
          <cell r="E23" t="str">
            <v>$3.92 - $4.02</v>
          </cell>
          <cell r="F23" t="str">
            <v>~$3.94/+15%</v>
          </cell>
          <cell r="G23" t="str">
            <v>$3.76 - 3.84 / 9%-12%</v>
          </cell>
          <cell r="H23">
            <v>45302.247946304393</v>
          </cell>
          <cell r="I23" t="str">
            <v>$4.06-4.16</v>
          </cell>
          <cell r="J23" t="str">
            <v>$4.08-4.16</v>
          </cell>
          <cell r="K23" t="str">
            <v>$4.09-4.14</v>
          </cell>
          <cell r="L23" t="str">
            <v>$4.00-4.04</v>
          </cell>
          <cell r="O23" t="str">
            <v>$1.06-1.10</v>
          </cell>
          <cell r="P23" t="str">
            <v>$1.14-1.29</v>
          </cell>
          <cell r="Q23" t="str">
            <v>$0.76-0.80</v>
          </cell>
          <cell r="R23" t="str">
            <v>$0.98-1.02</v>
          </cell>
          <cell r="T23">
            <v>1.028022203602458</v>
          </cell>
          <cell r="U23">
            <v>1.1069145896542205</v>
          </cell>
          <cell r="AU23" t="str">
            <v>ASP ($000s)</v>
          </cell>
          <cell r="AV23">
            <v>1000</v>
          </cell>
          <cell r="AX23" t="str">
            <v>Other Services</v>
          </cell>
          <cell r="AY23">
            <v>-340</v>
          </cell>
          <cell r="AZ23">
            <v>-330</v>
          </cell>
          <cell r="BA23">
            <v>-2.9411764705882359E-2</v>
          </cell>
        </row>
        <row r="24">
          <cell r="A24" t="str">
            <v>International Volume</v>
          </cell>
          <cell r="B24" t="str">
            <v>Shares</v>
          </cell>
          <cell r="C24" t="str">
            <v>~ 51%</v>
          </cell>
          <cell r="D24" t="str">
            <v>~ 52%</v>
          </cell>
          <cell r="E24" t="str">
            <v>116mn</v>
          </cell>
          <cell r="F24" t="str">
            <v>Below 52%</v>
          </cell>
          <cell r="H24">
            <v>53765.862089335234</v>
          </cell>
          <cell r="I24">
            <v>0.52441666666666664</v>
          </cell>
          <cell r="P24">
            <v>94898.234704332746</v>
          </cell>
          <cell r="T24">
            <v>100.642</v>
          </cell>
          <cell r="U24">
            <v>101.5</v>
          </cell>
          <cell r="AU24" t="str">
            <v>Varian New Order Share</v>
          </cell>
          <cell r="AV24">
            <v>0.6</v>
          </cell>
          <cell r="AX24" t="str">
            <v>Medical/Office Supplies</v>
          </cell>
          <cell r="AY24">
            <v>-71</v>
          </cell>
          <cell r="AZ24">
            <v>-68</v>
          </cell>
          <cell r="BA24">
            <v>-4.2253521126760618E-2</v>
          </cell>
        </row>
        <row r="25">
          <cell r="A25" t="str">
            <v>LDT International</v>
          </cell>
          <cell r="B25" t="str">
            <v>NA</v>
          </cell>
          <cell r="C25" t="str">
            <v>NA</v>
          </cell>
          <cell r="D25" t="str">
            <v>NA</v>
          </cell>
          <cell r="H25">
            <v>4.3273002615563369E-2</v>
          </cell>
          <cell r="I25">
            <v>4.1247845253627444E-2</v>
          </cell>
          <cell r="AU25" t="str">
            <v>% Incremental *</v>
          </cell>
          <cell r="AV25">
            <v>0.67</v>
          </cell>
          <cell r="AX25" t="str">
            <v>Office Expenses</v>
          </cell>
          <cell r="AY25">
            <v>-38</v>
          </cell>
          <cell r="AZ25">
            <v>-37</v>
          </cell>
          <cell r="BA25">
            <v>-2.6315789473684181E-2</v>
          </cell>
        </row>
        <row r="26">
          <cell r="A26" t="str">
            <v>Horizon Volume</v>
          </cell>
          <cell r="B26" t="str">
            <v>$(0.23) - $(0.22)</v>
          </cell>
          <cell r="C26" t="str">
            <v>$(0.30) - $(0.28)</v>
          </cell>
          <cell r="D26" t="str">
            <v>$(0.19) - $(0.17)</v>
          </cell>
          <cell r="H26">
            <v>27831.585080713929</v>
          </cell>
          <cell r="I26">
            <v>-0.13675105476128729</v>
          </cell>
          <cell r="P26">
            <v>34849.090626071578</v>
          </cell>
          <cell r="U26">
            <v>-3.0232558139534849E-2</v>
          </cell>
          <cell r="AU26" t="str">
            <v>Incremental '13 $ Orders</v>
          </cell>
          <cell r="AV26">
            <v>73.699999999999989</v>
          </cell>
          <cell r="AX26" t="str">
            <v>G&amp;A</v>
          </cell>
          <cell r="AY26">
            <v>-4</v>
          </cell>
          <cell r="AZ26">
            <v>-4</v>
          </cell>
          <cell r="BA26">
            <v>0</v>
          </cell>
        </row>
        <row r="27">
          <cell r="A27" t="str">
            <v>Gross Margin (%)</v>
          </cell>
          <cell r="B27" t="str">
            <v>$(0.06) - $(0.05)</v>
          </cell>
          <cell r="C27" t="str">
            <v>$(0.08) - $(0.06)</v>
          </cell>
          <cell r="D27" t="str">
            <v>$0.01 - $0.03</v>
          </cell>
          <cell r="H27">
            <v>0.41519587188367379</v>
          </cell>
          <cell r="I27">
            <v>5.6618151097226566E-2</v>
          </cell>
          <cell r="P27">
            <v>0.41037262481687647</v>
          </cell>
          <cell r="AU27" t="str">
            <v>% of Oncology</v>
          </cell>
          <cell r="AV27">
            <v>3.2056021921621491E-2</v>
          </cell>
          <cell r="AX27" t="str">
            <v xml:space="preserve">Rent </v>
          </cell>
          <cell r="AY27">
            <v>-487</v>
          </cell>
          <cell r="AZ27">
            <v>-487</v>
          </cell>
          <cell r="BA27">
            <v>0</v>
          </cell>
        </row>
        <row r="28">
          <cell r="A28" t="str">
            <v>R&amp;D (%)</v>
          </cell>
          <cell r="B28" t="str">
            <v>Loss: 71mn 
Income: 74mn</v>
          </cell>
          <cell r="C28" t="str">
            <v>Loss: 75mn 
Income: 75mn</v>
          </cell>
          <cell r="D28" t="str">
            <v>Loss: 72mn 
Income: 75mn</v>
          </cell>
          <cell r="H28">
            <v>0.127</v>
          </cell>
          <cell r="I28">
            <v>73.077826780284397</v>
          </cell>
          <cell r="P28">
            <v>0.11600000000000001</v>
          </cell>
          <cell r="AU28" t="str">
            <v>% of VAR</v>
          </cell>
          <cell r="AV28">
            <v>2.4834883407467308E-2</v>
          </cell>
          <cell r="AX28" t="str">
            <v>Equipment Leases</v>
          </cell>
          <cell r="AY28">
            <v>-916</v>
          </cell>
          <cell r="AZ28">
            <v>-916</v>
          </cell>
          <cell r="BA28">
            <v>0</v>
          </cell>
        </row>
        <row r="29">
          <cell r="A29" t="str">
            <v>SG&amp;A (%)</v>
          </cell>
          <cell r="B29" t="str">
            <v>NA</v>
          </cell>
          <cell r="C29" t="str">
            <v>NA</v>
          </cell>
          <cell r="D29" t="str">
            <v>NA</v>
          </cell>
          <cell r="H29">
            <v>0.51900000000000002</v>
          </cell>
          <cell r="I29">
            <v>10.13100133036963</v>
          </cell>
          <cell r="P29">
            <v>0.437</v>
          </cell>
          <cell r="AU29" t="str">
            <v>PV Discounted 10%</v>
          </cell>
          <cell r="AV29">
            <v>2.2351395066720577E-2</v>
          </cell>
          <cell r="AX29" t="str">
            <v xml:space="preserve">Operating Profit </v>
          </cell>
          <cell r="AY29">
            <v>2713</v>
          </cell>
          <cell r="AZ29">
            <v>2322</v>
          </cell>
          <cell r="BA29">
            <v>-0.14412089937338735</v>
          </cell>
        </row>
        <row r="30">
          <cell r="AU30" t="str">
            <v>* Varian estimate; reflects baseline</v>
          </cell>
          <cell r="AX30" t="str">
            <v>Operating Margin</v>
          </cell>
          <cell r="AY30">
            <v>0.39897058823529413</v>
          </cell>
          <cell r="AZ30">
            <v>0.37092651757188499</v>
          </cell>
        </row>
        <row r="31">
          <cell r="D31">
            <v>159.334788</v>
          </cell>
          <cell r="E31">
            <v>182.5</v>
          </cell>
          <cell r="L31">
            <v>230</v>
          </cell>
          <cell r="AU31" t="str">
            <v>rate of share capture</v>
          </cell>
        </row>
        <row r="32">
          <cell r="E32">
            <v>0.14538703249161133</v>
          </cell>
          <cell r="L32">
            <v>0.26027397260273966</v>
          </cell>
          <cell r="AX32" t="str">
            <v>Source: AMAC</v>
          </cell>
        </row>
        <row r="33">
          <cell r="L33" t="str">
            <v>Long Term Financial Model</v>
          </cell>
          <cell r="AU33" t="str">
            <v>US</v>
          </cell>
          <cell r="AV33">
            <v>250</v>
          </cell>
        </row>
        <row r="34">
          <cell r="L34">
            <v>2017</v>
          </cell>
          <cell r="M34" t="str">
            <v>Beyond 2017</v>
          </cell>
          <cell r="AU34" t="str">
            <v>Europe</v>
          </cell>
          <cell r="AV34">
            <v>250</v>
          </cell>
        </row>
        <row r="35">
          <cell r="A35" t="str">
            <v>Commercial Revenue Growth</v>
          </cell>
          <cell r="L35" t="str">
            <v>High teens to 20%</v>
          </cell>
          <cell r="AU35" t="str">
            <v>Other</v>
          </cell>
          <cell r="AV35">
            <v>1700</v>
          </cell>
        </row>
        <row r="36">
          <cell r="A36" t="str">
            <v>Commercial Clinical Rev. Growth</v>
          </cell>
          <cell r="L36" t="str">
            <v>Low 20%s</v>
          </cell>
        </row>
        <row r="37">
          <cell r="A37" t="str">
            <v>Gross Margin</v>
          </cell>
          <cell r="L37" t="str">
            <v>56%-58%</v>
          </cell>
          <cell r="M37">
            <v>0.6</v>
          </cell>
          <cell r="AU37" t="str">
            <v>ESTIMATE OF REIMBURSEMENT CUT IMPACT</v>
          </cell>
        </row>
        <row r="38">
          <cell r="A38" t="str">
            <v>R&amp;D</v>
          </cell>
          <cell r="L38" t="str">
            <v>~14%</v>
          </cell>
        </row>
        <row r="39">
          <cell r="A39" t="str">
            <v>S&amp;M</v>
          </cell>
          <cell r="L39" t="str">
            <v>~20%</v>
          </cell>
        </row>
        <row r="40">
          <cell r="A40" t="str">
            <v>G&amp;A</v>
          </cell>
          <cell r="L40" t="str">
            <v>8%</v>
          </cell>
          <cell r="AU40" t="str">
            <v>5% Installed base reduction over 2 years</v>
          </cell>
        </row>
        <row r="41">
          <cell r="A41" t="str">
            <v>EBIT Margin</v>
          </cell>
          <cell r="L41" t="str">
            <v>Mid to high teens</v>
          </cell>
          <cell r="M41" t="str">
            <v>Low 20%s</v>
          </cell>
          <cell r="AU41" t="str">
            <v>Company Response</v>
          </cell>
        </row>
        <row r="42">
          <cell r="AU42" t="str">
            <v>we are proposing a bundling system with registry tied to NCCN guidelines</v>
          </cell>
        </row>
        <row r="43">
          <cell r="AU43" t="str">
            <v>- increasing costs would suggest a payment increase even if you cut the treatment times to 30 minutes</v>
          </cell>
        </row>
        <row r="44">
          <cell r="AU44" t="str">
            <v>- you can't change minutes without changing the resource/cost basis at the same time</v>
          </cell>
        </row>
        <row r="45">
          <cell r="AU45" t="str">
            <v>- they assume 1.8mn linac price - they do not assume cost of the vault</v>
          </cell>
        </row>
        <row r="47">
          <cell r="AU47" t="str">
            <v>will halt investments and acquisitions until we have clarity on the outcome of the payment proposals</v>
          </cell>
        </row>
        <row r="48">
          <cell r="AU48" t="str">
            <v>*** so orders could be down in NA oncology by 10% at VAR assuming they cut all system spend?</v>
          </cell>
        </row>
        <row r="49">
          <cell r="AU49" t="str">
            <v xml:space="preserve">Capex-we had already been taking it down to 20-25mn, this would prompt a move to 15-20mn </v>
          </cell>
        </row>
        <row r="50">
          <cell r="AU50" t="str">
            <v>Capex trend:  2009: 35.4, 2010: 43.8, 2011: 36.6</v>
          </cell>
        </row>
        <row r="52">
          <cell r="AV52" t="str">
            <v>RTSX</v>
          </cell>
          <cell r="AX52" t="str">
            <v>Varian US</v>
          </cell>
        </row>
        <row r="53">
          <cell r="AV53" t="str">
            <v>Capex</v>
          </cell>
          <cell r="AX53" t="str">
            <v>FSC Mix</v>
          </cell>
        </row>
        <row r="54">
          <cell r="AU54">
            <v>2009</v>
          </cell>
          <cell r="AV54">
            <v>35.4</v>
          </cell>
          <cell r="AX54">
            <v>0.25</v>
          </cell>
        </row>
        <row r="55">
          <cell r="AU55">
            <v>2010</v>
          </cell>
          <cell r="AV55">
            <v>43.8</v>
          </cell>
          <cell r="AW55">
            <v>0.23728813559322037</v>
          </cell>
          <cell r="AX55">
            <v>0.3</v>
          </cell>
        </row>
        <row r="56">
          <cell r="AU56">
            <v>2011</v>
          </cell>
          <cell r="AV56">
            <v>36.6</v>
          </cell>
          <cell r="AW56">
            <v>-0.1643835616438355</v>
          </cell>
        </row>
        <row r="57">
          <cell r="AU57">
            <v>2012</v>
          </cell>
          <cell r="AV57">
            <v>22</v>
          </cell>
          <cell r="AW57">
            <v>-0.39890710382513661</v>
          </cell>
        </row>
        <row r="58">
          <cell r="AU58">
            <v>2013</v>
          </cell>
          <cell r="AV58">
            <v>17</v>
          </cell>
          <cell r="AW58">
            <v>-0.22727272727272729</v>
          </cell>
        </row>
      </sheetData>
      <sheetData sheetId="9">
        <row r="2">
          <cell r="H2" t="str">
            <v>Y/Y Growth</v>
          </cell>
        </row>
      </sheetData>
      <sheetData sheetId="10" refreshError="1"/>
      <sheetData sheetId="11">
        <row r="2">
          <cell r="C2" t="str">
            <v>2Q15E</v>
          </cell>
        </row>
      </sheetData>
      <sheetData sheetId="12" refreshError="1"/>
      <sheetData sheetId="13"/>
      <sheetData sheetId="14">
        <row r="3">
          <cell r="B3">
            <v>2009</v>
          </cell>
        </row>
      </sheetData>
      <sheetData sheetId="15" refreshError="1"/>
      <sheetData sheetId="16"/>
      <sheetData sheetId="17" refreshError="1"/>
      <sheetData sheetId="18" refreshError="1"/>
      <sheetData sheetId="19">
        <row r="1">
          <cell r="A1" t="str">
            <v>Natera</v>
          </cell>
        </row>
      </sheetData>
      <sheetData sheetId="20"/>
      <sheetData sheetId="21"/>
      <sheetData sheetId="22"/>
      <sheetData sheetId="23" refreshError="1"/>
      <sheetData sheetId="24" refreshError="1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 refreshError="1"/>
      <sheetData sheetId="35" refreshError="1"/>
      <sheetData sheetId="3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 UPLOAD shadow"/>
      <sheetName val="NY UPLOAD"/>
      <sheetName val="Client Title Page "/>
      <sheetName val="Title Page"/>
      <sheetName val="__FDSCACHE__"/>
      <sheetName val="Drivers"/>
      <sheetName val="Valuations"/>
      <sheetName val="Lipitor NPV"/>
      <sheetName val="mwareTaxoPres"/>
      <sheetName val="mwareValPrintout"/>
      <sheetName val="Lipitor NPV-Mar 2010"/>
      <sheetName val="5 yr Sales and Earnings"/>
      <sheetName val="Qtr Income"/>
      <sheetName val="Qtr Margin"/>
      <sheetName val="Qtr Sales"/>
      <sheetName val="Gross Mgn Calc"/>
      <sheetName val="Alliance revenues"/>
      <sheetName val="Product History"/>
      <sheetName val="mwarePreview"/>
      <sheetName val="BalanceSheet"/>
      <sheetName val="Cashflow"/>
      <sheetName val="ROIC"/>
      <sheetName val="RI Valuation"/>
      <sheetName val="Dynamic Convergence"/>
      <sheetName val="Global Feed"/>
      <sheetName val="Summary"/>
      <sheetName val="Q-Preview"/>
      <sheetName val="PFE Qtr Incomesolo"/>
      <sheetName val="PFE Qtr Marginsolo"/>
      <sheetName val="PFE Qrt Salessolo"/>
      <sheetName val="PFE 2 Qtr Salessolo"/>
      <sheetName val="PHAPharmaSales"/>
      <sheetName val="Combined products"/>
      <sheetName val="PFE-PHA mergerold"/>
      <sheetName val="P&amp;L Charts"/>
      <sheetName val="setbacks"/>
      <sheetName val="mwareDates"/>
      <sheetName val="TO DO"/>
      <sheetName val="mwareSettings"/>
      <sheetName val="mStartup"/>
      <sheetName val="EPS Sensitivity"/>
      <sheetName val="PFE Qtr Income"/>
      <sheetName val="PFE Qtr Margin"/>
      <sheetName val="PFE Qtr Sales"/>
      <sheetName val="PFE Q-Preview"/>
      <sheetName val="Implied ROIC "/>
      <sheetName val="P&amp;L Charts (2)"/>
      <sheetName val="ADJ ROIC"/>
      <sheetName val="PFEwork"/>
      <sheetName val="xbrlPreview"/>
      <sheetName val="xbrldates"/>
      <sheetName val="xbrlSettings"/>
      <sheetName val="BS CHeck"/>
      <sheetName val="MWare_Cached"/>
      <sheetName val="Sheet1"/>
      <sheetName val=""/>
      <sheetName val="Torcetrapib"/>
      <sheetName val="Divestiture calculation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5">
          <cell r="C5" t="str">
            <v>2001A</v>
          </cell>
        </row>
        <row r="6">
          <cell r="C6">
            <v>6449</v>
          </cell>
        </row>
        <row r="7">
          <cell r="C7">
            <v>3582</v>
          </cell>
        </row>
        <row r="8">
          <cell r="C8">
            <v>551</v>
          </cell>
        </row>
        <row r="9">
          <cell r="C9">
            <v>604</v>
          </cell>
        </row>
        <row r="10">
          <cell r="C10">
            <v>284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2367</v>
          </cell>
        </row>
        <row r="14">
          <cell r="C14">
            <v>1751</v>
          </cell>
        </row>
        <row r="15">
          <cell r="C15">
            <v>323</v>
          </cell>
        </row>
        <row r="16">
          <cell r="C16">
            <v>149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1507</v>
          </cell>
        </row>
        <row r="24">
          <cell r="C24">
            <v>1067</v>
          </cell>
        </row>
        <row r="25">
          <cell r="C25">
            <v>365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1518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261</v>
          </cell>
        </row>
        <row r="33">
          <cell r="C33">
            <v>0</v>
          </cell>
        </row>
        <row r="34">
          <cell r="C34">
            <v>989</v>
          </cell>
        </row>
        <row r="35">
          <cell r="C35">
            <v>323</v>
          </cell>
        </row>
        <row r="36">
          <cell r="C36">
            <v>3050</v>
          </cell>
        </row>
        <row r="37">
          <cell r="C37">
            <v>3050</v>
          </cell>
        </row>
        <row r="38">
          <cell r="C38">
            <v>3050</v>
          </cell>
        </row>
        <row r="45">
          <cell r="C45">
            <v>1378</v>
          </cell>
        </row>
        <row r="47">
          <cell r="C47">
            <v>1378</v>
          </cell>
        </row>
        <row r="48">
          <cell r="C48">
            <v>1201.5</v>
          </cell>
        </row>
        <row r="49">
          <cell r="C49">
            <v>24116</v>
          </cell>
        </row>
        <row r="50">
          <cell r="C50">
            <v>1201.5</v>
          </cell>
        </row>
        <row r="51">
          <cell r="C51">
            <v>2986</v>
          </cell>
        </row>
        <row r="52">
          <cell r="C52">
            <v>1880.25</v>
          </cell>
        </row>
        <row r="53">
          <cell r="C53">
            <v>5033.5</v>
          </cell>
        </row>
        <row r="54">
          <cell r="C54">
            <v>31803.75</v>
          </cell>
        </row>
        <row r="55">
          <cell r="C55">
            <v>5033.5</v>
          </cell>
        </row>
        <row r="56">
          <cell r="C56">
            <v>26770.25</v>
          </cell>
        </row>
        <row r="57">
          <cell r="C57">
            <v>11023</v>
          </cell>
        </row>
        <row r="58">
          <cell r="C58">
            <v>278</v>
          </cell>
        </row>
        <row r="59">
          <cell r="C59">
            <v>11178.25</v>
          </cell>
        </row>
        <row r="60">
          <cell r="C60">
            <v>278</v>
          </cell>
        </row>
        <row r="61">
          <cell r="C61">
            <v>11178.25</v>
          </cell>
        </row>
        <row r="62">
          <cell r="C62">
            <v>16</v>
          </cell>
        </row>
        <row r="63">
          <cell r="C63">
            <v>2850.8362414456324</v>
          </cell>
        </row>
        <row r="64">
          <cell r="C64">
            <v>16</v>
          </cell>
        </row>
        <row r="65">
          <cell r="C65">
            <v>8311.4137585543685</v>
          </cell>
        </row>
        <row r="66">
          <cell r="C66">
            <v>8311.4137585543685</v>
          </cell>
        </row>
        <row r="67">
          <cell r="C67">
            <v>8311.4137585543685</v>
          </cell>
        </row>
        <row r="68">
          <cell r="C68">
            <v>-523</v>
          </cell>
        </row>
        <row r="69">
          <cell r="C69">
            <v>8311.4137585543685</v>
          </cell>
        </row>
        <row r="70">
          <cell r="C70">
            <v>-523</v>
          </cell>
        </row>
        <row r="71">
          <cell r="C71">
            <v>-523</v>
          </cell>
        </row>
        <row r="72">
          <cell r="C72">
            <v>7788</v>
          </cell>
        </row>
        <row r="73">
          <cell r="C73">
            <v>0.24</v>
          </cell>
        </row>
        <row r="74">
          <cell r="C74">
            <v>1.3066206191722007</v>
          </cell>
        </row>
        <row r="75">
          <cell r="C75">
            <v>0.24</v>
          </cell>
        </row>
        <row r="76">
          <cell r="C76" t="str">
            <v>--</v>
          </cell>
        </row>
        <row r="77">
          <cell r="C77">
            <v>1.3066206191722007</v>
          </cell>
        </row>
        <row r="78">
          <cell r="C78">
            <v>1.3066206191722007</v>
          </cell>
        </row>
        <row r="79">
          <cell r="C79">
            <v>6361</v>
          </cell>
        </row>
        <row r="80">
          <cell r="C80">
            <v>6361</v>
          </cell>
        </row>
        <row r="81">
          <cell r="C81" t="str">
            <v>2001A</v>
          </cell>
        </row>
        <row r="82">
          <cell r="C82" t="str">
            <v>2001A</v>
          </cell>
        </row>
        <row r="83">
          <cell r="C83">
            <v>0.84173250009825884</v>
          </cell>
        </row>
        <row r="84">
          <cell r="C84">
            <v>0.84173250009825884</v>
          </cell>
        </row>
        <row r="85">
          <cell r="C85">
            <v>0.34273474040011004</v>
          </cell>
        </row>
        <row r="86">
          <cell r="C86">
            <v>0.35147584797390247</v>
          </cell>
        </row>
        <row r="87">
          <cell r="C87">
            <v>0.34273474040011004</v>
          </cell>
        </row>
        <row r="88">
          <cell r="C88">
            <v>0.35147584797390247</v>
          </cell>
        </row>
        <row r="89">
          <cell r="C89" t="str">
            <v>--</v>
          </cell>
        </row>
        <row r="90">
          <cell r="C90" t="str">
            <v>--</v>
          </cell>
        </row>
        <row r="91">
          <cell r="C91" t="str">
            <v>--</v>
          </cell>
        </row>
        <row r="92">
          <cell r="C92" t="str">
            <v>--</v>
          </cell>
        </row>
        <row r="93">
          <cell r="C93" t="str">
            <v>--</v>
          </cell>
        </row>
        <row r="94">
          <cell r="C94" t="str">
            <v>--</v>
          </cell>
        </row>
        <row r="95">
          <cell r="C95" t="str">
            <v>--</v>
          </cell>
        </row>
        <row r="96">
          <cell r="C96" t="str">
            <v>--</v>
          </cell>
        </row>
        <row r="97">
          <cell r="C97" t="str">
            <v>--</v>
          </cell>
        </row>
        <row r="98">
          <cell r="C98" t="str">
            <v>--</v>
          </cell>
        </row>
        <row r="99">
          <cell r="C99" t="str">
            <v>--</v>
          </cell>
        </row>
        <row r="100">
          <cell r="C100" t="str">
            <v>--</v>
          </cell>
        </row>
        <row r="101">
          <cell r="C101" t="str">
            <v>--</v>
          </cell>
        </row>
        <row r="102">
          <cell r="C102" t="str">
            <v>--</v>
          </cell>
        </row>
        <row r="103">
          <cell r="C103">
            <v>10</v>
          </cell>
        </row>
        <row r="104">
          <cell r="C104">
            <v>7</v>
          </cell>
        </row>
        <row r="105">
          <cell r="C105">
            <v>10</v>
          </cell>
        </row>
        <row r="106">
          <cell r="C106">
            <v>7</v>
          </cell>
        </row>
        <row r="107">
          <cell r="C107">
            <v>0.26741582351965498</v>
          </cell>
        </row>
        <row r="108">
          <cell r="C108">
            <v>0.41594791839442691</v>
          </cell>
        </row>
        <row r="109">
          <cell r="C109" t="e">
            <v>#REF!</v>
          </cell>
        </row>
        <row r="110">
          <cell r="C110" t="e">
            <v>#REF!</v>
          </cell>
        </row>
        <row r="111">
          <cell r="C111" t="e">
            <v>#REF!</v>
          </cell>
        </row>
        <row r="112">
          <cell r="C112" t="e">
            <v>#REF!</v>
          </cell>
        </row>
        <row r="113">
          <cell r="C113" t="e">
            <v>#REF!</v>
          </cell>
        </row>
        <row r="114">
          <cell r="C114" t="e">
            <v>#REF!</v>
          </cell>
        </row>
        <row r="115">
          <cell r="C115" t="e">
            <v>#REF!</v>
          </cell>
        </row>
        <row r="116">
          <cell r="C116" t="e">
            <v>#REF!</v>
          </cell>
        </row>
        <row r="117">
          <cell r="C117" t="e">
            <v>#REF!</v>
          </cell>
        </row>
        <row r="120">
          <cell r="C120" t="str">
            <v>2001A</v>
          </cell>
        </row>
        <row r="121">
          <cell r="C121" t="str">
            <v>2001A</v>
          </cell>
        </row>
        <row r="122">
          <cell r="C122">
            <v>0.15826749990174116</v>
          </cell>
        </row>
        <row r="123">
          <cell r="C123">
            <v>0.15826749990174116</v>
          </cell>
        </row>
        <row r="124">
          <cell r="C124">
            <v>0.15826749990174116</v>
          </cell>
        </row>
        <row r="125">
          <cell r="C125">
            <v>0.15826749990174116</v>
          </cell>
        </row>
        <row r="126">
          <cell r="C126">
            <v>0</v>
          </cell>
        </row>
        <row r="127">
          <cell r="C127">
            <v>0.34659434815076839</v>
          </cell>
        </row>
        <row r="128">
          <cell r="C128">
            <v>0.34659434815076839</v>
          </cell>
        </row>
        <row r="129">
          <cell r="C129">
            <v>0.15240341154738041</v>
          </cell>
        </row>
        <row r="130">
          <cell r="C130">
            <v>0.15240341154738041</v>
          </cell>
        </row>
        <row r="131">
          <cell r="C131">
            <v>0.15240341154738041</v>
          </cell>
        </row>
        <row r="132">
          <cell r="C132">
            <v>0.15240341154738041</v>
          </cell>
        </row>
        <row r="133">
          <cell r="C133">
            <v>6449</v>
          </cell>
        </row>
        <row r="134">
          <cell r="C134">
            <v>6449</v>
          </cell>
        </row>
        <row r="135">
          <cell r="C135">
            <v>3582</v>
          </cell>
        </row>
        <row r="136">
          <cell r="C136">
            <v>551</v>
          </cell>
        </row>
        <row r="137">
          <cell r="C137">
            <v>604</v>
          </cell>
        </row>
        <row r="138">
          <cell r="C138">
            <v>284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 t="str">
            <v>_2001</v>
          </cell>
        </row>
        <row r="142">
          <cell r="C142" t="str">
            <v>2001-fy</v>
          </cell>
        </row>
        <row r="143">
          <cell r="C143">
            <v>323</v>
          </cell>
        </row>
        <row r="144">
          <cell r="C144">
            <v>149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1507</v>
          </cell>
        </row>
        <row r="152">
          <cell r="C152">
            <v>1067</v>
          </cell>
        </row>
        <row r="153">
          <cell r="C153">
            <v>365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1518</v>
          </cell>
        </row>
        <row r="157">
          <cell r="C157">
            <v>0</v>
          </cell>
        </row>
        <row r="158">
          <cell r="C158">
            <v>2004</v>
          </cell>
        </row>
        <row r="159">
          <cell r="C159">
            <v>0</v>
          </cell>
        </row>
        <row r="160">
          <cell r="C160">
            <v>10862</v>
          </cell>
        </row>
        <row r="161">
          <cell r="C161">
            <v>50</v>
          </cell>
        </row>
        <row r="162">
          <cell r="C162">
            <v>5</v>
          </cell>
        </row>
        <row r="163">
          <cell r="C163">
            <v>323</v>
          </cell>
        </row>
        <row r="164">
          <cell r="C164">
            <v>2723</v>
          </cell>
        </row>
        <row r="165">
          <cell r="C165">
            <v>10</v>
          </cell>
        </row>
        <row r="166">
          <cell r="C166">
            <v>0</v>
          </cell>
        </row>
        <row r="167">
          <cell r="C167">
            <v>4588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721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P&amp;L"/>
      <sheetName val="Revenue Build"/>
      <sheetName val="Org Rev"/>
      <sheetName val="Bal Sheet"/>
      <sheetName val="MW-Cache"/>
      <sheetName val="Cash Flow"/>
      <sheetName val="Q Variance"/>
      <sheetName val="Earnings Charts"/>
      <sheetName val="Guidance"/>
      <sheetName val="BBB"/>
      <sheetName val="Debt"/>
      <sheetName val="FX"/>
      <sheetName val="DCF"/>
      <sheetName val="Quarterly Guidance"/>
      <sheetName val="Links"/>
      <sheetName val="Residual Income"/>
      <sheetName val="mwareDates"/>
      <sheetName val="MWA RR"/>
      <sheetName val="mwareSettings"/>
    </sheetNames>
    <sheetDataSet>
      <sheetData sheetId="0" refreshError="1"/>
      <sheetData sheetId="1" refreshError="1">
        <row r="7">
          <cell r="I7" t="str">
            <v>2004A</v>
          </cell>
          <cell r="O7" t="str">
            <v>2005A</v>
          </cell>
          <cell r="U7" t="str">
            <v>2006A</v>
          </cell>
          <cell r="AA7" t="str">
            <v>2007A</v>
          </cell>
          <cell r="AG7" t="str">
            <v>2008A</v>
          </cell>
          <cell r="AM7" t="str">
            <v>2009A</v>
          </cell>
          <cell r="AS7" t="str">
            <v>2010A</v>
          </cell>
          <cell r="AY7" t="str">
            <v>2011A</v>
          </cell>
          <cell r="BE7" t="str">
            <v>2012E</v>
          </cell>
          <cell r="BK7" t="str">
            <v>2013E</v>
          </cell>
          <cell r="BQ7" t="str">
            <v>2014E</v>
          </cell>
          <cell r="BW7" t="str">
            <v>2015E</v>
          </cell>
        </row>
        <row r="8">
          <cell r="I8">
            <v>38080</v>
          </cell>
          <cell r="J8">
            <v>38171</v>
          </cell>
          <cell r="K8">
            <v>38262</v>
          </cell>
          <cell r="L8">
            <v>38352</v>
          </cell>
          <cell r="O8">
            <v>38444</v>
          </cell>
          <cell r="P8">
            <v>38535</v>
          </cell>
          <cell r="Q8">
            <v>38626</v>
          </cell>
          <cell r="R8">
            <v>38717</v>
          </cell>
          <cell r="U8">
            <v>38808</v>
          </cell>
          <cell r="V8">
            <v>38899</v>
          </cell>
          <cell r="W8">
            <v>38990</v>
          </cell>
          <cell r="X8">
            <v>39082</v>
          </cell>
          <cell r="AA8">
            <v>39172</v>
          </cell>
          <cell r="AB8">
            <v>39263</v>
          </cell>
          <cell r="AC8">
            <v>39354</v>
          </cell>
          <cell r="AD8">
            <v>39447</v>
          </cell>
          <cell r="AG8">
            <v>39536</v>
          </cell>
          <cell r="AH8">
            <v>39627</v>
          </cell>
          <cell r="AI8">
            <v>39718</v>
          </cell>
          <cell r="AJ8">
            <v>39813</v>
          </cell>
          <cell r="AM8">
            <v>39901</v>
          </cell>
          <cell r="AN8">
            <v>39992</v>
          </cell>
          <cell r="AO8">
            <v>40083</v>
          </cell>
          <cell r="AP8">
            <v>40178</v>
          </cell>
          <cell r="AS8">
            <v>40266</v>
          </cell>
          <cell r="AT8">
            <v>40357</v>
          </cell>
          <cell r="AU8">
            <v>40448</v>
          </cell>
          <cell r="AV8">
            <v>40543</v>
          </cell>
          <cell r="AY8">
            <v>40631</v>
          </cell>
          <cell r="AZ8">
            <v>40722</v>
          </cell>
          <cell r="BA8">
            <v>40813</v>
          </cell>
          <cell r="BB8">
            <v>40908</v>
          </cell>
          <cell r="BE8">
            <v>40997</v>
          </cell>
          <cell r="BF8">
            <v>41088</v>
          </cell>
          <cell r="BG8">
            <v>41179</v>
          </cell>
          <cell r="BH8">
            <v>41274</v>
          </cell>
          <cell r="BK8">
            <v>41362</v>
          </cell>
          <cell r="BL8">
            <v>41453</v>
          </cell>
          <cell r="BM8">
            <v>41544</v>
          </cell>
          <cell r="BN8">
            <v>41639</v>
          </cell>
          <cell r="BQ8">
            <v>41727</v>
          </cell>
          <cell r="BR8">
            <v>41818</v>
          </cell>
          <cell r="BS8">
            <v>41909</v>
          </cell>
          <cell r="BT8">
            <v>42004</v>
          </cell>
          <cell r="BW8">
            <v>42092</v>
          </cell>
          <cell r="BX8">
            <v>42183</v>
          </cell>
          <cell r="BY8">
            <v>42274</v>
          </cell>
          <cell r="BZ8">
            <v>42369</v>
          </cell>
        </row>
        <row r="9">
          <cell r="C9" t="str">
            <v>Revenue</v>
          </cell>
          <cell r="I9">
            <v>525.03200000000004</v>
          </cell>
          <cell r="J9">
            <v>525.30899999999997</v>
          </cell>
          <cell r="K9">
            <v>542.31499999999994</v>
          </cell>
          <cell r="L9">
            <v>613.33900000000006</v>
          </cell>
          <cell r="M9">
            <v>2205.9950000000003</v>
          </cell>
          <cell r="O9">
            <v>559.20799999999997</v>
          </cell>
          <cell r="P9">
            <v>653.62099999999998</v>
          </cell>
          <cell r="Q9">
            <v>679.41100000000006</v>
          </cell>
          <cell r="R9">
            <v>740.78700000000003</v>
          </cell>
          <cell r="S9">
            <v>2633.027</v>
          </cell>
          <cell r="U9">
            <v>684.28700000000003</v>
          </cell>
          <cell r="V9">
            <v>713.46799999999996</v>
          </cell>
          <cell r="W9">
            <v>724.96199999999999</v>
          </cell>
          <cell r="X9">
            <v>1668.8999999999999</v>
          </cell>
          <cell r="Y9">
            <v>3766.8</v>
          </cell>
          <cell r="AA9">
            <v>2338.2000000000003</v>
          </cell>
          <cell r="AB9">
            <v>2385.9</v>
          </cell>
          <cell r="AC9">
            <v>2401.1999999999998</v>
          </cell>
          <cell r="AD9">
            <v>2621.1</v>
          </cell>
          <cell r="AE9">
            <v>9592.5</v>
          </cell>
          <cell r="AG9">
            <v>2554</v>
          </cell>
          <cell r="AH9">
            <v>2709.6000000000004</v>
          </cell>
          <cell r="AI9">
            <v>2588.1000000000004</v>
          </cell>
          <cell r="AJ9">
            <v>2646.2999999999997</v>
          </cell>
          <cell r="AK9">
            <v>10313.200000000001</v>
          </cell>
          <cell r="AM9">
            <v>2255.1000000000004</v>
          </cell>
          <cell r="AN9">
            <v>2484.1</v>
          </cell>
          <cell r="AO9">
            <v>2531.1</v>
          </cell>
          <cell r="AP9">
            <v>2839.4</v>
          </cell>
          <cell r="AQ9">
            <v>9911.6</v>
          </cell>
          <cell r="AS9">
            <v>2626.8999999999996</v>
          </cell>
          <cell r="AT9">
            <v>2595.6999999999998</v>
          </cell>
          <cell r="AU9">
            <v>2628.7</v>
          </cell>
          <cell r="AV9">
            <v>2718.9</v>
          </cell>
          <cell r="AW9">
            <v>10570.199999999999</v>
          </cell>
          <cell r="AY9">
            <v>2682.6</v>
          </cell>
          <cell r="AZ9">
            <v>2854</v>
          </cell>
          <cell r="BA9">
            <v>2932.9</v>
          </cell>
          <cell r="BB9">
            <v>3089.3</v>
          </cell>
          <cell r="BC9">
            <v>11558.8</v>
          </cell>
          <cell r="BE9">
            <v>3056.8</v>
          </cell>
          <cell r="BF9">
            <v>3108.1</v>
          </cell>
          <cell r="BG9">
            <v>2962.2028414147771</v>
          </cell>
          <cell r="BH9">
            <v>3054.5401695015048</v>
          </cell>
          <cell r="BI9">
            <v>12181.643010916281</v>
          </cell>
          <cell r="BK9">
            <v>3147.7721003300003</v>
          </cell>
          <cell r="BL9">
            <v>3237.5855535400001</v>
          </cell>
          <cell r="BM9">
            <v>3048.3352334999154</v>
          </cell>
          <cell r="BN9">
            <v>3146.8347564726155</v>
          </cell>
          <cell r="BO9">
            <v>12580.52764384253</v>
          </cell>
          <cell r="BQ9">
            <v>3254.9437618932002</v>
          </cell>
          <cell r="BR9">
            <v>3357.2608898460999</v>
          </cell>
          <cell r="BS9">
            <v>3156.4157261293858</v>
          </cell>
          <cell r="BT9">
            <v>3271.6279401215888</v>
          </cell>
          <cell r="BU9">
            <v>13040.248317990276</v>
          </cell>
          <cell r="BW9">
            <v>3392.315677989594</v>
          </cell>
          <cell r="BX9">
            <v>3492.4774550567508</v>
          </cell>
          <cell r="BY9">
            <v>3278.3323214926254</v>
          </cell>
          <cell r="BZ9">
            <v>3414.0525106607424</v>
          </cell>
          <cell r="CA9">
            <v>13577.177965199713</v>
          </cell>
        </row>
        <row r="10">
          <cell r="C10" t="str">
            <v>COGS</v>
          </cell>
          <cell r="I10">
            <v>284.17200000000003</v>
          </cell>
          <cell r="J10">
            <v>286.42399999999998</v>
          </cell>
          <cell r="K10">
            <v>291.36</v>
          </cell>
          <cell r="L10">
            <v>329.28000000000003</v>
          </cell>
          <cell r="M10">
            <v>1188.155</v>
          </cell>
          <cell r="O10">
            <v>305.30599999999998</v>
          </cell>
          <cell r="P10">
            <v>359.84199999999998</v>
          </cell>
          <cell r="Q10">
            <v>377.173</v>
          </cell>
          <cell r="R10">
            <v>403.29299999999995</v>
          </cell>
          <cell r="S10">
            <v>1445.6139999999998</v>
          </cell>
          <cell r="U10">
            <v>371.66300000000001</v>
          </cell>
          <cell r="V10">
            <v>387.71</v>
          </cell>
          <cell r="W10">
            <v>386.09300000000002</v>
          </cell>
          <cell r="X10">
            <v>950.351</v>
          </cell>
          <cell r="Y10">
            <v>2121.9</v>
          </cell>
          <cell r="AA10">
            <v>1391.6999999999998</v>
          </cell>
          <cell r="AB10">
            <v>1407.8999999999999</v>
          </cell>
          <cell r="AC10">
            <v>1421.8999999999999</v>
          </cell>
          <cell r="AD10">
            <v>1549.6</v>
          </cell>
          <cell r="AE10">
            <v>5715.3</v>
          </cell>
          <cell r="AG10">
            <v>1503.3000000000002</v>
          </cell>
          <cell r="AH10">
            <v>1590.6</v>
          </cell>
          <cell r="AI10">
            <v>1523.2</v>
          </cell>
          <cell r="AJ10">
            <v>1548.3</v>
          </cell>
          <cell r="AK10">
            <v>6100.3000000000011</v>
          </cell>
          <cell r="AM10">
            <v>1338.4</v>
          </cell>
          <cell r="AN10">
            <v>1464.6999999999998</v>
          </cell>
          <cell r="AO10">
            <v>1488.3</v>
          </cell>
          <cell r="AP10">
            <v>1662.2</v>
          </cell>
          <cell r="AQ10">
            <v>5888.3</v>
          </cell>
          <cell r="AS10">
            <v>1522.9999999999995</v>
          </cell>
          <cell r="AT10">
            <v>1511.6999999999998</v>
          </cell>
          <cell r="AU10">
            <v>1532.4999999999998</v>
          </cell>
          <cell r="AV10">
            <v>1560.6000000000001</v>
          </cell>
          <cell r="AW10">
            <v>6127.7999999999993</v>
          </cell>
          <cell r="AY10">
            <v>1526</v>
          </cell>
          <cell r="AZ10">
            <v>1632.8</v>
          </cell>
          <cell r="BA10">
            <v>1637.3000000000002</v>
          </cell>
          <cell r="BB10">
            <v>1701.3000000000002</v>
          </cell>
          <cell r="BC10">
            <v>6497.4000000000005</v>
          </cell>
          <cell r="BE10">
            <v>1683.0000000000002</v>
          </cell>
          <cell r="BF10">
            <v>1720.4</v>
          </cell>
          <cell r="BG10">
            <v>1628.4796727412936</v>
          </cell>
          <cell r="BH10">
            <v>1657.7211869380708</v>
          </cell>
          <cell r="BI10">
            <v>6689.6008596793645</v>
          </cell>
          <cell r="BK10">
            <v>1723.6437174779262</v>
          </cell>
          <cell r="BL10">
            <v>1783.9790666847343</v>
          </cell>
          <cell r="BM10">
            <v>1672.7828718842304</v>
          </cell>
          <cell r="BN10">
            <v>1703.0898790540698</v>
          </cell>
          <cell r="BO10">
            <v>6883.4955351009603</v>
          </cell>
          <cell r="BQ10">
            <v>1769.3085470514166</v>
          </cell>
          <cell r="BR10">
            <v>1836.4936997442107</v>
          </cell>
          <cell r="BS10">
            <v>1719.4666953080291</v>
          </cell>
          <cell r="BT10">
            <v>1757.5423467745836</v>
          </cell>
          <cell r="BU10">
            <v>7082.8112888782398</v>
          </cell>
          <cell r="BW10">
            <v>1830.411328790638</v>
          </cell>
          <cell r="BX10">
            <v>1896.4901506740405</v>
          </cell>
          <cell r="BY10">
            <v>1772.76778779707</v>
          </cell>
          <cell r="BZ10">
            <v>1820.3976528716528</v>
          </cell>
          <cell r="CA10">
            <v>7320.0669201334013</v>
          </cell>
        </row>
        <row r="11">
          <cell r="C11" t="str">
            <v>Gross profit</v>
          </cell>
          <cell r="I11">
            <v>240.86</v>
          </cell>
          <cell r="J11">
            <v>238.88499999999999</v>
          </cell>
          <cell r="K11">
            <v>250.95499999999993</v>
          </cell>
          <cell r="L11">
            <v>284.05900000000003</v>
          </cell>
          <cell r="M11">
            <v>1017.8400000000004</v>
          </cell>
          <cell r="O11">
            <v>253.90199999999999</v>
          </cell>
          <cell r="P11">
            <v>293.779</v>
          </cell>
          <cell r="Q11">
            <v>302.23800000000006</v>
          </cell>
          <cell r="R11">
            <v>337.49400000000009</v>
          </cell>
          <cell r="S11">
            <v>1187.4130000000002</v>
          </cell>
          <cell r="U11">
            <v>312.62400000000002</v>
          </cell>
          <cell r="V11">
            <v>325.75799999999998</v>
          </cell>
          <cell r="W11">
            <v>338.86899999999997</v>
          </cell>
          <cell r="X11">
            <v>718.54899999999986</v>
          </cell>
          <cell r="Y11">
            <v>1644.9</v>
          </cell>
          <cell r="AA11">
            <v>946.50000000000045</v>
          </cell>
          <cell r="AB11">
            <v>978.00000000000023</v>
          </cell>
          <cell r="AC11">
            <v>979.3</v>
          </cell>
          <cell r="AD11">
            <v>1071.5</v>
          </cell>
          <cell r="AE11">
            <v>3877.2</v>
          </cell>
          <cell r="AG11">
            <v>1050.6999999999998</v>
          </cell>
          <cell r="AH11">
            <v>1119.0000000000005</v>
          </cell>
          <cell r="AI11">
            <v>1064.9000000000003</v>
          </cell>
          <cell r="AJ11">
            <v>1097.9999999999998</v>
          </cell>
          <cell r="AK11">
            <v>4212.8999999999996</v>
          </cell>
          <cell r="AM11">
            <v>916.70000000000027</v>
          </cell>
          <cell r="AN11">
            <v>1019.4000000000001</v>
          </cell>
          <cell r="AO11">
            <v>1042.8</v>
          </cell>
          <cell r="AP11">
            <v>1177.2</v>
          </cell>
          <cell r="AQ11">
            <v>4023.3</v>
          </cell>
          <cell r="AS11">
            <v>1103.9000000000001</v>
          </cell>
          <cell r="AT11">
            <v>1084</v>
          </cell>
          <cell r="AU11">
            <v>1096.2</v>
          </cell>
          <cell r="AV11">
            <v>1158.3</v>
          </cell>
          <cell r="AW11">
            <v>4442.3999999999996</v>
          </cell>
          <cell r="AY11">
            <v>1156.5999999999999</v>
          </cell>
          <cell r="AZ11">
            <v>1221.2</v>
          </cell>
          <cell r="BA11">
            <v>1295.5999999999999</v>
          </cell>
          <cell r="BB11">
            <v>1388</v>
          </cell>
          <cell r="BC11">
            <v>5061.3999999999987</v>
          </cell>
          <cell r="BE11">
            <v>1373.8</v>
          </cell>
          <cell r="BF11">
            <v>1387.7</v>
          </cell>
          <cell r="BG11">
            <v>1333.7231686734835</v>
          </cell>
          <cell r="BH11">
            <v>1396.818982563434</v>
          </cell>
          <cell r="BI11">
            <v>5492.0421512369167</v>
          </cell>
          <cell r="BK11">
            <v>1424.1283828520741</v>
          </cell>
          <cell r="BL11">
            <v>1453.6064868552658</v>
          </cell>
          <cell r="BM11">
            <v>1375.552361615685</v>
          </cell>
          <cell r="BN11">
            <v>1443.7448774185457</v>
          </cell>
          <cell r="BO11">
            <v>5697.0321087415696</v>
          </cell>
          <cell r="BQ11">
            <v>1485.6352148417836</v>
          </cell>
          <cell r="BR11">
            <v>1520.7671901018891</v>
          </cell>
          <cell r="BS11">
            <v>1436.9490308213567</v>
          </cell>
          <cell r="BT11">
            <v>1514.0855933470052</v>
          </cell>
          <cell r="BU11">
            <v>5957.4370291120358</v>
          </cell>
          <cell r="BW11">
            <v>1561.904349198956</v>
          </cell>
          <cell r="BX11">
            <v>1595.9873043827104</v>
          </cell>
          <cell r="BY11">
            <v>1505.5645336955554</v>
          </cell>
          <cell r="BZ11">
            <v>1593.6548577890896</v>
          </cell>
          <cell r="CA11">
            <v>6257.1110450663118</v>
          </cell>
        </row>
        <row r="12">
          <cell r="C12" t="str">
            <v>SG&amp;A</v>
          </cell>
          <cell r="I12">
            <v>146.75299999999999</v>
          </cell>
          <cell r="J12">
            <v>140.864</v>
          </cell>
          <cell r="K12">
            <v>147.346</v>
          </cell>
          <cell r="L12">
            <v>168.66399999999999</v>
          </cell>
          <cell r="M12">
            <v>603.62699999999995</v>
          </cell>
          <cell r="O12">
            <v>156.08699999999999</v>
          </cell>
          <cell r="P12">
            <v>173.48400000000001</v>
          </cell>
          <cell r="Q12">
            <v>168.75399999999999</v>
          </cell>
          <cell r="R12">
            <v>185.821</v>
          </cell>
          <cell r="S12">
            <v>684.14600000000007</v>
          </cell>
          <cell r="U12">
            <v>176.887</v>
          </cell>
          <cell r="V12">
            <v>181.26400000000001</v>
          </cell>
          <cell r="W12">
            <v>191.53299999999999</v>
          </cell>
          <cell r="X12">
            <v>403.06299999999999</v>
          </cell>
          <cell r="Y12">
            <v>913.8</v>
          </cell>
          <cell r="AA12">
            <v>511.2</v>
          </cell>
          <cell r="AB12">
            <v>514.70000000000005</v>
          </cell>
          <cell r="AC12">
            <v>515.79999999999995</v>
          </cell>
          <cell r="AD12">
            <v>558</v>
          </cell>
          <cell r="AE12">
            <v>2041.6</v>
          </cell>
          <cell r="AG12">
            <v>541.6</v>
          </cell>
          <cell r="AH12">
            <v>578</v>
          </cell>
          <cell r="AI12">
            <v>548.70000000000005</v>
          </cell>
          <cell r="AJ12">
            <v>545.4</v>
          </cell>
          <cell r="AK12">
            <v>2148.8000000000002</v>
          </cell>
          <cell r="AM12">
            <v>509.5</v>
          </cell>
          <cell r="AN12">
            <v>542.70000000000005</v>
          </cell>
          <cell r="AO12">
            <v>544.79999999999995</v>
          </cell>
          <cell r="AP12">
            <v>598.1</v>
          </cell>
          <cell r="AQ12">
            <v>2130.1</v>
          </cell>
          <cell r="AS12">
            <v>582.9</v>
          </cell>
          <cell r="AT12">
            <v>567</v>
          </cell>
          <cell r="AU12">
            <v>573.6</v>
          </cell>
          <cell r="AV12">
            <v>594</v>
          </cell>
          <cell r="AW12">
            <v>2317.5</v>
          </cell>
          <cell r="AY12">
            <v>603.6</v>
          </cell>
          <cell r="AZ12">
            <v>627.6</v>
          </cell>
          <cell r="BA12">
            <v>662</v>
          </cell>
          <cell r="BB12">
            <v>699.80000000000007</v>
          </cell>
          <cell r="BC12">
            <v>2593</v>
          </cell>
          <cell r="BE12">
            <v>709</v>
          </cell>
          <cell r="BF12">
            <v>703.4</v>
          </cell>
          <cell r="BG12">
            <v>671.57629845210124</v>
          </cell>
          <cell r="BH12">
            <v>694.98061100015991</v>
          </cell>
          <cell r="BI12">
            <v>2778.9569094522612</v>
          </cell>
          <cell r="BK12">
            <v>730.10024179991171</v>
          </cell>
          <cell r="BL12">
            <v>732.70412096137068</v>
          </cell>
          <cell r="BM12">
            <v>691.10381771737048</v>
          </cell>
          <cell r="BN12">
            <v>715.97982688398895</v>
          </cell>
          <cell r="BO12">
            <v>2869.8880073626419</v>
          </cell>
          <cell r="BQ12">
            <v>752.51663279042214</v>
          </cell>
          <cell r="BR12">
            <v>757.27012740547241</v>
          </cell>
          <cell r="BS12">
            <v>713.23999236879695</v>
          </cell>
          <cell r="BT12">
            <v>741.91952628295803</v>
          </cell>
          <cell r="BU12">
            <v>2964.9462788476494</v>
          </cell>
          <cell r="BW12">
            <v>781.73167032449101</v>
          </cell>
          <cell r="BX12">
            <v>785.15047396152818</v>
          </cell>
          <cell r="BY12">
            <v>738.33014640637771</v>
          </cell>
          <cell r="BZ12">
            <v>771.65714911138298</v>
          </cell>
          <cell r="CA12">
            <v>3076.8694398037796</v>
          </cell>
        </row>
        <row r="13">
          <cell r="C13" t="str">
            <v>R&amp;D</v>
          </cell>
          <cell r="I13">
            <v>34.268999999999998</v>
          </cell>
          <cell r="J13">
            <v>32.591999999999999</v>
          </cell>
          <cell r="K13">
            <v>32.874000000000002</v>
          </cell>
          <cell r="L13">
            <v>34.945</v>
          </cell>
          <cell r="M13">
            <v>134.67999999999998</v>
          </cell>
          <cell r="O13">
            <v>36.328000000000003</v>
          </cell>
          <cell r="P13">
            <v>39.432000000000002</v>
          </cell>
          <cell r="Q13">
            <v>38.783999999999999</v>
          </cell>
          <cell r="R13">
            <v>38.231000000000002</v>
          </cell>
          <cell r="S13">
            <v>152.77500000000001</v>
          </cell>
          <cell r="U13">
            <v>38.737000000000002</v>
          </cell>
          <cell r="V13">
            <v>40.619999999999997</v>
          </cell>
          <cell r="W13">
            <v>38.658000000000001</v>
          </cell>
          <cell r="X13">
            <v>52.168999999999997</v>
          </cell>
          <cell r="Y13">
            <v>167.9</v>
          </cell>
          <cell r="AA13">
            <v>59.8</v>
          </cell>
          <cell r="AB13">
            <v>58.7</v>
          </cell>
          <cell r="AC13">
            <v>58.8</v>
          </cell>
          <cell r="AD13">
            <v>61.4</v>
          </cell>
          <cell r="AE13">
            <v>237</v>
          </cell>
          <cell r="AG13">
            <v>62</v>
          </cell>
          <cell r="AH13">
            <v>64.400000000000006</v>
          </cell>
          <cell r="AI13">
            <v>61.8</v>
          </cell>
          <cell r="AJ13">
            <v>60.9</v>
          </cell>
          <cell r="AK13">
            <v>247.2</v>
          </cell>
          <cell r="AM13">
            <v>58.2</v>
          </cell>
          <cell r="AN13">
            <v>58.1</v>
          </cell>
          <cell r="AO13">
            <v>60.5</v>
          </cell>
          <cell r="AP13">
            <v>69.3</v>
          </cell>
          <cell r="AQ13">
            <v>243.8</v>
          </cell>
          <cell r="AS13">
            <v>66.099999999999994</v>
          </cell>
          <cell r="AT13">
            <v>69.599999999999994</v>
          </cell>
          <cell r="AU13">
            <v>71.5</v>
          </cell>
          <cell r="AV13">
            <v>77.599999999999994</v>
          </cell>
          <cell r="AW13">
            <v>284.79999999999995</v>
          </cell>
          <cell r="AY13">
            <v>74.8</v>
          </cell>
          <cell r="AZ13">
            <v>83.3</v>
          </cell>
          <cell r="BA13">
            <v>86.8</v>
          </cell>
          <cell r="BB13">
            <v>95.7</v>
          </cell>
          <cell r="BC13">
            <v>340.59999999999997</v>
          </cell>
          <cell r="BE13">
            <v>91.8</v>
          </cell>
          <cell r="BF13">
            <v>94.2</v>
          </cell>
          <cell r="BG13">
            <v>87.667225829316592</v>
          </cell>
          <cell r="BH13">
            <v>94.623213744632764</v>
          </cell>
          <cell r="BI13">
            <v>368.29043957394936</v>
          </cell>
          <cell r="BK13">
            <v>94.532020024304501</v>
          </cell>
          <cell r="BL13">
            <v>98.12443587512243</v>
          </cell>
          <cell r="BM13">
            <v>90.216338186706892</v>
          </cell>
          <cell r="BN13">
            <v>97.482305439558885</v>
          </cell>
          <cell r="BO13">
            <v>380.35509952569271</v>
          </cell>
          <cell r="BQ13">
            <v>95.309327817743849</v>
          </cell>
          <cell r="BR13">
            <v>99.233598949423964</v>
          </cell>
          <cell r="BS13">
            <v>91.047698955183279</v>
          </cell>
          <cell r="BT13">
            <v>98.894414178963785</v>
          </cell>
          <cell r="BU13">
            <v>384.48503990131485</v>
          </cell>
          <cell r="BW13">
            <v>96.787533823844157</v>
          </cell>
          <cell r="BX13">
            <v>100.61095926747952</v>
          </cell>
          <cell r="BY13">
            <v>92.105668180640762</v>
          </cell>
          <cell r="BZ13">
            <v>100.63906925143452</v>
          </cell>
          <cell r="CA13">
            <v>390.14323052339898</v>
          </cell>
        </row>
        <row r="14">
          <cell r="C14" t="str">
            <v>One-time items, total</v>
          </cell>
          <cell r="I14">
            <v>6.9640000000000004</v>
          </cell>
          <cell r="J14">
            <v>6.4589999999999996</v>
          </cell>
          <cell r="K14">
            <v>11.114000000000001</v>
          </cell>
          <cell r="L14">
            <v>14.402999999999999</v>
          </cell>
          <cell r="M14">
            <v>32.420999999999992</v>
          </cell>
          <cell r="O14">
            <v>1.8109999999999999</v>
          </cell>
          <cell r="P14">
            <v>27.649000000000001</v>
          </cell>
          <cell r="Q14">
            <v>32.590000000000003</v>
          </cell>
          <cell r="R14">
            <v>24.954999999999998</v>
          </cell>
          <cell r="S14">
            <v>87.004999999999995</v>
          </cell>
          <cell r="U14">
            <v>29.155000000000001</v>
          </cell>
          <cell r="V14">
            <v>31.701000000000001</v>
          </cell>
          <cell r="W14">
            <v>33.567</v>
          </cell>
          <cell r="X14">
            <v>236.48699999999999</v>
          </cell>
          <cell r="Y14">
            <v>331.8</v>
          </cell>
          <cell r="AA14">
            <v>183.10000000000002</v>
          </cell>
          <cell r="AB14">
            <v>161.69999999999999</v>
          </cell>
          <cell r="AC14">
            <v>151.20000000000002</v>
          </cell>
          <cell r="AD14">
            <v>172.49999999999997</v>
          </cell>
          <cell r="AE14">
            <v>658.69999999999993</v>
          </cell>
          <cell r="AG14">
            <v>147.6</v>
          </cell>
          <cell r="AH14">
            <v>147.09999999999997</v>
          </cell>
          <cell r="AI14">
            <v>168.1</v>
          </cell>
          <cell r="AJ14">
            <v>173.7</v>
          </cell>
          <cell r="AK14">
            <v>619.4</v>
          </cell>
          <cell r="AM14">
            <v>160</v>
          </cell>
          <cell r="AN14">
            <v>160.5</v>
          </cell>
          <cell r="AO14">
            <v>164.6</v>
          </cell>
          <cell r="AP14">
            <v>185.50000000000003</v>
          </cell>
          <cell r="AQ14">
            <v>667.69999999999993</v>
          </cell>
          <cell r="AS14">
            <v>172.59999999999997</v>
          </cell>
          <cell r="AT14">
            <v>165.60000000000002</v>
          </cell>
          <cell r="AU14">
            <v>149.9</v>
          </cell>
          <cell r="AV14">
            <v>174.3</v>
          </cell>
          <cell r="AW14">
            <v>662.40000000000009</v>
          </cell>
          <cell r="AY14">
            <v>157.50000000000003</v>
          </cell>
          <cell r="AZ14">
            <v>223.4</v>
          </cell>
          <cell r="BA14">
            <v>237.4</v>
          </cell>
          <cell r="BB14">
            <v>232.5</v>
          </cell>
          <cell r="BC14">
            <v>850.80000000000007</v>
          </cell>
          <cell r="BE14">
            <v>219.3</v>
          </cell>
          <cell r="BF14">
            <v>224.3</v>
          </cell>
          <cell r="BG14">
            <v>209.50000000000003</v>
          </cell>
          <cell r="BH14">
            <v>209.50000000000003</v>
          </cell>
          <cell r="BI14">
            <v>862.6</v>
          </cell>
          <cell r="BK14">
            <v>186.82499999999999</v>
          </cell>
          <cell r="BL14">
            <v>186.82499999999999</v>
          </cell>
          <cell r="BM14">
            <v>186.82499999999999</v>
          </cell>
          <cell r="BN14">
            <v>186.82499999999999</v>
          </cell>
          <cell r="BO14">
            <v>747.3</v>
          </cell>
          <cell r="BQ14">
            <v>177.7</v>
          </cell>
          <cell r="BR14">
            <v>177.7</v>
          </cell>
          <cell r="BS14">
            <v>177.7</v>
          </cell>
          <cell r="BT14">
            <v>177.7</v>
          </cell>
          <cell r="BU14">
            <v>710.8</v>
          </cell>
          <cell r="BW14">
            <v>172.82499999999999</v>
          </cell>
          <cell r="BX14">
            <v>172.82499999999999</v>
          </cell>
          <cell r="BY14">
            <v>172.82499999999999</v>
          </cell>
          <cell r="BZ14">
            <v>172.82499999999999</v>
          </cell>
          <cell r="CA14">
            <v>691.3</v>
          </cell>
        </row>
        <row r="15">
          <cell r="C15" t="str">
            <v>Cost of Revenues Charges</v>
          </cell>
          <cell r="I15">
            <v>3.1579999999999999</v>
          </cell>
          <cell r="J15">
            <v>0.81499999999999995</v>
          </cell>
          <cell r="K15">
            <v>5.0350000000000001</v>
          </cell>
          <cell r="L15">
            <v>6.8209999999999997</v>
          </cell>
          <cell r="M15">
            <v>15.828999999999999</v>
          </cell>
          <cell r="O15">
            <v>-0.27100000000000002</v>
          </cell>
          <cell r="P15">
            <v>2.2160000000000002</v>
          </cell>
          <cell r="Q15">
            <v>10.481999999999999</v>
          </cell>
          <cell r="R15">
            <v>4.4729999999999999</v>
          </cell>
          <cell r="S15">
            <v>16.899999999999999</v>
          </cell>
          <cell r="U15">
            <v>3.5939999999999999</v>
          </cell>
          <cell r="V15">
            <v>4.78</v>
          </cell>
          <cell r="W15">
            <v>5.1779999999999999</v>
          </cell>
          <cell r="X15">
            <v>32.159999999999997</v>
          </cell>
          <cell r="Y15">
            <v>77.7</v>
          </cell>
          <cell r="AA15">
            <v>7.4</v>
          </cell>
          <cell r="AB15">
            <v>8.3000000000000007</v>
          </cell>
          <cell r="AC15">
            <v>8.8000000000000007</v>
          </cell>
          <cell r="AD15">
            <v>17.7</v>
          </cell>
          <cell r="AE15">
            <v>49.2</v>
          </cell>
          <cell r="AG15">
            <v>4.9000000000000004</v>
          </cell>
          <cell r="AH15">
            <v>-5.4</v>
          </cell>
          <cell r="AI15">
            <v>15.4</v>
          </cell>
          <cell r="AJ15">
            <v>20.5</v>
          </cell>
          <cell r="AK15">
            <v>1.5</v>
          </cell>
          <cell r="AM15">
            <v>13.6</v>
          </cell>
          <cell r="AN15">
            <v>10.3</v>
          </cell>
          <cell r="AO15">
            <v>13.1</v>
          </cell>
          <cell r="AP15">
            <v>23.8</v>
          </cell>
          <cell r="AQ15">
            <v>6.7</v>
          </cell>
          <cell r="AS15">
            <v>5.0999999999999996</v>
          </cell>
          <cell r="AT15">
            <v>3.7</v>
          </cell>
          <cell r="AU15">
            <v>2.5</v>
          </cell>
          <cell r="AV15">
            <v>4.7</v>
          </cell>
          <cell r="AW15">
            <v>16</v>
          </cell>
          <cell r="AY15">
            <v>2.9</v>
          </cell>
          <cell r="AZ15">
            <v>15.4</v>
          </cell>
          <cell r="BA15">
            <v>24.3</v>
          </cell>
          <cell r="BB15">
            <v>30.2</v>
          </cell>
          <cell r="BC15">
            <v>72.8</v>
          </cell>
          <cell r="BE15">
            <v>26.8</v>
          </cell>
          <cell r="BF15">
            <v>12.8</v>
          </cell>
          <cell r="BG15">
            <v>12.8</v>
          </cell>
          <cell r="BH15">
            <v>12.8</v>
          </cell>
          <cell r="BI15">
            <v>65.2</v>
          </cell>
          <cell r="BK15">
            <v>6.25</v>
          </cell>
          <cell r="BL15">
            <v>6.25</v>
          </cell>
          <cell r="BM15">
            <v>6.25</v>
          </cell>
          <cell r="BN15">
            <v>6.25</v>
          </cell>
          <cell r="BO15">
            <v>25</v>
          </cell>
          <cell r="BQ15">
            <v>6.25</v>
          </cell>
          <cell r="BR15">
            <v>6.25</v>
          </cell>
          <cell r="BS15">
            <v>6.25</v>
          </cell>
          <cell r="BT15">
            <v>6.25</v>
          </cell>
          <cell r="BU15">
            <v>25</v>
          </cell>
          <cell r="BW15">
            <v>6.25</v>
          </cell>
          <cell r="BX15">
            <v>6.25</v>
          </cell>
          <cell r="BY15">
            <v>6.25</v>
          </cell>
          <cell r="BZ15">
            <v>6.25</v>
          </cell>
          <cell r="CA15">
            <v>25</v>
          </cell>
        </row>
        <row r="16">
          <cell r="C16" t="str">
            <v>SG&amp;A Costs</v>
          </cell>
          <cell r="I16">
            <v>3.806</v>
          </cell>
          <cell r="J16">
            <v>5.6440000000000001</v>
          </cell>
          <cell r="K16">
            <v>6.0789999999999997</v>
          </cell>
          <cell r="L16">
            <v>7.3019999999999996</v>
          </cell>
          <cell r="M16">
            <v>22.831</v>
          </cell>
          <cell r="O16">
            <v>7.4139999999999997</v>
          </cell>
          <cell r="P16">
            <v>19.109000000000002</v>
          </cell>
          <cell r="Q16">
            <v>25.568999999999999</v>
          </cell>
          <cell r="R16">
            <v>25.547999999999998</v>
          </cell>
          <cell r="S16">
            <v>77.64</v>
          </cell>
          <cell r="U16">
            <v>25.561</v>
          </cell>
          <cell r="V16">
            <v>25.655000000000001</v>
          </cell>
          <cell r="W16">
            <v>26.405000000000001</v>
          </cell>
          <cell r="X16">
            <v>93.204999999999998</v>
          </cell>
          <cell r="Y16">
            <v>0</v>
          </cell>
          <cell r="AA16">
            <v>139.30000000000001</v>
          </cell>
          <cell r="AB16">
            <v>142.1</v>
          </cell>
          <cell r="AC16">
            <v>141.5</v>
          </cell>
          <cell r="AD16">
            <v>148.19999999999999</v>
          </cell>
          <cell r="AE16">
            <v>0</v>
          </cell>
          <cell r="AG16">
            <v>151.19999999999999</v>
          </cell>
          <cell r="AH16">
            <v>151.6</v>
          </cell>
          <cell r="AI16">
            <v>152</v>
          </cell>
          <cell r="AJ16">
            <v>148</v>
          </cell>
          <cell r="AK16">
            <v>0</v>
          </cell>
          <cell r="AM16">
            <v>145.30000000000001</v>
          </cell>
          <cell r="AN16">
            <v>147.1</v>
          </cell>
          <cell r="AO16">
            <v>148.19999999999999</v>
          </cell>
          <cell r="AP16">
            <v>156.4</v>
          </cell>
          <cell r="AQ16">
            <v>1.5</v>
          </cell>
          <cell r="AS16">
            <v>1.1000000000000001</v>
          </cell>
          <cell r="AT16">
            <v>-0.2</v>
          </cell>
          <cell r="AU16">
            <v>0.5</v>
          </cell>
          <cell r="AV16">
            <v>1.6</v>
          </cell>
          <cell r="AW16">
            <v>3</v>
          </cell>
          <cell r="AY16">
            <v>3.1</v>
          </cell>
          <cell r="AZ16">
            <v>38</v>
          </cell>
          <cell r="BA16">
            <v>20.6</v>
          </cell>
          <cell r="BB16">
            <v>-0.2</v>
          </cell>
          <cell r="BC16">
            <v>61.5</v>
          </cell>
          <cell r="BE16">
            <v>-7.7</v>
          </cell>
          <cell r="BF16">
            <v>1.8</v>
          </cell>
          <cell r="BG16">
            <v>1.8</v>
          </cell>
          <cell r="BH16">
            <v>1.8</v>
          </cell>
          <cell r="BI16">
            <v>-2.3000000000000007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</row>
        <row r="17">
          <cell r="C17" t="str">
            <v>Restructuring &amp; other costs</v>
          </cell>
          <cell r="L17">
            <v>0.28000000000000003</v>
          </cell>
          <cell r="M17">
            <v>3.3610000000000002</v>
          </cell>
          <cell r="O17">
            <v>-5.3319999999999999</v>
          </cell>
          <cell r="P17">
            <v>6.3239999999999998</v>
          </cell>
          <cell r="Q17">
            <v>-3.4609999999999994</v>
          </cell>
          <cell r="R17">
            <v>-5.0659999999999998</v>
          </cell>
          <cell r="S17">
            <v>-7.5349999999999993</v>
          </cell>
          <cell r="U17">
            <v>0</v>
          </cell>
          <cell r="V17">
            <v>1.266</v>
          </cell>
          <cell r="W17">
            <v>1.984</v>
          </cell>
          <cell r="X17">
            <v>111.122</v>
          </cell>
          <cell r="Y17">
            <v>45.7</v>
          </cell>
          <cell r="AA17">
            <v>36.4</v>
          </cell>
          <cell r="AB17">
            <v>11.2</v>
          </cell>
          <cell r="AC17">
            <v>0.4</v>
          </cell>
          <cell r="AD17">
            <v>1.2</v>
          </cell>
          <cell r="AE17">
            <v>42.2</v>
          </cell>
          <cell r="AG17">
            <v>0.6</v>
          </cell>
          <cell r="AH17">
            <v>0.2</v>
          </cell>
          <cell r="AI17">
            <v>0.7</v>
          </cell>
          <cell r="AJ17">
            <v>0.7</v>
          </cell>
          <cell r="AK17">
            <v>35.4</v>
          </cell>
          <cell r="AM17">
            <v>0</v>
          </cell>
          <cell r="AN17">
            <v>0.9</v>
          </cell>
          <cell r="AO17">
            <v>1</v>
          </cell>
          <cell r="AP17">
            <v>4.8</v>
          </cell>
          <cell r="AQ17">
            <v>59.2</v>
          </cell>
          <cell r="AS17">
            <v>17.399999999999999</v>
          </cell>
          <cell r="AT17">
            <v>8.1999999999999993</v>
          </cell>
          <cell r="AU17">
            <v>10.3</v>
          </cell>
          <cell r="AV17">
            <v>24.5</v>
          </cell>
          <cell r="AW17">
            <v>60.4</v>
          </cell>
          <cell r="AY17">
            <v>15.3</v>
          </cell>
          <cell r="AZ17">
            <v>39.9</v>
          </cell>
          <cell r="BA17">
            <v>12.3</v>
          </cell>
          <cell r="BB17">
            <v>32.9</v>
          </cell>
          <cell r="BC17">
            <v>100.4</v>
          </cell>
          <cell r="BE17">
            <v>15.1</v>
          </cell>
          <cell r="BF17">
            <v>24.3</v>
          </cell>
          <cell r="BG17">
            <v>12.8</v>
          </cell>
          <cell r="BH17">
            <v>12.8</v>
          </cell>
          <cell r="BI17">
            <v>65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</row>
        <row r="18">
          <cell r="C18" t="str">
            <v>Stock-based Compensation Acceleration Charges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-9.6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36.700000000000003</v>
          </cell>
          <cell r="AA18">
            <v>0</v>
          </cell>
          <cell r="AB18">
            <v>0.1</v>
          </cell>
          <cell r="AC18">
            <v>0.5</v>
          </cell>
          <cell r="AD18">
            <v>5.4</v>
          </cell>
          <cell r="AE18">
            <v>0</v>
          </cell>
          <cell r="AG18">
            <v>-9.1000000000000014</v>
          </cell>
          <cell r="AH18">
            <v>0.7</v>
          </cell>
          <cell r="AI18">
            <v>0</v>
          </cell>
          <cell r="AJ18">
            <v>4.5</v>
          </cell>
          <cell r="AK18">
            <v>0</v>
          </cell>
          <cell r="AM18">
            <v>1.1000000000000001</v>
          </cell>
          <cell r="AN18">
            <v>2.2000000000000002</v>
          </cell>
          <cell r="AO18">
            <v>2.2999999999999998</v>
          </cell>
          <cell r="AP18">
            <v>0.5</v>
          </cell>
          <cell r="AQ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</row>
        <row r="19">
          <cell r="C19" t="str">
            <v>Amortization of Acquisition-related Intangible Assets</v>
          </cell>
          <cell r="Y19">
            <v>170.8</v>
          </cell>
          <cell r="AE19">
            <v>561.29999999999995</v>
          </cell>
          <cell r="AK19">
            <v>585.70000000000005</v>
          </cell>
          <cell r="AQ19">
            <v>579.9</v>
          </cell>
          <cell r="AS19">
            <v>146.69999999999999</v>
          </cell>
          <cell r="AT19">
            <v>137.80000000000001</v>
          </cell>
          <cell r="AU19">
            <v>135.1</v>
          </cell>
          <cell r="AV19">
            <v>135.1</v>
          </cell>
          <cell r="AW19">
            <v>554.70000000000005</v>
          </cell>
          <cell r="AY19">
            <v>135.4</v>
          </cell>
          <cell r="AZ19">
            <v>151.19999999999999</v>
          </cell>
          <cell r="BA19">
            <v>174.6</v>
          </cell>
          <cell r="BB19">
            <v>186.7</v>
          </cell>
          <cell r="BC19">
            <v>647.90000000000009</v>
          </cell>
          <cell r="BE19">
            <v>183.9</v>
          </cell>
          <cell r="BF19">
            <v>183.4</v>
          </cell>
          <cell r="BG19">
            <v>182.10000000000002</v>
          </cell>
          <cell r="BH19">
            <v>182.10000000000002</v>
          </cell>
          <cell r="BI19">
            <v>731.50000000000011</v>
          </cell>
          <cell r="BK19">
            <v>180.57499999999999</v>
          </cell>
          <cell r="BL19">
            <v>180.57499999999999</v>
          </cell>
          <cell r="BM19">
            <v>180.57499999999999</v>
          </cell>
          <cell r="BN19">
            <v>180.57499999999999</v>
          </cell>
          <cell r="BO19">
            <v>722.3</v>
          </cell>
          <cell r="BQ19">
            <v>171.45</v>
          </cell>
          <cell r="BR19">
            <v>171.45</v>
          </cell>
          <cell r="BS19">
            <v>171.45</v>
          </cell>
          <cell r="BT19">
            <v>171.45</v>
          </cell>
          <cell r="BU19">
            <v>685.8</v>
          </cell>
          <cell r="BW19">
            <v>166.57499999999999</v>
          </cell>
          <cell r="BX19">
            <v>166.57499999999999</v>
          </cell>
          <cell r="BY19">
            <v>166.57499999999999</v>
          </cell>
          <cell r="BZ19">
            <v>166.57499999999999</v>
          </cell>
          <cell r="CA19">
            <v>666.3</v>
          </cell>
        </row>
        <row r="20">
          <cell r="C20" t="str">
            <v>Gain/loss on extinguishment of debt fac.</v>
          </cell>
          <cell r="Y20">
            <v>0.9</v>
          </cell>
          <cell r="AE20">
            <v>0</v>
          </cell>
          <cell r="AK20">
            <v>0</v>
          </cell>
          <cell r="AQ20">
            <v>15.1</v>
          </cell>
          <cell r="AS20">
            <v>0.7</v>
          </cell>
          <cell r="AT20">
            <v>15.3</v>
          </cell>
          <cell r="AU20">
            <v>0.8</v>
          </cell>
          <cell r="AV20">
            <v>0</v>
          </cell>
          <cell r="AW20">
            <v>16.8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I20">
            <v>0</v>
          </cell>
          <cell r="BO20">
            <v>0</v>
          </cell>
          <cell r="BU20">
            <v>0</v>
          </cell>
          <cell r="CA20">
            <v>0</v>
          </cell>
        </row>
        <row r="21">
          <cell r="C21" t="str">
            <v>Other Income</v>
          </cell>
          <cell r="Y21">
            <v>0</v>
          </cell>
          <cell r="AE21">
            <v>6</v>
          </cell>
          <cell r="AK21">
            <v>-3.2</v>
          </cell>
          <cell r="AQ21">
            <v>5.3</v>
          </cell>
          <cell r="AS21">
            <v>1.6</v>
          </cell>
          <cell r="AT21">
            <v>0.8</v>
          </cell>
          <cell r="AU21">
            <v>0.7</v>
          </cell>
          <cell r="AV21">
            <v>8.4</v>
          </cell>
          <cell r="AW21">
            <v>11.5</v>
          </cell>
          <cell r="AY21">
            <v>0.8</v>
          </cell>
          <cell r="AZ21">
            <v>-21.1</v>
          </cell>
          <cell r="BA21">
            <v>5.6</v>
          </cell>
          <cell r="BB21">
            <v>-17.100000000000001</v>
          </cell>
          <cell r="BC21">
            <v>-31.800000000000004</v>
          </cell>
          <cell r="BE21">
            <v>1.2</v>
          </cell>
          <cell r="BF21">
            <v>2</v>
          </cell>
          <cell r="BI21">
            <v>3.2</v>
          </cell>
          <cell r="BO21">
            <v>0</v>
          </cell>
          <cell r="BU21">
            <v>0</v>
          </cell>
          <cell r="CA21">
            <v>0</v>
          </cell>
        </row>
        <row r="22">
          <cell r="C22" t="str">
            <v>Total operating expenses</v>
          </cell>
          <cell r="I22">
            <v>465.19400000000002</v>
          </cell>
          <cell r="J22">
            <v>459.88</v>
          </cell>
          <cell r="K22">
            <v>471.58000000000004</v>
          </cell>
          <cell r="L22">
            <v>532.88900000000001</v>
          </cell>
          <cell r="M22">
            <v>1926.462</v>
          </cell>
          <cell r="O22">
            <v>497.721</v>
          </cell>
          <cell r="P22">
            <v>572.75800000000004</v>
          </cell>
          <cell r="Q22">
            <v>584.71100000000001</v>
          </cell>
          <cell r="R22">
            <v>627.34499999999991</v>
          </cell>
          <cell r="S22">
            <v>2282.5349999999999</v>
          </cell>
          <cell r="U22">
            <v>587.28699999999992</v>
          </cell>
          <cell r="V22">
            <v>609.59399999999994</v>
          </cell>
          <cell r="W22">
            <v>616.28399999999999</v>
          </cell>
          <cell r="X22">
            <v>1405.5830000000001</v>
          </cell>
          <cell r="Y22">
            <v>3203.6</v>
          </cell>
          <cell r="AA22">
            <v>1962.6999999999998</v>
          </cell>
          <cell r="AB22">
            <v>1981.3</v>
          </cell>
          <cell r="AC22">
            <v>1996.4999999999998</v>
          </cell>
          <cell r="AD22">
            <v>2169</v>
          </cell>
          <cell r="AE22">
            <v>7993.9</v>
          </cell>
          <cell r="AG22">
            <v>2106.9</v>
          </cell>
          <cell r="AH22">
            <v>2233</v>
          </cell>
          <cell r="AI22">
            <v>2133.7000000000003</v>
          </cell>
          <cell r="AJ22">
            <v>2154.6</v>
          </cell>
          <cell r="AK22">
            <v>8496.3000000000029</v>
          </cell>
          <cell r="AM22">
            <v>1906.1000000000001</v>
          </cell>
          <cell r="AN22">
            <v>2065.5</v>
          </cell>
          <cell r="AO22">
            <v>2093.6</v>
          </cell>
          <cell r="AP22">
            <v>2329.6000000000004</v>
          </cell>
          <cell r="AQ22">
            <v>8262.1999999999989</v>
          </cell>
          <cell r="AS22">
            <v>2171.9999999999995</v>
          </cell>
          <cell r="AT22">
            <v>2148.2999999999997</v>
          </cell>
          <cell r="AU22">
            <v>2177.6</v>
          </cell>
          <cell r="AV22">
            <v>2232.2000000000003</v>
          </cell>
          <cell r="AW22">
            <v>8730.0999999999985</v>
          </cell>
          <cell r="AY22">
            <v>2204.4</v>
          </cell>
          <cell r="AZ22">
            <v>2343.7000000000003</v>
          </cell>
          <cell r="BA22">
            <v>2386.1000000000004</v>
          </cell>
          <cell r="BB22">
            <v>2496.8000000000002</v>
          </cell>
          <cell r="BC22">
            <v>9431.0000000000018</v>
          </cell>
          <cell r="BE22">
            <v>2483.8000000000002</v>
          </cell>
          <cell r="BF22">
            <v>2518</v>
          </cell>
          <cell r="BG22">
            <v>2387.7231970227112</v>
          </cell>
          <cell r="BH22">
            <v>2447.3250116828635</v>
          </cell>
          <cell r="BI22">
            <v>9836.8482087055745</v>
          </cell>
          <cell r="BK22">
            <v>2548.2759793021423</v>
          </cell>
          <cell r="BL22">
            <v>2614.8076235212275</v>
          </cell>
          <cell r="BM22">
            <v>2454.1030277883074</v>
          </cell>
          <cell r="BN22">
            <v>2516.5520113776174</v>
          </cell>
          <cell r="BO22">
            <v>10133.738641989294</v>
          </cell>
          <cell r="BQ22">
            <v>2617.1345076595826</v>
          </cell>
          <cell r="BR22">
            <v>2692.9974260991071</v>
          </cell>
          <cell r="BS22">
            <v>2523.7543866320093</v>
          </cell>
          <cell r="BT22">
            <v>2598.3562872365055</v>
          </cell>
          <cell r="BU22">
            <v>10432.242607627206</v>
          </cell>
          <cell r="BW22">
            <v>2708.9305329389731</v>
          </cell>
          <cell r="BX22">
            <v>2782.251583903048</v>
          </cell>
          <cell r="BY22">
            <v>2603.2036023840888</v>
          </cell>
          <cell r="BZ22">
            <v>2692.6938712344704</v>
          </cell>
          <cell r="CA22">
            <v>10787.07959046058</v>
          </cell>
        </row>
        <row r="24">
          <cell r="C24" t="str">
            <v>EBITA (non-GAAP)</v>
          </cell>
          <cell r="I24">
            <v>59.838000000000022</v>
          </cell>
          <cell r="J24">
            <v>65.428999999999974</v>
          </cell>
          <cell r="K24">
            <v>70.7349999999999</v>
          </cell>
          <cell r="L24">
            <v>80.450000000000045</v>
          </cell>
          <cell r="M24">
            <v>279.53300000000036</v>
          </cell>
          <cell r="O24">
            <v>61.486999999999966</v>
          </cell>
          <cell r="P24">
            <v>80.862999999999943</v>
          </cell>
          <cell r="Q24">
            <v>94.700000000000045</v>
          </cell>
          <cell r="R24">
            <v>113.44200000000012</v>
          </cell>
          <cell r="S24">
            <v>350.49200000000019</v>
          </cell>
          <cell r="U24">
            <v>97.000000000000114</v>
          </cell>
          <cell r="V24">
            <v>103.87400000000002</v>
          </cell>
          <cell r="W24">
            <v>108.678</v>
          </cell>
          <cell r="X24">
            <v>263.31699999999978</v>
          </cell>
          <cell r="Y24">
            <v>563.20000000000027</v>
          </cell>
          <cell r="AA24">
            <v>375.50000000000045</v>
          </cell>
          <cell r="AB24">
            <v>404.60000000000014</v>
          </cell>
          <cell r="AC24">
            <v>404.70000000000005</v>
          </cell>
          <cell r="AD24">
            <v>452.09999999999991</v>
          </cell>
          <cell r="AE24">
            <v>1598.6000000000004</v>
          </cell>
          <cell r="AG24">
            <v>447.09999999999991</v>
          </cell>
          <cell r="AH24">
            <v>476.60000000000036</v>
          </cell>
          <cell r="AI24">
            <v>454.40000000000009</v>
          </cell>
          <cell r="AJ24">
            <v>491.69999999999982</v>
          </cell>
          <cell r="AK24">
            <v>1816.8999999999978</v>
          </cell>
          <cell r="AM24">
            <v>349.00000000000023</v>
          </cell>
          <cell r="AN24">
            <v>418.59999999999991</v>
          </cell>
          <cell r="AO24">
            <v>437.5</v>
          </cell>
          <cell r="AP24">
            <v>509.79999999999973</v>
          </cell>
          <cell r="AQ24">
            <v>1649.4000000000015</v>
          </cell>
          <cell r="AS24">
            <v>454.90000000000009</v>
          </cell>
          <cell r="AT24">
            <v>447.40000000000009</v>
          </cell>
          <cell r="AU24">
            <v>451.09999999999991</v>
          </cell>
          <cell r="AV24">
            <v>486.69999999999982</v>
          </cell>
          <cell r="AW24">
            <v>1840.1000000000004</v>
          </cell>
          <cell r="AY24">
            <v>478.19999999999982</v>
          </cell>
          <cell r="AZ24">
            <v>510.29999999999973</v>
          </cell>
          <cell r="BA24">
            <v>546.79999999999973</v>
          </cell>
          <cell r="BB24">
            <v>592.5</v>
          </cell>
          <cell r="BC24">
            <v>2127.7999999999975</v>
          </cell>
          <cell r="BE24">
            <v>573</v>
          </cell>
          <cell r="BF24">
            <v>590.09999999999991</v>
          </cell>
          <cell r="BG24">
            <v>574.47964439206589</v>
          </cell>
          <cell r="BH24">
            <v>607.21515781864127</v>
          </cell>
          <cell r="BI24">
            <v>2344.7948022107066</v>
          </cell>
          <cell r="BK24">
            <v>599.49612102785795</v>
          </cell>
          <cell r="BL24">
            <v>622.77793001877262</v>
          </cell>
          <cell r="BM24">
            <v>594.232205711608</v>
          </cell>
          <cell r="BN24">
            <v>630.28274509499806</v>
          </cell>
          <cell r="BO24">
            <v>2446.7890018532362</v>
          </cell>
          <cell r="BQ24">
            <v>637.80925423361759</v>
          </cell>
          <cell r="BR24">
            <v>664.26346374699278</v>
          </cell>
          <cell r="BS24">
            <v>632.6613394973765</v>
          </cell>
          <cell r="BT24">
            <v>673.27165288508331</v>
          </cell>
          <cell r="BU24">
            <v>2608.0057103630697</v>
          </cell>
          <cell r="BW24">
            <v>683.38514505062085</v>
          </cell>
          <cell r="BX24">
            <v>710.22587115370288</v>
          </cell>
          <cell r="BY24">
            <v>675.12871910853664</v>
          </cell>
          <cell r="BZ24">
            <v>721.35863942627202</v>
          </cell>
          <cell r="CA24">
            <v>2790.0983747391329</v>
          </cell>
        </row>
        <row r="25">
          <cell r="C25" t="str">
            <v>Depreciation</v>
          </cell>
          <cell r="I25">
            <v>10.878</v>
          </cell>
          <cell r="J25">
            <v>10.782</v>
          </cell>
          <cell r="K25">
            <v>10.204000000000001</v>
          </cell>
          <cell r="L25">
            <v>11.477</v>
          </cell>
          <cell r="M25">
            <v>43.341000000000001</v>
          </cell>
          <cell r="O25">
            <v>10.151999999999999</v>
          </cell>
          <cell r="P25">
            <v>10.76</v>
          </cell>
          <cell r="Q25">
            <v>12.34</v>
          </cell>
          <cell r="R25">
            <v>12.419999999999996</v>
          </cell>
          <cell r="S25">
            <v>45.67199999999999</v>
          </cell>
          <cell r="U25">
            <v>11.8</v>
          </cell>
          <cell r="V25">
            <v>13.4</v>
          </cell>
          <cell r="W25">
            <v>13.4</v>
          </cell>
          <cell r="X25">
            <v>30.400000000000002</v>
          </cell>
          <cell r="Y25">
            <v>69</v>
          </cell>
          <cell r="AA25">
            <v>46</v>
          </cell>
          <cell r="AB25">
            <v>45</v>
          </cell>
          <cell r="AC25">
            <v>46.1</v>
          </cell>
          <cell r="AD25">
            <v>41.900000000000006</v>
          </cell>
          <cell r="AE25">
            <v>179</v>
          </cell>
          <cell r="AG25">
            <v>47.6</v>
          </cell>
          <cell r="AH25">
            <v>48.2</v>
          </cell>
          <cell r="AI25">
            <v>47.7</v>
          </cell>
          <cell r="AJ25">
            <v>39.199999999999996</v>
          </cell>
          <cell r="AK25">
            <v>182.7</v>
          </cell>
          <cell r="AM25">
            <v>45</v>
          </cell>
          <cell r="AN25">
            <v>47.2</v>
          </cell>
          <cell r="AO25">
            <v>47.3</v>
          </cell>
          <cell r="AP25">
            <v>43.499999999999986</v>
          </cell>
          <cell r="AQ25">
            <v>183</v>
          </cell>
          <cell r="AS25">
            <v>46.9</v>
          </cell>
          <cell r="AT25">
            <v>47.5</v>
          </cell>
          <cell r="AU25">
            <v>47.3</v>
          </cell>
          <cell r="AV25">
            <v>49.6</v>
          </cell>
          <cell r="AW25">
            <v>191.29999999999998</v>
          </cell>
          <cell r="AY25">
            <v>48.9</v>
          </cell>
          <cell r="AZ25">
            <v>51.4</v>
          </cell>
          <cell r="BA25">
            <v>55.1</v>
          </cell>
          <cell r="BB25">
            <v>60.2</v>
          </cell>
          <cell r="BC25">
            <v>215.60000000000002</v>
          </cell>
          <cell r="BE25">
            <v>59.9</v>
          </cell>
          <cell r="BF25">
            <v>58.2</v>
          </cell>
          <cell r="BG25">
            <v>54.116208453016007</v>
          </cell>
          <cell r="BH25">
            <v>56.258710538153785</v>
          </cell>
          <cell r="BI25">
            <v>228.4749189911698</v>
          </cell>
          <cell r="BK25">
            <v>59.991179738172313</v>
          </cell>
          <cell r="BL25">
            <v>61.768032329741438</v>
          </cell>
          <cell r="BM25">
            <v>63.59558276791681</v>
          </cell>
          <cell r="BN25">
            <v>65.316305293873484</v>
          </cell>
          <cell r="BO25">
            <v>250.67110012970403</v>
          </cell>
          <cell r="BQ25">
            <v>67.092628774119092</v>
          </cell>
          <cell r="BR25">
            <v>68.965311194370472</v>
          </cell>
          <cell r="BS25">
            <v>70.896860219031808</v>
          </cell>
          <cell r="BT25">
            <v>72.712856031472342</v>
          </cell>
          <cell r="BU25">
            <v>279.66765621899367</v>
          </cell>
          <cell r="BW25">
            <v>74.595137440078133</v>
          </cell>
          <cell r="BX25">
            <v>76.583679558328157</v>
          </cell>
          <cell r="BY25">
            <v>78.630935526126194</v>
          </cell>
          <cell r="BZ25">
            <v>80.552661720774424</v>
          </cell>
          <cell r="CA25">
            <v>310.36241424530692</v>
          </cell>
        </row>
        <row r="26">
          <cell r="C26" t="str">
            <v>Stock based compensation</v>
          </cell>
          <cell r="M26">
            <v>17.8</v>
          </cell>
          <cell r="S26">
            <v>2.8</v>
          </cell>
        </row>
        <row r="27">
          <cell r="C27" t="str">
            <v>EBITDA (non-GAAP)</v>
          </cell>
          <cell r="I27">
            <v>70.716000000000022</v>
          </cell>
          <cell r="J27">
            <v>76.21099999999997</v>
          </cell>
          <cell r="K27">
            <v>80.938999999999908</v>
          </cell>
          <cell r="L27">
            <v>91.927000000000049</v>
          </cell>
          <cell r="M27">
            <v>340.67400000000038</v>
          </cell>
          <cell r="O27">
            <v>71.638999999999967</v>
          </cell>
          <cell r="P27">
            <v>91.622999999999948</v>
          </cell>
          <cell r="Q27">
            <v>107.04000000000005</v>
          </cell>
          <cell r="R27">
            <v>125.86200000000012</v>
          </cell>
          <cell r="S27">
            <v>398.96400000000017</v>
          </cell>
          <cell r="U27">
            <v>108.80000000000011</v>
          </cell>
          <cell r="V27">
            <v>117.27400000000003</v>
          </cell>
          <cell r="W27">
            <v>122.078</v>
          </cell>
          <cell r="X27">
            <v>293.71699999999976</v>
          </cell>
          <cell r="Y27">
            <v>632.20000000000027</v>
          </cell>
          <cell r="AA27">
            <v>421.50000000000045</v>
          </cell>
          <cell r="AB27">
            <v>449.60000000000014</v>
          </cell>
          <cell r="AC27">
            <v>450.80000000000007</v>
          </cell>
          <cell r="AD27">
            <v>493.99999999999989</v>
          </cell>
          <cell r="AE27">
            <v>1777.6000000000004</v>
          </cell>
          <cell r="AG27">
            <v>494.69999999999993</v>
          </cell>
          <cell r="AH27">
            <v>524.80000000000041</v>
          </cell>
          <cell r="AI27">
            <v>502.10000000000008</v>
          </cell>
          <cell r="AJ27">
            <v>530.89999999999986</v>
          </cell>
          <cell r="AK27">
            <v>1999.5999999999979</v>
          </cell>
          <cell r="AM27">
            <v>394.00000000000023</v>
          </cell>
          <cell r="AN27">
            <v>465.7999999999999</v>
          </cell>
          <cell r="AO27">
            <v>484.8</v>
          </cell>
          <cell r="AP27">
            <v>553.29999999999973</v>
          </cell>
          <cell r="AQ27">
            <v>1832.4000000000015</v>
          </cell>
          <cell r="AS27">
            <v>501.80000000000007</v>
          </cell>
          <cell r="AT27">
            <v>494.90000000000009</v>
          </cell>
          <cell r="AU27">
            <v>498.39999999999992</v>
          </cell>
          <cell r="AV27">
            <v>536.29999999999984</v>
          </cell>
          <cell r="AW27">
            <v>2031.4000000000003</v>
          </cell>
          <cell r="AY27">
            <v>527.0999999999998</v>
          </cell>
          <cell r="AZ27">
            <v>561.6999999999997</v>
          </cell>
          <cell r="BA27">
            <v>601.89999999999975</v>
          </cell>
          <cell r="BB27">
            <v>652.70000000000005</v>
          </cell>
          <cell r="BC27">
            <v>2343.3999999999974</v>
          </cell>
          <cell r="BE27">
            <v>632.9</v>
          </cell>
          <cell r="BF27">
            <v>648.29999999999995</v>
          </cell>
          <cell r="BG27">
            <v>628.59585284508194</v>
          </cell>
          <cell r="BH27">
            <v>663.47386835679504</v>
          </cell>
          <cell r="BI27">
            <v>2573.2697212018766</v>
          </cell>
          <cell r="BK27">
            <v>659.48730076603022</v>
          </cell>
          <cell r="BL27">
            <v>684.54596234851408</v>
          </cell>
          <cell r="BM27">
            <v>657.82778847952477</v>
          </cell>
          <cell r="BN27">
            <v>695.59905038887155</v>
          </cell>
          <cell r="BO27">
            <v>2697.4601019829402</v>
          </cell>
          <cell r="BQ27">
            <v>704.90188300773673</v>
          </cell>
          <cell r="BR27">
            <v>733.22877494136321</v>
          </cell>
          <cell r="BS27">
            <v>703.55819971640835</v>
          </cell>
          <cell r="BT27">
            <v>745.98450891655568</v>
          </cell>
          <cell r="BU27">
            <v>2887.6733665820634</v>
          </cell>
          <cell r="BW27">
            <v>757.98028249069898</v>
          </cell>
          <cell r="BX27">
            <v>786.80955071203107</v>
          </cell>
          <cell r="BY27">
            <v>753.75965463466287</v>
          </cell>
          <cell r="BZ27">
            <v>801.9113011470464</v>
          </cell>
          <cell r="CA27">
            <v>3100.4607889844397</v>
          </cell>
        </row>
        <row r="28">
          <cell r="C28" t="str">
            <v>Other expense, net</v>
          </cell>
          <cell r="I28">
            <v>2.6019999999999999</v>
          </cell>
          <cell r="J28">
            <v>10.667</v>
          </cell>
          <cell r="K28">
            <v>2.4710000000000001</v>
          </cell>
          <cell r="L28">
            <v>5.9670000000000005</v>
          </cell>
          <cell r="M28">
            <v>12.1</v>
          </cell>
          <cell r="O28">
            <v>3.3039999999999998</v>
          </cell>
          <cell r="P28">
            <v>25.504000000000001</v>
          </cell>
          <cell r="Q28">
            <v>-2.7509999999999999</v>
          </cell>
          <cell r="R28">
            <v>-3.6460000000000004</v>
          </cell>
          <cell r="S28">
            <v>22.410999999999998</v>
          </cell>
          <cell r="U28">
            <v>-3.7789999999999999</v>
          </cell>
          <cell r="V28">
            <v>-3.383</v>
          </cell>
          <cell r="W28">
            <v>-5.7430000000000003</v>
          </cell>
          <cell r="X28">
            <v>-19.683999999999997</v>
          </cell>
          <cell r="Y28">
            <v>-35.400000000000091</v>
          </cell>
          <cell r="AA28">
            <v>-26.7</v>
          </cell>
          <cell r="AB28">
            <v>-20.599999999999998</v>
          </cell>
          <cell r="AC28">
            <v>-18.2</v>
          </cell>
          <cell r="AD28">
            <v>-21.6</v>
          </cell>
          <cell r="AE28">
            <v>-107.69999999999982</v>
          </cell>
          <cell r="AG28">
            <v>-21.9</v>
          </cell>
          <cell r="AH28">
            <v>-22</v>
          </cell>
          <cell r="AI28">
            <v>-22.1</v>
          </cell>
          <cell r="AJ28">
            <v>-17.700000000000003</v>
          </cell>
          <cell r="AK28">
            <v>-104.60000000000014</v>
          </cell>
          <cell r="AM28">
            <v>-21.8</v>
          </cell>
          <cell r="AN28">
            <v>-26.000000000000004</v>
          </cell>
          <cell r="AO28">
            <v>-26</v>
          </cell>
          <cell r="AP28">
            <v>-27.599999999999994</v>
          </cell>
          <cell r="AQ28">
            <v>-101.30000000000018</v>
          </cell>
          <cell r="AS28">
            <v>-22.600000000000023</v>
          </cell>
          <cell r="AT28">
            <v>-20.699999999999932</v>
          </cell>
          <cell r="AU28">
            <v>-13.899999999999977</v>
          </cell>
          <cell r="AV28">
            <v>-14.800000000000011</v>
          </cell>
          <cell r="AW28">
            <v>-71.999999999999943</v>
          </cell>
          <cell r="AY28">
            <v>-21.699999999999989</v>
          </cell>
          <cell r="AZ28">
            <v>-31.300000000000011</v>
          </cell>
          <cell r="BA28">
            <v>-44.699999999999932</v>
          </cell>
          <cell r="BB28">
            <v>-52.699999999999932</v>
          </cell>
          <cell r="BC28">
            <v>-150.39999999999986</v>
          </cell>
          <cell r="BE28">
            <v>-48.7</v>
          </cell>
          <cell r="BF28">
            <v>-45</v>
          </cell>
          <cell r="BG28">
            <v>-65</v>
          </cell>
          <cell r="BH28">
            <v>-66</v>
          </cell>
          <cell r="BI28">
            <v>-224.7</v>
          </cell>
          <cell r="BK28">
            <v>-46.71619510034666</v>
          </cell>
          <cell r="BL28">
            <v>-46.946405401611656</v>
          </cell>
          <cell r="BM28">
            <v>-45.505220811841525</v>
          </cell>
          <cell r="BN28">
            <v>-44.045260390704875</v>
          </cell>
          <cell r="BO28">
            <v>-183.2130817045047</v>
          </cell>
          <cell r="BQ28">
            <v>-40.843911119621026</v>
          </cell>
          <cell r="BR28">
            <v>-41.956400744679591</v>
          </cell>
          <cell r="BS28">
            <v>-40.55455161471258</v>
          </cell>
          <cell r="BT28">
            <v>-35.291556059203501</v>
          </cell>
          <cell r="BU28">
            <v>-158.64641953821672</v>
          </cell>
          <cell r="BW28">
            <v>-36.076674331650167</v>
          </cell>
          <cell r="BX28">
            <v>-28.29914366690463</v>
          </cell>
          <cell r="BY28">
            <v>-30.617511906393428</v>
          </cell>
          <cell r="BZ28">
            <v>-28.695245313754775</v>
          </cell>
          <cell r="CA28">
            <v>-123.68857521870299</v>
          </cell>
        </row>
        <row r="29">
          <cell r="C29" t="str">
            <v>Pretax Income</v>
          </cell>
          <cell r="I29">
            <v>62.440000000000019</v>
          </cell>
          <cell r="J29">
            <v>76.095999999999975</v>
          </cell>
          <cell r="K29">
            <v>73.205999999999904</v>
          </cell>
          <cell r="L29">
            <v>86.417000000000044</v>
          </cell>
          <cell r="M29">
            <v>291.63300000000038</v>
          </cell>
          <cell r="O29">
            <v>64.790999999999968</v>
          </cell>
          <cell r="P29">
            <v>106.36699999999995</v>
          </cell>
          <cell r="Q29">
            <v>91.949000000000041</v>
          </cell>
          <cell r="R29">
            <v>109.79600000000012</v>
          </cell>
          <cell r="S29">
            <v>372.90300000000019</v>
          </cell>
          <cell r="U29">
            <v>93.221000000000117</v>
          </cell>
          <cell r="V29">
            <v>100.49100000000003</v>
          </cell>
          <cell r="W29">
            <v>102.935</v>
          </cell>
          <cell r="X29">
            <v>243.63299999999978</v>
          </cell>
          <cell r="Y29">
            <v>527.80000000000018</v>
          </cell>
          <cell r="AA29">
            <v>348.80000000000047</v>
          </cell>
          <cell r="AB29">
            <v>384.00000000000011</v>
          </cell>
          <cell r="AC29">
            <v>386.50000000000006</v>
          </cell>
          <cell r="AD29">
            <v>430.49999999999989</v>
          </cell>
          <cell r="AE29">
            <v>1490.9000000000005</v>
          </cell>
          <cell r="AG29">
            <v>425.19999999999993</v>
          </cell>
          <cell r="AH29">
            <v>454.60000000000036</v>
          </cell>
          <cell r="AI29">
            <v>432.30000000000007</v>
          </cell>
          <cell r="AJ29">
            <v>473.99999999999983</v>
          </cell>
          <cell r="AK29">
            <v>1712.2999999999977</v>
          </cell>
          <cell r="AM29">
            <v>327.20000000000022</v>
          </cell>
          <cell r="AN29">
            <v>392.59999999999991</v>
          </cell>
          <cell r="AO29">
            <v>411.5</v>
          </cell>
          <cell r="AP29">
            <v>482.1999999999997</v>
          </cell>
          <cell r="AQ29">
            <v>1548.1000000000013</v>
          </cell>
          <cell r="AS29">
            <v>432.30000000000007</v>
          </cell>
          <cell r="AT29">
            <v>426.70000000000016</v>
          </cell>
          <cell r="AU29">
            <v>437.19999999999993</v>
          </cell>
          <cell r="AV29">
            <v>471.89999999999981</v>
          </cell>
          <cell r="AW29">
            <v>1768.1000000000004</v>
          </cell>
          <cell r="AY29">
            <v>456.49999999999983</v>
          </cell>
          <cell r="AZ29">
            <v>478.99999999999972</v>
          </cell>
          <cell r="BA29">
            <v>502.0999999999998</v>
          </cell>
          <cell r="BB29">
            <v>539.80000000000007</v>
          </cell>
          <cell r="BC29">
            <v>1977.3999999999976</v>
          </cell>
          <cell r="BE29">
            <v>524.29999999999995</v>
          </cell>
          <cell r="BF29">
            <v>545.09999999999991</v>
          </cell>
          <cell r="BG29">
            <v>509.47964439206589</v>
          </cell>
          <cell r="BH29">
            <v>541.21515781864127</v>
          </cell>
          <cell r="BI29">
            <v>2120.0948022107068</v>
          </cell>
          <cell r="BK29">
            <v>552.77992592751127</v>
          </cell>
          <cell r="BL29">
            <v>575.83152461716099</v>
          </cell>
          <cell r="BM29">
            <v>548.72698489976642</v>
          </cell>
          <cell r="BN29">
            <v>586.23748470429314</v>
          </cell>
          <cell r="BO29">
            <v>2263.5759201487317</v>
          </cell>
          <cell r="BQ29">
            <v>596.9653431139966</v>
          </cell>
          <cell r="BR29">
            <v>622.30706300231316</v>
          </cell>
          <cell r="BS29">
            <v>592.10678788266387</v>
          </cell>
          <cell r="BT29">
            <v>637.98009682587985</v>
          </cell>
          <cell r="BU29">
            <v>2449.3592908248529</v>
          </cell>
          <cell r="BW29">
            <v>647.30847071897074</v>
          </cell>
          <cell r="BX29">
            <v>681.9267274867982</v>
          </cell>
          <cell r="BY29">
            <v>644.51120720214317</v>
          </cell>
          <cell r="BZ29">
            <v>692.66339411251727</v>
          </cell>
          <cell r="CA29">
            <v>2666.4097995204297</v>
          </cell>
        </row>
        <row r="30">
          <cell r="C30" t="str">
            <v>Provision for income taxes</v>
          </cell>
          <cell r="I30">
            <v>15.811</v>
          </cell>
          <cell r="J30">
            <v>19.058</v>
          </cell>
          <cell r="K30">
            <v>19.451000000000001</v>
          </cell>
          <cell r="L30">
            <v>-13.468</v>
          </cell>
          <cell r="M30">
            <v>77</v>
          </cell>
          <cell r="O30">
            <v>17.785</v>
          </cell>
          <cell r="P30">
            <v>50.914999999999999</v>
          </cell>
          <cell r="Q30">
            <v>30.009999999999998</v>
          </cell>
          <cell r="R30">
            <v>32.704999999999998</v>
          </cell>
          <cell r="S30">
            <v>131.41500000000002</v>
          </cell>
          <cell r="U30">
            <v>28.413999999999998</v>
          </cell>
          <cell r="V30">
            <v>30.719000000000001</v>
          </cell>
          <cell r="W30">
            <v>31.494</v>
          </cell>
          <cell r="X30">
            <v>61.996999999999993</v>
          </cell>
          <cell r="Y30">
            <v>148.30000000000001</v>
          </cell>
          <cell r="AA30">
            <v>87.3</v>
          </cell>
          <cell r="AB30">
            <v>92.9</v>
          </cell>
          <cell r="AC30">
            <v>95.2</v>
          </cell>
          <cell r="AD30">
            <v>97</v>
          </cell>
          <cell r="AE30">
            <v>349.2</v>
          </cell>
          <cell r="AG30">
            <v>103.4</v>
          </cell>
          <cell r="AH30">
            <v>107.6</v>
          </cell>
          <cell r="AI30">
            <v>100.69999999999999</v>
          </cell>
          <cell r="AJ30">
            <v>99.1</v>
          </cell>
          <cell r="AK30">
            <v>382.3</v>
          </cell>
          <cell r="AM30">
            <v>65.400000000000006</v>
          </cell>
          <cell r="AN30">
            <v>78.5</v>
          </cell>
          <cell r="AO30">
            <v>82.3</v>
          </cell>
          <cell r="AP30">
            <v>96.6</v>
          </cell>
          <cell r="AQ30">
            <v>297.10000000000002</v>
          </cell>
          <cell r="AS30">
            <v>90.9</v>
          </cell>
          <cell r="AT30">
            <v>88.4</v>
          </cell>
          <cell r="AU30">
            <v>85.6</v>
          </cell>
          <cell r="AV30">
            <v>87.5</v>
          </cell>
          <cell r="AW30">
            <v>352.4</v>
          </cell>
          <cell r="AY30">
            <v>93.6</v>
          </cell>
          <cell r="AZ30">
            <v>96</v>
          </cell>
          <cell r="BA30">
            <v>92.9</v>
          </cell>
          <cell r="BB30">
            <v>95.2</v>
          </cell>
          <cell r="BC30">
            <v>377.7</v>
          </cell>
          <cell r="BE30">
            <v>91.8</v>
          </cell>
          <cell r="BF30">
            <v>96</v>
          </cell>
          <cell r="BG30">
            <v>87.121019191043274</v>
          </cell>
          <cell r="BH30">
            <v>92.494097991523631</v>
          </cell>
          <cell r="BI30">
            <v>367.41511718256692</v>
          </cell>
          <cell r="BK30">
            <v>96.183707111386951</v>
          </cell>
          <cell r="BL30">
            <v>100.19468528338601</v>
          </cell>
          <cell r="BM30">
            <v>95.478495372559351</v>
          </cell>
          <cell r="BN30">
            <v>102.00532233854699</v>
          </cell>
          <cell r="BO30">
            <v>393.86221010587929</v>
          </cell>
          <cell r="BQ30">
            <v>103.8719697018354</v>
          </cell>
          <cell r="BR30">
            <v>108.28142896240249</v>
          </cell>
          <cell r="BS30">
            <v>103.02658109158351</v>
          </cell>
          <cell r="BT30">
            <v>111.00853684770294</v>
          </cell>
          <cell r="BU30">
            <v>426.18851660352436</v>
          </cell>
          <cell r="BW30">
            <v>112.6316739051009</v>
          </cell>
          <cell r="BX30">
            <v>118.65525058270288</v>
          </cell>
          <cell r="BY30">
            <v>112.14495005317291</v>
          </cell>
          <cell r="BZ30">
            <v>120.523430575578</v>
          </cell>
          <cell r="CA30">
            <v>463.95530511655471</v>
          </cell>
        </row>
        <row r="31">
          <cell r="C31" t="str">
            <v>Adjustment for one-time items</v>
          </cell>
          <cell r="L31">
            <v>37.664999999999999</v>
          </cell>
          <cell r="M31">
            <v>51.991</v>
          </cell>
          <cell r="O31">
            <v>0.38800000000000001</v>
          </cell>
          <cell r="P31">
            <v>28.957000000000001</v>
          </cell>
          <cell r="Q31">
            <v>11.247999999999999</v>
          </cell>
          <cell r="R31">
            <v>3.2250000000000001</v>
          </cell>
          <cell r="S31">
            <v>43.818000000000005</v>
          </cell>
          <cell r="U31">
            <v>7.9669999999999996</v>
          </cell>
          <cell r="V31">
            <v>10.872</v>
          </cell>
          <cell r="W31">
            <v>10.959</v>
          </cell>
          <cell r="X31">
            <v>79.771999999999991</v>
          </cell>
          <cell r="AE31">
            <v>0</v>
          </cell>
          <cell r="AK31">
            <v>0</v>
          </cell>
        </row>
        <row r="32">
          <cell r="C32" t="str">
            <v>Net Income (Non-GAAP) - continuing ops</v>
          </cell>
          <cell r="I32">
            <v>46.629000000000019</v>
          </cell>
          <cell r="J32">
            <v>57.037999999999975</v>
          </cell>
          <cell r="K32">
            <v>53.754999999999903</v>
          </cell>
          <cell r="L32">
            <v>99.885000000000048</v>
          </cell>
          <cell r="M32">
            <v>214.63300000000038</v>
          </cell>
          <cell r="O32">
            <v>47.005999999999972</v>
          </cell>
          <cell r="P32">
            <v>55.451999999999948</v>
          </cell>
          <cell r="Q32">
            <v>61.939000000000043</v>
          </cell>
          <cell r="R32">
            <v>77.091000000000122</v>
          </cell>
          <cell r="S32">
            <v>241.48800000000017</v>
          </cell>
          <cell r="U32">
            <v>64.807000000000116</v>
          </cell>
          <cell r="V32">
            <v>69.77200000000002</v>
          </cell>
          <cell r="W32">
            <v>71.441000000000003</v>
          </cell>
          <cell r="X32">
            <v>181.6359999999998</v>
          </cell>
          <cell r="Y32">
            <v>379.50000000000017</v>
          </cell>
          <cell r="AA32">
            <v>261.50000000000045</v>
          </cell>
          <cell r="AB32">
            <v>291.10000000000014</v>
          </cell>
          <cell r="AC32">
            <v>291.30000000000007</v>
          </cell>
          <cell r="AD32">
            <v>333.49999999999989</v>
          </cell>
          <cell r="AE32">
            <v>1141.7000000000005</v>
          </cell>
          <cell r="AG32">
            <v>321.79999999999995</v>
          </cell>
          <cell r="AH32">
            <v>347.00000000000034</v>
          </cell>
          <cell r="AI32">
            <v>331.60000000000008</v>
          </cell>
          <cell r="AJ32">
            <v>374.89999999999986</v>
          </cell>
          <cell r="AK32">
            <v>1329.9999999999977</v>
          </cell>
          <cell r="AM32">
            <v>261.80000000000018</v>
          </cell>
          <cell r="AN32">
            <v>314.09999999999991</v>
          </cell>
          <cell r="AO32">
            <v>329.2</v>
          </cell>
          <cell r="AP32">
            <v>385.59999999999968</v>
          </cell>
          <cell r="AQ32">
            <v>1251.0000000000014</v>
          </cell>
          <cell r="AS32">
            <v>341.40000000000009</v>
          </cell>
          <cell r="AT32">
            <v>338.30000000000018</v>
          </cell>
          <cell r="AU32">
            <v>351.59999999999991</v>
          </cell>
          <cell r="AV32">
            <v>384.39999999999981</v>
          </cell>
          <cell r="AW32">
            <v>1415.7000000000003</v>
          </cell>
          <cell r="AY32">
            <v>362.89999999999986</v>
          </cell>
          <cell r="AZ32">
            <v>382.99999999999972</v>
          </cell>
          <cell r="BA32">
            <v>409.19999999999982</v>
          </cell>
          <cell r="BB32">
            <v>444.60000000000008</v>
          </cell>
          <cell r="BC32">
            <v>1599.6999999999975</v>
          </cell>
          <cell r="BE32">
            <v>432.49999999999994</v>
          </cell>
          <cell r="BF32">
            <v>449.09999999999991</v>
          </cell>
          <cell r="BG32">
            <v>422.35862520102262</v>
          </cell>
          <cell r="BH32">
            <v>448.72105982711764</v>
          </cell>
          <cell r="BI32">
            <v>1752.6796850281398</v>
          </cell>
          <cell r="BK32">
            <v>456.59621881612429</v>
          </cell>
          <cell r="BL32">
            <v>475.63683933377501</v>
          </cell>
          <cell r="BM32">
            <v>453.24848952720708</v>
          </cell>
          <cell r="BN32">
            <v>484.23216236574615</v>
          </cell>
          <cell r="BO32">
            <v>1869.7137100428524</v>
          </cell>
          <cell r="BQ32">
            <v>493.09337341216121</v>
          </cell>
          <cell r="BR32">
            <v>514.02563403991064</v>
          </cell>
          <cell r="BS32">
            <v>489.08020679108034</v>
          </cell>
          <cell r="BT32">
            <v>526.97155997817686</v>
          </cell>
          <cell r="BU32">
            <v>2023.1707742213284</v>
          </cell>
          <cell r="BW32">
            <v>534.67679681386983</v>
          </cell>
          <cell r="BX32">
            <v>563.27147690409538</v>
          </cell>
          <cell r="BY32">
            <v>532.36625714897025</v>
          </cell>
          <cell r="BZ32">
            <v>572.13996353693926</v>
          </cell>
          <cell r="CA32">
            <v>2202.4544944038748</v>
          </cell>
        </row>
        <row r="33">
          <cell r="C33" t="str">
            <v>Income from discontinued operations</v>
          </cell>
          <cell r="S33">
            <v>0</v>
          </cell>
          <cell r="Y33">
            <v>0</v>
          </cell>
          <cell r="AE33">
            <v>0</v>
          </cell>
          <cell r="AK33">
            <v>0</v>
          </cell>
          <cell r="AQ33">
            <v>0</v>
          </cell>
          <cell r="AW33">
            <v>0</v>
          </cell>
          <cell r="BC33">
            <v>0</v>
          </cell>
          <cell r="BG33">
            <v>0</v>
          </cell>
          <cell r="BH33">
            <v>0</v>
          </cell>
          <cell r="BI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C34" t="str">
            <v>Loss (Gain) on discontinued operations</v>
          </cell>
          <cell r="S34">
            <v>0</v>
          </cell>
          <cell r="AW34">
            <v>0</v>
          </cell>
          <cell r="BC34">
            <v>0</v>
          </cell>
          <cell r="BG34">
            <v>0</v>
          </cell>
          <cell r="BH34">
            <v>0</v>
          </cell>
          <cell r="BI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</row>
        <row r="35">
          <cell r="C35" t="str">
            <v>Net Income (Non-GAAP)</v>
          </cell>
          <cell r="I35">
            <v>46.629000000000019</v>
          </cell>
          <cell r="J35">
            <v>57.037999999999975</v>
          </cell>
          <cell r="K35">
            <v>53.754999999999903</v>
          </cell>
          <cell r="L35">
            <v>99.885000000000048</v>
          </cell>
          <cell r="M35">
            <v>214.63300000000038</v>
          </cell>
          <cell r="O35">
            <v>47.005999999999972</v>
          </cell>
          <cell r="P35">
            <v>55.451999999999948</v>
          </cell>
          <cell r="Q35">
            <v>61.939000000000043</v>
          </cell>
          <cell r="R35">
            <v>77.091000000000122</v>
          </cell>
          <cell r="S35">
            <v>241.48800000000017</v>
          </cell>
          <cell r="U35">
            <v>64.807000000000116</v>
          </cell>
          <cell r="V35">
            <v>69.77200000000002</v>
          </cell>
          <cell r="W35">
            <v>71.441000000000003</v>
          </cell>
          <cell r="X35">
            <v>181.6359999999998</v>
          </cell>
          <cell r="Y35">
            <v>379.50000000000017</v>
          </cell>
          <cell r="AA35">
            <v>261.50000000000045</v>
          </cell>
          <cell r="AB35">
            <v>291.10000000000014</v>
          </cell>
          <cell r="AC35">
            <v>291.30000000000007</v>
          </cell>
          <cell r="AD35">
            <v>333.49999999999989</v>
          </cell>
          <cell r="AE35">
            <v>1141.7000000000005</v>
          </cell>
          <cell r="AG35">
            <v>321.79999999999995</v>
          </cell>
          <cell r="AH35">
            <v>347.00000000000034</v>
          </cell>
          <cell r="AI35">
            <v>331.60000000000008</v>
          </cell>
          <cell r="AJ35">
            <v>374.89999999999986</v>
          </cell>
          <cell r="AK35">
            <v>1329.9999999999977</v>
          </cell>
          <cell r="AM35">
            <v>261.80000000000018</v>
          </cell>
          <cell r="AN35">
            <v>314.09999999999991</v>
          </cell>
          <cell r="AO35">
            <v>329.2</v>
          </cell>
          <cell r="AP35">
            <v>385.59999999999968</v>
          </cell>
          <cell r="AQ35">
            <v>1251.0000000000014</v>
          </cell>
          <cell r="AS35">
            <v>341.40000000000009</v>
          </cell>
          <cell r="AT35">
            <v>338.30000000000018</v>
          </cell>
          <cell r="AU35">
            <v>351.59999999999991</v>
          </cell>
          <cell r="AV35">
            <v>384.39999999999981</v>
          </cell>
          <cell r="AW35">
            <v>1415.7000000000003</v>
          </cell>
          <cell r="AY35">
            <v>362.89999999999986</v>
          </cell>
          <cell r="AZ35">
            <v>382.99999999999972</v>
          </cell>
          <cell r="BA35">
            <v>409.19999999999982</v>
          </cell>
          <cell r="BB35">
            <v>444.60000000000008</v>
          </cell>
          <cell r="BC35">
            <v>1599.6999999999975</v>
          </cell>
          <cell r="BE35">
            <v>432.49999999999994</v>
          </cell>
          <cell r="BF35">
            <v>449.09999999999991</v>
          </cell>
          <cell r="BG35">
            <v>422.35862520102262</v>
          </cell>
          <cell r="BH35">
            <v>448.72105982711764</v>
          </cell>
          <cell r="BI35">
            <v>1752.6796850281398</v>
          </cell>
          <cell r="BK35">
            <v>456.59621881612429</v>
          </cell>
          <cell r="BL35">
            <v>475.63683933377501</v>
          </cell>
          <cell r="BM35">
            <v>453.24848952720708</v>
          </cell>
          <cell r="BN35">
            <v>484.23216236574615</v>
          </cell>
          <cell r="BO35">
            <v>1869.7137100428524</v>
          </cell>
          <cell r="BQ35">
            <v>493.09337341216121</v>
          </cell>
          <cell r="BR35">
            <v>514.02563403991064</v>
          </cell>
          <cell r="BS35">
            <v>489.08020679108034</v>
          </cell>
          <cell r="BT35">
            <v>526.97155997817686</v>
          </cell>
          <cell r="BU35">
            <v>2023.1707742213284</v>
          </cell>
          <cell r="BW35">
            <v>534.67679681386983</v>
          </cell>
          <cell r="BX35">
            <v>563.27147690409538</v>
          </cell>
          <cell r="BY35">
            <v>532.36625714897025</v>
          </cell>
          <cell r="BZ35">
            <v>572.13996353693926</v>
          </cell>
          <cell r="CA35">
            <v>2202.4544944038748</v>
          </cell>
        </row>
        <row r="36">
          <cell r="C36" t="str">
            <v>One-time items</v>
          </cell>
          <cell r="I36">
            <v>6.9640000000000004</v>
          </cell>
          <cell r="J36">
            <v>6.4589999999999996</v>
          </cell>
          <cell r="K36">
            <v>11.114000000000001</v>
          </cell>
          <cell r="L36">
            <v>14.402999999999999</v>
          </cell>
          <cell r="M36">
            <v>32.420999999999992</v>
          </cell>
          <cell r="O36">
            <v>1.8109999999999999</v>
          </cell>
          <cell r="P36">
            <v>27.649000000000001</v>
          </cell>
          <cell r="Q36">
            <v>32.590000000000003</v>
          </cell>
          <cell r="R36">
            <v>24.954999999999998</v>
          </cell>
          <cell r="S36">
            <v>87.004999999999995</v>
          </cell>
          <cell r="U36">
            <v>29.155000000000001</v>
          </cell>
          <cell r="V36">
            <v>31.701000000000001</v>
          </cell>
          <cell r="W36">
            <v>33.567</v>
          </cell>
          <cell r="X36">
            <v>236.48699999999999</v>
          </cell>
          <cell r="Y36">
            <v>331.8</v>
          </cell>
          <cell r="AA36">
            <v>183.10000000000002</v>
          </cell>
          <cell r="AB36">
            <v>161.69999999999999</v>
          </cell>
          <cell r="AC36">
            <v>151.20000000000002</v>
          </cell>
          <cell r="AD36">
            <v>172.49999999999997</v>
          </cell>
          <cell r="AE36">
            <v>658.69999999999993</v>
          </cell>
          <cell r="AG36">
            <v>147.6</v>
          </cell>
          <cell r="AH36">
            <v>147.09999999999997</v>
          </cell>
          <cell r="AI36">
            <v>168.1</v>
          </cell>
          <cell r="AJ36">
            <v>173.7</v>
          </cell>
          <cell r="AK36">
            <v>619.4</v>
          </cell>
          <cell r="AM36">
            <v>112.9</v>
          </cell>
          <cell r="AN36">
            <v>107.2</v>
          </cell>
          <cell r="AO36">
            <v>108</v>
          </cell>
          <cell r="AP36">
            <v>201.30000000000004</v>
          </cell>
          <cell r="AQ36">
            <v>667.69999999999993</v>
          </cell>
          <cell r="AS36">
            <v>172.59999999999997</v>
          </cell>
          <cell r="AT36">
            <v>165.60000000000002</v>
          </cell>
          <cell r="AU36">
            <v>149.9</v>
          </cell>
          <cell r="AV36">
            <v>174.3</v>
          </cell>
          <cell r="AW36">
            <v>662.40000000000009</v>
          </cell>
          <cell r="AY36">
            <v>157.50000000000003</v>
          </cell>
          <cell r="AZ36">
            <v>223.4</v>
          </cell>
          <cell r="BA36">
            <v>237.4</v>
          </cell>
          <cell r="BB36">
            <v>232.5</v>
          </cell>
          <cell r="BC36">
            <v>850.80000000000007</v>
          </cell>
          <cell r="BE36">
            <v>219.3</v>
          </cell>
          <cell r="BF36">
            <v>224.3</v>
          </cell>
          <cell r="BG36">
            <v>209.50000000000003</v>
          </cell>
          <cell r="BH36">
            <v>209.50000000000003</v>
          </cell>
          <cell r="BI36">
            <v>862.6</v>
          </cell>
          <cell r="BK36">
            <v>186.82499999999999</v>
          </cell>
          <cell r="BL36">
            <v>186.82499999999999</v>
          </cell>
          <cell r="BM36">
            <v>186.82499999999999</v>
          </cell>
          <cell r="BN36">
            <v>186.82499999999999</v>
          </cell>
          <cell r="BO36">
            <v>747.3</v>
          </cell>
          <cell r="BQ36">
            <v>177.7</v>
          </cell>
          <cell r="BR36">
            <v>177.7</v>
          </cell>
          <cell r="BS36">
            <v>177.7</v>
          </cell>
          <cell r="BT36">
            <v>177.7</v>
          </cell>
          <cell r="BU36">
            <v>710.8</v>
          </cell>
          <cell r="BW36">
            <v>172.82499999999999</v>
          </cell>
          <cell r="BX36">
            <v>172.82499999999999</v>
          </cell>
          <cell r="BY36">
            <v>172.82499999999999</v>
          </cell>
          <cell r="BZ36">
            <v>172.82499999999999</v>
          </cell>
          <cell r="CA36">
            <v>691.3</v>
          </cell>
        </row>
        <row r="37">
          <cell r="C37" t="str">
            <v>Net income (GAAP)</v>
          </cell>
          <cell r="I37">
            <v>39.66500000000002</v>
          </cell>
          <cell r="J37">
            <v>50.578999999999979</v>
          </cell>
          <cell r="K37">
            <v>42.640999999999906</v>
          </cell>
          <cell r="L37">
            <v>85.482000000000056</v>
          </cell>
          <cell r="M37">
            <v>182.21200000000039</v>
          </cell>
          <cell r="O37">
            <v>45.194999999999972</v>
          </cell>
          <cell r="P37">
            <v>27.802999999999948</v>
          </cell>
          <cell r="Q37">
            <v>29.349000000000039</v>
          </cell>
          <cell r="R37">
            <v>52.136000000000124</v>
          </cell>
          <cell r="S37">
            <v>154.48300000000017</v>
          </cell>
          <cell r="U37">
            <v>35.652000000000115</v>
          </cell>
          <cell r="V37">
            <v>38.071000000000019</v>
          </cell>
          <cell r="W37">
            <v>37.874000000000002</v>
          </cell>
          <cell r="X37">
            <v>-54.851000000000198</v>
          </cell>
          <cell r="Y37">
            <v>166.7</v>
          </cell>
          <cell r="AA37">
            <v>78.400000000000432</v>
          </cell>
          <cell r="AB37">
            <v>129.40000000000015</v>
          </cell>
          <cell r="AC37">
            <v>140.10000000000005</v>
          </cell>
          <cell r="AD37">
            <v>160.99999999999991</v>
          </cell>
          <cell r="AE37">
            <v>748.4</v>
          </cell>
          <cell r="AG37">
            <v>174.19999999999996</v>
          </cell>
          <cell r="AH37">
            <v>199.90000000000038</v>
          </cell>
          <cell r="AI37">
            <v>163.50000000000009</v>
          </cell>
          <cell r="AJ37">
            <v>201.19999999999987</v>
          </cell>
          <cell r="AK37">
            <v>980.9</v>
          </cell>
          <cell r="AM37">
            <v>148.90000000000018</v>
          </cell>
          <cell r="AN37">
            <v>206.89999999999992</v>
          </cell>
          <cell r="AO37">
            <v>221.2</v>
          </cell>
          <cell r="AP37">
            <v>184.29999999999964</v>
          </cell>
          <cell r="AQ37">
            <v>850.3</v>
          </cell>
          <cell r="AS37">
            <v>232.3</v>
          </cell>
          <cell r="AT37">
            <v>237.3</v>
          </cell>
          <cell r="AU37">
            <v>268.5</v>
          </cell>
          <cell r="AV37">
            <v>297.5</v>
          </cell>
          <cell r="AW37">
            <v>1035.5999999999999</v>
          </cell>
          <cell r="AY37">
            <v>252.2</v>
          </cell>
          <cell r="AZ37">
            <v>523.4</v>
          </cell>
          <cell r="BA37">
            <v>265.39999999999998</v>
          </cell>
          <cell r="BB37">
            <v>288.89999999999998</v>
          </cell>
          <cell r="BC37">
            <v>1329.9</v>
          </cell>
          <cell r="BE37">
            <v>277.3</v>
          </cell>
          <cell r="BF37">
            <v>233.8</v>
          </cell>
          <cell r="BG37">
            <v>212.85862520102259</v>
          </cell>
          <cell r="BH37">
            <v>239.22105982711761</v>
          </cell>
          <cell r="BI37">
            <v>890.07968502813981</v>
          </cell>
          <cell r="BK37">
            <v>269.7712188161243</v>
          </cell>
          <cell r="BL37">
            <v>288.81183933377503</v>
          </cell>
          <cell r="BM37">
            <v>266.4234895272071</v>
          </cell>
          <cell r="BN37">
            <v>297.40716236574616</v>
          </cell>
          <cell r="BO37">
            <v>1122.4137100428525</v>
          </cell>
          <cell r="BQ37">
            <v>315.39337341216122</v>
          </cell>
          <cell r="BR37">
            <v>336.32563403991065</v>
          </cell>
          <cell r="BS37">
            <v>311.38020679108035</v>
          </cell>
          <cell r="BT37">
            <v>349.27155997817687</v>
          </cell>
          <cell r="BU37">
            <v>1312.3707742213285</v>
          </cell>
          <cell r="BW37">
            <v>361.85179681386984</v>
          </cell>
          <cell r="BX37">
            <v>390.44647690409539</v>
          </cell>
          <cell r="BY37">
            <v>359.54125714897026</v>
          </cell>
          <cell r="BZ37">
            <v>399.31496353693927</v>
          </cell>
          <cell r="CA37">
            <v>1511.1544944038749</v>
          </cell>
        </row>
        <row r="39">
          <cell r="C39" t="str">
            <v>Diluted EPS (GAAP)</v>
          </cell>
          <cell r="I39">
            <v>0.23332901950634144</v>
          </cell>
          <cell r="J39">
            <v>0.29661449322957278</v>
          </cell>
          <cell r="K39">
            <v>0.25754061726158067</v>
          </cell>
          <cell r="L39">
            <v>0.51972008244313828</v>
          </cell>
          <cell r="M39">
            <v>1.0869178780847191</v>
          </cell>
          <cell r="O39">
            <v>0.27435804042979406</v>
          </cell>
          <cell r="P39">
            <v>0.1688530165555269</v>
          </cell>
          <cell r="Q39">
            <v>0.17719081112083823</v>
          </cell>
          <cell r="R39">
            <v>0.31348309201981889</v>
          </cell>
          <cell r="S39">
            <v>0.93436921625316127</v>
          </cell>
          <cell r="U39">
            <v>0.21350804278305516</v>
          </cell>
          <cell r="V39">
            <v>0.2300042894340969</v>
          </cell>
          <cell r="W39">
            <v>0.23355800716571803</v>
          </cell>
          <cell r="X39">
            <v>-0.17229183222819441</v>
          </cell>
          <cell r="Y39">
            <v>0.8184728386818021</v>
          </cell>
          <cell r="AA39">
            <v>0.17773747449558019</v>
          </cell>
          <cell r="AB39">
            <v>0.28980963045912689</v>
          </cell>
          <cell r="AC39">
            <v>0.31370353784146898</v>
          </cell>
          <cell r="AD39">
            <v>0.36532788745178107</v>
          </cell>
          <cell r="AE39">
            <v>1.6867252648185711</v>
          </cell>
          <cell r="AG39">
            <v>0.39935809261806504</v>
          </cell>
          <cell r="AH39">
            <v>0.45722781335773188</v>
          </cell>
          <cell r="AI39">
            <v>0.37286202964652243</v>
          </cell>
          <cell r="AJ39">
            <v>0.47075339260645738</v>
          </cell>
          <cell r="AK39">
            <v>2.2559797608095673</v>
          </cell>
          <cell r="AM39">
            <v>0.3501058076651779</v>
          </cell>
          <cell r="AN39">
            <v>0.4883172055699786</v>
          </cell>
          <cell r="AO39">
            <v>0.52641599238457881</v>
          </cell>
          <cell r="AP39">
            <v>0.43652297489341463</v>
          </cell>
          <cell r="AQ39">
            <v>2.0108785621378735</v>
          </cell>
          <cell r="AS39">
            <v>0.55547584887613588</v>
          </cell>
          <cell r="AT39">
            <v>0.57056984852127923</v>
          </cell>
          <cell r="AU39">
            <v>0.66378244746600745</v>
          </cell>
          <cell r="AV39">
            <v>0.74598796389167499</v>
          </cell>
          <cell r="AW39">
            <v>2.5298644192011728</v>
          </cell>
          <cell r="AY39">
            <v>0.63912823112012163</v>
          </cell>
          <cell r="AZ39">
            <v>1.3563099248509978</v>
          </cell>
          <cell r="BA39">
            <v>0.69349359811863076</v>
          </cell>
          <cell r="BB39">
            <v>0.76855546687948917</v>
          </cell>
          <cell r="BC39">
            <v>3.4563056331622382</v>
          </cell>
          <cell r="BE39">
            <v>0.74925695757903266</v>
          </cell>
          <cell r="BF39">
            <v>0.6332611050920911</v>
          </cell>
          <cell r="BG39">
            <v>0.58809622730925837</v>
          </cell>
          <cell r="BH39">
            <v>0.67445021684142725</v>
          </cell>
          <cell r="BI39">
            <v>2.4453818618312431</v>
          </cell>
          <cell r="BK39">
            <v>0.76391600156204775</v>
          </cell>
          <cell r="BL39">
            <v>0.82641113928189824</v>
          </cell>
          <cell r="BM39">
            <v>0.77042902117396117</v>
          </cell>
          <cell r="BN39">
            <v>0.86923917126965355</v>
          </cell>
          <cell r="BO39">
            <v>3.2446732338564988</v>
          </cell>
          <cell r="BQ39">
            <v>0.93159067877915591</v>
          </cell>
          <cell r="BR39">
            <v>1.0050894922438118</v>
          </cell>
          <cell r="BS39">
            <v>0.94160314060598282</v>
          </cell>
          <cell r="BT39">
            <v>1.0688915047519578</v>
          </cell>
          <cell r="BU39">
            <v>3.9451161936926327</v>
          </cell>
          <cell r="BW39">
            <v>1.1206801688714516</v>
          </cell>
          <cell r="BX39">
            <v>1.225165941178423</v>
          </cell>
          <cell r="BY39">
            <v>1.1432466321827019</v>
          </cell>
          <cell r="BZ39">
            <v>1.286891512890914</v>
          </cell>
          <cell r="CA39">
            <v>4.7732219344284141</v>
          </cell>
        </row>
        <row r="40">
          <cell r="C40" t="str">
            <v>Diluted EPS (non-GAAP)</v>
          </cell>
          <cell r="I40">
            <v>0.27429468928680684</v>
          </cell>
          <cell r="J40">
            <v>0.33449252584725625</v>
          </cell>
          <cell r="K40">
            <v>0.32466630428217613</v>
          </cell>
          <cell r="L40">
            <v>0.60728855706268992</v>
          </cell>
          <cell r="M40">
            <v>1.2803132885153417</v>
          </cell>
          <cell r="O40">
            <v>0.28535178777393294</v>
          </cell>
          <cell r="P40">
            <v>0.33677076121415267</v>
          </cell>
          <cell r="Q40">
            <v>0.37394874271742112</v>
          </cell>
          <cell r="R40">
            <v>0.46353239694069048</v>
          </cell>
          <cell r="S40">
            <v>1.4606070136813973</v>
          </cell>
          <cell r="U40">
            <v>0.38810770023116331</v>
          </cell>
          <cell r="V40">
            <v>0.42152450112673179</v>
          </cell>
          <cell r="W40">
            <v>0.44055599065126633</v>
          </cell>
          <cell r="X40">
            <v>0.57053470745474411</v>
          </cell>
          <cell r="Y40">
            <v>1.8632899956793285</v>
          </cell>
          <cell r="AA40">
            <v>0.5928360915892098</v>
          </cell>
          <cell r="AB40">
            <v>0.65195968645016833</v>
          </cell>
          <cell r="AC40">
            <v>0.6522615315718765</v>
          </cell>
          <cell r="AD40">
            <v>0.7567506240072609</v>
          </cell>
          <cell r="AE40">
            <v>2.5731350011268885</v>
          </cell>
          <cell r="AG40">
            <v>0.7377349839523154</v>
          </cell>
          <cell r="AH40">
            <v>0.79368709972552687</v>
          </cell>
          <cell r="AI40">
            <v>0.7562143671607755</v>
          </cell>
          <cell r="AJ40">
            <v>0.87716424894712186</v>
          </cell>
          <cell r="AK40">
            <v>3.0588776448941988</v>
          </cell>
          <cell r="AM40">
            <v>0.61556548318833804</v>
          </cell>
          <cell r="AN40">
            <v>0.74132641019589307</v>
          </cell>
          <cell r="AO40">
            <v>0.78343645882912893</v>
          </cell>
          <cell r="AP40">
            <v>0.91331122690667854</v>
          </cell>
          <cell r="AQ40">
            <v>2.9584959205392014</v>
          </cell>
          <cell r="AS40">
            <v>0.81635581061692997</v>
          </cell>
          <cell r="AT40">
            <v>0.81341668670353495</v>
          </cell>
          <cell r="AU40">
            <v>0.86922126081582174</v>
          </cell>
          <cell r="AV40">
            <v>0.96389167502507467</v>
          </cell>
          <cell r="AW40">
            <v>3.4584096738732146</v>
          </cell>
          <cell r="AY40">
            <v>0.91966548403446491</v>
          </cell>
          <cell r="AZ40">
            <v>0.99248509976677823</v>
          </cell>
          <cell r="BA40">
            <v>1.069244839299712</v>
          </cell>
          <cell r="BB40">
            <v>1.1827613727055071</v>
          </cell>
          <cell r="BC40">
            <v>4.1574946397245078</v>
          </cell>
          <cell r="BE40">
            <v>1.1686030802485812</v>
          </cell>
          <cell r="BF40">
            <v>1.2164138678223184</v>
          </cell>
          <cell r="BG40">
            <v>1.1669130805372372</v>
          </cell>
          <cell r="BH40">
            <v>1.2651060751943373</v>
          </cell>
          <cell r="BI40">
            <v>4.8152667491028165</v>
          </cell>
          <cell r="BK40">
            <v>1.2929517067723444</v>
          </cell>
          <cell r="BL40">
            <v>1.360995391272724</v>
          </cell>
          <cell r="BM40">
            <v>1.3106794402952326</v>
          </cell>
          <cell r="BN40">
            <v>1.4152771579834427</v>
          </cell>
          <cell r="BO40">
            <v>5.4049678613770302</v>
          </cell>
          <cell r="BQ40">
            <v>1.4564706463830435</v>
          </cell>
          <cell r="BR40">
            <v>1.5361355520589581</v>
          </cell>
          <cell r="BS40">
            <v>1.4789618886459568</v>
          </cell>
          <cell r="BT40">
            <v>1.612714827802626</v>
          </cell>
          <cell r="BU40">
            <v>6.0818512121484787</v>
          </cell>
          <cell r="BW40">
            <v>1.6559312078066957</v>
          </cell>
          <cell r="BX40">
            <v>1.7674664005475826</v>
          </cell>
          <cell r="BY40">
            <v>1.6927846762272845</v>
          </cell>
          <cell r="BZ40">
            <v>1.8438629415230847</v>
          </cell>
          <cell r="CA40">
            <v>6.9568029881790103</v>
          </cell>
        </row>
        <row r="42">
          <cell r="C42" t="str">
            <v>Average basic shares</v>
          </cell>
          <cell r="I42">
            <v>165.20599999999999</v>
          </cell>
          <cell r="J42">
            <v>165.571</v>
          </cell>
          <cell r="K42">
            <v>161.51400000000001</v>
          </cell>
          <cell r="L42">
            <v>160.239</v>
          </cell>
          <cell r="M42">
            <v>163.13300000000001</v>
          </cell>
          <cell r="O42">
            <v>160.95699999999999</v>
          </cell>
          <cell r="P42">
            <v>161.255</v>
          </cell>
          <cell r="Q42">
            <v>161.76400000000001</v>
          </cell>
          <cell r="R42">
            <v>162.34100000000001</v>
          </cell>
          <cell r="S42">
            <v>161.58699999999999</v>
          </cell>
          <cell r="U42">
            <v>163.04400000000001</v>
          </cell>
          <cell r="V42">
            <v>161.28899999999999</v>
          </cell>
          <cell r="W42">
            <v>157.70500000000001</v>
          </cell>
          <cell r="X42">
            <v>302.19</v>
          </cell>
          <cell r="Y42">
            <v>196.05699999999999</v>
          </cell>
          <cell r="AA42">
            <v>420.1</v>
          </cell>
          <cell r="AB42">
            <v>424</v>
          </cell>
          <cell r="AC42">
            <v>424.3</v>
          </cell>
          <cell r="AD42">
            <v>417.5</v>
          </cell>
          <cell r="AE42">
            <v>421.5</v>
          </cell>
          <cell r="AG42">
            <v>417.5</v>
          </cell>
          <cell r="AH42">
            <v>418</v>
          </cell>
          <cell r="AI42">
            <v>419</v>
          </cell>
          <cell r="AJ42">
            <v>418.4</v>
          </cell>
          <cell r="AK42">
            <v>418.2</v>
          </cell>
          <cell r="AM42">
            <v>417.7</v>
          </cell>
          <cell r="AN42">
            <v>415.3</v>
          </cell>
          <cell r="AO42">
            <v>407.9</v>
          </cell>
          <cell r="AP42">
            <v>408.7</v>
          </cell>
          <cell r="AQ42">
            <v>412.40000000000003</v>
          </cell>
          <cell r="AS42">
            <v>409.6</v>
          </cell>
          <cell r="AT42">
            <v>409.3</v>
          </cell>
          <cell r="AU42">
            <v>400.7</v>
          </cell>
          <cell r="AV42">
            <v>393.5</v>
          </cell>
          <cell r="AW42">
            <v>403.27500000000003</v>
          </cell>
          <cell r="AY42">
            <v>388.6</v>
          </cell>
          <cell r="AZ42">
            <v>381.9</v>
          </cell>
          <cell r="BA42">
            <v>379.5</v>
          </cell>
          <cell r="BB42">
            <v>373.4</v>
          </cell>
          <cell r="BC42">
            <v>380.85</v>
          </cell>
          <cell r="BE42">
            <v>367.3</v>
          </cell>
          <cell r="BF42">
            <v>367</v>
          </cell>
          <cell r="BG42">
            <v>359.78846153846155</v>
          </cell>
          <cell r="BH42">
            <v>352.57692307692309</v>
          </cell>
          <cell r="BI42">
            <v>361.66634615384618</v>
          </cell>
          <cell r="BK42">
            <v>348.95505535128734</v>
          </cell>
          <cell r="BL42">
            <v>345.33318762565159</v>
          </cell>
          <cell r="BM42">
            <v>341.71131990001584</v>
          </cell>
          <cell r="BN42">
            <v>338.08945217438009</v>
          </cell>
          <cell r="BO42">
            <v>343.52225376283371</v>
          </cell>
          <cell r="BQ42">
            <v>334.20887961119894</v>
          </cell>
          <cell r="BR42">
            <v>330.32830704801779</v>
          </cell>
          <cell r="BS42">
            <v>326.44773448483664</v>
          </cell>
          <cell r="BT42">
            <v>322.5671619216555</v>
          </cell>
          <cell r="BU42">
            <v>328.38802076642725</v>
          </cell>
          <cell r="BW42">
            <v>318.42788452092896</v>
          </cell>
          <cell r="BX42">
            <v>314.28860712020241</v>
          </cell>
          <cell r="BY42">
            <v>310.14932971947587</v>
          </cell>
          <cell r="BZ42">
            <v>306.01005231874933</v>
          </cell>
          <cell r="CA42">
            <v>312.21896841983914</v>
          </cell>
        </row>
        <row r="43">
          <cell r="C43" t="str">
            <v>Convert</v>
          </cell>
          <cell r="Y43">
            <v>3.2</v>
          </cell>
          <cell r="AE43">
            <v>13.8</v>
          </cell>
          <cell r="AG43">
            <v>14.6</v>
          </cell>
          <cell r="AH43">
            <v>15.5</v>
          </cell>
          <cell r="AI43">
            <v>15.8</v>
          </cell>
          <cell r="AJ43">
            <v>7.2999999999999972</v>
          </cell>
          <cell r="AK43">
            <v>13.3</v>
          </cell>
          <cell r="AM43">
            <v>6.4</v>
          </cell>
          <cell r="AN43">
            <v>7</v>
          </cell>
          <cell r="AO43">
            <v>10.199999999999999</v>
          </cell>
          <cell r="AP43">
            <v>10.086956521739131</v>
          </cell>
          <cell r="AQ43">
            <v>8.4217391304347835</v>
          </cell>
          <cell r="AS43">
            <v>5</v>
          </cell>
          <cell r="AT43">
            <v>5.05</v>
          </cell>
          <cell r="AU43">
            <v>3</v>
          </cell>
          <cell r="AV43">
            <v>3.05</v>
          </cell>
          <cell r="AW43">
            <v>4.0250000000000004</v>
          </cell>
          <cell r="BA43">
            <v>171.79999999999981</v>
          </cell>
          <cell r="BB43">
            <v>212.10000000000008</v>
          </cell>
          <cell r="BI43">
            <v>-0.10317687395983843</v>
          </cell>
        </row>
        <row r="44">
          <cell r="C44" t="str">
            <v>Stock Options</v>
          </cell>
          <cell r="Y44">
            <v>4.4000000000000004</v>
          </cell>
          <cell r="AE44">
            <v>8.4</v>
          </cell>
          <cell r="AG44">
            <v>4</v>
          </cell>
          <cell r="AH44">
            <v>3.6</v>
          </cell>
          <cell r="AI44">
            <v>3.5</v>
          </cell>
          <cell r="AJ44">
            <v>2.0999999999999996</v>
          </cell>
          <cell r="AK44">
            <v>3.3</v>
          </cell>
          <cell r="AM44">
            <v>1.2</v>
          </cell>
          <cell r="AN44">
            <v>1.4</v>
          </cell>
          <cell r="AO44">
            <v>2.1</v>
          </cell>
          <cell r="AP44">
            <v>2.2000000000000002</v>
          </cell>
          <cell r="AQ44">
            <v>1.7249999999999999</v>
          </cell>
          <cell r="AS44">
            <v>2.95</v>
          </cell>
          <cell r="AT44">
            <v>3.7</v>
          </cell>
          <cell r="AU44">
            <v>4.45</v>
          </cell>
          <cell r="AV44">
            <v>5.2</v>
          </cell>
          <cell r="AW44">
            <v>4.0750000000000002</v>
          </cell>
        </row>
        <row r="45">
          <cell r="C45" t="str">
            <v>Average Share Price in the quarter</v>
          </cell>
          <cell r="AS45">
            <v>48.734999999999999</v>
          </cell>
          <cell r="AT45">
            <v>52.466718749999998</v>
          </cell>
          <cell r="AU45">
            <v>46.530769230769231</v>
          </cell>
          <cell r="AV45">
            <v>50</v>
          </cell>
        </row>
        <row r="46">
          <cell r="C46" t="str">
            <v>Average diluted shares</v>
          </cell>
          <cell r="I46">
            <v>169.99600000000001</v>
          </cell>
          <cell r="J46">
            <v>170.52099999999999</v>
          </cell>
          <cell r="K46">
            <v>165.57</v>
          </cell>
          <cell r="L46">
            <v>164.477</v>
          </cell>
          <cell r="M46">
            <v>167.64099999999999</v>
          </cell>
          <cell r="O46">
            <v>164.73</v>
          </cell>
          <cell r="P46">
            <v>164.65799999999999</v>
          </cell>
          <cell r="Q46">
            <v>165.63499999999999</v>
          </cell>
          <cell r="R46">
            <v>166.31200000000001</v>
          </cell>
          <cell r="S46">
            <v>165.334</v>
          </cell>
          <cell r="U46">
            <v>166.982</v>
          </cell>
          <cell r="V46">
            <v>165.523</v>
          </cell>
          <cell r="W46">
            <v>162.161</v>
          </cell>
          <cell r="X46">
            <v>318.36099999999999</v>
          </cell>
          <cell r="Y46">
            <v>203.672</v>
          </cell>
          <cell r="AA46">
            <v>441.1</v>
          </cell>
          <cell r="AB46">
            <v>446.5</v>
          </cell>
          <cell r="AC46">
            <v>446.6</v>
          </cell>
          <cell r="AD46">
            <v>440.7</v>
          </cell>
          <cell r="AE46">
            <v>443.7</v>
          </cell>
          <cell r="AG46">
            <v>436.2</v>
          </cell>
          <cell r="AH46">
            <v>437.2</v>
          </cell>
          <cell r="AI46">
            <v>438.5</v>
          </cell>
          <cell r="AJ46">
            <v>427.4</v>
          </cell>
          <cell r="AK46">
            <v>434.8</v>
          </cell>
          <cell r="AM46">
            <v>425.3</v>
          </cell>
          <cell r="AN46">
            <v>423.7</v>
          </cell>
          <cell r="AO46">
            <v>420.2</v>
          </cell>
          <cell r="AP46">
            <v>422.2</v>
          </cell>
          <cell r="AQ46">
            <v>422.85</v>
          </cell>
          <cell r="AS46">
            <v>418.2</v>
          </cell>
          <cell r="AT46">
            <v>415.9</v>
          </cell>
          <cell r="AU46">
            <v>404.5</v>
          </cell>
          <cell r="AV46">
            <v>398.8</v>
          </cell>
          <cell r="AW46">
            <v>409.34999999999997</v>
          </cell>
          <cell r="AY46">
            <v>394.6</v>
          </cell>
          <cell r="AZ46">
            <v>385.9</v>
          </cell>
          <cell r="BA46">
            <v>382.7</v>
          </cell>
          <cell r="BB46">
            <v>375.9</v>
          </cell>
          <cell r="BC46">
            <v>384.77499999999998</v>
          </cell>
          <cell r="BE46">
            <v>370.1</v>
          </cell>
          <cell r="BF46">
            <v>369.2</v>
          </cell>
          <cell r="BG46">
            <v>361.94523160762941</v>
          </cell>
          <cell r="BH46">
            <v>354.69046321525889</v>
          </cell>
          <cell r="BI46">
            <v>363.98392370572208</v>
          </cell>
          <cell r="BK46">
            <v>353.14251601550279</v>
          </cell>
          <cell r="BL46">
            <v>349.4771858771594</v>
          </cell>
          <cell r="BM46">
            <v>345.81185573881601</v>
          </cell>
          <cell r="BN46">
            <v>342.14652560047267</v>
          </cell>
          <cell r="BO46">
            <v>345.92503748329472</v>
          </cell>
          <cell r="BQ46">
            <v>338.55359504614449</v>
          </cell>
          <cell r="BR46">
            <v>334.62257503964202</v>
          </cell>
          <cell r="BS46">
            <v>330.69155503313948</v>
          </cell>
          <cell r="BT46">
            <v>326.760535026637</v>
          </cell>
          <cell r="BU46">
            <v>332.65706503639075</v>
          </cell>
          <cell r="BW46">
            <v>322.88587490422191</v>
          </cell>
          <cell r="BX46">
            <v>318.68864761988516</v>
          </cell>
          <cell r="BY46">
            <v>314.49142033554847</v>
          </cell>
          <cell r="BZ46">
            <v>310.29419305121178</v>
          </cell>
          <cell r="CA46">
            <v>316.59003397771681</v>
          </cell>
        </row>
        <row r="47">
          <cell r="C47" t="str">
            <v>Dilution ratio</v>
          </cell>
          <cell r="I47">
            <v>1.0289941043303514</v>
          </cell>
          <cell r="J47">
            <v>1.0298965398529936</v>
          </cell>
          <cell r="K47">
            <v>1.0251123741595154</v>
          </cell>
          <cell r="L47">
            <v>1.0264479933099933</v>
          </cell>
          <cell r="M47">
            <v>1.0276338938167016</v>
          </cell>
          <cell r="O47">
            <v>1.0234410432600012</v>
          </cell>
          <cell r="P47">
            <v>1.0211032216055316</v>
          </cell>
          <cell r="Q47">
            <v>1.0239299226032985</v>
          </cell>
          <cell r="R47">
            <v>1.0244608570847784</v>
          </cell>
          <cell r="S47">
            <v>1.0231887466194682</v>
          </cell>
          <cell r="U47">
            <v>1.0241529893771006</v>
          </cell>
          <cell r="V47">
            <v>1.0262510152583251</v>
          </cell>
          <cell r="W47">
            <v>1.0282552867696013</v>
          </cell>
          <cell r="X47">
            <v>1.0535126906912868</v>
          </cell>
          <cell r="Y47">
            <v>1.0388407452934607</v>
          </cell>
          <cell r="AA47">
            <v>1.0499880980718876</v>
          </cell>
          <cell r="AB47">
            <v>1.0530660377358489</v>
          </cell>
          <cell r="AC47">
            <v>1.0525571529578128</v>
          </cell>
          <cell r="AD47">
            <v>1.0555688622754491</v>
          </cell>
          <cell r="AE47">
            <v>1.0526690391459075</v>
          </cell>
          <cell r="AG47">
            <v>1.0447904191616766</v>
          </cell>
          <cell r="AH47">
            <v>1.045933014354067</v>
          </cell>
          <cell r="AI47">
            <v>1.0465393794749402</v>
          </cell>
          <cell r="AJ47">
            <v>1.0215105162523901</v>
          </cell>
          <cell r="AK47">
            <v>1.0396939263510283</v>
          </cell>
          <cell r="AM47">
            <v>1.0181948767057698</v>
          </cell>
          <cell r="AN47">
            <v>1.020226342403082</v>
          </cell>
          <cell r="AO47">
            <v>1.030154449620005</v>
          </cell>
          <cell r="AP47">
            <v>1.0330315634940055</v>
          </cell>
          <cell r="AQ47">
            <v>1.0253394762366634</v>
          </cell>
          <cell r="AS47">
            <v>1.02099609375</v>
          </cell>
          <cell r="AT47">
            <v>1.0161250916198388</v>
          </cell>
          <cell r="AU47">
            <v>1.0094834040429248</v>
          </cell>
          <cell r="AV47">
            <v>1.013468869123253</v>
          </cell>
          <cell r="AW47">
            <v>1.0150641621722147</v>
          </cell>
          <cell r="AY47">
            <v>1.0154400411734432</v>
          </cell>
          <cell r="AZ47">
            <v>1.0104739460591778</v>
          </cell>
          <cell r="BA47">
            <v>1.0084321475625824</v>
          </cell>
          <cell r="BB47">
            <v>1.0066952329941081</v>
          </cell>
          <cell r="BC47">
            <v>1.010305894709203</v>
          </cell>
          <cell r="BE47">
            <v>1.0076231962973048</v>
          </cell>
          <cell r="BF47">
            <v>1.0059945504087193</v>
          </cell>
          <cell r="BG47">
            <v>1.0059945504087193</v>
          </cell>
          <cell r="BH47">
            <v>1.0059945504087193</v>
          </cell>
          <cell r="BI47">
            <v>1.0175000000000001</v>
          </cell>
          <cell r="BK47">
            <v>1.012</v>
          </cell>
          <cell r="BL47">
            <v>1.012</v>
          </cell>
          <cell r="BM47">
            <v>1.012</v>
          </cell>
          <cell r="BN47">
            <v>1.012</v>
          </cell>
          <cell r="BO47">
            <v>1.0069945504087192</v>
          </cell>
          <cell r="BQ47">
            <v>1.0129999999999999</v>
          </cell>
          <cell r="BR47">
            <v>1.0129999999999999</v>
          </cell>
          <cell r="BS47">
            <v>1.0129999999999999</v>
          </cell>
          <cell r="BT47">
            <v>1.0129999999999999</v>
          </cell>
          <cell r="BU47">
            <v>1.0129999999999999</v>
          </cell>
          <cell r="BW47">
            <v>1.0139999999999998</v>
          </cell>
          <cell r="BX47">
            <v>1.0139999999999998</v>
          </cell>
          <cell r="BY47">
            <v>1.0139999999999998</v>
          </cell>
          <cell r="BZ47">
            <v>1.0139999999999998</v>
          </cell>
          <cell r="CA47">
            <v>1.0139999999999998</v>
          </cell>
        </row>
        <row r="49">
          <cell r="C49" t="str">
            <v>Margins</v>
          </cell>
        </row>
        <row r="50">
          <cell r="C50" t="str">
            <v>COGS</v>
          </cell>
          <cell r="I50">
            <v>0.54124700970607509</v>
          </cell>
          <cell r="J50">
            <v>0.54524860605852932</v>
          </cell>
          <cell r="K50">
            <v>0.53725233489761492</v>
          </cell>
          <cell r="L50">
            <v>0.53686460505527933</v>
          </cell>
          <cell r="M50">
            <v>0.53860276201895285</v>
          </cell>
          <cell r="O50">
            <v>0.54596143116693607</v>
          </cell>
          <cell r="P50">
            <v>0.55053616698361896</v>
          </cell>
          <cell r="Q50">
            <v>0.55514703176722191</v>
          </cell>
          <cell r="R50">
            <v>0.54441155149860887</v>
          </cell>
          <cell r="S50">
            <v>0.54903121008633782</v>
          </cell>
          <cell r="U50">
            <v>0.54313906299549752</v>
          </cell>
          <cell r="V50">
            <v>0.54341610275443331</v>
          </cell>
          <cell r="W50">
            <v>0.53256998297841818</v>
          </cell>
          <cell r="X50">
            <v>0.56944754029600342</v>
          </cell>
          <cell r="Y50">
            <v>0.56331634278432619</v>
          </cell>
          <cell r="AA50">
            <v>0.59520143700282258</v>
          </cell>
          <cell r="AB50">
            <v>0.59009178926191364</v>
          </cell>
          <cell r="AC50">
            <v>0.59216225220722973</v>
          </cell>
          <cell r="AD50">
            <v>0.59120216702910988</v>
          </cell>
          <cell r="AE50">
            <v>0.59580922595777952</v>
          </cell>
          <cell r="AG50">
            <v>0.58860610806577929</v>
          </cell>
          <cell r="AH50">
            <v>0.58702391496899897</v>
          </cell>
          <cell r="AI50">
            <v>0.58853985549244614</v>
          </cell>
          <cell r="AJ50">
            <v>0.58508105656955001</v>
          </cell>
          <cell r="AK50">
            <v>0.59150409184346286</v>
          </cell>
          <cell r="AM50">
            <v>0.59349917963726662</v>
          </cell>
          <cell r="AN50">
            <v>0.58963004709955313</v>
          </cell>
          <cell r="AO50">
            <v>0.58800521512385917</v>
          </cell>
          <cell r="AP50">
            <v>0.58540536733112625</v>
          </cell>
          <cell r="AQ50">
            <v>0.5940816820694943</v>
          </cell>
          <cell r="AS50">
            <v>0.57977083254025652</v>
          </cell>
          <cell r="AT50">
            <v>0.58238625418962131</v>
          </cell>
          <cell r="AU50">
            <v>0.58298778864077294</v>
          </cell>
          <cell r="AV50">
            <v>0.57398212512413116</v>
          </cell>
          <cell r="AW50">
            <v>0.57972413010160639</v>
          </cell>
          <cell r="AY50">
            <v>0.56885111459032289</v>
          </cell>
          <cell r="AZ50">
            <v>0.57210932025227745</v>
          </cell>
          <cell r="BA50">
            <v>0.5582529237273689</v>
          </cell>
          <cell r="BB50">
            <v>0.55070727996633539</v>
          </cell>
          <cell r="BC50">
            <v>0.5621171747932312</v>
          </cell>
          <cell r="BE50">
            <v>0.55057576550641196</v>
          </cell>
          <cell r="BF50">
            <v>0.55352144396898428</v>
          </cell>
          <cell r="BG50">
            <v>0.54975292372736895</v>
          </cell>
          <cell r="BH50">
            <v>0.54270727996633539</v>
          </cell>
          <cell r="BI50">
            <v>0.54915423590107204</v>
          </cell>
          <cell r="BK50">
            <v>0.54757576550641196</v>
          </cell>
          <cell r="BL50">
            <v>0.55102144396898434</v>
          </cell>
          <cell r="BM50">
            <v>0.54875292372736895</v>
          </cell>
          <cell r="BN50">
            <v>0.54120727996633544</v>
          </cell>
          <cell r="BO50">
            <v>0.54715475614173059</v>
          </cell>
          <cell r="BQ50">
            <v>0.54357576550641196</v>
          </cell>
          <cell r="BR50">
            <v>0.54702144396898433</v>
          </cell>
          <cell r="BS50">
            <v>0.54475292372736894</v>
          </cell>
          <cell r="BT50">
            <v>0.53720727996633544</v>
          </cell>
          <cell r="BU50">
            <v>0.54315003182161958</v>
          </cell>
          <cell r="BW50">
            <v>0.53957576550641195</v>
          </cell>
          <cell r="BX50">
            <v>0.54302144396898433</v>
          </cell>
          <cell r="BY50">
            <v>0.54075292372736894</v>
          </cell>
          <cell r="BZ50">
            <v>0.53320727996633543</v>
          </cell>
          <cell r="CA50">
            <v>0.53914494889113185</v>
          </cell>
        </row>
        <row r="51">
          <cell r="C51" t="str">
            <v>Gross Margin</v>
          </cell>
          <cell r="I51">
            <v>0.45875299029392491</v>
          </cell>
          <cell r="J51">
            <v>0.45475139394147063</v>
          </cell>
          <cell r="K51">
            <v>0.46274766510238508</v>
          </cell>
          <cell r="L51">
            <v>0.46313539494472061</v>
          </cell>
          <cell r="M51">
            <v>0.4613972379810472</v>
          </cell>
          <cell r="O51">
            <v>0.45403856883306393</v>
          </cell>
          <cell r="P51">
            <v>0.44946383301638104</v>
          </cell>
          <cell r="Q51">
            <v>0.44485296823277815</v>
          </cell>
          <cell r="R51">
            <v>0.45558844850139119</v>
          </cell>
          <cell r="S51">
            <v>0.45096878991366218</v>
          </cell>
          <cell r="U51">
            <v>0.45686093700450253</v>
          </cell>
          <cell r="V51">
            <v>0.45658389724556675</v>
          </cell>
          <cell r="W51">
            <v>0.46743001702158177</v>
          </cell>
          <cell r="X51">
            <v>0.43055245970399658</v>
          </cell>
          <cell r="Y51">
            <v>0.43668365721567376</v>
          </cell>
          <cell r="AA51">
            <v>0.40479856299717748</v>
          </cell>
          <cell r="AB51">
            <v>0.40990821073808631</v>
          </cell>
          <cell r="AC51">
            <v>0.40783774779277027</v>
          </cell>
          <cell r="AD51">
            <v>0.40879783297089012</v>
          </cell>
          <cell r="AE51">
            <v>0.40419077404222048</v>
          </cell>
          <cell r="AG51">
            <v>0.41139389193422077</v>
          </cell>
          <cell r="AH51">
            <v>0.41297608503100097</v>
          </cell>
          <cell r="AI51">
            <v>0.41146014450755386</v>
          </cell>
          <cell r="AJ51">
            <v>0.41491894343044999</v>
          </cell>
          <cell r="AK51">
            <v>0.40849590815653719</v>
          </cell>
          <cell r="AM51">
            <v>0.40650082036273344</v>
          </cell>
          <cell r="AN51">
            <v>0.41036995290044687</v>
          </cell>
          <cell r="AO51">
            <v>0.41199478487614083</v>
          </cell>
          <cell r="AP51">
            <v>0.4145946326688737</v>
          </cell>
          <cell r="AQ51">
            <v>0.4059183179305057</v>
          </cell>
          <cell r="AS51">
            <v>0.42022916745974354</v>
          </cell>
          <cell r="AT51">
            <v>0.41761374581037874</v>
          </cell>
          <cell r="AU51">
            <v>0.41701221135922706</v>
          </cell>
          <cell r="AV51">
            <v>0.4260178748758689</v>
          </cell>
          <cell r="AW51">
            <v>0.42027586989839361</v>
          </cell>
          <cell r="AY51">
            <v>0.43114888540967716</v>
          </cell>
          <cell r="AZ51">
            <v>0.42789067974772249</v>
          </cell>
          <cell r="BA51">
            <v>0.44174707627263116</v>
          </cell>
          <cell r="BB51">
            <v>0.44929272003366455</v>
          </cell>
          <cell r="BC51">
            <v>0.4378828252067688</v>
          </cell>
          <cell r="BE51">
            <v>0.44942423449358804</v>
          </cell>
          <cell r="BF51">
            <v>0.44647855603101577</v>
          </cell>
          <cell r="BG51">
            <v>0.45024707627263105</v>
          </cell>
          <cell r="BH51">
            <v>0.45729272003366461</v>
          </cell>
          <cell r="BI51">
            <v>0.45084576409892801</v>
          </cell>
          <cell r="BK51">
            <v>0.45242423449358798</v>
          </cell>
          <cell r="BL51">
            <v>0.44897855603101566</v>
          </cell>
          <cell r="BM51">
            <v>0.45124707627263105</v>
          </cell>
          <cell r="BN51">
            <v>0.45879272003366456</v>
          </cell>
          <cell r="BO51">
            <v>0.45284524385826941</v>
          </cell>
          <cell r="BQ51">
            <v>0.45642423449358804</v>
          </cell>
          <cell r="BR51">
            <v>0.45297855603101567</v>
          </cell>
          <cell r="BS51">
            <v>0.45524707627263106</v>
          </cell>
          <cell r="BT51">
            <v>0.46279272003366456</v>
          </cell>
          <cell r="BU51">
            <v>0.45684996817838042</v>
          </cell>
          <cell r="BW51">
            <v>0.46042423449358805</v>
          </cell>
          <cell r="BX51">
            <v>0.45697855603101567</v>
          </cell>
          <cell r="BY51">
            <v>0.45924707627263106</v>
          </cell>
          <cell r="BZ51">
            <v>0.46679272003366462</v>
          </cell>
          <cell r="CA51">
            <v>0.4608550511088681</v>
          </cell>
        </row>
        <row r="52">
          <cell r="C52" t="str">
            <v>Incremental Gross Margin</v>
          </cell>
          <cell r="AG52">
            <v>0.48285449490268534</v>
          </cell>
          <cell r="AH52">
            <v>0.43558850787766484</v>
          </cell>
          <cell r="AI52">
            <v>0.4579989299090429</v>
          </cell>
          <cell r="AJ52">
            <v>1.0515873015873001</v>
          </cell>
          <cell r="AK52">
            <v>0.46579714166782221</v>
          </cell>
          <cell r="AM52">
            <v>0.44831047172967448</v>
          </cell>
          <cell r="AN52">
            <v>0.44168514412416926</v>
          </cell>
          <cell r="AO52">
            <v>0.38771929824561735</v>
          </cell>
          <cell r="AP52">
            <v>0.41015018125323732</v>
          </cell>
          <cell r="AQ52">
            <v>0.47211155378485875</v>
          </cell>
        </row>
        <row r="53">
          <cell r="C53" t="str">
            <v>SG&amp;A</v>
          </cell>
          <cell r="I53">
            <v>0.27951248685794383</v>
          </cell>
          <cell r="J53">
            <v>0.26815455284413559</v>
          </cell>
          <cell r="K53">
            <v>0.27169818279044472</v>
          </cell>
          <cell r="L53">
            <v>0.27499311147668742</v>
          </cell>
          <cell r="M53">
            <v>0.27363026661438483</v>
          </cell>
          <cell r="O53">
            <v>0.27912154332556044</v>
          </cell>
          <cell r="P53">
            <v>0.26541986870066908</v>
          </cell>
          <cell r="Q53">
            <v>0.24838279038755626</v>
          </cell>
          <cell r="R53">
            <v>0.25084268487432959</v>
          </cell>
          <cell r="S53">
            <v>0.25983250456603751</v>
          </cell>
          <cell r="U53">
            <v>0.25849826169428908</v>
          </cell>
          <cell r="V53">
            <v>0.25406044840132985</v>
          </cell>
          <cell r="W53">
            <v>0.26419729585826568</v>
          </cell>
          <cell r="X53">
            <v>0.24151417101084549</v>
          </cell>
          <cell r="Y53">
            <v>0.24259318254221088</v>
          </cell>
          <cell r="AA53">
            <v>0.21862971516551191</v>
          </cell>
          <cell r="AB53">
            <v>0.21572572194978834</v>
          </cell>
          <cell r="AC53">
            <v>0.21480926203564885</v>
          </cell>
          <cell r="AD53">
            <v>0.21288771889664646</v>
          </cell>
          <cell r="AE53">
            <v>0.21283294240291895</v>
          </cell>
          <cell r="AG53">
            <v>0.2120595144870791</v>
          </cell>
          <cell r="AH53">
            <v>0.21331561854148212</v>
          </cell>
          <cell r="AI53">
            <v>0.21200880955140836</v>
          </cell>
          <cell r="AJ53">
            <v>0.20609908173676456</v>
          </cell>
          <cell r="AK53">
            <v>0.20835434200830005</v>
          </cell>
          <cell r="AM53">
            <v>0.22593233116048064</v>
          </cell>
          <cell r="AN53">
            <v>0.21846946580250395</v>
          </cell>
          <cell r="AO53">
            <v>0.21524238473391014</v>
          </cell>
          <cell r="AP53">
            <v>0.21064309361132633</v>
          </cell>
          <cell r="AQ53">
            <v>0.21490980265547438</v>
          </cell>
          <cell r="AS53">
            <v>0.2218965320339564</v>
          </cell>
          <cell r="AT53">
            <v>0.21843818623107447</v>
          </cell>
          <cell r="AU53">
            <v>0.21820671814965575</v>
          </cell>
          <cell r="AV53">
            <v>0.21847070506454816</v>
          </cell>
          <cell r="AW53">
            <v>0.219248453198615</v>
          </cell>
          <cell r="AY53">
            <v>0.22500559159024827</v>
          </cell>
          <cell r="AZ53">
            <v>0.21990189208128944</v>
          </cell>
          <cell r="BA53">
            <v>0.22571516246718265</v>
          </cell>
          <cell r="BB53">
            <v>0.22652380798239083</v>
          </cell>
          <cell r="BC53">
            <v>0.22433124545800603</v>
          </cell>
          <cell r="BE53">
            <v>0.23194190002617115</v>
          </cell>
          <cell r="BF53">
            <v>0.22631189472668189</v>
          </cell>
          <cell r="BG53">
            <v>0.22671516246718265</v>
          </cell>
          <cell r="BH53">
            <v>0.22752380798239083</v>
          </cell>
          <cell r="BI53">
            <v>0.2281266087802743</v>
          </cell>
          <cell r="BK53">
            <v>0.23194190002617115</v>
          </cell>
          <cell r="BL53">
            <v>0.22631189472668189</v>
          </cell>
          <cell r="BM53">
            <v>0.22671516246718265</v>
          </cell>
          <cell r="BN53">
            <v>0.22752380798239083</v>
          </cell>
          <cell r="BO53">
            <v>0.22812143406141577</v>
          </cell>
          <cell r="BQ53">
            <v>0.23119190002617115</v>
          </cell>
          <cell r="BR53">
            <v>0.22556189472668189</v>
          </cell>
          <cell r="BS53">
            <v>0.22596516246718265</v>
          </cell>
          <cell r="BT53">
            <v>0.22677380798239083</v>
          </cell>
          <cell r="BU53">
            <v>0.22736885115578828</v>
          </cell>
          <cell r="BW53">
            <v>0.23044190002617115</v>
          </cell>
          <cell r="BX53">
            <v>0.22481189472668189</v>
          </cell>
          <cell r="BY53">
            <v>0.22521516246718265</v>
          </cell>
          <cell r="BZ53">
            <v>0.22602380798239083</v>
          </cell>
          <cell r="CA53">
            <v>0.22662069007935556</v>
          </cell>
        </row>
        <row r="54">
          <cell r="C54" t="str">
            <v>R&amp;D</v>
          </cell>
          <cell r="I54">
            <v>6.5270307333648234E-2</v>
          </cell>
          <cell r="J54">
            <v>6.2043482978589748E-2</v>
          </cell>
          <cell r="K54">
            <v>6.0617906567216481E-2</v>
          </cell>
          <cell r="L54">
            <v>5.697501707864655E-2</v>
          </cell>
          <cell r="M54">
            <v>6.1051815620615624E-2</v>
          </cell>
          <cell r="O54">
            <v>6.4963305245990768E-2</v>
          </cell>
          <cell r="P54">
            <v>6.0328539015729307E-2</v>
          </cell>
          <cell r="Q54">
            <v>5.7084739575897353E-2</v>
          </cell>
          <cell r="R54">
            <v>5.1608627041241271E-2</v>
          </cell>
          <cell r="S54">
            <v>5.8022572499256561E-2</v>
          </cell>
          <cell r="U54">
            <v>5.6609288208017979E-2</v>
          </cell>
          <cell r="V54">
            <v>5.6933177101145392E-2</v>
          </cell>
          <cell r="W54">
            <v>5.3324174232580471E-2</v>
          </cell>
          <cell r="X54">
            <v>3.1259512253580202E-2</v>
          </cell>
          <cell r="Y54">
            <v>4.4573643410852709E-2</v>
          </cell>
          <cell r="AA54">
            <v>2.5575228808485156E-2</v>
          </cell>
          <cell r="AB54">
            <v>2.4602875225281866E-2</v>
          </cell>
          <cell r="AC54">
            <v>2.4487756121939031E-2</v>
          </cell>
          <cell r="AD54">
            <v>2.3425279462820952E-2</v>
          </cell>
          <cell r="AE54">
            <v>2.4706802189210321E-2</v>
          </cell>
          <cell r="AG54">
            <v>2.4275646045418951E-2</v>
          </cell>
          <cell r="AH54">
            <v>2.3767345733687627E-2</v>
          </cell>
          <cell r="AI54">
            <v>2.3878520922684589E-2</v>
          </cell>
          <cell r="AJ54">
            <v>2.301326380228999E-2</v>
          </cell>
          <cell r="AK54">
            <v>2.3969282085094828E-2</v>
          </cell>
          <cell r="AM54">
            <v>2.5808168152188369E-2</v>
          </cell>
          <cell r="AN54">
            <v>2.3388752465681738E-2</v>
          </cell>
          <cell r="AO54">
            <v>2.3902651021295091E-2</v>
          </cell>
          <cell r="AP54">
            <v>2.4406564767204337E-2</v>
          </cell>
          <cell r="AQ54">
            <v>2.4597441381815247E-2</v>
          </cell>
          <cell r="AS54">
            <v>2.5162739350565306E-2</v>
          </cell>
          <cell r="AT54">
            <v>2.6813576299264168E-2</v>
          </cell>
          <cell r="AU54">
            <v>2.7199756533647812E-2</v>
          </cell>
          <cell r="AV54">
            <v>2.8540954062304606E-2</v>
          </cell>
          <cell r="AW54">
            <v>2.6943671832131841E-2</v>
          </cell>
          <cell r="AY54">
            <v>2.7883396704689482E-2</v>
          </cell>
          <cell r="AZ54">
            <v>2.9187105816398037E-2</v>
          </cell>
          <cell r="BA54">
            <v>2.9595281121074703E-2</v>
          </cell>
          <cell r="BB54">
            <v>3.097789143171592E-2</v>
          </cell>
          <cell r="BC54">
            <v>2.9466726649825241E-2</v>
          </cell>
          <cell r="BE54">
            <v>3.0031405391258831E-2</v>
          </cell>
          <cell r="BF54">
            <v>3.0307905151056917E-2</v>
          </cell>
          <cell r="BG54">
            <v>2.9595281121074703E-2</v>
          </cell>
          <cell r="BH54">
            <v>3.097789143171592E-2</v>
          </cell>
          <cell r="BI54">
            <v>3.0233232023292336E-2</v>
          </cell>
          <cell r="BK54">
            <v>3.0031405391258831E-2</v>
          </cell>
          <cell r="BL54">
            <v>3.0307905151056917E-2</v>
          </cell>
          <cell r="BM54">
            <v>2.9595281121074703E-2</v>
          </cell>
          <cell r="BN54">
            <v>3.097789143171592E-2</v>
          </cell>
          <cell r="BO54">
            <v>3.0233636481205573E-2</v>
          </cell>
          <cell r="BQ54">
            <v>2.9281405391258831E-2</v>
          </cell>
          <cell r="BR54">
            <v>2.9557905151056916E-2</v>
          </cell>
          <cell r="BS54">
            <v>2.8845281121074703E-2</v>
          </cell>
          <cell r="BT54">
            <v>3.022789143171592E-2</v>
          </cell>
          <cell r="BU54">
            <v>2.9484487605261379E-2</v>
          </cell>
          <cell r="BW54">
            <v>2.853140539125883E-2</v>
          </cell>
          <cell r="BX54">
            <v>2.8807905151056915E-2</v>
          </cell>
          <cell r="BY54">
            <v>2.8095281121074702E-2</v>
          </cell>
          <cell r="BZ54">
            <v>2.9477891431715919E-2</v>
          </cell>
          <cell r="CA54">
            <v>2.8735222556807678E-2</v>
          </cell>
        </row>
        <row r="55">
          <cell r="C55" t="str">
            <v>EBIT</v>
          </cell>
          <cell r="I55">
            <v>0.11397019610233285</v>
          </cell>
          <cell r="J55">
            <v>0.12455335811874531</v>
          </cell>
          <cell r="K55">
            <v>0.13043157574472383</v>
          </cell>
          <cell r="L55">
            <v>0.13116726638938669</v>
          </cell>
          <cell r="M55">
            <v>0.12671515574604672</v>
          </cell>
          <cell r="O55">
            <v>0.10995372026151265</v>
          </cell>
          <cell r="P55">
            <v>0.12371542529998263</v>
          </cell>
          <cell r="Q55">
            <v>0.13938543826932451</v>
          </cell>
          <cell r="R55">
            <v>0.15313713658582037</v>
          </cell>
          <cell r="S55">
            <v>0.13311371284836812</v>
          </cell>
          <cell r="U55">
            <v>0.14175338710219559</v>
          </cell>
          <cell r="V55">
            <v>0.14559027174309153</v>
          </cell>
          <cell r="W55">
            <v>0.14990854693073569</v>
          </cell>
          <cell r="X55">
            <v>0.15777877643957086</v>
          </cell>
          <cell r="Y55">
            <v>0.14951683126261023</v>
          </cell>
          <cell r="AA55">
            <v>0.1605936190231804</v>
          </cell>
          <cell r="AB55">
            <v>0.1695796135630161</v>
          </cell>
          <cell r="AC55">
            <v>0.16854072963518243</v>
          </cell>
          <cell r="AD55">
            <v>0.17248483461142267</v>
          </cell>
          <cell r="AE55">
            <v>0.16665102945009125</v>
          </cell>
          <cell r="AG55">
            <v>0.17505873140172276</v>
          </cell>
          <cell r="AH55">
            <v>0.17589312075583122</v>
          </cell>
          <cell r="AI55">
            <v>0.17557281403346084</v>
          </cell>
          <cell r="AJ55">
            <v>0.18580659789139548</v>
          </cell>
          <cell r="AK55">
            <v>0.17617228406314214</v>
          </cell>
          <cell r="AM55">
            <v>0.15476032105006438</v>
          </cell>
          <cell r="AN55">
            <v>0.16851173463226116</v>
          </cell>
          <cell r="AO55">
            <v>0.17284974912093556</v>
          </cell>
          <cell r="AP55">
            <v>0.17954497429034294</v>
          </cell>
          <cell r="AQ55">
            <v>0.16641107389321616</v>
          </cell>
          <cell r="AS55">
            <v>0.17316989607522179</v>
          </cell>
          <cell r="AT55">
            <v>0.17236198328004013</v>
          </cell>
          <cell r="AU55">
            <v>0.17160573667592344</v>
          </cell>
          <cell r="AV55">
            <v>0.17900621574901607</v>
          </cell>
          <cell r="AW55">
            <v>0.17408374486764683</v>
          </cell>
          <cell r="AY55">
            <v>0.17825989711473936</v>
          </cell>
          <cell r="AZ55">
            <v>0.17880168185003495</v>
          </cell>
          <cell r="BA55">
            <v>0.18643663268437372</v>
          </cell>
          <cell r="BB55">
            <v>0.19179102061955783</v>
          </cell>
          <cell r="BC55">
            <v>0.18408485309893741</v>
          </cell>
          <cell r="BE55">
            <v>0.18745092907615807</v>
          </cell>
          <cell r="BF55">
            <v>0.18985875615327691</v>
          </cell>
          <cell r="BG55">
            <v>0.19393663268437375</v>
          </cell>
          <cell r="BH55">
            <v>0.19879102061955781</v>
          </cell>
          <cell r="BI55">
            <v>0.19248592329536141</v>
          </cell>
          <cell r="BK55">
            <v>0.19045092907615804</v>
          </cell>
          <cell r="BL55">
            <v>0.19235875615327683</v>
          </cell>
          <cell r="BM55">
            <v>0.19493663268437386</v>
          </cell>
          <cell r="BN55">
            <v>0.20029102061955789</v>
          </cell>
          <cell r="BO55">
            <v>0.19449017331564813</v>
          </cell>
          <cell r="BQ55">
            <v>0.19595092907615808</v>
          </cell>
          <cell r="BR55">
            <v>0.19785875615327686</v>
          </cell>
          <cell r="BS55">
            <v>0.20043663268437373</v>
          </cell>
          <cell r="BT55">
            <v>0.20579102061955781</v>
          </cell>
          <cell r="BU55">
            <v>0.1999966294173306</v>
          </cell>
          <cell r="BW55">
            <v>0.20145092907615808</v>
          </cell>
          <cell r="BX55">
            <v>0.20335875615327689</v>
          </cell>
          <cell r="BY55">
            <v>0.20593663268437362</v>
          </cell>
          <cell r="BZ55">
            <v>0.21129102061955782</v>
          </cell>
          <cell r="CA55">
            <v>0.20549913847270485</v>
          </cell>
        </row>
        <row r="56">
          <cell r="C56" t="str">
            <v>Incremental EBIT</v>
          </cell>
          <cell r="O56">
            <v>4.8250234082395461E-2</v>
          </cell>
          <cell r="P56">
            <v>0.12028493048194999</v>
          </cell>
          <cell r="Q56">
            <v>0.17480451654315315</v>
          </cell>
          <cell r="R56">
            <v>0.25886636118260059</v>
          </cell>
          <cell r="S56">
            <v>0.16616787500702496</v>
          </cell>
          <cell r="U56">
            <v>0.28392455967828434</v>
          </cell>
          <cell r="V56">
            <v>0.38449713435928434</v>
          </cell>
          <cell r="W56">
            <v>0.3068648328247453</v>
          </cell>
          <cell r="X56">
            <v>0.16148356934985253</v>
          </cell>
          <cell r="Y56">
            <v>0.18761074747766973</v>
          </cell>
          <cell r="AA56">
            <v>0.16838854280726998</v>
          </cell>
          <cell r="AB56">
            <v>0.17981358883350718</v>
          </cell>
          <cell r="AC56">
            <v>0.17659902710712921</v>
          </cell>
          <cell r="AD56">
            <v>0.1982598193656796</v>
          </cell>
          <cell r="AE56">
            <v>0.17772971488404829</v>
          </cell>
          <cell r="AG56">
            <v>0.33178869323447424</v>
          </cell>
          <cell r="AH56">
            <v>0.22242817423540368</v>
          </cell>
          <cell r="AI56">
            <v>0.26591760299625417</v>
          </cell>
          <cell r="AJ56">
            <v>1.5714285714285792</v>
          </cell>
          <cell r="AK56">
            <v>0.30289995837379941</v>
          </cell>
          <cell r="AM56">
            <v>0.32820341251254531</v>
          </cell>
          <cell r="AN56">
            <v>0.25720620842572212</v>
          </cell>
          <cell r="AO56">
            <v>0.29649122807017469</v>
          </cell>
          <cell r="AP56">
            <v>9.3733816675297121E-2</v>
          </cell>
          <cell r="AQ56">
            <v>0.41708167330676349</v>
          </cell>
          <cell r="AS56">
            <v>0.28483055406132346</v>
          </cell>
          <cell r="AT56">
            <v>0.25806451612903408</v>
          </cell>
          <cell r="AU56">
            <v>0.13934426229508118</v>
          </cell>
          <cell r="AV56">
            <v>0.19170124481327724</v>
          </cell>
          <cell r="AW56">
            <v>0.28955359854236157</v>
          </cell>
          <cell r="AY56">
            <v>0.41831238779173452</v>
          </cell>
          <cell r="AZ56">
            <v>0.24351529229577851</v>
          </cell>
          <cell r="BA56">
            <v>0.31459566074950601</v>
          </cell>
          <cell r="BB56">
            <v>0.28563714902807819</v>
          </cell>
          <cell r="BC56">
            <v>0.29101760064737708</v>
          </cell>
          <cell r="BE56">
            <v>0.25334045964724777</v>
          </cell>
          <cell r="BF56">
            <v>0.31404958677686035</v>
          </cell>
          <cell r="BG56">
            <v>0.94460615611521126</v>
          </cell>
          <cell r="BH56">
            <v>-0.42333801999633563</v>
          </cell>
          <cell r="BI56">
            <v>0.34839405501473319</v>
          </cell>
          <cell r="BK56">
            <v>0.291255461089099</v>
          </cell>
          <cell r="BL56">
            <v>0.25236738095789174</v>
          </cell>
          <cell r="BM56">
            <v>0.22932790836712785</v>
          </cell>
          <cell r="BN56">
            <v>0.2499343464593132</v>
          </cell>
          <cell r="BO56">
            <v>0.25569849330692979</v>
          </cell>
          <cell r="BQ56">
            <v>0.35749313435031621</v>
          </cell>
          <cell r="BR56">
            <v>0.34665065508661258</v>
          </cell>
          <cell r="BS56">
            <v>0.35556031297446161</v>
          </cell>
          <cell r="BT56">
            <v>0.34448121710723667</v>
          </cell>
          <cell r="BU56">
            <v>0.35068405137251119</v>
          </cell>
          <cell r="BW56">
            <v>0.3317700743507333</v>
          </cell>
          <cell r="BX56">
            <v>0.33991698676198628</v>
          </cell>
          <cell r="BY56">
            <v>0.34833141037635096</v>
          </cell>
          <cell r="BZ56">
            <v>0.33763125533153165</v>
          </cell>
          <cell r="CA56">
            <v>0.3391369154645229</v>
          </cell>
        </row>
        <row r="57">
          <cell r="C57" t="str">
            <v>EBITDA</v>
          </cell>
          <cell r="I57">
            <v>0.13468893324597361</v>
          </cell>
          <cell r="J57">
            <v>0.14507842051059466</v>
          </cell>
          <cell r="K57">
            <v>0.14924720872555602</v>
          </cell>
          <cell r="L57">
            <v>0.14987959350375574</v>
          </cell>
          <cell r="M57">
            <v>0.15443099372392063</v>
          </cell>
          <cell r="O57">
            <v>0.12810796698187432</v>
          </cell>
          <cell r="P57">
            <v>0.14017756467432954</v>
          </cell>
          <cell r="Q57">
            <v>0.15754822927506332</v>
          </cell>
          <cell r="R57">
            <v>0.16990308955205763</v>
          </cell>
          <cell r="S57">
            <v>0.15152294298539293</v>
          </cell>
          <cell r="U57">
            <v>0.15899761357442141</v>
          </cell>
          <cell r="V57">
            <v>0.1643717728055078</v>
          </cell>
          <cell r="W57">
            <v>0.16839227435369028</v>
          </cell>
          <cell r="X57">
            <v>0.17599436754748624</v>
          </cell>
          <cell r="Y57">
            <v>0.16783476691090587</v>
          </cell>
          <cell r="AA57">
            <v>0.18026687195278437</v>
          </cell>
          <cell r="AB57">
            <v>0.18844042080556608</v>
          </cell>
          <cell r="AC57">
            <v>0.1877394636015326</v>
          </cell>
          <cell r="AD57">
            <v>0.18847048948914574</v>
          </cell>
          <cell r="AE57">
            <v>0.18531144123012774</v>
          </cell>
          <cell r="AG57">
            <v>0.19369616288175409</v>
          </cell>
          <cell r="AH57">
            <v>0.19368172423974031</v>
          </cell>
          <cell r="AI57">
            <v>0.19400332290096983</v>
          </cell>
          <cell r="AJ57">
            <v>0.20061973321240975</v>
          </cell>
          <cell r="AK57">
            <v>0.19388744521583967</v>
          </cell>
          <cell r="AM57">
            <v>0.17471509023990076</v>
          </cell>
          <cell r="AN57">
            <v>0.18751258000885629</v>
          </cell>
          <cell r="AO57">
            <v>0.19153727628303902</v>
          </cell>
          <cell r="AP57">
            <v>0.19486511234767898</v>
          </cell>
          <cell r="AQ57">
            <v>0.18487428871221612</v>
          </cell>
          <cell r="AS57">
            <v>0.19102364003197692</v>
          </cell>
          <cell r="AT57">
            <v>0.19066147859922183</v>
          </cell>
          <cell r="AU57">
            <v>0.18959942176741354</v>
          </cell>
          <cell r="AV57">
            <v>0.19724888741770563</v>
          </cell>
          <cell r="AW57">
            <v>0.19218179410039551</v>
          </cell>
          <cell r="AY57">
            <v>0.1964884813240885</v>
          </cell>
          <cell r="AZ57">
            <v>0.19681149264190601</v>
          </cell>
          <cell r="BA57">
            <v>0.2052234989259776</v>
          </cell>
          <cell r="BB57">
            <v>0.2112776357103551</v>
          </cell>
          <cell r="BC57">
            <v>0.20273730837111098</v>
          </cell>
          <cell r="BE57">
            <v>0.20704658466370057</v>
          </cell>
          <cell r="BF57">
            <v>0.20858402239310189</v>
          </cell>
          <cell r="BG57">
            <v>0.21220553976136838</v>
          </cell>
          <cell r="BH57">
            <v>0.21720908272261247</v>
          </cell>
          <cell r="BI57">
            <v>0.21124159679411914</v>
          </cell>
          <cell r="BK57">
            <v>0.20950922739828975</v>
          </cell>
          <cell r="BL57">
            <v>0.21143718089550606</v>
          </cell>
          <cell r="BM57">
            <v>0.21579903064803224</v>
          </cell>
          <cell r="BN57">
            <v>0.22104721226881008</v>
          </cell>
          <cell r="BO57">
            <v>0.21441549816896568</v>
          </cell>
          <cell r="BQ57">
            <v>0.21656345994676687</v>
          </cell>
          <cell r="BR57">
            <v>0.21840089257256834</v>
          </cell>
          <cell r="BS57">
            <v>0.2228978248626203</v>
          </cell>
          <cell r="BT57">
            <v>0.22801630337245238</v>
          </cell>
          <cell r="BU57">
            <v>0.22144312716792675</v>
          </cell>
          <cell r="BW57">
            <v>0.22344037360930538</v>
          </cell>
          <cell r="BX57">
            <v>0.22528693766449692</v>
          </cell>
          <cell r="BY57">
            <v>0.22992167380135395</v>
          </cell>
          <cell r="BZ57">
            <v>0.23488546196726412</v>
          </cell>
          <cell r="CA57">
            <v>0.22835826391400132</v>
          </cell>
        </row>
        <row r="58">
          <cell r="C58" t="str">
            <v>Other Expense</v>
          </cell>
          <cell r="AE58">
            <v>1.1227521501172772E-2</v>
          </cell>
          <cell r="AK58">
            <v>1.014234185315907E-2</v>
          </cell>
          <cell r="AQ58">
            <v>1.0220347875216935E-2</v>
          </cell>
          <cell r="AS58">
            <v>8.6032966614640934E-3</v>
          </cell>
          <cell r="AT58">
            <v>7.9747274338328525E-3</v>
          </cell>
          <cell r="AU58">
            <v>5.2877848366112441E-3</v>
          </cell>
          <cell r="AV58">
            <v>5.4433778366251096E-3</v>
          </cell>
          <cell r="AW58">
            <v>6.8116024294715286E-3</v>
          </cell>
          <cell r="AY58">
            <v>8.0891672258256875E-3</v>
          </cell>
          <cell r="AZ58">
            <v>1.0967063770147166E-2</v>
          </cell>
          <cell r="BA58">
            <v>1.5240887858433609E-2</v>
          </cell>
          <cell r="BB58">
            <v>1.7058880652574993E-2</v>
          </cell>
          <cell r="BC58">
            <v>1.3011731321590466E-2</v>
          </cell>
          <cell r="BE58">
            <v>1.5931693274012039E-2</v>
          </cell>
          <cell r="BF58">
            <v>1.4478298639039929E-2</v>
          </cell>
          <cell r="BG58">
            <v>2.1943129312831041E-2</v>
          </cell>
          <cell r="BH58">
            <v>2.1607180242377063E-2</v>
          </cell>
          <cell r="BI58">
            <v>1.8445787632968769E-2</v>
          </cell>
          <cell r="BK58">
            <v>1.4841034741825533E-2</v>
          </cell>
          <cell r="BL58">
            <v>1.4500437015565536E-2</v>
          </cell>
          <cell r="BM58">
            <v>1.4927892546645916E-2</v>
          </cell>
          <cell r="BN58">
            <v>1.3996686765998662E-2</v>
          </cell>
          <cell r="BO58">
            <v>1.4563227146850025E-2</v>
          </cell>
          <cell r="BQ58">
            <v>1.2548269373436007E-2</v>
          </cell>
          <cell r="BR58">
            <v>1.2497211900205621E-2</v>
          </cell>
          <cell r="BS58">
            <v>1.2848292219239246E-2</v>
          </cell>
          <cell r="BT58">
            <v>1.0787154500793235E-2</v>
          </cell>
          <cell r="BU58">
            <v>1.2165904794876394E-2</v>
          </cell>
          <cell r="BW58">
            <v>1.0634822273683703E-2</v>
          </cell>
          <cell r="BX58">
            <v>8.1028851384367159E-3</v>
          </cell>
          <cell r="BY58">
            <v>9.3393557772243393E-3</v>
          </cell>
          <cell r="BZ58">
            <v>8.4050392383101368E-3</v>
          </cell>
          <cell r="CA58">
            <v>9.1100356447956152E-3</v>
          </cell>
        </row>
        <row r="59">
          <cell r="C59" t="str">
            <v>income tax rate</v>
          </cell>
          <cell r="I59">
            <v>0.25321909032671358</v>
          </cell>
          <cell r="J59">
            <v>0.25044680403700598</v>
          </cell>
          <cell r="K59">
            <v>0.26570226484168002</v>
          </cell>
          <cell r="L59">
            <v>0.28000277723133166</v>
          </cell>
          <cell r="M59">
            <v>0.44230591188239954</v>
          </cell>
          <cell r="O59">
            <v>0.28048648732077003</v>
          </cell>
          <cell r="P59">
            <v>0.7509095866199107</v>
          </cell>
          <cell r="Q59">
            <v>0.44870526052485593</v>
          </cell>
          <cell r="R59">
            <v>0.32724325112025904</v>
          </cell>
          <cell r="S59">
            <v>0.46991576898013676</v>
          </cell>
          <cell r="U59">
            <v>0.39026614174917618</v>
          </cell>
          <cell r="V59">
            <v>0.41387785970882957</v>
          </cell>
          <cell r="W59">
            <v>0.41242531694758833</v>
          </cell>
          <cell r="X59">
            <v>0.58189572020210767</v>
          </cell>
          <cell r="Y59">
            <v>0.28097764304660849</v>
          </cell>
          <cell r="AA59">
            <v>0.25028669724770608</v>
          </cell>
          <cell r="AB59">
            <v>0.24192708333333326</v>
          </cell>
          <cell r="AC59">
            <v>0.24631306597671407</v>
          </cell>
          <cell r="AD59">
            <v>0.22531939605110343</v>
          </cell>
          <cell r="AE59">
            <v>0.23422094037158753</v>
          </cell>
          <cell r="AG59">
            <v>0.24317968015051747</v>
          </cell>
          <cell r="AH59">
            <v>0.23669159700835879</v>
          </cell>
          <cell r="AI59">
            <v>0.23294008790191989</v>
          </cell>
          <cell r="AJ59">
            <v>0.20907172995780596</v>
          </cell>
          <cell r="AK59">
            <v>0.22326695088477516</v>
          </cell>
          <cell r="AM59">
            <v>0.19987775061124682</v>
          </cell>
          <cell r="AN59">
            <v>0.19994905756495165</v>
          </cell>
          <cell r="AO59">
            <v>0.19999999999999998</v>
          </cell>
          <cell r="AP59">
            <v>0.20033181252592297</v>
          </cell>
          <cell r="AQ59">
            <v>0.19191266714036548</v>
          </cell>
          <cell r="AS59">
            <v>0.21027064538514917</v>
          </cell>
          <cell r="AT59">
            <v>0.20717131474103578</v>
          </cell>
          <cell r="AU59">
            <v>0.1957913998170174</v>
          </cell>
          <cell r="AV59">
            <v>0.18542063996609459</v>
          </cell>
          <cell r="AW59">
            <v>0.19930999377863237</v>
          </cell>
          <cell r="AY59">
            <v>0.20503833515881714</v>
          </cell>
          <cell r="AZ59">
            <v>0.20041753653444688</v>
          </cell>
          <cell r="BA59">
            <v>0.1850229038040232</v>
          </cell>
          <cell r="BB59">
            <v>0.17636161541311596</v>
          </cell>
          <cell r="BC59">
            <v>0.19171009772760078</v>
          </cell>
          <cell r="BE59">
            <v>0.17509059698645815</v>
          </cell>
          <cell r="BF59">
            <v>0.17611447440836547</v>
          </cell>
          <cell r="BG59">
            <v>0.17100000000000001</v>
          </cell>
          <cell r="BH59">
            <v>0.17100000000000001</v>
          </cell>
          <cell r="BI59">
            <v>0.17330126784870592</v>
          </cell>
          <cell r="BK59">
            <v>0.17399999999999999</v>
          </cell>
          <cell r="BL59">
            <v>0.17399999999999999</v>
          </cell>
          <cell r="BM59">
            <v>0.17399999999999999</v>
          </cell>
          <cell r="BN59">
            <v>0.17399999999999999</v>
          </cell>
          <cell r="BO59">
            <v>0.17399999999999999</v>
          </cell>
          <cell r="BQ59">
            <v>0.17399999999999999</v>
          </cell>
          <cell r="BR59">
            <v>0.17399999999999999</v>
          </cell>
          <cell r="BS59">
            <v>0.17399999999999999</v>
          </cell>
          <cell r="BT59">
            <v>0.17399999999999999</v>
          </cell>
          <cell r="BU59">
            <v>0.17399999999999999</v>
          </cell>
          <cell r="BW59">
            <v>0.17399999999999999</v>
          </cell>
          <cell r="BX59">
            <v>0.17399999999999999</v>
          </cell>
          <cell r="BY59">
            <v>0.17399999999999999</v>
          </cell>
          <cell r="BZ59">
            <v>0.17399999999999999</v>
          </cell>
          <cell r="CA59">
            <v>0.17399999999999999</v>
          </cell>
        </row>
        <row r="60">
          <cell r="C60" t="str">
            <v>Net Income (non-GAAP)</v>
          </cell>
          <cell r="AE60">
            <v>0.11902006776127189</v>
          </cell>
          <cell r="AG60">
            <v>0.12599843382928738</v>
          </cell>
          <cell r="AH60">
            <v>0.1280631827576027</v>
          </cell>
          <cell r="AI60">
            <v>0.12812487925505198</v>
          </cell>
          <cell r="AJ60">
            <v>0.14166950081245508</v>
          </cell>
          <cell r="AK60">
            <v>0.12896094325718474</v>
          </cell>
          <cell r="AM60">
            <v>0.11609241275331478</v>
          </cell>
          <cell r="AN60">
            <v>0.12644418501670621</v>
          </cell>
          <cell r="AO60">
            <v>0.13006202836711311</v>
          </cell>
          <cell r="AP60">
            <v>0.13580333873353514</v>
          </cell>
          <cell r="AQ60">
            <v>0.12621574720529494</v>
          </cell>
          <cell r="AS60">
            <v>0.12996307434618756</v>
          </cell>
          <cell r="AT60">
            <v>0.1303309319258775</v>
          </cell>
          <cell r="AU60">
            <v>0.13375432723399397</v>
          </cell>
          <cell r="AV60">
            <v>0.14138070543234388</v>
          </cell>
          <cell r="AW60">
            <v>0.13393313276948407</v>
          </cell>
          <cell r="AY60">
            <v>0.13527920673973007</v>
          </cell>
          <cell r="AZ60">
            <v>0.13419761737911692</v>
          </cell>
          <cell r="BA60">
            <v>0.13952061099935212</v>
          </cell>
          <cell r="BB60">
            <v>0.14391609749781506</v>
          </cell>
          <cell r="BC60">
            <v>0.13839671938263468</v>
          </cell>
          <cell r="BE60">
            <v>0.14148783041088717</v>
          </cell>
          <cell r="BF60">
            <v>0.14449342041761845</v>
          </cell>
          <cell r="BG60">
            <v>0.1425826142950089</v>
          </cell>
          <cell r="BH60">
            <v>0.14690298209446959</v>
          </cell>
          <cell r="BI60">
            <v>0.14387875949553922</v>
          </cell>
          <cell r="BK60">
            <v>0.14505377272015865</v>
          </cell>
          <cell r="BL60">
            <v>0.14691097160774955</v>
          </cell>
          <cell r="BM60">
            <v>0.14868721935376328</v>
          </cell>
          <cell r="BN60">
            <v>0.15387911976303992</v>
          </cell>
          <cell r="BO60">
            <v>0.14861965753542727</v>
          </cell>
          <cell r="BQ60">
            <v>0.15149059691444844</v>
          </cell>
          <cell r="BR60">
            <v>0.15310863555303683</v>
          </cell>
          <cell r="BS60">
            <v>0.15494796922420107</v>
          </cell>
          <cell r="BT60">
            <v>0.16107319341409956</v>
          </cell>
          <cell r="BU60">
            <v>0.15514817853814716</v>
          </cell>
          <cell r="BW60">
            <v>0.15761410421884386</v>
          </cell>
          <cell r="BX60">
            <v>0.16128134945825801</v>
          </cell>
          <cell r="BY60">
            <v>0.1623893507253053</v>
          </cell>
          <cell r="BZ60">
            <v>0.16758382062091057</v>
          </cell>
          <cell r="CA60">
            <v>0.16221739893585302</v>
          </cell>
        </row>
        <row r="62">
          <cell r="C62" t="str">
            <v>Growth</v>
          </cell>
          <cell r="AQ62">
            <v>-9.2237061769615547E-3</v>
          </cell>
          <cell r="AS62">
            <v>0.14320944160648219</v>
          </cell>
          <cell r="AT62">
            <v>5.9587217043941321E-2</v>
          </cell>
          <cell r="AU62">
            <v>6.5752519411861998E-2</v>
          </cell>
          <cell r="AV62">
            <v>6.2930776146239431E-3</v>
          </cell>
          <cell r="AW62">
            <v>9.6212982855217177E-2</v>
          </cell>
          <cell r="AY62">
            <v>4.5300462249614704E-2</v>
          </cell>
          <cell r="AZ62">
            <v>0.11671379202010668</v>
          </cell>
          <cell r="BA62">
            <v>0.16075027127577113</v>
          </cell>
          <cell r="BB62">
            <v>0.18448481238832648</v>
          </cell>
          <cell r="BC62">
            <v>0.12731045613495739</v>
          </cell>
          <cell r="BE62">
            <v>0.18042452830188682</v>
          </cell>
          <cell r="BF62">
            <v>0.12195808130538754</v>
          </cell>
          <cell r="BG62">
            <v>1.3947014264714008E-2</v>
          </cell>
          <cell r="BH62">
            <v>-7.4119110687711487E-3</v>
          </cell>
          <cell r="BI62">
            <v>7.2827702831405272E-2</v>
          </cell>
          <cell r="BK62">
            <v>2.9760566713556758E-2</v>
          </cell>
          <cell r="BL62">
            <v>4.1660678079855851E-2</v>
          </cell>
          <cell r="BM62">
            <v>2.9077141808425466E-2</v>
          </cell>
          <cell r="BN62">
            <v>3.0215542061826417E-2</v>
          </cell>
          <cell r="BO62">
            <v>3.2725663552943152E-2</v>
          </cell>
          <cell r="BQ62">
            <v>2.812611130765319E-2</v>
          </cell>
          <cell r="BR62">
            <v>3.0903089821762153E-2</v>
          </cell>
          <cell r="BS62">
            <v>2.939580560714794E-2</v>
          </cell>
          <cell r="BT62">
            <v>3.3623947632629214E-2</v>
          </cell>
          <cell r="BU62">
            <v>3.0517167054494143E-2</v>
          </cell>
          <cell r="BW62">
            <v>3.6202292647599554E-2</v>
          </cell>
          <cell r="BX62">
            <v>3.4159462444636635E-2</v>
          </cell>
          <cell r="BY62">
            <v>3.2510908155257923E-2</v>
          </cell>
          <cell r="BZ62">
            <v>3.7442621233896523E-2</v>
          </cell>
          <cell r="CA62">
            <v>3.5104870167074198E-2</v>
          </cell>
        </row>
        <row r="63">
          <cell r="C63" t="str">
            <v>Revenues</v>
          </cell>
          <cell r="O63">
            <v>6.509317527312608E-2</v>
          </cell>
          <cell r="P63">
            <v>0.2442600450401573</v>
          </cell>
          <cell r="Q63">
            <v>0.25279772825756264</v>
          </cell>
          <cell r="R63">
            <v>0.20779373234051635</v>
          </cell>
          <cell r="S63">
            <v>0.1935779546191172</v>
          </cell>
          <cell r="U63">
            <v>0.22367169282270649</v>
          </cell>
          <cell r="V63">
            <v>9.1562235607484999E-2</v>
          </cell>
          <cell r="W63">
            <v>6.7044837366483589E-2</v>
          </cell>
          <cell r="X63">
            <v>1.2528743079994653</v>
          </cell>
          <cell r="Y63">
            <v>0.43059679980493937</v>
          </cell>
          <cell r="AA63">
            <v>2.4169873167252924</v>
          </cell>
          <cell r="AB63">
            <v>2.3440883122999212</v>
          </cell>
          <cell r="AC63">
            <v>2.3121736035819804</v>
          </cell>
          <cell r="AD63">
            <v>0.57055545568937638</v>
          </cell>
          <cell r="AE63">
            <v>1.5465912711054473</v>
          </cell>
          <cell r="AG63">
            <v>9.229321700453319E-2</v>
          </cell>
          <cell r="AH63">
            <v>0.13567207343140963</v>
          </cell>
          <cell r="AI63">
            <v>7.7836081959020698E-2</v>
          </cell>
          <cell r="AJ63">
            <v>9.6142840792032835E-3</v>
          </cell>
          <cell r="AK63">
            <v>7.513161323951012E-2</v>
          </cell>
          <cell r="AM63">
            <v>-0.11703210649960827</v>
          </cell>
          <cell r="AN63">
            <v>-8.3222615884263496E-2</v>
          </cell>
          <cell r="AO63">
            <v>-2.2023878520922913E-2</v>
          </cell>
          <cell r="AP63">
            <v>7.2969806900200496E-2</v>
          </cell>
          <cell r="AQ63">
            <v>-3.8940387076756067E-2</v>
          </cell>
          <cell r="AS63">
            <v>0.16487073743958103</v>
          </cell>
          <cell r="AT63">
            <v>4.4925727627712186E-2</v>
          </cell>
          <cell r="AU63">
            <v>3.8560309746750399E-2</v>
          </cell>
          <cell r="AV63">
            <v>-4.2438543354229807E-2</v>
          </cell>
          <cell r="AW63">
            <v>6.6447394971548279E-2</v>
          </cell>
          <cell r="AY63">
            <v>2.1203700178918261E-2</v>
          </cell>
          <cell r="AZ63">
            <v>9.9510729283045052E-2</v>
          </cell>
          <cell r="BA63">
            <v>0.11572260052497452</v>
          </cell>
          <cell r="BB63">
            <v>0.13623156423553651</v>
          </cell>
          <cell r="BC63">
            <v>9.3527085580216163E-2</v>
          </cell>
          <cell r="BE63">
            <v>0.13949153806009096</v>
          </cell>
          <cell r="BF63">
            <v>8.9032936229852755E-2</v>
          </cell>
          <cell r="BG63">
            <v>9.9910809829100167E-3</v>
          </cell>
          <cell r="BH63">
            <v>-1.125168500906204E-2</v>
          </cell>
          <cell r="BI63">
            <v>5.3884746765778591E-2</v>
          </cell>
          <cell r="BK63">
            <v>2.9760566713556758E-2</v>
          </cell>
          <cell r="BL63">
            <v>4.1660678079855851E-2</v>
          </cell>
          <cell r="BM63">
            <v>2.9077141808425466E-2</v>
          </cell>
          <cell r="BN63">
            <v>3.0215542061826195E-2</v>
          </cell>
          <cell r="BO63">
            <v>3.2744731771305213E-2</v>
          </cell>
          <cell r="BQ63">
            <v>3.4046829995082684E-2</v>
          </cell>
          <cell r="BR63">
            <v>3.6964378030179379E-2</v>
          </cell>
          <cell r="BS63">
            <v>3.5455579636291867E-2</v>
          </cell>
          <cell r="BT63">
            <v>3.9656732337880252E-2</v>
          </cell>
          <cell r="BU63">
            <v>3.6542241085790517E-2</v>
          </cell>
          <cell r="BW63">
            <v>4.2204082818467104E-2</v>
          </cell>
          <cell r="BX63">
            <v>4.0275858697668587E-2</v>
          </cell>
          <cell r="BY63">
            <v>3.8625012020435667E-2</v>
          </cell>
          <cell r="BZ63">
            <v>4.353324190459773E-2</v>
          </cell>
          <cell r="CA63">
            <v>4.1174802359299489E-2</v>
          </cell>
        </row>
        <row r="64">
          <cell r="C64" t="str">
            <v>COGS</v>
          </cell>
          <cell r="AG64">
            <v>8.0189696055184667E-2</v>
          </cell>
          <cell r="AH64">
            <v>0.12976773918602169</v>
          </cell>
          <cell r="AI64">
            <v>7.1242703424994946E-2</v>
          </cell>
          <cell r="AJ64">
            <v>-8.3892617449665696E-4</v>
          </cell>
          <cell r="AK64">
            <v>6.7363043059857075E-2</v>
          </cell>
          <cell r="AM64">
            <v>-0.10969201090933289</v>
          </cell>
          <cell r="AN64">
            <v>-7.9152521061234826E-2</v>
          </cell>
          <cell r="AO64">
            <v>-2.2912289915966499E-2</v>
          </cell>
          <cell r="AP64">
            <v>7.3564554672867155E-2</v>
          </cell>
          <cell r="AQ64">
            <v>-3.4752389226759495E-2</v>
          </cell>
          <cell r="AS64">
            <v>0.13792588164973063</v>
          </cell>
          <cell r="AT64">
            <v>3.2088482283061381E-2</v>
          </cell>
          <cell r="AU64">
            <v>2.9698313512060537E-2</v>
          </cell>
          <cell r="AV64">
            <v>-6.1123811815665952E-2</v>
          </cell>
          <cell r="AW64">
            <v>4.0673878708625377E-2</v>
          </cell>
          <cell r="AY64">
            <v>1.9697964543667901E-3</v>
          </cell>
          <cell r="AZ64">
            <v>8.0108487133690565E-2</v>
          </cell>
          <cell r="BA64">
            <v>6.8384991843393417E-2</v>
          </cell>
          <cell r="BB64">
            <v>9.015763168012314E-2</v>
          </cell>
          <cell r="BC64">
            <v>6.0315284441398331E-2</v>
          </cell>
          <cell r="BE64">
            <v>0.10288335517693326</v>
          </cell>
          <cell r="BF64">
            <v>5.3650171484566522E-2</v>
          </cell>
          <cell r="BG64">
            <v>-5.3871173631628855E-3</v>
          </cell>
          <cell r="BH64">
            <v>-2.5615007971509618E-2</v>
          </cell>
          <cell r="BI64">
            <v>2.9581195505796742E-2</v>
          </cell>
          <cell r="BK64">
            <v>2.4149564752184105E-2</v>
          </cell>
          <cell r="BL64">
            <v>3.6955979240138381E-2</v>
          </cell>
          <cell r="BM64">
            <v>2.7205251551196463E-2</v>
          </cell>
          <cell r="BN64">
            <v>2.7368107781621687E-2</v>
          </cell>
          <cell r="BO64">
            <v>2.8984490926845741E-2</v>
          </cell>
          <cell r="BQ64">
            <v>2.6493195264452929E-2</v>
          </cell>
          <cell r="BR64">
            <v>2.9436798917751528E-2</v>
          </cell>
          <cell r="BS64">
            <v>2.7907879862025364E-2</v>
          </cell>
          <cell r="BT64">
            <v>3.1972750463855615E-2</v>
          </cell>
          <cell r="BU64">
            <v>2.8955601519738083E-2</v>
          </cell>
          <cell r="BW64">
            <v>3.4534836697109883E-2</v>
          </cell>
          <cell r="BX64">
            <v>3.266902082930434E-2</v>
          </cell>
          <cell r="BY64">
            <v>3.0998618719679571E-2</v>
          </cell>
          <cell r="BZ64">
            <v>3.5763181588438053E-2</v>
          </cell>
          <cell r="CA64">
            <v>3.349738141798464E-2</v>
          </cell>
        </row>
        <row r="65">
          <cell r="C65" t="str">
            <v>SGA</v>
          </cell>
          <cell r="AG65">
            <v>5.946791862284817E-2</v>
          </cell>
          <cell r="AH65">
            <v>0.12298426267728768</v>
          </cell>
          <cell r="AI65">
            <v>6.3784412563009152E-2</v>
          </cell>
          <cell r="AJ65">
            <v>-2.2580645161290325E-2</v>
          </cell>
          <cell r="AK65">
            <v>5.2507836990595802E-2</v>
          </cell>
          <cell r="AM65">
            <v>-5.9268833087149253E-2</v>
          </cell>
          <cell r="AN65">
            <v>-6.1072664359861473E-2</v>
          </cell>
          <cell r="AO65">
            <v>-7.1077091306727125E-3</v>
          </cell>
          <cell r="AP65">
            <v>9.6626329299596803E-2</v>
          </cell>
          <cell r="AQ65">
            <v>-8.7025316455697777E-3</v>
          </cell>
          <cell r="AS65">
            <v>0.14406280667320903</v>
          </cell>
          <cell r="AT65">
            <v>4.4776119402984982E-2</v>
          </cell>
          <cell r="AU65">
            <v>5.2863436123348206E-2</v>
          </cell>
          <cell r="AV65">
            <v>-6.8550409630496745E-3</v>
          </cell>
          <cell r="AW65">
            <v>8.7977090277451708E-2</v>
          </cell>
          <cell r="AY65">
            <v>3.5512094698919361E-2</v>
          </cell>
          <cell r="AZ65">
            <v>0.10687830687830702</v>
          </cell>
          <cell r="BA65">
            <v>0.15411436541143653</v>
          </cell>
          <cell r="BB65">
            <v>0.17811447811447834</v>
          </cell>
          <cell r="BC65">
            <v>0.1188781014023732</v>
          </cell>
          <cell r="BE65">
            <v>0.17461895294897278</v>
          </cell>
          <cell r="BF65">
            <v>0.12077756532823436</v>
          </cell>
          <cell r="BG65">
            <v>1.4465707631572844E-2</v>
          </cell>
          <cell r="BH65">
            <v>-6.8868090880824795E-3</v>
          </cell>
          <cell r="BI65">
            <v>7.171496700819957E-2</v>
          </cell>
          <cell r="BK65">
            <v>2.9760566713556758E-2</v>
          </cell>
          <cell r="BL65">
            <v>4.1660678079856073E-2</v>
          </cell>
          <cell r="BM65">
            <v>2.9077141808425466E-2</v>
          </cell>
          <cell r="BN65">
            <v>3.0215542061826195E-2</v>
          </cell>
          <cell r="BO65">
            <v>3.2721305465763129E-2</v>
          </cell>
          <cell r="BQ65">
            <v>3.070316883507318E-2</v>
          </cell>
          <cell r="BR65">
            <v>3.3527867172179926E-2</v>
          </cell>
          <cell r="BS65">
            <v>3.2030172723599648E-2</v>
          </cell>
          <cell r="BT65">
            <v>3.6229651206600488E-2</v>
          </cell>
          <cell r="BU65">
            <v>3.3122641455393786E-2</v>
          </cell>
          <cell r="BW65">
            <v>3.8823112023100403E-2</v>
          </cell>
          <cell r="BX65">
            <v>3.6816910567406547E-2</v>
          </cell>
          <cell r="BY65">
            <v>3.5177716204964682E-2</v>
          </cell>
          <cell r="BZ65">
            <v>4.0082005898148365E-2</v>
          </cell>
          <cell r="CA65">
            <v>3.7748798942701223E-2</v>
          </cell>
        </row>
        <row r="66">
          <cell r="C66" t="str">
            <v>R&amp;D</v>
          </cell>
          <cell r="AG66">
            <v>3.6789297658862852E-2</v>
          </cell>
          <cell r="AH66">
            <v>9.7103918228279351E-2</v>
          </cell>
          <cell r="AI66">
            <v>5.1020408163265252E-2</v>
          </cell>
          <cell r="AJ66">
            <v>-8.1433224755700362E-3</v>
          </cell>
          <cell r="AK66">
            <v>4.3037974683544311E-2</v>
          </cell>
          <cell r="AM66">
            <v>-6.1290322580645151E-2</v>
          </cell>
          <cell r="AN66">
            <v>-9.782608695652184E-2</v>
          </cell>
          <cell r="AO66">
            <v>-2.1035598705501535E-2</v>
          </cell>
          <cell r="AP66">
            <v>0.13793103448275867</v>
          </cell>
          <cell r="AQ66">
            <v>-1.3754045307443286E-2</v>
          </cell>
          <cell r="AS66">
            <v>0.13573883161512001</v>
          </cell>
          <cell r="AT66">
            <v>0.19793459552495674</v>
          </cell>
          <cell r="AU66">
            <v>0.18181818181818188</v>
          </cell>
          <cell r="AV66">
            <v>0.11976911976911975</v>
          </cell>
          <cell r="AW66">
            <v>0.16817063166529911</v>
          </cell>
          <cell r="AY66">
            <v>0.1316187594553706</v>
          </cell>
          <cell r="AZ66">
            <v>0.19683908045977017</v>
          </cell>
          <cell r="BA66">
            <v>0.21398601398601391</v>
          </cell>
          <cell r="BB66">
            <v>0.23324742268041243</v>
          </cell>
          <cell r="BC66">
            <v>0.1959269662921348</v>
          </cell>
          <cell r="BE66">
            <v>0.22727272727272729</v>
          </cell>
          <cell r="BF66">
            <v>0.13085234093637466</v>
          </cell>
          <cell r="BG66">
            <v>9.9910809829100167E-3</v>
          </cell>
          <cell r="BH66">
            <v>-1.125168500906204E-2</v>
          </cell>
          <cell r="BI66">
            <v>8.1299000510714592E-2</v>
          </cell>
          <cell r="BK66">
            <v>2.9760566713556758E-2</v>
          </cell>
          <cell r="BL66">
            <v>4.1660678079855851E-2</v>
          </cell>
          <cell r="BM66">
            <v>2.9077141808425466E-2</v>
          </cell>
          <cell r="BN66">
            <v>3.0215542061826195E-2</v>
          </cell>
          <cell r="BO66">
            <v>3.2758547752964162E-2</v>
          </cell>
          <cell r="BQ66">
            <v>8.2226931492577204E-3</v>
          </cell>
          <cell r="BR66">
            <v>1.130363771683851E-2</v>
          </cell>
          <cell r="BS66">
            <v>9.2151907867934479E-3</v>
          </cell>
          <cell r="BT66">
            <v>1.4485795478856867E-2</v>
          </cell>
          <cell r="BU66">
            <v>1.0858117534830569E-2</v>
          </cell>
          <cell r="BW66">
            <v>1.5509562809287836E-2</v>
          </cell>
          <cell r="BX66">
            <v>1.3879979489180405E-2</v>
          </cell>
          <cell r="BY66">
            <v>1.1619944683920691E-2</v>
          </cell>
          <cell r="BZ66">
            <v>1.7641593683072276E-2</v>
          </cell>
          <cell r="CA66">
            <v>1.4716282910608003E-2</v>
          </cell>
        </row>
        <row r="67">
          <cell r="C67" t="str">
            <v>EBIT</v>
          </cell>
          <cell r="U67">
            <v>0.57756924227885831</v>
          </cell>
          <cell r="V67">
            <v>0.28456772565944988</v>
          </cell>
          <cell r="W67">
            <v>0.14760295670538492</v>
          </cell>
          <cell r="X67">
            <v>1.3211597115706661</v>
          </cell>
          <cell r="Y67">
            <v>0.60688403729614371</v>
          </cell>
          <cell r="AA67">
            <v>2.8711340206185567</v>
          </cell>
          <cell r="AB67">
            <v>2.8951036833086246</v>
          </cell>
          <cell r="AC67">
            <v>2.7238447523877882</v>
          </cell>
          <cell r="AD67">
            <v>0.71694193690494834</v>
          </cell>
          <cell r="AE67">
            <v>1.8384232954545445</v>
          </cell>
          <cell r="AG67">
            <v>0.19067909454061094</v>
          </cell>
          <cell r="AH67">
            <v>0.17795353435491901</v>
          </cell>
          <cell r="AI67">
            <v>0.12280701754385981</v>
          </cell>
          <cell r="AJ67">
            <v>8.7591240875912302E-2</v>
          </cell>
          <cell r="AK67">
            <v>0.13655698736394184</v>
          </cell>
          <cell r="AM67">
            <v>-0.21941400134198097</v>
          </cell>
          <cell r="AN67">
            <v>-0.12169534200587584</v>
          </cell>
          <cell r="AO67">
            <v>-3.7191901408450856E-2</v>
          </cell>
          <cell r="AP67">
            <v>3.6811063656701171E-2</v>
          </cell>
          <cell r="AQ67">
            <v>-9.2189993945729798E-2</v>
          </cell>
          <cell r="AS67">
            <v>0.30343839541547224</v>
          </cell>
          <cell r="AT67">
            <v>6.8800764452938923E-2</v>
          </cell>
          <cell r="AU67">
            <v>3.1085714285714161E-2</v>
          </cell>
          <cell r="AV67">
            <v>-4.5311887014515384E-2</v>
          </cell>
          <cell r="AW67">
            <v>0.11561780041227032</v>
          </cell>
          <cell r="AY67">
            <v>5.1220048362276893E-2</v>
          </cell>
          <cell r="AZ67">
            <v>0.1405900759946348</v>
          </cell>
          <cell r="BA67">
            <v>0.21214808246508499</v>
          </cell>
          <cell r="BB67">
            <v>0.21738237107047498</v>
          </cell>
          <cell r="BC67">
            <v>0.15635019835878317</v>
          </cell>
          <cell r="BE67">
            <v>0.19824341279799285</v>
          </cell>
          <cell r="BF67">
            <v>0.15637860082304567</v>
          </cell>
          <cell r="BG67">
            <v>5.0621149217385142E-2</v>
          </cell>
          <cell r="BH67">
            <v>2.4835709398550732E-2</v>
          </cell>
          <cell r="BI67">
            <v>0.10198082630449723</v>
          </cell>
          <cell r="BK67">
            <v>4.6241048914237304E-2</v>
          </cell>
          <cell r="BL67">
            <v>5.5376936144336142E-2</v>
          </cell>
          <cell r="BM67">
            <v>3.4383396369848773E-2</v>
          </cell>
          <cell r="BN67">
            <v>3.7989149281491441E-2</v>
          </cell>
          <cell r="BO67">
            <v>4.3498134483396234E-2</v>
          </cell>
          <cell r="BQ67">
            <v>6.3908892588112831E-2</v>
          </cell>
          <cell r="BR67">
            <v>6.6613686401779892E-2</v>
          </cell>
          <cell r="BS67">
            <v>6.4670230620955005E-2</v>
          </cell>
          <cell r="BT67">
            <v>6.8205750712096336E-2</v>
          </cell>
          <cell r="BU67">
            <v>6.5889093169752444E-2</v>
          </cell>
          <cell r="BW67">
            <v>7.1456929347578413E-2</v>
          </cell>
          <cell r="BX67">
            <v>6.9193038478203128E-2</v>
          </cell>
          <cell r="BY67">
            <v>6.7124979763895087E-2</v>
          </cell>
          <cell r="BZ67">
            <v>7.1422859309652864E-2</v>
          </cell>
          <cell r="CA67">
            <v>6.9820654016403028E-2</v>
          </cell>
        </row>
        <row r="68">
          <cell r="C68" t="str">
            <v>EBITDA</v>
          </cell>
          <cell r="U68">
            <v>0.51872583369393999</v>
          </cell>
          <cell r="V68">
            <v>0.27996245484212579</v>
          </cell>
          <cell r="W68">
            <v>0.14048953662182306</v>
          </cell>
          <cell r="X68">
            <v>1.3336431965168156</v>
          </cell>
          <cell r="Y68">
            <v>0.58460412468292877</v>
          </cell>
          <cell r="AA68">
            <v>2.8740808823529416</v>
          </cell>
          <cell r="AB68">
            <v>2.8337568429489917</v>
          </cell>
          <cell r="AC68">
            <v>2.6927210471993321</v>
          </cell>
          <cell r="AD68">
            <v>0.68189107201830423</v>
          </cell>
          <cell r="AE68">
            <v>1.8117684277127486</v>
          </cell>
          <cell r="AG68">
            <v>0.17366548042704477</v>
          </cell>
          <cell r="AH68">
            <v>0.16725978647686879</v>
          </cell>
          <cell r="AI68">
            <v>0.11379769299023956</v>
          </cell>
          <cell r="AJ68">
            <v>7.4696356275303577E-2</v>
          </cell>
          <cell r="AK68">
            <v>0.12488748874887357</v>
          </cell>
          <cell r="AM68">
            <v>-0.203557711744491</v>
          </cell>
          <cell r="AN68">
            <v>-0.11242378048780577</v>
          </cell>
          <cell r="AO68">
            <v>-3.4455287791276823E-2</v>
          </cell>
          <cell r="AP68">
            <v>4.2192503296289097E-2</v>
          </cell>
          <cell r="AQ68">
            <v>-8.3616723344667188E-2</v>
          </cell>
          <cell r="AS68">
            <v>0.27360406091370493</v>
          </cell>
          <cell r="AT68">
            <v>6.2473164448261453E-2</v>
          </cell>
          <cell r="AU68">
            <v>2.8052805280527782E-2</v>
          </cell>
          <cell r="AV68">
            <v>-3.0724742454364518E-2</v>
          </cell>
          <cell r="AW68">
            <v>0.10860074219602645</v>
          </cell>
          <cell r="AY68">
            <v>5.0418493423674215E-2</v>
          </cell>
          <cell r="AZ68">
            <v>0.1349767629824199</v>
          </cell>
          <cell r="BA68">
            <v>0.20766452648475098</v>
          </cell>
          <cell r="BB68">
            <v>0.21704269998135417</v>
          </cell>
          <cell r="BC68">
            <v>0.15358865806832589</v>
          </cell>
          <cell r="BE68">
            <v>0.20072092582052781</v>
          </cell>
          <cell r="BF68">
            <v>0.15417482641979752</v>
          </cell>
          <cell r="BG68">
            <v>4.4352638054630633E-2</v>
          </cell>
          <cell r="BH68">
            <v>1.6506616143396657E-2</v>
          </cell>
          <cell r="BI68">
            <v>9.8092396177297703E-2</v>
          </cell>
          <cell r="BK68">
            <v>4.2008691366772322E-2</v>
          </cell>
          <cell r="BL68">
            <v>5.5909243172164391E-2</v>
          </cell>
          <cell r="BM68">
            <v>4.6503545166797444E-2</v>
          </cell>
          <cell r="BN68">
            <v>4.8419664382020056E-2</v>
          </cell>
          <cell r="BO68">
            <v>4.8261703682993318E-2</v>
          </cell>
          <cell r="BQ68">
            <v>6.8863467407113133E-2</v>
          </cell>
          <cell r="BR68">
            <v>7.1116937752185416E-2</v>
          </cell>
          <cell r="BS68">
            <v>6.9517299265485555E-2</v>
          </cell>
          <cell r="BT68">
            <v>7.2434628108702048E-2</v>
          </cell>
          <cell r="BU68">
            <v>7.0515691579384088E-2</v>
          </cell>
          <cell r="BW68">
            <v>7.5298989494087865E-2</v>
          </cell>
          <cell r="BX68">
            <v>7.3075113255003821E-2</v>
          </cell>
          <cell r="BY68">
            <v>7.1353663333736828E-2</v>
          </cell>
          <cell r="BZ68">
            <v>7.4970447190273459E-2</v>
          </cell>
          <cell r="CA68">
            <v>7.3688189552490124E-2</v>
          </cell>
        </row>
        <row r="69">
          <cell r="C69" t="str">
            <v>Adj EPS</v>
          </cell>
          <cell r="AA69">
            <v>0.5275040697108222</v>
          </cell>
          <cell r="AB69">
            <v>0.54667091641763421</v>
          </cell>
          <cell r="AC69">
            <v>0.48054173683496959</v>
          </cell>
          <cell r="AD69">
            <v>0.32638841094042959</v>
          </cell>
          <cell r="AE69">
            <v>0.38096324624378219</v>
          </cell>
          <cell r="AG69">
            <v>0.24441644903007953</v>
          </cell>
          <cell r="AH69">
            <v>0.21738677439865195</v>
          </cell>
          <cell r="AI69">
            <v>0.15937293640234218</v>
          </cell>
          <cell r="AJ69">
            <v>0.15911929388604729</v>
          </cell>
          <cell r="AK69">
            <v>0.18877464398664756</v>
          </cell>
          <cell r="AM69">
            <v>-0.16560079624999047</v>
          </cell>
          <cell r="AN69">
            <v>-6.5971450900160988E-2</v>
          </cell>
          <cell r="AO69">
            <v>3.5997850411860544E-2</v>
          </cell>
          <cell r="AP69">
            <v>4.1208904721031114E-2</v>
          </cell>
          <cell r="AQ69">
            <v>-3.2816521616205185E-2</v>
          </cell>
          <cell r="AS69">
            <v>0.32618841197624171</v>
          </cell>
          <cell r="AT69">
            <v>9.724498617092614E-2</v>
          </cell>
          <cell r="AU69">
            <v>0.10949809779710917</v>
          </cell>
          <cell r="AV69">
            <v>5.5381393142082125E-2</v>
          </cell>
          <cell r="AW69">
            <v>0.16897564396265974</v>
          </cell>
          <cell r="AY69">
            <v>0.12654981084713857</v>
          </cell>
          <cell r="AZ69">
            <v>0.22014352052321273</v>
          </cell>
          <cell r="BA69">
            <v>0.2301181385003801</v>
          </cell>
          <cell r="BB69">
            <v>0.22706877064244657</v>
          </cell>
          <cell r="BC69">
            <v>0.20214058823990033</v>
          </cell>
          <cell r="BE69">
            <v>0.27068276513113898</v>
          </cell>
          <cell r="BF69">
            <v>0.22562431225230561</v>
          </cell>
          <cell r="BG69">
            <v>9.1343196289347173E-2</v>
          </cell>
          <cell r="BH69">
            <v>6.96207234942674E-2</v>
          </cell>
          <cell r="BI69">
            <v>0.15821357966246108</v>
          </cell>
          <cell r="BK69">
            <v>0.10640792295131751</v>
          </cell>
          <cell r="BL69">
            <v>0.11885882533486924</v>
          </cell>
          <cell r="BM69">
            <v>0.12320228657631183</v>
          </cell>
          <cell r="BN69">
            <v>0.11870236475311935</v>
          </cell>
          <cell r="BO69">
            <v>0.12246488990128901</v>
          </cell>
          <cell r="BQ69">
            <v>0.12646948741720521</v>
          </cell>
          <cell r="BR69">
            <v>0.12868534449808333</v>
          </cell>
          <cell r="BS69">
            <v>0.1283932921941755</v>
          </cell>
          <cell r="BT69">
            <v>0.13950459717763142</v>
          </cell>
          <cell r="BU69">
            <v>0.12523355700379657</v>
          </cell>
          <cell r="BW69">
            <v>0.13694787596233859</v>
          </cell>
          <cell r="BX69">
            <v>0.15059273133712736</v>
          </cell>
          <cell r="BY69">
            <v>0.14457626611128571</v>
          </cell>
          <cell r="BZ69">
            <v>0.14332857225316475</v>
          </cell>
          <cell r="CA69">
            <v>0.14386273940454486</v>
          </cell>
        </row>
        <row r="70">
          <cell r="C70" t="str">
            <v>Net Income</v>
          </cell>
          <cell r="U70">
            <v>0.37869633663787927</v>
          </cell>
          <cell r="V70">
            <v>0.25824136189858038</v>
          </cell>
          <cell r="W70">
            <v>0.15340899917660855</v>
          </cell>
          <cell r="X70">
            <v>1.3561245800417625</v>
          </cell>
          <cell r="Y70">
            <v>0.57150665871596074</v>
          </cell>
          <cell r="AA70">
            <v>3.0350579412717762</v>
          </cell>
          <cell r="AB70">
            <v>3.172160752164193</v>
          </cell>
          <cell r="AC70">
            <v>3.0774905166501041</v>
          </cell>
          <cell r="AD70">
            <v>0.83608976194146667</v>
          </cell>
          <cell r="AE70">
            <v>2.0084321475625821</v>
          </cell>
          <cell r="AG70">
            <v>0.2305927342256191</v>
          </cell>
          <cell r="AH70">
            <v>0.19203023016145715</v>
          </cell>
          <cell r="AI70">
            <v>0.13834534843803636</v>
          </cell>
          <cell r="AJ70">
            <v>0.12413793103448278</v>
          </cell>
          <cell r="AK70">
            <v>0.16492949110974608</v>
          </cell>
          <cell r="AM70">
            <v>-0.18645121193287684</v>
          </cell>
          <cell r="AN70">
            <v>-9.4812680115274883E-2</v>
          </cell>
          <cell r="AO70">
            <v>-7.2376357056697094E-3</v>
          </cell>
          <cell r="AP70">
            <v>2.8540944251800093E-2</v>
          </cell>
          <cell r="AQ70">
            <v>-5.9398496240598897E-2</v>
          </cell>
          <cell r="AS70">
            <v>0.30404889228418575</v>
          </cell>
          <cell r="AT70">
            <v>7.7045526902261408E-2</v>
          </cell>
          <cell r="AU70">
            <v>6.8043742405831997E-2</v>
          </cell>
          <cell r="AV70">
            <v>-3.1120331950204028E-3</v>
          </cell>
          <cell r="AW70">
            <v>0.13165467625899185</v>
          </cell>
          <cell r="AY70">
            <v>6.2975981253660773E-2</v>
          </cell>
          <cell r="AZ70">
            <v>0.13213124445758062</v>
          </cell>
          <cell r="BA70">
            <v>0.1638225255972694</v>
          </cell>
          <cell r="BB70">
            <v>0.15660770031217552</v>
          </cell>
          <cell r="BC70">
            <v>0.12997103906194618</v>
          </cell>
          <cell r="BE70">
            <v>0.19178837145219108</v>
          </cell>
          <cell r="BF70">
            <v>0.17258485639686749</v>
          </cell>
          <cell r="BG70">
            <v>3.2156953081678319E-2</v>
          </cell>
          <cell r="BH70">
            <v>9.2691404118703247E-3</v>
          </cell>
          <cell r="BI70">
            <v>9.5630233811428766E-2</v>
          </cell>
          <cell r="BK70">
            <v>5.5713800730923246E-2</v>
          </cell>
          <cell r="BL70">
            <v>5.9088931938933609E-2</v>
          </cell>
          <cell r="BM70">
            <v>7.3136577503258859E-2</v>
          </cell>
          <cell r="BN70">
            <v>7.9138479821540209E-2</v>
          </cell>
          <cell r="BO70">
            <v>6.6774337612541812E-2</v>
          </cell>
          <cell r="BQ70">
            <v>7.9933107397752501E-2</v>
          </cell>
          <cell r="BR70">
            <v>8.0710305702785368E-2</v>
          </cell>
          <cell r="BS70">
            <v>7.9055348427636396E-2</v>
          </cell>
          <cell r="BT70">
            <v>8.8262203410084838E-2</v>
          </cell>
          <cell r="BU70">
            <v>8.2075166563847279E-2</v>
          </cell>
          <cell r="BW70">
            <v>8.4331742513502395E-2</v>
          </cell>
          <cell r="BX70">
            <v>9.5804254891228124E-2</v>
          </cell>
          <cell r="BY70">
            <v>8.8505013608903393E-2</v>
          </cell>
          <cell r="BZ70">
            <v>8.5713171239512276E-2</v>
          </cell>
          <cell r="CA70">
            <v>8.8615218481271629E-2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7">
          <cell r="E7" t="str">
            <v>Current Quarter</v>
          </cell>
          <cell r="P7" t="str">
            <v>Y/Y</v>
          </cell>
        </row>
        <row r="8">
          <cell r="D8" t="str">
            <v>($ in millions, except EPS)</v>
          </cell>
          <cell r="E8" t="str">
            <v>2Q12E</v>
          </cell>
          <cell r="F8" t="str">
            <v>2Q12A</v>
          </cell>
          <cell r="G8" t="str">
            <v>Co. Guid
(midpt)</v>
          </cell>
          <cell r="H8" t="str">
            <v>A v E ($)</v>
          </cell>
          <cell r="I8" t="str">
            <v>A v E (%)</v>
          </cell>
          <cell r="J8" t="str">
            <v>EPS Impact</v>
          </cell>
          <cell r="K8" t="str">
            <v>Cons Est</v>
          </cell>
          <cell r="M8" t="str">
            <v>Variance</v>
          </cell>
          <cell r="O8" t="str">
            <v>2Q11A</v>
          </cell>
          <cell r="P8" t="str">
            <v>% Change</v>
          </cell>
          <cell r="Q8" t="str">
            <v>Comments</v>
          </cell>
        </row>
        <row r="9">
          <cell r="D9" t="str">
            <v>Analytical Technologies</v>
          </cell>
          <cell r="E9">
            <v>990.70749999999998</v>
          </cell>
          <cell r="F9">
            <v>999.5</v>
          </cell>
          <cell r="H9">
            <v>8.7925000000000182</v>
          </cell>
          <cell r="I9">
            <v>8.8749706649036142E-3</v>
          </cell>
          <cell r="O9">
            <v>929.2</v>
          </cell>
          <cell r="P9">
            <v>7.5656478691347395E-2</v>
          </cell>
        </row>
        <row r="10">
          <cell r="D10" t="str">
            <v>Specialty Diagnostics</v>
          </cell>
          <cell r="E10">
            <v>731.92075</v>
          </cell>
          <cell r="F10">
            <v>731.9</v>
          </cell>
          <cell r="H10">
            <v>-2.0750000000020918E-2</v>
          </cell>
          <cell r="I10">
            <v>-2.8350063855930863E-5</v>
          </cell>
          <cell r="O10">
            <v>570.6</v>
          </cell>
          <cell r="P10">
            <v>0.28268489309498768</v>
          </cell>
        </row>
        <row r="11">
          <cell r="D11" t="str">
            <v>Lab Products &amp; Services</v>
          </cell>
          <cell r="E11">
            <v>1500.2015000000001</v>
          </cell>
          <cell r="F11">
            <v>1519.7</v>
          </cell>
          <cell r="O11">
            <v>1483.9</v>
          </cell>
          <cell r="P11">
            <v>2.4125614933620865E-2</v>
          </cell>
        </row>
        <row r="12">
          <cell r="D12" t="str">
            <v>Eliminations</v>
          </cell>
          <cell r="E12">
            <v>-148.2501685</v>
          </cell>
          <cell r="F12">
            <v>-143</v>
          </cell>
          <cell r="O12">
            <v>-129.69999999999999</v>
          </cell>
        </row>
        <row r="13">
          <cell r="D13" t="str">
            <v>Total Revenues</v>
          </cell>
          <cell r="E13">
            <v>3074.5795814999997</v>
          </cell>
          <cell r="F13">
            <v>3108.1</v>
          </cell>
          <cell r="H13">
            <v>33.520418500000233</v>
          </cell>
          <cell r="I13">
            <v>1.0902439703202038E-2</v>
          </cell>
          <cell r="J13">
            <v>1.4433365526662112E-2</v>
          </cell>
          <cell r="K13">
            <v>3054.8159999999998</v>
          </cell>
          <cell r="M13">
            <v>1.744262174874045E-2</v>
          </cell>
          <cell r="O13">
            <v>2854</v>
          </cell>
          <cell r="P13">
            <v>8.9032936229852755E-2</v>
          </cell>
          <cell r="Q13" t="str">
            <v>pro forma 1% reported and organic 4%</v>
          </cell>
        </row>
        <row r="15">
          <cell r="D15" t="str">
            <v>Reported Growth (% y/y)</v>
          </cell>
          <cell r="E15">
            <v>6.1151232656864618E-2</v>
          </cell>
          <cell r="F15">
            <v>8.9032936229852755E-2</v>
          </cell>
          <cell r="O15">
            <v>0.09</v>
          </cell>
          <cell r="Q15" t="str">
            <v>changed historicals so y/y comps changed</v>
          </cell>
        </row>
        <row r="16">
          <cell r="D16" t="str">
            <v>FX Impact (% y/y)</v>
          </cell>
          <cell r="E16">
            <v>-3.15E-2</v>
          </cell>
          <cell r="F16">
            <v>-0.03</v>
          </cell>
          <cell r="O16">
            <v>0.04</v>
          </cell>
        </row>
        <row r="17">
          <cell r="D17" t="str">
            <v>CC growth (% y/y)</v>
          </cell>
          <cell r="E17">
            <v>2.1154958504485011E-2</v>
          </cell>
          <cell r="F17">
            <v>0.04</v>
          </cell>
          <cell r="O17">
            <v>0.04</v>
          </cell>
          <cell r="Q17" t="str">
            <v>acquisitions added 1%</v>
          </cell>
        </row>
        <row r="19">
          <cell r="D19" t="str">
            <v>COGS</v>
          </cell>
          <cell r="E19">
            <v>1743.3440309921866</v>
          </cell>
          <cell r="F19">
            <v>1720.4</v>
          </cell>
          <cell r="H19">
            <v>-22.944030992186526</v>
          </cell>
          <cell r="I19">
            <v>-1.3160931281663513E-2</v>
          </cell>
          <cell r="K19">
            <v>1707.2450179199998</v>
          </cell>
          <cell r="O19">
            <v>1632.8</v>
          </cell>
          <cell r="P19">
            <v>5.3650171484566522E-2</v>
          </cell>
        </row>
        <row r="20">
          <cell r="D20" t="str">
            <v>Gross Profit</v>
          </cell>
          <cell r="E20">
            <v>1331.2355505078131</v>
          </cell>
          <cell r="F20">
            <v>1387.7</v>
          </cell>
          <cell r="H20">
            <v>56.464449492186986</v>
          </cell>
          <cell r="I20">
            <v>4.2415070323691406E-2</v>
          </cell>
          <cell r="K20">
            <v>1347.57098208</v>
          </cell>
          <cell r="M20">
            <v>2.97787785976662E-2</v>
          </cell>
          <cell r="O20">
            <v>1221.2</v>
          </cell>
          <cell r="P20">
            <v>0.13634130363576813</v>
          </cell>
        </row>
        <row r="21">
          <cell r="D21" t="str">
            <v>SG&amp;A</v>
          </cell>
          <cell r="E21">
            <v>672.89631767382321</v>
          </cell>
          <cell r="F21">
            <v>703.4</v>
          </cell>
          <cell r="H21">
            <v>30.503682326176772</v>
          </cell>
          <cell r="I21">
            <v>4.5331920423679506E-2</v>
          </cell>
          <cell r="O21">
            <v>627.6</v>
          </cell>
          <cell r="P21">
            <v>0.12077756532823436</v>
          </cell>
          <cell r="Q21" t="str">
            <v>primarily due to acquisitions</v>
          </cell>
        </row>
        <row r="22">
          <cell r="D22" t="str">
            <v>R&amp;D</v>
          </cell>
          <cell r="E22">
            <v>86.087962994191813</v>
          </cell>
          <cell r="F22">
            <v>94.2</v>
          </cell>
          <cell r="H22">
            <v>8.1120370058081903</v>
          </cell>
          <cell r="I22">
            <v>9.4229631224466148E-2</v>
          </cell>
          <cell r="O22">
            <v>83.3</v>
          </cell>
          <cell r="P22">
            <v>0.13085234093637466</v>
          </cell>
          <cell r="Q22" t="str">
            <v>primarily due to acquisitions</v>
          </cell>
        </row>
        <row r="23">
          <cell r="D23" t="str">
            <v>Total Operating Expenses</v>
          </cell>
          <cell r="E23">
            <v>2502.3283116602015</v>
          </cell>
          <cell r="F23">
            <v>2518</v>
          </cell>
          <cell r="H23">
            <v>15.671688339798493</v>
          </cell>
          <cell r="I23">
            <v>6.2628425961424039E-3</v>
          </cell>
          <cell r="K23">
            <v>2476.9079999999999</v>
          </cell>
          <cell r="M23">
            <v>1.6590038871044044E-2</v>
          </cell>
          <cell r="O23">
            <v>2343.7000000000003</v>
          </cell>
          <cell r="P23">
            <v>7.4369586551179534E-2</v>
          </cell>
        </row>
        <row r="24">
          <cell r="D24" t="str">
            <v>Operating Income (Loss)</v>
          </cell>
          <cell r="E24">
            <v>572.25126983979817</v>
          </cell>
          <cell r="F24">
            <v>590.09999999999991</v>
          </cell>
          <cell r="H24">
            <v>17.84873016020174</v>
          </cell>
          <cell r="I24">
            <v>3.1190372308301795E-2</v>
          </cell>
          <cell r="K24">
            <v>577.90800000000002</v>
          </cell>
          <cell r="M24">
            <v>2.1096783571087352E-2</v>
          </cell>
          <cell r="O24">
            <v>510.29999999999973</v>
          </cell>
          <cell r="P24">
            <v>0.15637860082304567</v>
          </cell>
        </row>
        <row r="25">
          <cell r="D25" t="str">
            <v>Other (Income) expense, net</v>
          </cell>
          <cell r="E25">
            <v>-51.947374999999994</v>
          </cell>
          <cell r="F25">
            <v>-45</v>
          </cell>
          <cell r="O25">
            <v>-31.300000000000011</v>
          </cell>
          <cell r="Q25" t="str">
            <v>due to debt issued last year higher y/y</v>
          </cell>
        </row>
        <row r="26">
          <cell r="D26" t="str">
            <v>Income Taxes</v>
          </cell>
          <cell r="E26">
            <v>89.75242185986518</v>
          </cell>
          <cell r="F26">
            <v>96</v>
          </cell>
          <cell r="H26">
            <v>6.24757814013482</v>
          </cell>
          <cell r="I26">
            <v>6.9609020131952137E-2</v>
          </cell>
          <cell r="O26">
            <v>96</v>
          </cell>
          <cell r="P26">
            <v>0</v>
          </cell>
        </row>
        <row r="27">
          <cell r="D27" t="str">
            <v>Net Income (Loss)</v>
          </cell>
          <cell r="E27">
            <v>430.55147297993301</v>
          </cell>
          <cell r="F27">
            <v>449.09999999999991</v>
          </cell>
          <cell r="H27">
            <v>18.548527020066899</v>
          </cell>
          <cell r="I27">
            <v>4.3080858350544871E-2</v>
          </cell>
          <cell r="K27">
            <v>427.66899999999998</v>
          </cell>
          <cell r="M27">
            <v>5.0111184116688134E-2</v>
          </cell>
          <cell r="O27">
            <v>382.99999999999972</v>
          </cell>
          <cell r="P27">
            <v>0.17258485639686749</v>
          </cell>
        </row>
        <row r="28">
          <cell r="D28" t="str">
            <v>Diluted Shares Outstanding</v>
          </cell>
          <cell r="E28">
            <v>369.7435227272727</v>
          </cell>
          <cell r="F28">
            <v>369.2</v>
          </cell>
          <cell r="H28">
            <v>-0.54352272727271611</v>
          </cell>
          <cell r="I28">
            <v>-1.4699993207821782E-3</v>
          </cell>
          <cell r="J28">
            <v>1.7881275594888724E-3</v>
          </cell>
          <cell r="K28">
            <v>368.99827437446072</v>
          </cell>
          <cell r="O28">
            <v>385.9</v>
          </cell>
          <cell r="P28">
            <v>-4.3275459963721175E-2</v>
          </cell>
        </row>
        <row r="29">
          <cell r="D29" t="str">
            <v>EPS, Diluted</v>
          </cell>
          <cell r="E29">
            <v>1.1644598120452079</v>
          </cell>
          <cell r="F29">
            <v>1.2164138678223184</v>
          </cell>
          <cell r="H29">
            <v>5.1954055777110542E-2</v>
          </cell>
          <cell r="I29">
            <v>4.4616443813428441E-2</v>
          </cell>
          <cell r="J29">
            <v>5.1954055777110542E-2</v>
          </cell>
          <cell r="K29">
            <v>1.159</v>
          </cell>
          <cell r="M29">
            <v>4.9537418310887205E-2</v>
          </cell>
          <cell r="O29">
            <v>0.99248509976677823</v>
          </cell>
          <cell r="P29">
            <v>0.22562431225230561</v>
          </cell>
          <cell r="Q29" t="str">
            <v>LPS would have been a $0.02 drag on Q</v>
          </cell>
        </row>
        <row r="31">
          <cell r="D31" t="str">
            <v>Margin Analysis</v>
          </cell>
        </row>
        <row r="32">
          <cell r="D32" t="str">
            <v>Gross Margin</v>
          </cell>
          <cell r="E32">
            <v>0.43298132808725059</v>
          </cell>
          <cell r="F32">
            <v>0.44647855603101577</v>
          </cell>
          <cell r="I32">
            <v>130</v>
          </cell>
          <cell r="J32">
            <v>9.514086872908889E-2</v>
          </cell>
          <cell r="K32">
            <v>0.44113000000000002</v>
          </cell>
          <cell r="O32">
            <v>0.42789067974772249</v>
          </cell>
          <cell r="P32">
            <v>190</v>
          </cell>
        </row>
        <row r="33">
          <cell r="D33" t="str">
            <v>SG&amp;A</v>
          </cell>
          <cell r="E33">
            <v>0.2188579933733692</v>
          </cell>
          <cell r="F33">
            <v>0.22631189472668189</v>
          </cell>
          <cell r="I33">
            <v>70</v>
          </cell>
          <cell r="J33">
            <v>-5.2541948104439351E-2</v>
          </cell>
          <cell r="O33">
            <v>0.21990189208128944</v>
          </cell>
          <cell r="P33">
            <v>60</v>
          </cell>
        </row>
        <row r="34">
          <cell r="D34" t="str">
            <v>R&amp;D</v>
          </cell>
          <cell r="E34">
            <v>2.7999913715745145E-2</v>
          </cell>
          <cell r="F34">
            <v>3.0307905151056917E-2</v>
          </cell>
          <cell r="I34">
            <v>20</v>
          </cell>
          <cell r="J34">
            <v>-1.62688450613514E-2</v>
          </cell>
          <cell r="O34">
            <v>2.9187105816398037E-2</v>
          </cell>
          <cell r="P34">
            <v>10</v>
          </cell>
        </row>
        <row r="35">
          <cell r="D35" t="str">
            <v>Operating Income</v>
          </cell>
          <cell r="E35">
            <v>0.18612342099813631</v>
          </cell>
          <cell r="F35">
            <v>0.18985875615327691</v>
          </cell>
          <cell r="I35">
            <v>40</v>
          </cell>
          <cell r="K35">
            <v>0.18917931554633735</v>
          </cell>
          <cell r="O35">
            <v>0.17880168185003495</v>
          </cell>
          <cell r="P35">
            <v>110.00000000000001</v>
          </cell>
          <cell r="Q35" t="str">
            <v>driven by good pull through on organic growth, productivity &amp; cost actions, and solid accretion</v>
          </cell>
        </row>
        <row r="36">
          <cell r="D36" t="str">
            <v>Effective Tax Rate</v>
          </cell>
          <cell r="E36">
            <v>0.15684093088162371</v>
          </cell>
          <cell r="F36">
            <v>0.16268429079816982</v>
          </cell>
          <cell r="I36">
            <v>60</v>
          </cell>
          <cell r="J36">
            <v>-4.1189371704560829E-2</v>
          </cell>
          <cell r="K36">
            <v>0.17368866459027288</v>
          </cell>
          <cell r="O36">
            <v>0.1881246325690771</v>
          </cell>
          <cell r="P36">
            <v>-250</v>
          </cell>
        </row>
        <row r="37">
          <cell r="D37" t="str">
            <v>Net Income</v>
          </cell>
          <cell r="E37">
            <v>0.14003588509160633</v>
          </cell>
          <cell r="F37">
            <v>0.14449342041761845</v>
          </cell>
          <cell r="I37">
            <v>40</v>
          </cell>
          <cell r="K37">
            <v>0.13999828467573824</v>
          </cell>
          <cell r="O37">
            <v>0.13419761737911692</v>
          </cell>
          <cell r="P37">
            <v>100</v>
          </cell>
        </row>
      </sheetData>
      <sheetData sheetId="8" refreshError="1">
        <row r="1">
          <cell r="B1">
            <v>2011</v>
          </cell>
          <cell r="C1" t="str">
            <v>2012 Guidance</v>
          </cell>
          <cell r="E1">
            <v>2012</v>
          </cell>
        </row>
        <row r="2">
          <cell r="A2" t="str">
            <v>($mm, except EPS)</v>
          </cell>
          <cell r="B2" t="str">
            <v>Actual</v>
          </cell>
          <cell r="C2" t="str">
            <v>Previous</v>
          </cell>
          <cell r="D2" t="str">
            <v>Current</v>
          </cell>
          <cell r="E2" t="str">
            <v>MSe</v>
          </cell>
          <cell r="F2" t="str">
            <v>Commentary</v>
          </cell>
        </row>
        <row r="3">
          <cell r="A3" t="str">
            <v>Total Revenues</v>
          </cell>
          <cell r="B3">
            <v>11558.8</v>
          </cell>
          <cell r="C3" t="str">
            <v>$12,270-$12,430</v>
          </cell>
          <cell r="D3" t="str">
            <v>$12,140-$12,260</v>
          </cell>
          <cell r="E3">
            <v>12181.643010916281</v>
          </cell>
          <cell r="F3" t="str">
            <v>Lab Workstations discontinued ops (-$110m), Doe &amp; Ingalls update (+$75m), and unfavorable FX (-$40m)</v>
          </cell>
        </row>
        <row r="4">
          <cell r="A4" t="str">
            <v>Organic Growth</v>
          </cell>
          <cell r="B4">
            <v>0.03</v>
          </cell>
          <cell r="C4">
            <v>0.03</v>
          </cell>
          <cell r="D4">
            <v>0.03</v>
          </cell>
          <cell r="E4">
            <v>3.2080330999612876E-2</v>
          </cell>
          <cell r="F4" t="str">
            <v>same organic growth</v>
          </cell>
        </row>
        <row r="5">
          <cell r="A5" t="str">
            <v>Currency Growth</v>
          </cell>
          <cell r="B5">
            <v>0.02</v>
          </cell>
          <cell r="C5">
            <v>-2.5000000000000001E-2</v>
          </cell>
          <cell r="D5">
            <v>-3.1577672422742849E-2</v>
          </cell>
          <cell r="E5">
            <v>-2.9963117427830893E-2</v>
          </cell>
          <cell r="F5" t="str">
            <v>$40mm increased FX headwind to $365mm or ~3% headwind on reported; Euro at 1.21 for 2H</v>
          </cell>
        </row>
        <row r="6">
          <cell r="A6" t="str">
            <v>Total Growth</v>
          </cell>
          <cell r="B6">
            <v>9.3527085580216163E-2</v>
          </cell>
          <cell r="C6" t="str">
            <v>4-5%</v>
          </cell>
          <cell r="D6" t="str">
            <v>5-6%</v>
          </cell>
          <cell r="E6">
            <v>5.3884746765778591E-2</v>
          </cell>
          <cell r="F6" t="str">
            <v>Acquisitions contribute 1% to growth</v>
          </cell>
        </row>
        <row r="8">
          <cell r="A8" t="str">
            <v>Gross Margins</v>
          </cell>
          <cell r="B8">
            <v>0.4378828252067688</v>
          </cell>
          <cell r="C8" t="str">
            <v>up slightly</v>
          </cell>
          <cell r="D8" t="str">
            <v>up slightly</v>
          </cell>
          <cell r="E8">
            <v>0.45084576409892801</v>
          </cell>
          <cell r="F8" t="str">
            <v>improving gross margins due to acquisitions &amp; mix</v>
          </cell>
        </row>
        <row r="9">
          <cell r="A9" t="str">
            <v>EBIT Margin</v>
          </cell>
          <cell r="B9">
            <v>0.18408485309893741</v>
          </cell>
          <cell r="C9" t="str">
            <v>18.8%-19.0%</v>
          </cell>
          <cell r="D9" t="str">
            <v>18.8%-19.0%</v>
          </cell>
          <cell r="E9">
            <v>0.19248592329536141</v>
          </cell>
          <cell r="F9" t="str">
            <v>still +70-90 bps</v>
          </cell>
        </row>
        <row r="11">
          <cell r="A11" t="str">
            <v>Net Interest Expense</v>
          </cell>
          <cell r="B11">
            <v>-150.39999999999986</v>
          </cell>
          <cell r="C11" t="str">
            <v>(205-210)</v>
          </cell>
          <cell r="D11" t="str">
            <v>(220-225)</v>
          </cell>
          <cell r="E11">
            <v>-224.7</v>
          </cell>
          <cell r="F11" t="str">
            <v>up $70-75mm y/y and +15mm vs. previous guidance</v>
          </cell>
        </row>
        <row r="12">
          <cell r="A12" t="str">
            <v>Tax Rate</v>
          </cell>
          <cell r="B12">
            <v>0.19171009772760078</v>
          </cell>
          <cell r="C12" t="str">
            <v>17-18%</v>
          </cell>
          <cell r="D12" t="str">
            <v>17-18%</v>
          </cell>
          <cell r="E12">
            <v>0.17330126784870592</v>
          </cell>
        </row>
        <row r="13">
          <cell r="A13" t="str">
            <v>Adjusted EPS, Diluted</v>
          </cell>
          <cell r="B13">
            <v>4.1574946397245078</v>
          </cell>
          <cell r="C13" t="str">
            <v>$4.71-$4.83</v>
          </cell>
          <cell r="D13" t="str">
            <v>$4.74-$4.84</v>
          </cell>
          <cell r="E13">
            <v>4.8152667491028165</v>
          </cell>
          <cell r="F13" t="str">
            <v>+$0.02 from buyback, -$0.02 from FX and debt issuance, +0.02 higher from workstation divestiture</v>
          </cell>
        </row>
        <row r="14">
          <cell r="A14" t="str">
            <v>Diluted Share Count</v>
          </cell>
          <cell r="B14">
            <v>384.77499999999998</v>
          </cell>
          <cell r="C14" t="str">
            <v>367-372</v>
          </cell>
          <cell r="D14" t="str">
            <v>364-368</v>
          </cell>
          <cell r="E14">
            <v>363.98392370572208</v>
          </cell>
          <cell r="F14" t="str">
            <v>use $750mm repurchase through EOY</v>
          </cell>
        </row>
        <row r="15">
          <cell r="A15" t="str">
            <v>FCF</v>
          </cell>
          <cell r="B15">
            <v>1424.5</v>
          </cell>
          <cell r="C15" t="str">
            <v>&gt;$1,500</v>
          </cell>
          <cell r="E15">
            <v>1575.3018869243094</v>
          </cell>
          <cell r="F15" t="str">
            <v xml:space="preserve">Capex 300-310; </v>
          </cell>
        </row>
        <row r="17">
          <cell r="H17" t="str">
            <v>Analysis</v>
          </cell>
          <cell r="I17" t="str">
            <v>Commentary</v>
          </cell>
        </row>
        <row r="18">
          <cell r="H18" t="str">
            <v>Product Lines</v>
          </cell>
        </row>
        <row r="19">
          <cell r="H19" t="str">
            <v>MS</v>
          </cell>
          <cell r="I19" t="str">
            <v xml:space="preserve">Instrumentation broadly would be softer in 2H; good strength in biopharma; believe have gained share in mass spec vs. peers; pricing was up slightly in the quarter overall as well </v>
          </cell>
        </row>
        <row r="20">
          <cell r="H20" t="str">
            <v>Phadia</v>
          </cell>
          <cell r="I20" t="str">
            <v>Integration for both businesses has gone well; '12 accretion will be better for both; Phadia will be more accretive than the $0.30 that was discussed</v>
          </cell>
        </row>
        <row r="21">
          <cell r="H21" t="str">
            <v>Dionex</v>
          </cell>
          <cell r="I21" t="str">
            <v>Integration going well; both businesses have more European exposure than company average and growing slightly less than company avg for organic growth</v>
          </cell>
        </row>
        <row r="22">
          <cell r="H22" t="str">
            <v>New Products</v>
          </cell>
          <cell r="I22" t="str">
            <v xml:space="preserve">Launched 13 products in Q1 and continued in Q2 with ASMS- Qexactive2 strong follow through; intro of 8 software packages going well; launched new spectrometer as well as '50 </v>
          </cell>
        </row>
        <row r="23">
          <cell r="H23" t="str">
            <v>Revenue Mix</v>
          </cell>
        </row>
        <row r="24">
          <cell r="H24" t="str">
            <v>Analytical Technologies</v>
          </cell>
          <cell r="I24" t="str">
            <v>5% organic- strong growth in instruments sold to industrial and applied markets, as well as bioprocess; margin expansion +40 bps y/y driven by organic growth pull thorugh and productivity actions; Q4 strongest Q for instrumentation</v>
          </cell>
        </row>
        <row r="25">
          <cell r="H25" t="str">
            <v>Specialty Diagnostics</v>
          </cell>
          <cell r="I25" t="str">
            <v>3% organic- strong growth in clinical diagnostics, offset by weak demand in S. Europe</v>
          </cell>
        </row>
        <row r="26">
          <cell r="H26" t="str">
            <v>Lab Products &amp; Services</v>
          </cell>
          <cell r="I26" t="str">
            <v>Organic 4%, solid growth in lab consumables and clinical trials logistics business; channel business also performing well, good trajectory; would have had 3.5% organic growth without divestiture vs. 4%, and $0.02 lower on the year (all in Q3- nothing in Q</v>
          </cell>
        </row>
        <row r="28">
          <cell r="H28" t="str">
            <v>End Market</v>
          </cell>
        </row>
        <row r="29">
          <cell r="H29" t="str">
            <v>Industrial/Applied</v>
          </cell>
          <cell r="I29" t="str">
            <v>Strong sales &amp; bookings in applied, particularly in mining industry; consistent pacing through the quarter; for comps, industrial gets harder for Q3/Q4</v>
          </cell>
        </row>
        <row r="30">
          <cell r="H30" t="str">
            <v>Academic/Govt</v>
          </cell>
          <cell r="I30" t="str">
            <v>Markets are consistent with 1H trends- down low single digits; outlook has not changed; lab consumables spend is steady while capital equipment side is constrained; for comps, Q3/Q4 academic comps are easier</v>
          </cell>
        </row>
        <row r="31">
          <cell r="H31" t="str">
            <v>Diagnostics</v>
          </cell>
          <cell r="I31" t="str">
            <v xml:space="preserve">Trends continuing from last several quarters- clinical Dx product sales robust, driven by strength in Biomarker business in applied markets- high single digit growth there; softness in Europe; pricing here was flat, and traditionally haven't gotten a lot </v>
          </cell>
        </row>
        <row r="32">
          <cell r="H32" t="str">
            <v>Pharma</v>
          </cell>
          <cell r="I32" t="str">
            <v>Strength on quarter, continue to gain share; BioProcess production had another great quarter; sera media &amp; disposable products grew in the US, and vaccines/biosimilars grew in LatAm and ROW</v>
          </cell>
        </row>
        <row r="34">
          <cell r="H34" t="str">
            <v>Geography</v>
          </cell>
        </row>
        <row r="35">
          <cell r="H35" t="str">
            <v>US</v>
          </cell>
          <cell r="I35" t="str">
            <v>N America low single digits; US was slightly stronger than 1Q- low single digit org. growth- implies slowdown in 2H to 2% in US and W Europe</v>
          </cell>
        </row>
        <row r="36">
          <cell r="H36" t="str">
            <v>Europe</v>
          </cell>
          <cell r="I36" t="str">
            <v>Europe weakened but still up y/y low single digits; expect slowdown in 2H in W Europe; 3Q is seasonally weakest quarter in Europe &amp; around the world</v>
          </cell>
        </row>
        <row r="37">
          <cell r="H37" t="str">
            <v>Asia</v>
          </cell>
          <cell r="I37" t="str">
            <v>Low double digits overall; Good growth- slightly stronger than Q1- India, S. Korea strong, China was +20%- driven by biopharma, HC, and environmental monitoring strength- due to regulations relating to particulate matter- TMO is 70% share for this applica</v>
          </cell>
        </row>
        <row r="38">
          <cell r="H38" t="str">
            <v>EM</v>
          </cell>
          <cell r="I38" t="str">
            <v>Low single digit growth; going to continue to expand in emerging markets and make commercial investments there</v>
          </cell>
        </row>
        <row r="50">
          <cell r="S50">
            <v>2010</v>
          </cell>
          <cell r="T50">
            <v>2011</v>
          </cell>
          <cell r="U50" t="str">
            <v>2012E</v>
          </cell>
          <cell r="V50" t="str">
            <v>2013E</v>
          </cell>
          <cell r="W50" t="str">
            <v>2014E</v>
          </cell>
          <cell r="X50" t="str">
            <v>2015E</v>
          </cell>
          <cell r="Y50" t="str">
            <v>Comments</v>
          </cell>
        </row>
        <row r="51">
          <cell r="Q51" t="str">
            <v>Total Revs ($MM)</v>
          </cell>
        </row>
        <row r="52">
          <cell r="R52" t="str">
            <v>Current</v>
          </cell>
          <cell r="S52">
            <v>10570.199999999999</v>
          </cell>
          <cell r="T52">
            <v>11558.8</v>
          </cell>
          <cell r="U52">
            <v>12181.643010916281</v>
          </cell>
          <cell r="V52">
            <v>12580.52764384253</v>
          </cell>
          <cell r="W52">
            <v>13040.248317990276</v>
          </cell>
          <cell r="X52">
            <v>13577.177965199713</v>
          </cell>
          <cell r="Y52" t="str">
            <v>Sustainable 4% growth rate</v>
          </cell>
        </row>
        <row r="53">
          <cell r="R53" t="str">
            <v>% Y/Y</v>
          </cell>
          <cell r="T53">
            <v>9.3527085580216163E-2</v>
          </cell>
          <cell r="U53">
            <v>5.3884746765778591E-2</v>
          </cell>
          <cell r="V53">
            <v>3.2744731771305213E-2</v>
          </cell>
          <cell r="W53">
            <v>3.6542241085790517E-2</v>
          </cell>
          <cell r="X53">
            <v>4.1174802359299489E-2</v>
          </cell>
        </row>
        <row r="54">
          <cell r="R54" t="str">
            <v>Prior</v>
          </cell>
          <cell r="S54">
            <v>10570.2</v>
          </cell>
          <cell r="T54">
            <v>11725.9</v>
          </cell>
          <cell r="U54">
            <v>12329.063963099999</v>
          </cell>
          <cell r="V54">
            <v>12740.925074374001</v>
          </cell>
          <cell r="W54">
            <v>13208.993797358809</v>
          </cell>
          <cell r="X54">
            <v>13754.818656943684</v>
          </cell>
        </row>
        <row r="55">
          <cell r="R55" t="str">
            <v>% Y/Y</v>
          </cell>
          <cell r="T55">
            <v>0.10933567955194778</v>
          </cell>
          <cell r="U55">
            <v>5.1438607109049128E-2</v>
          </cell>
          <cell r="V55">
            <v>3.3405708049424776E-2</v>
          </cell>
          <cell r="W55">
            <v>3.673742057601781E-2</v>
          </cell>
          <cell r="X55">
            <v>4.132221333119368E-2</v>
          </cell>
        </row>
        <row r="56">
          <cell r="Q56" t="str">
            <v xml:space="preserve">COGS </v>
          </cell>
        </row>
        <row r="57">
          <cell r="R57" t="str">
            <v>Current</v>
          </cell>
          <cell r="S57">
            <v>6127.7999999999993</v>
          </cell>
          <cell r="T57">
            <v>6497.4000000000005</v>
          </cell>
          <cell r="U57">
            <v>6689.6008596793645</v>
          </cell>
          <cell r="V57">
            <v>6883.4955351009603</v>
          </cell>
          <cell r="W57">
            <v>7082.8112888782398</v>
          </cell>
          <cell r="X57">
            <v>7320.0669201334013</v>
          </cell>
        </row>
        <row r="58">
          <cell r="R58" t="str">
            <v>% sales</v>
          </cell>
          <cell r="S58">
            <v>0.57972413010160639</v>
          </cell>
          <cell r="T58">
            <v>0.5621171747932312</v>
          </cell>
          <cell r="U58">
            <v>0.54915423590107204</v>
          </cell>
          <cell r="V58">
            <v>0.54715475614173059</v>
          </cell>
          <cell r="W58">
            <v>0.54315003182161958</v>
          </cell>
          <cell r="X58">
            <v>0.53914494889113185</v>
          </cell>
        </row>
        <row r="59">
          <cell r="R59" t="str">
            <v>Prior</v>
          </cell>
          <cell r="S59">
            <v>6127.8</v>
          </cell>
          <cell r="T59">
            <v>6664.5</v>
          </cell>
          <cell r="U59">
            <v>6859.1139928342564</v>
          </cell>
          <cell r="V59">
            <v>7024.7183908234101</v>
          </cell>
          <cell r="W59">
            <v>7229.8853901584498</v>
          </cell>
          <cell r="X59">
            <v>7473.5418878996743</v>
          </cell>
        </row>
        <row r="60">
          <cell r="R60" t="str">
            <v>% sales</v>
          </cell>
          <cell r="S60">
            <v>0.57972413010160639</v>
          </cell>
          <cell r="T60">
            <v>0.56835722631098684</v>
          </cell>
          <cell r="U60">
            <v>0.55633696226762153</v>
          </cell>
          <cell r="V60">
            <v>0.55135073393943135</v>
          </cell>
          <cell r="W60">
            <v>0.54734565713885752</v>
          </cell>
          <cell r="X60">
            <v>0.54333990685707034</v>
          </cell>
        </row>
        <row r="61">
          <cell r="Q61" t="str">
            <v>SG&amp;A</v>
          </cell>
        </row>
        <row r="62">
          <cell r="R62" t="str">
            <v>Current</v>
          </cell>
          <cell r="S62">
            <v>2317.5</v>
          </cell>
          <cell r="T62">
            <v>2593</v>
          </cell>
          <cell r="U62">
            <v>2778.9569094522612</v>
          </cell>
          <cell r="V62">
            <v>2869.8880073626419</v>
          </cell>
          <cell r="W62">
            <v>2964.9462788476494</v>
          </cell>
          <cell r="X62">
            <v>3076.8694398037796</v>
          </cell>
        </row>
        <row r="63">
          <cell r="R63" t="str">
            <v>% sales</v>
          </cell>
          <cell r="S63">
            <v>0.219248453198615</v>
          </cell>
          <cell r="T63">
            <v>0.22433124545800603</v>
          </cell>
          <cell r="U63">
            <v>0.2281266087802743</v>
          </cell>
          <cell r="V63">
            <v>0.22812143406141577</v>
          </cell>
          <cell r="W63">
            <v>0.22736885115578828</v>
          </cell>
          <cell r="X63">
            <v>0.22662069007935556</v>
          </cell>
        </row>
        <row r="64">
          <cell r="R64" t="str">
            <v>Prior</v>
          </cell>
          <cell r="S64">
            <v>2317.5</v>
          </cell>
          <cell r="T64">
            <v>2593</v>
          </cell>
          <cell r="U64">
            <v>2763.4525179782313</v>
          </cell>
          <cell r="V64">
            <v>2855.7332098784591</v>
          </cell>
          <cell r="W64">
            <v>2950.6941543773014</v>
          </cell>
          <cell r="X64">
            <v>3062.3363005746405</v>
          </cell>
        </row>
        <row r="65">
          <cell r="R65" t="str">
            <v>% sales</v>
          </cell>
          <cell r="S65">
            <v>0.21924845319861497</v>
          </cell>
          <cell r="T65">
            <v>0.22113441185751201</v>
          </cell>
          <cell r="U65">
            <v>0.22414130758418041</v>
          </cell>
          <cell r="V65">
            <v>0.22413860792747575</v>
          </cell>
          <cell r="W65">
            <v>0.22338523279247086</v>
          </cell>
          <cell r="X65">
            <v>0.22263734455188308</v>
          </cell>
        </row>
        <row r="66">
          <cell r="Q66" t="str">
            <v>R&amp;D</v>
          </cell>
        </row>
        <row r="67">
          <cell r="R67" t="str">
            <v>Current</v>
          </cell>
          <cell r="S67">
            <v>284.79999999999995</v>
          </cell>
          <cell r="T67">
            <v>340.59999999999997</v>
          </cell>
          <cell r="U67">
            <v>368.29043957394936</v>
          </cell>
          <cell r="V67">
            <v>380.35509952569271</v>
          </cell>
          <cell r="W67">
            <v>384.48503990131485</v>
          </cell>
          <cell r="X67">
            <v>390.14323052339898</v>
          </cell>
        </row>
        <row r="68">
          <cell r="R68" t="str">
            <v>% sales</v>
          </cell>
          <cell r="S68">
            <v>2.6943671832131841E-2</v>
          </cell>
          <cell r="T68">
            <v>2.9466726649825241E-2</v>
          </cell>
          <cell r="U68">
            <v>3.0233232023292336E-2</v>
          </cell>
          <cell r="V68">
            <v>3.0233636481205573E-2</v>
          </cell>
          <cell r="W68">
            <v>2.9484487605261379E-2</v>
          </cell>
          <cell r="X68">
            <v>2.8735222556807678E-2</v>
          </cell>
        </row>
        <row r="69">
          <cell r="R69" t="str">
            <v>Prior</v>
          </cell>
          <cell r="S69">
            <v>284.8</v>
          </cell>
          <cell r="T69">
            <v>340.6</v>
          </cell>
          <cell r="U69">
            <v>358.64519153634689</v>
          </cell>
          <cell r="V69">
            <v>370.60942505382383</v>
          </cell>
          <cell r="W69">
            <v>374.32176024261116</v>
          </cell>
          <cell r="X69">
            <v>379.48788802854426</v>
          </cell>
        </row>
        <row r="70">
          <cell r="R70" t="str">
            <v>% sales</v>
          </cell>
          <cell r="S70">
            <v>2.6943671832131841E-2</v>
          </cell>
          <cell r="T70">
            <v>2.9046810905772696E-2</v>
          </cell>
          <cell r="U70">
            <v>2.9089409594251932E-2</v>
          </cell>
          <cell r="V70">
            <v>2.9088109606674926E-2</v>
          </cell>
          <cell r="W70">
            <v>2.8338400788518674E-2</v>
          </cell>
          <cell r="X70">
            <v>2.7589450467743668E-2</v>
          </cell>
        </row>
        <row r="71">
          <cell r="Q71" t="str">
            <v>Int Exp/Other</v>
          </cell>
        </row>
        <row r="72">
          <cell r="R72" t="str">
            <v>Current</v>
          </cell>
          <cell r="S72">
            <v>-71.999999999999943</v>
          </cell>
          <cell r="T72">
            <v>-150.39999999999986</v>
          </cell>
          <cell r="U72">
            <v>-224.7</v>
          </cell>
          <cell r="V72">
            <v>-183.2130817045047</v>
          </cell>
          <cell r="W72">
            <v>-158.64641953821672</v>
          </cell>
          <cell r="X72">
            <v>-123.68857521870299</v>
          </cell>
        </row>
        <row r="73">
          <cell r="R73" t="str">
            <v>% sales</v>
          </cell>
          <cell r="S73">
            <v>-6.8116024294715286E-3</v>
          </cell>
          <cell r="T73">
            <v>-1.3011731321590466E-2</v>
          </cell>
          <cell r="U73">
            <v>-1.8445787632968769E-2</v>
          </cell>
          <cell r="V73">
            <v>-1.4563227146850025E-2</v>
          </cell>
          <cell r="W73">
            <v>-1.2165904794876394E-2</v>
          </cell>
          <cell r="X73">
            <v>-9.1100356447956152E-3</v>
          </cell>
        </row>
        <row r="74">
          <cell r="R74" t="str">
            <v>Prior</v>
          </cell>
          <cell r="S74">
            <v>-71.999999999999943</v>
          </cell>
          <cell r="T74">
            <v>-150.4</v>
          </cell>
          <cell r="U74">
            <v>-202.25387499999999</v>
          </cell>
          <cell r="V74">
            <v>-188.32484134598826</v>
          </cell>
          <cell r="W74">
            <v>-162.42762130718484</v>
          </cell>
          <cell r="X74">
            <v>-126.05908932965031</v>
          </cell>
        </row>
        <row r="75">
          <cell r="R75" t="str">
            <v>% sales</v>
          </cell>
          <cell r="S75">
            <v>-6.8116024294715277E-3</v>
          </cell>
          <cell r="T75">
            <v>-1.2826307575537913E-2</v>
          </cell>
          <cell r="U75">
            <v>-1.6404641553108272E-2</v>
          </cell>
          <cell r="V75">
            <v>-1.4781096368329536E-2</v>
          </cell>
          <cell r="W75">
            <v>-1.2296744460555571E-2</v>
          </cell>
          <cell r="X75">
            <v>-9.1647220129662255E-3</v>
          </cell>
        </row>
        <row r="76">
          <cell r="Q76" t="str">
            <v>EPS- Diluted Adj.</v>
          </cell>
        </row>
        <row r="77">
          <cell r="R77" t="str">
            <v>Current</v>
          </cell>
          <cell r="S77">
            <v>3.4584096738732146</v>
          </cell>
          <cell r="T77">
            <v>4.1574946397245078</v>
          </cell>
          <cell r="U77">
            <v>4.8152667491028165</v>
          </cell>
          <cell r="V77">
            <v>5.4049678613770302</v>
          </cell>
          <cell r="W77">
            <v>6.0818512121484787</v>
          </cell>
          <cell r="X77">
            <v>6.9568029881790103</v>
          </cell>
        </row>
        <row r="78">
          <cell r="R78" t="str">
            <v>% Y/Y</v>
          </cell>
          <cell r="T78">
            <v>0.20214058823990033</v>
          </cell>
          <cell r="U78">
            <v>0.15821357966246108</v>
          </cell>
          <cell r="V78">
            <v>0.12246488990128901</v>
          </cell>
          <cell r="W78">
            <v>0.12523355700379657</v>
          </cell>
          <cell r="X78">
            <v>0.14386273940454486</v>
          </cell>
        </row>
        <row r="79">
          <cell r="R79" t="str">
            <v>Prior</v>
          </cell>
          <cell r="S79">
            <v>3.4584096738732146</v>
          </cell>
          <cell r="T79">
            <v>4.1574946397245132</v>
          </cell>
          <cell r="U79">
            <v>4.8164473532256684</v>
          </cell>
          <cell r="V79">
            <v>5.3260367232475581</v>
          </cell>
          <cell r="W79">
            <v>6.0189766752123948</v>
          </cell>
          <cell r="X79">
            <v>6.8780970827631673</v>
          </cell>
        </row>
        <row r="80">
          <cell r="R80" t="str">
            <v>% Y/Y</v>
          </cell>
          <cell r="T80">
            <v>0.20214058823990189</v>
          </cell>
          <cell r="U80">
            <v>0.1584975497514578</v>
          </cell>
          <cell r="V80">
            <v>0.10580191843695919</v>
          </cell>
          <cell r="W80">
            <v>0.13010423847440467</v>
          </cell>
          <cell r="X80">
            <v>0.1427352943713569</v>
          </cell>
        </row>
        <row r="81">
          <cell r="Q81" t="str">
            <v>Diluted Shs</v>
          </cell>
        </row>
        <row r="82">
          <cell r="R82" t="str">
            <v>Current</v>
          </cell>
          <cell r="S82">
            <v>409.34999999999997</v>
          </cell>
          <cell r="T82">
            <v>384.77499999999998</v>
          </cell>
          <cell r="U82">
            <v>363.98392370572208</v>
          </cell>
          <cell r="V82">
            <v>345.92503748329472</v>
          </cell>
          <cell r="W82">
            <v>332.65706503639075</v>
          </cell>
          <cell r="X82">
            <v>316.59003397771681</v>
          </cell>
        </row>
        <row r="83">
          <cell r="R83" t="str">
            <v>% Y/Y</v>
          </cell>
          <cell r="T83">
            <v>-6.0034200561866369E-2</v>
          </cell>
          <cell r="U83">
            <v>-5.4034374099871108E-2</v>
          </cell>
          <cell r="V83">
            <v>-4.9614516043922308E-2</v>
          </cell>
          <cell r="W83">
            <v>-3.83550509770334E-2</v>
          </cell>
          <cell r="X83">
            <v>-4.8299082591004905E-2</v>
          </cell>
        </row>
        <row r="84">
          <cell r="R84" t="str">
            <v>Prior</v>
          </cell>
          <cell r="S84">
            <v>409.35</v>
          </cell>
          <cell r="T84">
            <v>384.77499999999998</v>
          </cell>
          <cell r="U84">
            <v>368.45196022727276</v>
          </cell>
          <cell r="V84">
            <v>356.93921840774613</v>
          </cell>
          <cell r="W84">
            <v>341.93772375751701</v>
          </cell>
          <cell r="X84">
            <v>325.8551015911857</v>
          </cell>
        </row>
        <row r="85">
          <cell r="R85" t="str">
            <v>% Y/Y</v>
          </cell>
          <cell r="T85">
            <v>-6.003420056186648E-2</v>
          </cell>
          <cell r="U85">
            <v>-4.2422298155356253E-2</v>
          </cell>
          <cell r="V85">
            <v>-3.1246249341230881E-2</v>
          </cell>
          <cell r="W85">
            <v>-4.2028148986117619E-2</v>
          </cell>
          <cell r="X85">
            <v>-4.7033775593991467E-2</v>
          </cell>
        </row>
        <row r="86">
          <cell r="Q86" t="str">
            <v>FCF</v>
          </cell>
        </row>
        <row r="87">
          <cell r="R87" t="str">
            <v>Current</v>
          </cell>
          <cell r="S87">
            <v>1239.9999999999998</v>
          </cell>
          <cell r="T87">
            <v>1424.5</v>
          </cell>
          <cell r="U87">
            <v>1575.3018869243094</v>
          </cell>
          <cell r="V87">
            <v>1644.5873070170619</v>
          </cell>
          <cell r="W87">
            <v>1817.1464779661073</v>
          </cell>
          <cell r="X87">
            <v>1945.6685496018629</v>
          </cell>
        </row>
        <row r="88">
          <cell r="R88" t="str">
            <v>% Y/Y</v>
          </cell>
          <cell r="T88">
            <v>0.14879032258064528</v>
          </cell>
          <cell r="U88">
            <v>0.10586303048389567</v>
          </cell>
          <cell r="V88">
            <v>4.3982312639787802E-2</v>
          </cell>
          <cell r="W88">
            <v>0.10492551548511697</v>
          </cell>
          <cell r="X88">
            <v>7.0727414214624806E-2</v>
          </cell>
        </row>
        <row r="89">
          <cell r="R89" t="str">
            <v>Prior</v>
          </cell>
          <cell r="S89">
            <v>1240</v>
          </cell>
          <cell r="T89">
            <v>1424.5</v>
          </cell>
          <cell r="U89">
            <v>1559.7019119336819</v>
          </cell>
          <cell r="V89">
            <v>1721.9872961077901</v>
          </cell>
          <cell r="W89">
            <v>1885.5349283103346</v>
          </cell>
          <cell r="X89">
            <v>2018.5558878479412</v>
          </cell>
        </row>
        <row r="90">
          <cell r="R90" t="str">
            <v>% Y/Y</v>
          </cell>
          <cell r="T90">
            <v>0.14879032258064506</v>
          </cell>
          <cell r="U90">
            <v>9.4911837089281859E-2</v>
          </cell>
          <cell r="V90">
            <v>0.10404897431516935</v>
          </cell>
          <cell r="W90">
            <v>9.4976096845900804E-2</v>
          </cell>
          <cell r="X90">
            <v>7.0548128035373692E-2</v>
          </cell>
        </row>
      </sheetData>
      <sheetData sheetId="9" refreshError="1"/>
      <sheetData sheetId="10" refreshError="1">
        <row r="1">
          <cell r="B1">
            <v>2013</v>
          </cell>
          <cell r="C1" t="str">
            <v>Bear</v>
          </cell>
          <cell r="D1" t="str">
            <v>Base</v>
          </cell>
          <cell r="E1" t="str">
            <v>Bull</v>
          </cell>
        </row>
        <row r="2">
          <cell r="B2" t="str">
            <v>Revenues</v>
          </cell>
          <cell r="C2">
            <v>12328.917090965679</v>
          </cell>
          <cell r="D2">
            <v>12580.52764384253</v>
          </cell>
          <cell r="E2">
            <v>12895.040834938593</v>
          </cell>
        </row>
        <row r="3">
          <cell r="B3" t="str">
            <v xml:space="preserve">  % from base</v>
          </cell>
          <cell r="C3">
            <v>-0.02</v>
          </cell>
          <cell r="E3">
            <v>2.5000000000000001E-2</v>
          </cell>
        </row>
        <row r="4">
          <cell r="B4" t="str">
            <v xml:space="preserve">  % change YY</v>
          </cell>
          <cell r="C4">
            <v>1.2089837135879078E-2</v>
          </cell>
          <cell r="D4">
            <v>3.2744731771305213E-2</v>
          </cell>
          <cell r="E4">
            <v>5.8563350065587771E-2</v>
          </cell>
        </row>
        <row r="5">
          <cell r="B5" t="str">
            <v>EBITDA</v>
          </cell>
          <cell r="C5">
            <v>2552.0858378298954</v>
          </cell>
          <cell r="D5">
            <v>2697.4601019829402</v>
          </cell>
          <cell r="E5">
            <v>2836.9089836864905</v>
          </cell>
        </row>
        <row r="6">
          <cell r="B6" t="str">
            <v>other exp</v>
          </cell>
          <cell r="C6">
            <v>433.88418183420845</v>
          </cell>
          <cell r="D6">
            <v>433.88418183420845</v>
          </cell>
          <cell r="E6">
            <v>433.88418183420845</v>
          </cell>
        </row>
        <row r="7">
          <cell r="B7" t="str">
            <v>Pre-tax</v>
          </cell>
          <cell r="C7">
            <v>2118.2016559956869</v>
          </cell>
          <cell r="D7">
            <v>2263.5759201487317</v>
          </cell>
          <cell r="E7">
            <v>2403.0248018522821</v>
          </cell>
        </row>
        <row r="8">
          <cell r="B8" t="str">
            <v>tax</v>
          </cell>
          <cell r="C8">
            <v>0.17399999999999999</v>
          </cell>
          <cell r="D8">
            <v>0.17399999999999999</v>
          </cell>
          <cell r="E8">
            <v>0.17399999999999999</v>
          </cell>
        </row>
        <row r="9">
          <cell r="B9" t="str">
            <v>Net income</v>
          </cell>
          <cell r="C9">
            <v>1749.6345678524376</v>
          </cell>
          <cell r="D9">
            <v>1869.7137100428524</v>
          </cell>
          <cell r="E9">
            <v>1984.8984863299852</v>
          </cell>
        </row>
        <row r="10">
          <cell r="B10" t="str">
            <v>Shares</v>
          </cell>
          <cell r="C10">
            <v>345.92503748329472</v>
          </cell>
          <cell r="D10">
            <v>345.92503748329472</v>
          </cell>
          <cell r="E10">
            <v>345.92503748329472</v>
          </cell>
        </row>
        <row r="12">
          <cell r="B12" t="str">
            <v>Diluted EPS</v>
          </cell>
          <cell r="C12">
            <v>5.0578431112750266</v>
          </cell>
          <cell r="D12">
            <v>5.4049678613770302</v>
          </cell>
          <cell r="E12">
            <v>5.7379439799174383</v>
          </cell>
        </row>
        <row r="13">
          <cell r="B13" t="str">
            <v>change vs  base</v>
          </cell>
          <cell r="C13">
            <v>-6.4223277363496867E-2</v>
          </cell>
          <cell r="E13">
            <v>6.1605568632479457E-2</v>
          </cell>
        </row>
        <row r="14">
          <cell r="B14" t="str">
            <v>yy %</v>
          </cell>
          <cell r="C14">
            <v>5.0376515946371381E-2</v>
          </cell>
          <cell r="D14">
            <v>0.12246488990128901</v>
          </cell>
          <cell r="E14">
            <v>0.1916149777136511</v>
          </cell>
        </row>
        <row r="16">
          <cell r="B16" t="str">
            <v>Margin</v>
          </cell>
        </row>
        <row r="17">
          <cell r="B17" t="str">
            <v>Rev growth</v>
          </cell>
          <cell r="C17">
            <v>1.2089837135879078E-2</v>
          </cell>
          <cell r="D17">
            <v>3.2744731771305213E-2</v>
          </cell>
          <cell r="E17">
            <v>5.8563350065587771E-2</v>
          </cell>
        </row>
        <row r="18">
          <cell r="B18" t="str">
            <v>EBITDA margin</v>
          </cell>
          <cell r="C18">
            <v>0.20699999999999999</v>
          </cell>
          <cell r="D18">
            <v>0.21441549816896568</v>
          </cell>
          <cell r="E18">
            <v>0.22</v>
          </cell>
        </row>
        <row r="19">
          <cell r="B19" t="str">
            <v>EBITDA y/y</v>
          </cell>
          <cell r="C19">
            <v>-4.2415967941191457E-3</v>
          </cell>
          <cell r="D19">
            <v>3.1739013748465494E-3</v>
          </cell>
          <cell r="E19">
            <v>8.7584032058808658E-3</v>
          </cell>
        </row>
        <row r="20">
          <cell r="B20" t="str">
            <v>Net Income margin</v>
          </cell>
          <cell r="C20">
            <v>0.1419130775998588</v>
          </cell>
          <cell r="D20">
            <v>0.14861965753542727</v>
          </cell>
          <cell r="E20">
            <v>0.15392727419303573</v>
          </cell>
        </row>
        <row r="21">
          <cell r="B21" t="str">
            <v>EPS growth</v>
          </cell>
          <cell r="C21">
            <v>5.0376515946371381E-2</v>
          </cell>
          <cell r="D21">
            <v>0.12246488990128901</v>
          </cell>
          <cell r="E21">
            <v>0.1916149777136511</v>
          </cell>
        </row>
        <row r="22">
          <cell r="B22" t="str">
            <v>Price</v>
          </cell>
          <cell r="D22">
            <v>55.07</v>
          </cell>
        </row>
        <row r="23">
          <cell r="B23" t="str">
            <v>Mcap</v>
          </cell>
          <cell r="D23">
            <v>19050.09181420504</v>
          </cell>
        </row>
        <row r="24">
          <cell r="B24" t="str">
            <v>Net Debt</v>
          </cell>
          <cell r="C24">
            <v>5882.5999999999995</v>
          </cell>
          <cell r="D24">
            <v>5882.5999999999995</v>
          </cell>
          <cell r="E24">
            <v>5882.5999999999995</v>
          </cell>
        </row>
        <row r="25">
          <cell r="B25" t="str">
            <v>EV</v>
          </cell>
          <cell r="D25">
            <v>24932.691814205038</v>
          </cell>
        </row>
        <row r="27">
          <cell r="B27" t="str">
            <v>P/E</v>
          </cell>
          <cell r="C27">
            <v>9.4499999999999993</v>
          </cell>
          <cell r="D27">
            <v>12.24</v>
          </cell>
          <cell r="E27">
            <v>14</v>
          </cell>
        </row>
        <row r="28">
          <cell r="B28" t="str">
            <v>Sh Price</v>
          </cell>
          <cell r="C28">
            <v>47.796617401549</v>
          </cell>
          <cell r="D28">
            <v>66.156806623254852</v>
          </cell>
          <cell r="E28">
            <v>80.331215718844135</v>
          </cell>
        </row>
        <row r="29">
          <cell r="B29" t="str">
            <v>% Diff</v>
          </cell>
          <cell r="C29">
            <v>-0.13207522423190488</v>
          </cell>
          <cell r="D29">
            <v>0.20132207414662884</v>
          </cell>
          <cell r="E29">
            <v>0.4587110172297828</v>
          </cell>
        </row>
        <row r="31">
          <cell r="B31" t="str">
            <v>EV/EBITDA</v>
          </cell>
          <cell r="C31">
            <v>8.5500000000000007</v>
          </cell>
          <cell r="D31">
            <v>9.5</v>
          </cell>
          <cell r="E31">
            <v>10.450000000000001</v>
          </cell>
        </row>
        <row r="32">
          <cell r="B32" t="str">
            <v>Sh Price</v>
          </cell>
          <cell r="C32">
            <v>46.072796665419943</v>
          </cell>
          <cell r="D32">
            <v>57.07384210312145</v>
          </cell>
          <cell r="E32">
            <v>68.694359484376406</v>
          </cell>
        </row>
      </sheetData>
      <sheetData sheetId="11" refreshError="1"/>
      <sheetData sheetId="12" refreshError="1"/>
      <sheetData sheetId="13" refreshError="1">
        <row r="56">
          <cell r="I56" t="str">
            <v>WACC</v>
          </cell>
        </row>
        <row r="57">
          <cell r="I57">
            <v>6.6970283544374828E-2</v>
          </cell>
          <cell r="J57">
            <v>7.1970283544374833E-2</v>
          </cell>
          <cell r="K57">
            <v>7.6970283544374837E-2</v>
          </cell>
          <cell r="L57">
            <v>8.1970283544374842E-2</v>
          </cell>
          <cell r="M57">
            <v>8.6970283544374846E-2</v>
          </cell>
          <cell r="N57">
            <v>9.1970283544374851E-2</v>
          </cell>
          <cell r="O57">
            <v>9.6970283544374855E-2</v>
          </cell>
          <cell r="P57">
            <v>0.10197028354437486</v>
          </cell>
          <cell r="Q57">
            <v>0.10697028354437486</v>
          </cell>
        </row>
        <row r="58">
          <cell r="H58">
            <v>-0.01</v>
          </cell>
          <cell r="I58">
            <v>88.727278757774656</v>
          </cell>
          <cell r="J58">
            <v>82.898128065702551</v>
          </cell>
          <cell r="K58">
            <v>77.813241525523949</v>
          </cell>
          <cell r="L58">
            <v>73.348205516203663</v>
          </cell>
          <cell r="M58">
            <v>69.404403174040226</v>
          </cell>
          <cell r="N58">
            <v>65.902683076269682</v>
          </cell>
          <cell r="O58">
            <v>62.778803913861061</v>
          </cell>
          <cell r="P58">
            <v>59.980099988796148</v>
          </cell>
          <cell r="Q58">
            <v>57.463002220525951</v>
          </cell>
        </row>
        <row r="59">
          <cell r="G59" t="str">
            <v>Terminal</v>
          </cell>
          <cell r="H59">
            <v>-5.0000000000000001E-3</v>
          </cell>
          <cell r="I59">
            <v>93.402620670254962</v>
          </cell>
          <cell r="J59">
            <v>86.880230319843903</v>
          </cell>
          <cell r="K59">
            <v>81.232471234710047</v>
          </cell>
          <cell r="L59">
            <v>76.30527620721665</v>
          </cell>
          <cell r="M59">
            <v>71.978226479935216</v>
          </cell>
          <cell r="N59">
            <v>68.155869684606813</v>
          </cell>
          <cell r="O59">
            <v>64.761592452841526</v>
          </cell>
          <cell r="P59">
            <v>61.733211804253223</v>
          </cell>
          <cell r="Q59">
            <v>59.019748031981258</v>
          </cell>
        </row>
        <row r="60">
          <cell r="G60" t="str">
            <v>Value</v>
          </cell>
          <cell r="H60">
            <v>0</v>
          </cell>
          <cell r="I60">
            <v>98.776084445902015</v>
          </cell>
          <cell r="J60">
            <v>91.415630693435631</v>
          </cell>
          <cell r="K60">
            <v>85.095928190014405</v>
          </cell>
          <cell r="L60">
            <v>79.623096009145186</v>
          </cell>
          <cell r="M60">
            <v>74.847992629868642</v>
          </cell>
          <cell r="N60">
            <v>70.654047014022908</v>
          </cell>
          <cell r="O60">
            <v>66.948854823031624</v>
          </cell>
          <cell r="P60">
            <v>63.65824741500839</v>
          </cell>
          <cell r="Q60">
            <v>60.722024523535175</v>
          </cell>
        </row>
        <row r="61">
          <cell r="G61" t="str">
            <v>Growth</v>
          </cell>
          <cell r="H61">
            <v>5.0000000000000001E-3</v>
          </cell>
          <cell r="I61">
            <v>105.01665152789414</v>
          </cell>
          <cell r="J61">
            <v>96.628256865330357</v>
          </cell>
          <cell r="K61">
            <v>89.496197947080518</v>
          </cell>
          <cell r="L61">
            <v>83.371967854686844</v>
          </cell>
          <cell r="M61">
            <v>78.067857135675098</v>
          </cell>
          <cell r="N61">
            <v>73.439469276720331</v>
          </cell>
          <cell r="O61">
            <v>69.373939920943855</v>
          </cell>
          <cell r="P61">
            <v>65.781801122276519</v>
          </cell>
          <cell r="Q61">
            <v>62.591239502693981</v>
          </cell>
        </row>
        <row r="62">
          <cell r="H62">
            <v>0.01</v>
          </cell>
          <cell r="I62">
            <v>112.3526260212135</v>
          </cell>
          <cell r="J62">
            <v>102.68203235489152</v>
          </cell>
          <cell r="K62">
            <v>94.553515804316376</v>
          </cell>
          <cell r="L62">
            <v>87.641731332290817</v>
          </cell>
          <cell r="M62">
            <v>81.706047306600126</v>
          </cell>
          <cell r="N62">
            <v>76.564700326487426</v>
          </cell>
          <cell r="O62">
            <v>72.077865675581677</v>
          </cell>
          <cell r="P62">
            <v>68.136250465116277</v>
          </cell>
          <cell r="Q62">
            <v>64.653216110553529</v>
          </cell>
        </row>
        <row r="63">
          <cell r="H63">
            <v>1.4999999999999999E-2</v>
          </cell>
          <cell r="I63">
            <v>121.1001715110727</v>
          </cell>
          <cell r="J63">
            <v>109.79842770746349</v>
          </cell>
          <cell r="K63">
            <v>100.42692123901418</v>
          </cell>
          <cell r="L63">
            <v>92.549055717752509</v>
          </cell>
          <cell r="M63">
            <v>85.849750307508884</v>
          </cell>
          <cell r="N63">
            <v>80.095962237238084</v>
          </cell>
          <cell r="O63">
            <v>75.111658015733241</v>
          </cell>
          <cell r="P63">
            <v>70.761418638214693</v>
          </cell>
          <cell r="Q63">
            <v>66.939393028382199</v>
          </cell>
        </row>
        <row r="64">
          <cell r="H64">
            <v>0.02</v>
          </cell>
          <cell r="I64">
            <v>131.71007439581444</v>
          </cell>
          <cell r="J64">
            <v>118.28414315360314</v>
          </cell>
          <cell r="K64">
            <v>107.33128616158658</v>
          </cell>
          <cell r="L64">
            <v>98.248263584261665</v>
          </cell>
          <cell r="M64">
            <v>90.612190871050714</v>
          </cell>
          <cell r="N64">
            <v>84.117879698702737</v>
          </cell>
          <cell r="O64">
            <v>78.539601475050517</v>
          </cell>
          <cell r="P64">
            <v>73.706845331789921</v>
          </cell>
          <cell r="Q64">
            <v>69.488438689953938</v>
          </cell>
        </row>
        <row r="65">
          <cell r="H65">
            <v>2.5000000000000001E-2</v>
          </cell>
          <cell r="I65">
            <v>144.84793325052806</v>
          </cell>
          <cell r="J65">
            <v>128.57647222985267</v>
          </cell>
          <cell r="K65">
            <v>115.56417277996172</v>
          </cell>
          <cell r="L65">
            <v>104.94785402075921</v>
          </cell>
          <cell r="M65">
            <v>96.14313535149509</v>
          </cell>
          <cell r="N65">
            <v>88.7403497110312</v>
          </cell>
          <cell r="O65">
            <v>82.443844775149103</v>
          </cell>
          <cell r="P65">
            <v>77.034942655891911</v>
          </cell>
          <cell r="Q65">
            <v>72.348456273465118</v>
          </cell>
        </row>
        <row r="66">
          <cell r="H66">
            <v>3.0000000000000002E-2</v>
          </cell>
          <cell r="I66">
            <v>161.53941885493768</v>
          </cell>
          <cell r="J66">
            <v>141.32109092796475</v>
          </cell>
          <cell r="K66">
            <v>125.54984562765509</v>
          </cell>
          <cell r="L66">
            <v>112.93656392699705</v>
          </cell>
          <cell r="M66">
            <v>102.64492711166848</v>
          </cell>
          <cell r="N66">
            <v>94.10873691914243</v>
          </cell>
          <cell r="O66">
            <v>86.931069525148757</v>
          </cell>
          <cell r="P66">
            <v>80.825466576111182</v>
          </cell>
          <cell r="Q66">
            <v>75.580048112885379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"/>
      <sheetName val="Cashflow Forecast Port"/>
      <sheetName val="FX Adjustment"/>
      <sheetName val="LBO Control"/>
      <sheetName val="Standalone"/>
      <sheetName val="Balance Sheet"/>
      <sheetName val="Data Validation Names"/>
      <sheetName val="c1"/>
      <sheetName val="DCF Inpu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Data1"/>
      <sheetName val="Data2"/>
      <sheetName val="Custom Indices"/>
      <sheetName val="MW-Cache"/>
      <sheetName val="Multiples"/>
      <sheetName val="Multiples (2)"/>
      <sheetName val="LST Perf"/>
      <sheetName val="3yr"/>
      <sheetName val="Charts01"/>
      <sheetName val="LST Charts"/>
      <sheetName val="Mth &amp; Yr Perf"/>
    </sheetNames>
    <sheetDataSet>
      <sheetData sheetId="0"/>
      <sheetData sheetId="1"/>
      <sheetData sheetId="2"/>
      <sheetData sheetId="3"/>
      <sheetData sheetId="4"/>
      <sheetData sheetId="5">
        <row r="11">
          <cell r="BF11" t="str">
            <v>Abs NTM P/E</v>
          </cell>
          <cell r="FR11" t="str">
            <v>Abs NTM P/E</v>
          </cell>
          <cell r="FS11" t="str">
            <v>3 Yr Avg</v>
          </cell>
          <cell r="FT11" t="str">
            <v>10 Yr Avg</v>
          </cell>
          <cell r="FU11" t="str">
            <v>StdDev1</v>
          </cell>
          <cell r="FV11" t="str">
            <v>StdDev2</v>
          </cell>
          <cell r="GG11" t="str">
            <v>Abs NTM EV/EBITDA</v>
          </cell>
          <cell r="GH11" t="str">
            <v>3 Yr Avg</v>
          </cell>
          <cell r="GI11" t="str">
            <v>10 Yr Avg</v>
          </cell>
          <cell r="GJ11" t="str">
            <v>StdDev1</v>
          </cell>
          <cell r="GK11" t="str">
            <v>StdDev2</v>
          </cell>
        </row>
        <row r="12">
          <cell r="A12">
            <v>39476</v>
          </cell>
          <cell r="FR12">
            <v>26.592094736842103</v>
          </cell>
          <cell r="FS12">
            <v>22.314663874962239</v>
          </cell>
          <cell r="FT12">
            <v>20.116606119778133</v>
          </cell>
          <cell r="FU12">
            <v>17.065595346429742</v>
          </cell>
          <cell r="FV12">
            <v>23.167616893126525</v>
          </cell>
          <cell r="GG12">
            <v>9.1091829878724759</v>
          </cell>
          <cell r="GH12">
            <v>13.982143405445317</v>
          </cell>
          <cell r="GI12">
            <v>10.408007395026372</v>
          </cell>
          <cell r="GJ12">
            <v>7.7337520878462023</v>
          </cell>
          <cell r="GK12">
            <v>13.082262702206542</v>
          </cell>
        </row>
        <row r="13">
          <cell r="A13">
            <v>39477</v>
          </cell>
          <cell r="FR13">
            <v>26.578943421052632</v>
          </cell>
          <cell r="FS13">
            <v>22.314663874962239</v>
          </cell>
          <cell r="FT13">
            <v>20.116606119778133</v>
          </cell>
          <cell r="FU13">
            <v>17.065595346429742</v>
          </cell>
          <cell r="FV13">
            <v>23.167616893126525</v>
          </cell>
          <cell r="GG13">
            <v>8.9538203379581418</v>
          </cell>
          <cell r="GH13">
            <v>13.982143405445317</v>
          </cell>
          <cell r="GI13">
            <v>10.408007395026372</v>
          </cell>
          <cell r="GJ13">
            <v>7.7337520878462023</v>
          </cell>
          <cell r="GK13">
            <v>13.082262702206542</v>
          </cell>
        </row>
        <row r="14">
          <cell r="A14">
            <v>39478</v>
          </cell>
          <cell r="FR14">
            <v>26.842097368421051</v>
          </cell>
          <cell r="FS14">
            <v>22.314663874962239</v>
          </cell>
          <cell r="FT14">
            <v>20.116606119778133</v>
          </cell>
          <cell r="FU14">
            <v>17.065595346429742</v>
          </cell>
          <cell r="FV14">
            <v>23.167616893126525</v>
          </cell>
          <cell r="GG14">
            <v>8.9861883965465097</v>
          </cell>
          <cell r="GH14">
            <v>13.982143405445317</v>
          </cell>
          <cell r="GI14">
            <v>10.408007395026372</v>
          </cell>
          <cell r="GJ14">
            <v>7.7337520878462023</v>
          </cell>
          <cell r="GK14">
            <v>13.082262702206542</v>
          </cell>
        </row>
        <row r="15">
          <cell r="A15">
            <v>39479</v>
          </cell>
          <cell r="FR15">
            <v>27.355255263157893</v>
          </cell>
          <cell r="FS15">
            <v>22.314663874962239</v>
          </cell>
          <cell r="FT15">
            <v>20.116606119778133</v>
          </cell>
          <cell r="FU15">
            <v>17.065595346429742</v>
          </cell>
          <cell r="FV15">
            <v>23.167616893126525</v>
          </cell>
          <cell r="GG15">
            <v>9.2257046393657394</v>
          </cell>
          <cell r="GH15">
            <v>13.982143405445317</v>
          </cell>
          <cell r="GI15">
            <v>10.408007395026372</v>
          </cell>
          <cell r="GJ15">
            <v>7.7337520878462023</v>
          </cell>
          <cell r="GK15">
            <v>13.082262702206542</v>
          </cell>
        </row>
        <row r="16">
          <cell r="A16">
            <v>39482</v>
          </cell>
          <cell r="FR16">
            <v>27.315782894736842</v>
          </cell>
          <cell r="FS16">
            <v>22.314663874962239</v>
          </cell>
          <cell r="FT16">
            <v>20.116606119778133</v>
          </cell>
          <cell r="FU16">
            <v>17.065595346429742</v>
          </cell>
          <cell r="FV16">
            <v>23.167616893126525</v>
          </cell>
          <cell r="GG16">
            <v>9.2904326939227992</v>
          </cell>
          <cell r="GH16">
            <v>13.982143405445317</v>
          </cell>
          <cell r="GI16">
            <v>10.408007395026372</v>
          </cell>
          <cell r="GJ16">
            <v>7.7337520878462023</v>
          </cell>
          <cell r="GK16">
            <v>13.082262702206542</v>
          </cell>
        </row>
        <row r="17">
          <cell r="A17">
            <v>39483</v>
          </cell>
          <cell r="FR17">
            <v>26.460507894736839</v>
          </cell>
          <cell r="FS17">
            <v>22.314663874962239</v>
          </cell>
          <cell r="FT17">
            <v>20.116606119778133</v>
          </cell>
          <cell r="FU17">
            <v>17.065595346429742</v>
          </cell>
          <cell r="FV17">
            <v>23.167616893126525</v>
          </cell>
          <cell r="GG17">
            <v>9.1415503745758731</v>
          </cell>
          <cell r="GH17">
            <v>13.982143405445317</v>
          </cell>
          <cell r="GI17">
            <v>10.408007395026372</v>
          </cell>
          <cell r="GJ17">
            <v>7.7337520878462023</v>
          </cell>
          <cell r="GK17">
            <v>13.082262702206542</v>
          </cell>
        </row>
        <row r="18">
          <cell r="A18">
            <v>39484</v>
          </cell>
          <cell r="FR18">
            <v>26.47367894736842</v>
          </cell>
          <cell r="FS18">
            <v>22.314663874962239</v>
          </cell>
          <cell r="FT18">
            <v>20.116606119778133</v>
          </cell>
          <cell r="FU18">
            <v>17.065595346429742</v>
          </cell>
          <cell r="FV18">
            <v>23.167616893126525</v>
          </cell>
          <cell r="GG18">
            <v>9.2839647932273994</v>
          </cell>
          <cell r="GH18">
            <v>13.982143405445317</v>
          </cell>
          <cell r="GI18">
            <v>10.408007395026372</v>
          </cell>
          <cell r="GJ18">
            <v>7.7337520878462023</v>
          </cell>
          <cell r="GK18">
            <v>13.082262702206542</v>
          </cell>
        </row>
        <row r="19">
          <cell r="A19">
            <v>39485</v>
          </cell>
          <cell r="FR19">
            <v>26.789455263157894</v>
          </cell>
          <cell r="FS19">
            <v>22.314663874962239</v>
          </cell>
          <cell r="FT19">
            <v>20.116606119778133</v>
          </cell>
          <cell r="FU19">
            <v>17.065595346429742</v>
          </cell>
          <cell r="FV19">
            <v>23.167616893126525</v>
          </cell>
          <cell r="GG19">
            <v>9.3228034400510627</v>
          </cell>
          <cell r="GH19">
            <v>13.982143405445317</v>
          </cell>
          <cell r="GI19">
            <v>10.408007395026372</v>
          </cell>
          <cell r="GJ19">
            <v>7.7337520878462023</v>
          </cell>
          <cell r="GK19">
            <v>13.082262702206542</v>
          </cell>
        </row>
        <row r="20">
          <cell r="A20">
            <v>39486</v>
          </cell>
          <cell r="FR20">
            <v>26.934192105263154</v>
          </cell>
          <cell r="FS20">
            <v>22.314663874962239</v>
          </cell>
          <cell r="FT20">
            <v>20.116606119778133</v>
          </cell>
          <cell r="FU20">
            <v>17.065595346429742</v>
          </cell>
          <cell r="FV20">
            <v>23.167616893126525</v>
          </cell>
          <cell r="GG20">
            <v>9.2192310276480658</v>
          </cell>
          <cell r="GH20">
            <v>13.982143405445317</v>
          </cell>
          <cell r="GI20">
            <v>10.408007395026372</v>
          </cell>
          <cell r="GJ20">
            <v>7.7337520878462023</v>
          </cell>
          <cell r="GK20">
            <v>13.082262702206542</v>
          </cell>
        </row>
        <row r="21">
          <cell r="A21">
            <v>39489</v>
          </cell>
          <cell r="FR21">
            <v>27.539464473684209</v>
          </cell>
          <cell r="FS21">
            <v>22.314663874962239</v>
          </cell>
          <cell r="FT21">
            <v>20.116606119778133</v>
          </cell>
          <cell r="FU21">
            <v>17.065595346429742</v>
          </cell>
          <cell r="FV21">
            <v>23.167616893126525</v>
          </cell>
          <cell r="GG21">
            <v>9.400479389928444</v>
          </cell>
          <cell r="GH21">
            <v>13.982143405445317</v>
          </cell>
          <cell r="GI21">
            <v>10.408007395026372</v>
          </cell>
          <cell r="GJ21">
            <v>7.7337520878462023</v>
          </cell>
          <cell r="GK21">
            <v>13.082262702206542</v>
          </cell>
        </row>
        <row r="22">
          <cell r="A22">
            <v>39490</v>
          </cell>
          <cell r="FR22">
            <v>28.157886842105263</v>
          </cell>
          <cell r="FS22">
            <v>22.314663874962239</v>
          </cell>
          <cell r="FT22">
            <v>20.116606119778133</v>
          </cell>
          <cell r="FU22">
            <v>17.065595346429742</v>
          </cell>
          <cell r="FV22">
            <v>23.167616893126525</v>
          </cell>
          <cell r="GG22">
            <v>9.7176783014747858</v>
          </cell>
          <cell r="GH22">
            <v>13.982143405445317</v>
          </cell>
          <cell r="GI22">
            <v>10.408007395026372</v>
          </cell>
          <cell r="GJ22">
            <v>7.7337520878462023</v>
          </cell>
          <cell r="GK22">
            <v>13.082262702206542</v>
          </cell>
        </row>
        <row r="23">
          <cell r="A23">
            <v>39491</v>
          </cell>
          <cell r="FR23">
            <v>28.605251315789474</v>
          </cell>
          <cell r="FS23">
            <v>22.314663874962239</v>
          </cell>
          <cell r="FT23">
            <v>20.116606119778133</v>
          </cell>
          <cell r="FU23">
            <v>17.065595346429742</v>
          </cell>
          <cell r="FV23">
            <v>23.167616893126525</v>
          </cell>
          <cell r="GG23">
            <v>9.8536204521785855</v>
          </cell>
          <cell r="GH23">
            <v>13.982143405445317</v>
          </cell>
          <cell r="GI23">
            <v>10.408007395026372</v>
          </cell>
          <cell r="GJ23">
            <v>7.7337520878462023</v>
          </cell>
          <cell r="GK23">
            <v>13.082262702206542</v>
          </cell>
        </row>
        <row r="24">
          <cell r="A24">
            <v>39492</v>
          </cell>
          <cell r="FR24">
            <v>27.714281818181817</v>
          </cell>
          <cell r="FS24">
            <v>22.314663874962239</v>
          </cell>
          <cell r="FT24">
            <v>20.116606119778133</v>
          </cell>
          <cell r="FU24">
            <v>17.065595346429742</v>
          </cell>
          <cell r="FV24">
            <v>23.167616893126525</v>
          </cell>
          <cell r="GG24">
            <v>9.5348971166231795</v>
          </cell>
          <cell r="GH24">
            <v>13.982143405445317</v>
          </cell>
          <cell r="GI24">
            <v>10.408007395026372</v>
          </cell>
          <cell r="GJ24">
            <v>7.7337520878462023</v>
          </cell>
          <cell r="GK24">
            <v>13.082262702206542</v>
          </cell>
        </row>
        <row r="25">
          <cell r="A25">
            <v>39493</v>
          </cell>
          <cell r="FR25">
            <v>26.662336363636364</v>
          </cell>
          <cell r="FS25">
            <v>22.314663874962239</v>
          </cell>
          <cell r="FT25">
            <v>20.116606119778133</v>
          </cell>
          <cell r="FU25">
            <v>17.065595346429742</v>
          </cell>
          <cell r="FV25">
            <v>23.167616893126525</v>
          </cell>
          <cell r="GG25">
            <v>9.0766664464775246</v>
          </cell>
          <cell r="GH25">
            <v>13.982143405445317</v>
          </cell>
          <cell r="GI25">
            <v>10.408007395026372</v>
          </cell>
          <cell r="GJ25">
            <v>7.7337520878462023</v>
          </cell>
          <cell r="GK25">
            <v>13.082262702206542</v>
          </cell>
        </row>
        <row r="26">
          <cell r="A26">
            <v>39496</v>
          </cell>
          <cell r="FR26">
            <v>26.662336363636364</v>
          </cell>
          <cell r="FS26">
            <v>22.314663874962239</v>
          </cell>
          <cell r="FT26">
            <v>20.116606119778133</v>
          </cell>
          <cell r="FU26">
            <v>17.065595346429742</v>
          </cell>
          <cell r="FV26">
            <v>23.167616893126525</v>
          </cell>
          <cell r="GG26">
            <v>9.0766664464775246</v>
          </cell>
          <cell r="GH26">
            <v>13.982143405445317</v>
          </cell>
          <cell r="GI26">
            <v>10.408007395026372</v>
          </cell>
          <cell r="GJ26">
            <v>7.7337520878462023</v>
          </cell>
          <cell r="GK26">
            <v>13.082262702206542</v>
          </cell>
        </row>
        <row r="27">
          <cell r="A27">
            <v>39497</v>
          </cell>
          <cell r="FR27">
            <v>27.259728571428571</v>
          </cell>
          <cell r="FS27">
            <v>22.314663874962239</v>
          </cell>
          <cell r="FT27">
            <v>20.116606119778133</v>
          </cell>
          <cell r="FU27">
            <v>17.065595346429742</v>
          </cell>
          <cell r="FV27">
            <v>23.167616893126525</v>
          </cell>
          <cell r="GG27">
            <v>9.3376018099547515</v>
          </cell>
          <cell r="GH27">
            <v>13.982143405445317</v>
          </cell>
          <cell r="GI27">
            <v>10.408007395026372</v>
          </cell>
          <cell r="GJ27">
            <v>7.7337520878462023</v>
          </cell>
          <cell r="GK27">
            <v>13.082262702206542</v>
          </cell>
        </row>
        <row r="28">
          <cell r="A28">
            <v>39498</v>
          </cell>
          <cell r="FR28">
            <v>27.090890909090909</v>
          </cell>
          <cell r="FS28">
            <v>22.314663874962239</v>
          </cell>
          <cell r="FT28">
            <v>20.116606119778133</v>
          </cell>
          <cell r="FU28">
            <v>17.065595346429742</v>
          </cell>
          <cell r="FV28">
            <v>23.167616893126525</v>
          </cell>
          <cell r="GG28">
            <v>9.2421333025068542</v>
          </cell>
          <cell r="GH28">
            <v>13.982143405445317</v>
          </cell>
          <cell r="GI28">
            <v>10.408007395026372</v>
          </cell>
          <cell r="GJ28">
            <v>7.7337520878462023</v>
          </cell>
          <cell r="GK28">
            <v>13.082262702206542</v>
          </cell>
        </row>
        <row r="29">
          <cell r="A29">
            <v>39499</v>
          </cell>
          <cell r="FR29">
            <v>27.26622857142857</v>
          </cell>
          <cell r="FS29">
            <v>22.314663874962239</v>
          </cell>
          <cell r="FT29">
            <v>20.116606119778133</v>
          </cell>
          <cell r="FU29">
            <v>17.065595346429742</v>
          </cell>
          <cell r="FV29">
            <v>23.167616893126525</v>
          </cell>
          <cell r="GG29">
            <v>9.1593985533573345</v>
          </cell>
          <cell r="GH29">
            <v>13.982143405445317</v>
          </cell>
          <cell r="GI29">
            <v>10.408007395026372</v>
          </cell>
          <cell r="GJ29">
            <v>7.7337520878462023</v>
          </cell>
          <cell r="GK29">
            <v>13.082262702206542</v>
          </cell>
        </row>
        <row r="30">
          <cell r="A30">
            <v>39500</v>
          </cell>
          <cell r="FR30">
            <v>27.298688311688309</v>
          </cell>
          <cell r="FS30">
            <v>22.314663874962239</v>
          </cell>
          <cell r="FT30">
            <v>20.116606119778133</v>
          </cell>
          <cell r="FU30">
            <v>17.065595346429742</v>
          </cell>
          <cell r="FV30">
            <v>23.167616893126525</v>
          </cell>
          <cell r="GG30">
            <v>9.2166829606632099</v>
          </cell>
          <cell r="GH30">
            <v>13.982143405445317</v>
          </cell>
          <cell r="GI30">
            <v>10.408007395026372</v>
          </cell>
          <cell r="GJ30">
            <v>7.7337520878462023</v>
          </cell>
          <cell r="GK30">
            <v>13.082262702206542</v>
          </cell>
        </row>
        <row r="31">
          <cell r="A31">
            <v>39503</v>
          </cell>
          <cell r="FR31">
            <v>27.961037662337663</v>
          </cell>
          <cell r="FS31">
            <v>22.314663874962239</v>
          </cell>
          <cell r="FT31">
            <v>20.116606119778133</v>
          </cell>
          <cell r="FU31">
            <v>17.065595346429742</v>
          </cell>
          <cell r="FV31">
            <v>23.167616893126525</v>
          </cell>
          <cell r="GG31">
            <v>9.4585295769065638</v>
          </cell>
          <cell r="GH31">
            <v>13.982143405445317</v>
          </cell>
          <cell r="GI31">
            <v>10.408007395026372</v>
          </cell>
          <cell r="GJ31">
            <v>7.7337520878462023</v>
          </cell>
          <cell r="GK31">
            <v>13.082262702206542</v>
          </cell>
        </row>
        <row r="32">
          <cell r="A32">
            <v>39504</v>
          </cell>
          <cell r="FR32">
            <v>28.363632467532469</v>
          </cell>
          <cell r="FS32">
            <v>22.314663874962239</v>
          </cell>
          <cell r="FT32">
            <v>20.116606119778133</v>
          </cell>
          <cell r="FU32">
            <v>17.065595346429742</v>
          </cell>
          <cell r="FV32">
            <v>23.167616893126525</v>
          </cell>
          <cell r="GG32">
            <v>9.6367321729365543</v>
          </cell>
          <cell r="GH32">
            <v>13.982143405445317</v>
          </cell>
          <cell r="GI32">
            <v>10.408007395026372</v>
          </cell>
          <cell r="GJ32">
            <v>7.7337520878462023</v>
          </cell>
          <cell r="GK32">
            <v>13.082262702206542</v>
          </cell>
        </row>
        <row r="33">
          <cell r="A33">
            <v>39505</v>
          </cell>
          <cell r="FR33">
            <v>28.584409090909091</v>
          </cell>
          <cell r="FS33">
            <v>22.314663874962239</v>
          </cell>
          <cell r="FT33">
            <v>20.116606119778133</v>
          </cell>
          <cell r="FU33">
            <v>17.065595346429742</v>
          </cell>
          <cell r="FV33">
            <v>23.167616893126525</v>
          </cell>
          <cell r="GG33">
            <v>9.4903461373319686</v>
          </cell>
          <cell r="GH33">
            <v>13.982143405445317</v>
          </cell>
          <cell r="GI33">
            <v>10.408007395026372</v>
          </cell>
          <cell r="GJ33">
            <v>7.7337520878462023</v>
          </cell>
          <cell r="GK33">
            <v>13.082262702206542</v>
          </cell>
        </row>
        <row r="34">
          <cell r="A34">
            <v>39506</v>
          </cell>
          <cell r="FR34">
            <v>29.220779220779221</v>
          </cell>
          <cell r="FS34">
            <v>22.314663874962239</v>
          </cell>
          <cell r="FT34">
            <v>20.116606119778133</v>
          </cell>
          <cell r="FU34">
            <v>17.065595346429742</v>
          </cell>
          <cell r="FV34">
            <v>23.167616893126525</v>
          </cell>
          <cell r="GG34">
            <v>9.585814644779866</v>
          </cell>
          <cell r="GH34">
            <v>13.982143405445317</v>
          </cell>
          <cell r="GI34">
            <v>10.408007395026372</v>
          </cell>
          <cell r="GJ34">
            <v>7.7337520878462023</v>
          </cell>
          <cell r="GK34">
            <v>13.082262702206542</v>
          </cell>
        </row>
        <row r="35">
          <cell r="A35">
            <v>39507</v>
          </cell>
          <cell r="FR35">
            <v>28.558429870129871</v>
          </cell>
          <cell r="FS35">
            <v>22.314663874962239</v>
          </cell>
          <cell r="FT35">
            <v>20.116606119778133</v>
          </cell>
          <cell r="FU35">
            <v>17.065595346429742</v>
          </cell>
          <cell r="FV35">
            <v>23.167616893126525</v>
          </cell>
          <cell r="GG35">
            <v>9.5285391551342595</v>
          </cell>
          <cell r="GH35">
            <v>13.982143405445317</v>
          </cell>
          <cell r="GI35">
            <v>10.408007395026372</v>
          </cell>
          <cell r="GJ35">
            <v>7.7337520878462023</v>
          </cell>
          <cell r="GK35">
            <v>13.082262702206542</v>
          </cell>
        </row>
        <row r="36">
          <cell r="A36">
            <v>39510</v>
          </cell>
          <cell r="FR36">
            <v>28.376611688311687</v>
          </cell>
          <cell r="FS36">
            <v>22.314663874962239</v>
          </cell>
          <cell r="FT36">
            <v>20.116606119778133</v>
          </cell>
          <cell r="FU36">
            <v>17.065595346429742</v>
          </cell>
          <cell r="FV36">
            <v>23.167616893126525</v>
          </cell>
          <cell r="GG36">
            <v>9.3821531195296775</v>
          </cell>
          <cell r="GH36">
            <v>13.982143405445317</v>
          </cell>
          <cell r="GI36">
            <v>10.408007395026372</v>
          </cell>
          <cell r="GJ36">
            <v>7.7337520878462023</v>
          </cell>
          <cell r="GK36">
            <v>13.082262702206542</v>
          </cell>
        </row>
        <row r="37">
          <cell r="A37">
            <v>39511</v>
          </cell>
          <cell r="FR37">
            <v>27.610383116883117</v>
          </cell>
          <cell r="FS37">
            <v>22.314663874962239</v>
          </cell>
          <cell r="FT37">
            <v>20.116606119778133</v>
          </cell>
          <cell r="FU37">
            <v>17.065595346429742</v>
          </cell>
          <cell r="FV37">
            <v>23.167616893126525</v>
          </cell>
          <cell r="GG37">
            <v>9.0321161277537403</v>
          </cell>
          <cell r="GH37">
            <v>13.982143405445317</v>
          </cell>
          <cell r="GI37">
            <v>10.408007395026372</v>
          </cell>
          <cell r="GJ37">
            <v>7.7337520878462023</v>
          </cell>
          <cell r="GK37">
            <v>13.082262702206542</v>
          </cell>
        </row>
        <row r="38">
          <cell r="A38">
            <v>39512</v>
          </cell>
          <cell r="FR38">
            <v>28.038957142857143</v>
          </cell>
          <cell r="FS38">
            <v>22.314663874962239</v>
          </cell>
          <cell r="FT38">
            <v>20.116606119778133</v>
          </cell>
          <cell r="FU38">
            <v>17.065595346429742</v>
          </cell>
          <cell r="FV38">
            <v>23.167616893126525</v>
          </cell>
          <cell r="GG38">
            <v>9.2103167420814476</v>
          </cell>
          <cell r="GH38">
            <v>13.982143405445317</v>
          </cell>
          <cell r="GI38">
            <v>10.408007395026372</v>
          </cell>
          <cell r="GJ38">
            <v>7.7337520878462023</v>
          </cell>
          <cell r="GK38">
            <v>13.082262702206542</v>
          </cell>
        </row>
        <row r="39">
          <cell r="A39">
            <v>39513</v>
          </cell>
          <cell r="FR39">
            <v>27.272727272727273</v>
          </cell>
          <cell r="FS39">
            <v>22.314663874962239</v>
          </cell>
          <cell r="FT39">
            <v>20.116606119778133</v>
          </cell>
          <cell r="FU39">
            <v>17.065595346429742</v>
          </cell>
          <cell r="FV39">
            <v>23.167616893126525</v>
          </cell>
          <cell r="GG39">
            <v>9.0639379727185663</v>
          </cell>
          <cell r="GH39">
            <v>13.982143405445317</v>
          </cell>
          <cell r="GI39">
            <v>10.408007395026372</v>
          </cell>
          <cell r="GJ39">
            <v>7.7337520878462023</v>
          </cell>
          <cell r="GK39">
            <v>13.082262702206542</v>
          </cell>
        </row>
        <row r="40">
          <cell r="A40">
            <v>39514</v>
          </cell>
          <cell r="FR40">
            <v>27.220768831168829</v>
          </cell>
          <cell r="FS40">
            <v>22.314663874962239</v>
          </cell>
          <cell r="FT40">
            <v>20.116606119778133</v>
          </cell>
          <cell r="FU40">
            <v>17.065595346429742</v>
          </cell>
          <cell r="FV40">
            <v>23.167616893126525</v>
          </cell>
          <cell r="GG40">
            <v>8.8730065726459024</v>
          </cell>
          <cell r="GH40">
            <v>13.982143405445317</v>
          </cell>
          <cell r="GI40">
            <v>10.408007395026372</v>
          </cell>
          <cell r="GJ40">
            <v>7.7337520878462023</v>
          </cell>
          <cell r="GK40">
            <v>13.082262702206542</v>
          </cell>
        </row>
        <row r="41">
          <cell r="A41">
            <v>39517</v>
          </cell>
          <cell r="FR41">
            <v>25.974025974025974</v>
          </cell>
          <cell r="FS41">
            <v>22.314663874962239</v>
          </cell>
          <cell r="FT41">
            <v>20.116606119778133</v>
          </cell>
          <cell r="FU41">
            <v>17.065595346429742</v>
          </cell>
          <cell r="FV41">
            <v>23.167616893126525</v>
          </cell>
          <cell r="GG41">
            <v>8.5547858110116586</v>
          </cell>
          <cell r="GH41">
            <v>13.982143405445317</v>
          </cell>
          <cell r="GI41">
            <v>10.408007395026372</v>
          </cell>
          <cell r="GJ41">
            <v>7.7337520878462023</v>
          </cell>
          <cell r="GK41">
            <v>13.082262702206542</v>
          </cell>
        </row>
        <row r="42">
          <cell r="A42">
            <v>39518</v>
          </cell>
          <cell r="FR42">
            <v>26.012985714285715</v>
          </cell>
          <cell r="FS42">
            <v>22.314663874962239</v>
          </cell>
          <cell r="FT42">
            <v>20.116606119778133</v>
          </cell>
          <cell r="FU42">
            <v>17.065595346429742</v>
          </cell>
          <cell r="FV42">
            <v>23.167616893126525</v>
          </cell>
          <cell r="GG42">
            <v>8.5611513690259944</v>
          </cell>
          <cell r="GH42">
            <v>13.982143405445317</v>
          </cell>
          <cell r="GI42">
            <v>10.408007395026372</v>
          </cell>
          <cell r="GJ42">
            <v>7.7337520878462023</v>
          </cell>
          <cell r="GK42">
            <v>13.082262702206542</v>
          </cell>
        </row>
        <row r="43">
          <cell r="A43">
            <v>39519</v>
          </cell>
          <cell r="FR43">
            <v>24.155832467532466</v>
          </cell>
          <cell r="FS43">
            <v>22.314663874962239</v>
          </cell>
          <cell r="FT43">
            <v>20.116606119778133</v>
          </cell>
          <cell r="FU43">
            <v>17.065595346429742</v>
          </cell>
          <cell r="FV43">
            <v>23.167616893126525</v>
          </cell>
          <cell r="GG43">
            <v>7.9692611553324308</v>
          </cell>
          <cell r="GH43">
            <v>13.982143405445317</v>
          </cell>
          <cell r="GI43">
            <v>10.408007395026372</v>
          </cell>
          <cell r="GJ43">
            <v>7.7337520878462023</v>
          </cell>
          <cell r="GK43">
            <v>13.082262702206542</v>
          </cell>
        </row>
        <row r="44">
          <cell r="A44">
            <v>39520</v>
          </cell>
          <cell r="FR44">
            <v>24.44154935064935</v>
          </cell>
          <cell r="FS44">
            <v>22.314663874962239</v>
          </cell>
          <cell r="FT44">
            <v>20.116606119778133</v>
          </cell>
          <cell r="FU44">
            <v>17.065595346429742</v>
          </cell>
          <cell r="FV44">
            <v>23.167616893126525</v>
          </cell>
          <cell r="GG44">
            <v>7.9183462694454541</v>
          </cell>
          <cell r="GH44">
            <v>13.982143405445317</v>
          </cell>
          <cell r="GI44">
            <v>10.408007395026372</v>
          </cell>
          <cell r="GJ44">
            <v>7.7337520878462023</v>
          </cell>
          <cell r="GK44">
            <v>13.082262702206542</v>
          </cell>
        </row>
        <row r="45">
          <cell r="A45">
            <v>39521</v>
          </cell>
          <cell r="FR45">
            <v>24.870122077922076</v>
          </cell>
          <cell r="FS45">
            <v>22.314663874962239</v>
          </cell>
          <cell r="FT45">
            <v>20.116606119778133</v>
          </cell>
          <cell r="FU45">
            <v>17.065595346429742</v>
          </cell>
          <cell r="FV45">
            <v>23.167616893126525</v>
          </cell>
          <cell r="GG45">
            <v>7.8419737754731313</v>
          </cell>
          <cell r="GH45">
            <v>13.982143405445317</v>
          </cell>
          <cell r="GI45">
            <v>10.408007395026372</v>
          </cell>
          <cell r="GJ45">
            <v>7.7337520878462023</v>
          </cell>
          <cell r="GK45">
            <v>13.082262702206542</v>
          </cell>
        </row>
        <row r="46">
          <cell r="A46">
            <v>39524</v>
          </cell>
          <cell r="FR46">
            <v>23.999994805194806</v>
          </cell>
          <cell r="FS46">
            <v>22.314663874962239</v>
          </cell>
          <cell r="FT46">
            <v>20.116606119778133</v>
          </cell>
          <cell r="FU46">
            <v>17.065595346429742</v>
          </cell>
          <cell r="FV46">
            <v>23.167616893126525</v>
          </cell>
          <cell r="GG46">
            <v>7.6446768173861344</v>
          </cell>
          <cell r="GH46">
            <v>13.982143405445317</v>
          </cell>
          <cell r="GI46">
            <v>10.408007395026372</v>
          </cell>
          <cell r="GJ46">
            <v>7.7337520878462023</v>
          </cell>
          <cell r="GK46">
            <v>13.082262702206542</v>
          </cell>
        </row>
        <row r="47">
          <cell r="A47">
            <v>39525</v>
          </cell>
          <cell r="FR47">
            <v>24.259731168831166</v>
          </cell>
          <cell r="FS47">
            <v>22.314663874962239</v>
          </cell>
          <cell r="FT47">
            <v>20.116606119778133</v>
          </cell>
          <cell r="FU47">
            <v>17.065595346429742</v>
          </cell>
          <cell r="FV47">
            <v>23.167616893126525</v>
          </cell>
          <cell r="GG47">
            <v>7.7465075800112304</v>
          </cell>
          <cell r="GH47">
            <v>13.982143405445317</v>
          </cell>
          <cell r="GI47">
            <v>10.408007395026372</v>
          </cell>
          <cell r="GJ47">
            <v>7.7337520878462023</v>
          </cell>
          <cell r="GK47">
            <v>13.082262702206542</v>
          </cell>
        </row>
        <row r="48">
          <cell r="A48">
            <v>39526</v>
          </cell>
          <cell r="FR48">
            <v>23.909076623376624</v>
          </cell>
          <cell r="FS48">
            <v>22.314663874962239</v>
          </cell>
          <cell r="FT48">
            <v>20.116606119778133</v>
          </cell>
          <cell r="FU48">
            <v>17.065595346429742</v>
          </cell>
          <cell r="FV48">
            <v>23.167616893126525</v>
          </cell>
          <cell r="GG48">
            <v>7.6828635597978661</v>
          </cell>
          <cell r="GH48">
            <v>13.982143405445317</v>
          </cell>
          <cell r="GI48">
            <v>10.408007395026372</v>
          </cell>
          <cell r="GJ48">
            <v>7.7337520878462023</v>
          </cell>
          <cell r="GK48">
            <v>13.082262702206542</v>
          </cell>
        </row>
        <row r="49">
          <cell r="A49">
            <v>39527</v>
          </cell>
          <cell r="FR49">
            <v>23.049381481481479</v>
          </cell>
          <cell r="FS49">
            <v>22.314663874962239</v>
          </cell>
          <cell r="FT49">
            <v>20.116606119778133</v>
          </cell>
          <cell r="FU49">
            <v>17.065595346429742</v>
          </cell>
          <cell r="FV49">
            <v>23.167616893126525</v>
          </cell>
          <cell r="GG49">
            <v>8.9885438741976103</v>
          </cell>
          <cell r="GH49">
            <v>13.982143405445317</v>
          </cell>
          <cell r="GI49">
            <v>10.408007395026372</v>
          </cell>
          <cell r="GJ49">
            <v>7.7337520878462023</v>
          </cell>
          <cell r="GK49">
            <v>13.082262702206542</v>
          </cell>
        </row>
        <row r="50">
          <cell r="A50">
            <v>39528</v>
          </cell>
          <cell r="FR50">
            <v>23.049381481481479</v>
          </cell>
          <cell r="FS50">
            <v>22.314663874962239</v>
          </cell>
          <cell r="FT50">
            <v>20.116606119778133</v>
          </cell>
          <cell r="FU50">
            <v>17.065595346429742</v>
          </cell>
          <cell r="FV50">
            <v>23.167616893126525</v>
          </cell>
          <cell r="GG50">
            <v>8.9885438741976103</v>
          </cell>
          <cell r="GH50">
            <v>13.982143405445317</v>
          </cell>
          <cell r="GI50">
            <v>10.408007395026372</v>
          </cell>
          <cell r="GJ50">
            <v>7.7337520878462023</v>
          </cell>
          <cell r="GK50">
            <v>13.082262702206542</v>
          </cell>
        </row>
        <row r="51">
          <cell r="A51">
            <v>39531</v>
          </cell>
          <cell r="FR51">
            <v>23.716039506172837</v>
          </cell>
          <cell r="FS51">
            <v>22.314663874962239</v>
          </cell>
          <cell r="FT51">
            <v>20.116606119778133</v>
          </cell>
          <cell r="FU51">
            <v>17.065595346429742</v>
          </cell>
          <cell r="FV51">
            <v>23.167616893126525</v>
          </cell>
          <cell r="GG51">
            <v>8.9885438741976103</v>
          </cell>
          <cell r="GH51">
            <v>13.982143405445317</v>
          </cell>
          <cell r="GI51">
            <v>10.408007395026372</v>
          </cell>
          <cell r="GJ51">
            <v>7.7337520878462023</v>
          </cell>
          <cell r="GK51">
            <v>13.082262702206542</v>
          </cell>
        </row>
        <row r="52">
          <cell r="A52">
            <v>39532</v>
          </cell>
          <cell r="FR52">
            <v>24.790107407407405</v>
          </cell>
          <cell r="FS52">
            <v>22.314663874962239</v>
          </cell>
          <cell r="FT52">
            <v>20.116606119778133</v>
          </cell>
          <cell r="FU52">
            <v>17.065595346429742</v>
          </cell>
          <cell r="FV52">
            <v>23.167616893126525</v>
          </cell>
          <cell r="GG52">
            <v>9.4975198869744162</v>
          </cell>
          <cell r="GH52">
            <v>13.982143405445317</v>
          </cell>
          <cell r="GI52">
            <v>10.408007395026372</v>
          </cell>
          <cell r="GJ52">
            <v>7.7337520878462023</v>
          </cell>
          <cell r="GK52">
            <v>13.082262702206542</v>
          </cell>
        </row>
        <row r="53">
          <cell r="A53">
            <v>39533</v>
          </cell>
          <cell r="FR53">
            <v>24.419751851851849</v>
          </cell>
          <cell r="FS53">
            <v>22.314663874962239</v>
          </cell>
          <cell r="FT53">
            <v>20.116606119778133</v>
          </cell>
          <cell r="FU53">
            <v>17.065595346429742</v>
          </cell>
          <cell r="FV53">
            <v>23.167616893126525</v>
          </cell>
          <cell r="GG53">
            <v>9.2726238520839086</v>
          </cell>
          <cell r="GH53">
            <v>13.982143405445317</v>
          </cell>
          <cell r="GI53">
            <v>10.408007395026372</v>
          </cell>
          <cell r="GJ53">
            <v>7.7337520878462023</v>
          </cell>
          <cell r="GK53">
            <v>13.082262702206542</v>
          </cell>
        </row>
        <row r="54">
          <cell r="A54">
            <v>39534</v>
          </cell>
          <cell r="FR54">
            <v>25.703695061728393</v>
          </cell>
          <cell r="FS54">
            <v>22.314663874962239</v>
          </cell>
          <cell r="FT54">
            <v>20.116606119778133</v>
          </cell>
          <cell r="FU54">
            <v>17.065595346429742</v>
          </cell>
          <cell r="FV54">
            <v>23.167616893126525</v>
          </cell>
          <cell r="GG54">
            <v>9.6869071531680948</v>
          </cell>
          <cell r="GH54">
            <v>13.982143405445317</v>
          </cell>
          <cell r="GI54">
            <v>10.408007395026372</v>
          </cell>
          <cell r="GJ54">
            <v>7.7337520878462023</v>
          </cell>
          <cell r="GK54">
            <v>13.082262702206542</v>
          </cell>
        </row>
        <row r="55">
          <cell r="A55">
            <v>39535</v>
          </cell>
          <cell r="FR55">
            <v>25.345677777777777</v>
          </cell>
          <cell r="FS55">
            <v>22.314663874962239</v>
          </cell>
          <cell r="FT55">
            <v>20.116606119778133</v>
          </cell>
          <cell r="FU55">
            <v>17.065595346429742</v>
          </cell>
          <cell r="FV55">
            <v>23.167616893126525</v>
          </cell>
          <cell r="GG55">
            <v>9.5685401885807302</v>
          </cell>
          <cell r="GH55">
            <v>13.982143405445317</v>
          </cell>
          <cell r="GI55">
            <v>10.408007395026372</v>
          </cell>
          <cell r="GJ55">
            <v>7.7337520878462023</v>
          </cell>
          <cell r="GK55">
            <v>13.082262702206542</v>
          </cell>
        </row>
        <row r="56">
          <cell r="A56">
            <v>39538</v>
          </cell>
          <cell r="FR56">
            <v>25.678997530864194</v>
          </cell>
          <cell r="FS56">
            <v>22.314663874962239</v>
          </cell>
          <cell r="FT56">
            <v>20.116606119778133</v>
          </cell>
          <cell r="FU56">
            <v>17.065595346429742</v>
          </cell>
          <cell r="FV56">
            <v>23.167616893126525</v>
          </cell>
          <cell r="GG56">
            <v>9.7790976381338499</v>
          </cell>
          <cell r="GH56">
            <v>13.982143405445317</v>
          </cell>
          <cell r="GI56">
            <v>10.408007395026372</v>
          </cell>
          <cell r="GJ56">
            <v>7.7337520878462023</v>
          </cell>
          <cell r="GK56">
            <v>13.082262702206542</v>
          </cell>
        </row>
        <row r="57">
          <cell r="A57">
            <v>39539</v>
          </cell>
          <cell r="FR57">
            <v>26.469120987654318</v>
          </cell>
          <cell r="FS57">
            <v>22.314663874962239</v>
          </cell>
          <cell r="FT57">
            <v>20.116606119778133</v>
          </cell>
          <cell r="FU57">
            <v>17.065595346429742</v>
          </cell>
          <cell r="FV57">
            <v>23.167616893126525</v>
          </cell>
          <cell r="GG57">
            <v>10.086573604840444</v>
          </cell>
          <cell r="GH57">
            <v>13.982143405445317</v>
          </cell>
          <cell r="GI57">
            <v>10.408007395026372</v>
          </cell>
          <cell r="GJ57">
            <v>7.7337520878462023</v>
          </cell>
          <cell r="GK57">
            <v>13.082262702206542</v>
          </cell>
        </row>
        <row r="58">
          <cell r="A58">
            <v>39540</v>
          </cell>
          <cell r="FR58">
            <v>26.493817283950616</v>
          </cell>
          <cell r="FS58">
            <v>22.314663874962239</v>
          </cell>
          <cell r="FT58">
            <v>20.116606119778133</v>
          </cell>
          <cell r="FU58">
            <v>17.065595346429742</v>
          </cell>
          <cell r="FV58">
            <v>23.167616893126525</v>
          </cell>
          <cell r="GG58">
            <v>10.16495009060475</v>
          </cell>
          <cell r="GH58">
            <v>13.982143405445317</v>
          </cell>
          <cell r="GI58">
            <v>10.408007395026372</v>
          </cell>
          <cell r="GJ58">
            <v>7.7337520878462023</v>
          </cell>
          <cell r="GK58">
            <v>13.082262702206542</v>
          </cell>
        </row>
        <row r="59">
          <cell r="A59">
            <v>39541</v>
          </cell>
          <cell r="FR59">
            <v>26.148139506172836</v>
          </cell>
          <cell r="FS59">
            <v>22.314663874962239</v>
          </cell>
          <cell r="FT59">
            <v>20.116606119778133</v>
          </cell>
          <cell r="FU59">
            <v>17.065595346429742</v>
          </cell>
          <cell r="FV59">
            <v>23.167616893126525</v>
          </cell>
          <cell r="GG59">
            <v>9.9780530728830747</v>
          </cell>
          <cell r="GH59">
            <v>13.982143405445317</v>
          </cell>
          <cell r="GI59">
            <v>10.408007395026372</v>
          </cell>
          <cell r="GJ59">
            <v>7.7337520878462023</v>
          </cell>
          <cell r="GK59">
            <v>13.082262702206542</v>
          </cell>
        </row>
        <row r="60">
          <cell r="A60">
            <v>39542</v>
          </cell>
          <cell r="FR60">
            <v>26.259246913580245</v>
          </cell>
          <cell r="FS60">
            <v>22.314663874962239</v>
          </cell>
          <cell r="FT60">
            <v>20.116606119778133</v>
          </cell>
          <cell r="FU60">
            <v>17.065595346429742</v>
          </cell>
          <cell r="FV60">
            <v>23.167616893126525</v>
          </cell>
          <cell r="GG60">
            <v>10.104658926871219</v>
          </cell>
          <cell r="GH60">
            <v>13.982143405445317</v>
          </cell>
          <cell r="GI60">
            <v>10.408007395026372</v>
          </cell>
          <cell r="GJ60">
            <v>7.7337520878462023</v>
          </cell>
          <cell r="GK60">
            <v>13.082262702206542</v>
          </cell>
        </row>
        <row r="61">
          <cell r="A61">
            <v>39545</v>
          </cell>
          <cell r="FR61">
            <v>26.086407407407403</v>
          </cell>
          <cell r="FS61">
            <v>22.314663874962239</v>
          </cell>
          <cell r="FT61">
            <v>20.116606119778133</v>
          </cell>
          <cell r="FU61">
            <v>17.065595346429742</v>
          </cell>
          <cell r="FV61">
            <v>23.167616893126525</v>
          </cell>
          <cell r="GG61">
            <v>9.9840818206947404</v>
          </cell>
          <cell r="GH61">
            <v>13.982143405445317</v>
          </cell>
          <cell r="GI61">
            <v>10.408007395026372</v>
          </cell>
          <cell r="GJ61">
            <v>7.7337520878462023</v>
          </cell>
          <cell r="GK61">
            <v>13.082262702206542</v>
          </cell>
        </row>
        <row r="62">
          <cell r="A62">
            <v>39546</v>
          </cell>
          <cell r="FR62">
            <v>26.148139506172836</v>
          </cell>
          <cell r="FS62">
            <v>22.314663874962239</v>
          </cell>
          <cell r="FT62">
            <v>20.116606119778133</v>
          </cell>
          <cell r="FU62">
            <v>17.065595346429742</v>
          </cell>
          <cell r="FV62">
            <v>23.167616893126525</v>
          </cell>
          <cell r="GG62">
            <v>9.9539365459627138</v>
          </cell>
          <cell r="GH62">
            <v>13.982143405445317</v>
          </cell>
          <cell r="GI62">
            <v>10.408007395026372</v>
          </cell>
          <cell r="GJ62">
            <v>7.7337520878462023</v>
          </cell>
          <cell r="GK62">
            <v>13.082262702206542</v>
          </cell>
        </row>
        <row r="63">
          <cell r="A63">
            <v>39547</v>
          </cell>
          <cell r="FR63">
            <v>25.888871604938267</v>
          </cell>
          <cell r="FS63">
            <v>22.314663874962239</v>
          </cell>
          <cell r="FT63">
            <v>20.116606119778133</v>
          </cell>
          <cell r="FU63">
            <v>17.065595346429742</v>
          </cell>
          <cell r="FV63">
            <v>23.167616893126525</v>
          </cell>
          <cell r="GG63">
            <v>9.8815897294142943</v>
          </cell>
          <cell r="GH63">
            <v>13.982143405445317</v>
          </cell>
          <cell r="GI63">
            <v>10.408007395026372</v>
          </cell>
          <cell r="GJ63">
            <v>7.7337520878462023</v>
          </cell>
          <cell r="GK63">
            <v>13.082262702206542</v>
          </cell>
        </row>
        <row r="64">
          <cell r="A64">
            <v>39548</v>
          </cell>
          <cell r="FR64">
            <v>26.086407407407403</v>
          </cell>
          <cell r="FS64">
            <v>22.314663874962239</v>
          </cell>
          <cell r="FT64">
            <v>20.116606119778133</v>
          </cell>
          <cell r="FU64">
            <v>17.065595346429742</v>
          </cell>
          <cell r="FV64">
            <v>23.167616893126525</v>
          </cell>
          <cell r="GG64">
            <v>10.014226788292024</v>
          </cell>
          <cell r="GH64">
            <v>13.982143405445317</v>
          </cell>
          <cell r="GI64">
            <v>10.408007395026372</v>
          </cell>
          <cell r="GJ64">
            <v>7.7337520878462023</v>
          </cell>
          <cell r="GK64">
            <v>13.082262702206542</v>
          </cell>
        </row>
        <row r="65">
          <cell r="A65">
            <v>39549</v>
          </cell>
          <cell r="FR65">
            <v>25.839497530864197</v>
          </cell>
          <cell r="FS65">
            <v>22.314663874962239</v>
          </cell>
          <cell r="FT65">
            <v>20.116606119778133</v>
          </cell>
          <cell r="FU65">
            <v>17.065595346429742</v>
          </cell>
          <cell r="FV65">
            <v>23.167616893126525</v>
          </cell>
          <cell r="GG65">
            <v>9.839387266193679</v>
          </cell>
          <cell r="GH65">
            <v>13.982143405445317</v>
          </cell>
          <cell r="GI65">
            <v>10.408007395026372</v>
          </cell>
          <cell r="GJ65">
            <v>7.7337520878462023</v>
          </cell>
          <cell r="GK65">
            <v>13.082262702206542</v>
          </cell>
        </row>
        <row r="66">
          <cell r="A66">
            <v>39552</v>
          </cell>
          <cell r="FR66">
            <v>25.567891358024688</v>
          </cell>
          <cell r="FS66">
            <v>22.314663874962239</v>
          </cell>
          <cell r="FT66">
            <v>20.116606119778133</v>
          </cell>
          <cell r="FU66">
            <v>17.065595346429742</v>
          </cell>
          <cell r="FV66">
            <v>23.167616893126525</v>
          </cell>
          <cell r="GG66">
            <v>9.7368951749132346</v>
          </cell>
          <cell r="GH66">
            <v>13.982143405445317</v>
          </cell>
          <cell r="GI66">
            <v>10.408007395026372</v>
          </cell>
          <cell r="GJ66">
            <v>7.7337520878462023</v>
          </cell>
          <cell r="GK66">
            <v>13.082262702206542</v>
          </cell>
        </row>
        <row r="67">
          <cell r="A67">
            <v>39553</v>
          </cell>
          <cell r="FR67">
            <v>25.654319753086419</v>
          </cell>
          <cell r="FS67">
            <v>22.314663874962239</v>
          </cell>
          <cell r="FT67">
            <v>20.116606119778133</v>
          </cell>
          <cell r="FU67">
            <v>17.065595346429742</v>
          </cell>
          <cell r="FV67">
            <v>23.167616893126525</v>
          </cell>
          <cell r="GG67">
            <v>9.839387266193679</v>
          </cell>
          <cell r="GH67">
            <v>13.982143405445317</v>
          </cell>
          <cell r="GI67">
            <v>10.408007395026372</v>
          </cell>
          <cell r="GJ67">
            <v>7.7337520878462023</v>
          </cell>
          <cell r="GK67">
            <v>13.082262702206542</v>
          </cell>
        </row>
        <row r="68">
          <cell r="A68">
            <v>39554</v>
          </cell>
          <cell r="FR68">
            <v>25.654319753086419</v>
          </cell>
          <cell r="FS68">
            <v>22.314663874962239</v>
          </cell>
          <cell r="FT68">
            <v>20.116606119778133</v>
          </cell>
          <cell r="FU68">
            <v>17.065595346429742</v>
          </cell>
          <cell r="FV68">
            <v>23.167616893126525</v>
          </cell>
          <cell r="GG68">
            <v>9.7790976381338499</v>
          </cell>
          <cell r="GH68">
            <v>13.982143405445317</v>
          </cell>
          <cell r="GI68">
            <v>10.408007395026372</v>
          </cell>
          <cell r="GJ68">
            <v>7.7337520878462023</v>
          </cell>
          <cell r="GK68">
            <v>13.082262702206542</v>
          </cell>
        </row>
        <row r="69">
          <cell r="A69">
            <v>39555</v>
          </cell>
          <cell r="FR69">
            <v>25.204818072289157</v>
          </cell>
          <cell r="FS69">
            <v>22.314663874962239</v>
          </cell>
          <cell r="FT69">
            <v>20.116606119778133</v>
          </cell>
          <cell r="FU69">
            <v>17.065595346429742</v>
          </cell>
          <cell r="FV69">
            <v>23.167616893126525</v>
          </cell>
          <cell r="GG69">
            <v>9.8056055523067922</v>
          </cell>
          <cell r="GH69">
            <v>13.982143405445317</v>
          </cell>
          <cell r="GI69">
            <v>10.408007395026372</v>
          </cell>
          <cell r="GJ69">
            <v>7.7337520878462023</v>
          </cell>
          <cell r="GK69">
            <v>13.082262702206542</v>
          </cell>
        </row>
        <row r="70">
          <cell r="A70">
            <v>39556</v>
          </cell>
          <cell r="FR70">
            <v>25.481920481927713</v>
          </cell>
          <cell r="FS70">
            <v>22.314663874962239</v>
          </cell>
          <cell r="FT70">
            <v>20.116606119778133</v>
          </cell>
          <cell r="FU70">
            <v>17.065595346429742</v>
          </cell>
          <cell r="FV70">
            <v>23.167616893126525</v>
          </cell>
          <cell r="GG70">
            <v>9.9506029361977149</v>
          </cell>
          <cell r="GH70">
            <v>13.982143405445317</v>
          </cell>
          <cell r="GI70">
            <v>10.408007395026372</v>
          </cell>
          <cell r="GJ70">
            <v>7.7337520878462023</v>
          </cell>
          <cell r="GK70">
            <v>13.082262702206542</v>
          </cell>
        </row>
        <row r="71">
          <cell r="A71">
            <v>39559</v>
          </cell>
          <cell r="FR71">
            <v>26.289148192771087</v>
          </cell>
          <cell r="FS71">
            <v>22.314663874962239</v>
          </cell>
          <cell r="FT71">
            <v>20.116606119778133</v>
          </cell>
          <cell r="FU71">
            <v>17.065595346429742</v>
          </cell>
          <cell r="FV71">
            <v>23.167616893126525</v>
          </cell>
          <cell r="GG71">
            <v>10.162050413960788</v>
          </cell>
          <cell r="GH71">
            <v>13.982143405445317</v>
          </cell>
          <cell r="GI71">
            <v>10.408007395026372</v>
          </cell>
          <cell r="GJ71">
            <v>7.7337520878462023</v>
          </cell>
          <cell r="GK71">
            <v>13.082262702206542</v>
          </cell>
        </row>
        <row r="72">
          <cell r="A72">
            <v>39560</v>
          </cell>
          <cell r="FR72">
            <v>25.795167469879519</v>
          </cell>
          <cell r="FS72">
            <v>22.314663874962239</v>
          </cell>
          <cell r="FT72">
            <v>20.116606119778133</v>
          </cell>
          <cell r="FU72">
            <v>17.065595346429742</v>
          </cell>
          <cell r="FV72">
            <v>23.167616893126525</v>
          </cell>
          <cell r="GG72">
            <v>9.9687276476562729</v>
          </cell>
          <cell r="GH72">
            <v>13.982143405445317</v>
          </cell>
          <cell r="GI72">
            <v>10.408007395026372</v>
          </cell>
          <cell r="GJ72">
            <v>7.7337520878462023</v>
          </cell>
          <cell r="GK72">
            <v>13.082262702206542</v>
          </cell>
        </row>
        <row r="73">
          <cell r="A73">
            <v>39561</v>
          </cell>
          <cell r="FR73">
            <v>26.927700000000002</v>
          </cell>
          <cell r="FS73">
            <v>22.314663874962239</v>
          </cell>
          <cell r="FT73">
            <v>20.116606119778133</v>
          </cell>
          <cell r="FU73">
            <v>17.065595346429742</v>
          </cell>
          <cell r="FV73">
            <v>23.167616893126525</v>
          </cell>
          <cell r="GG73">
            <v>10.319136376227261</v>
          </cell>
          <cell r="GH73">
            <v>13.982143405445317</v>
          </cell>
          <cell r="GI73">
            <v>10.408007395026372</v>
          </cell>
          <cell r="GJ73">
            <v>7.7337520878462023</v>
          </cell>
          <cell r="GK73">
            <v>13.082262702206542</v>
          </cell>
        </row>
        <row r="74">
          <cell r="A74">
            <v>39562</v>
          </cell>
          <cell r="FR74">
            <v>26.337332530120481</v>
          </cell>
          <cell r="FS74">
            <v>22.314663874962239</v>
          </cell>
          <cell r="FT74">
            <v>20.116606119778133</v>
          </cell>
          <cell r="FU74">
            <v>17.065595346429742</v>
          </cell>
          <cell r="FV74">
            <v>23.167616893126525</v>
          </cell>
          <cell r="GG74">
            <v>10.343301837431902</v>
          </cell>
          <cell r="GH74">
            <v>13.982143405445317</v>
          </cell>
          <cell r="GI74">
            <v>10.408007395026372</v>
          </cell>
          <cell r="GJ74">
            <v>7.7337520878462023</v>
          </cell>
          <cell r="GK74">
            <v>13.082262702206542</v>
          </cell>
        </row>
        <row r="75">
          <cell r="A75">
            <v>39563</v>
          </cell>
          <cell r="FR75">
            <v>26.867455421686746</v>
          </cell>
          <cell r="FS75">
            <v>22.314663874962239</v>
          </cell>
          <cell r="FT75">
            <v>20.116606119778133</v>
          </cell>
          <cell r="FU75">
            <v>17.065595346429742</v>
          </cell>
          <cell r="FV75">
            <v>23.167616893126525</v>
          </cell>
          <cell r="GG75">
            <v>10.415797297713212</v>
          </cell>
          <cell r="GH75">
            <v>13.982143405445317</v>
          </cell>
          <cell r="GI75">
            <v>10.408007395026372</v>
          </cell>
          <cell r="GJ75">
            <v>7.7337520878462023</v>
          </cell>
          <cell r="GK75">
            <v>13.082262702206542</v>
          </cell>
        </row>
        <row r="76">
          <cell r="A76">
            <v>39566</v>
          </cell>
          <cell r="FR76">
            <v>26.903598795180724</v>
          </cell>
          <cell r="FS76">
            <v>22.314663874962239</v>
          </cell>
          <cell r="FT76">
            <v>20.116606119778133</v>
          </cell>
          <cell r="FU76">
            <v>17.065595346429742</v>
          </cell>
          <cell r="FV76">
            <v>23.167616893126525</v>
          </cell>
          <cell r="GG76">
            <v>10.542674894586192</v>
          </cell>
          <cell r="GH76">
            <v>13.982143405445317</v>
          </cell>
          <cell r="GI76">
            <v>10.408007395026372</v>
          </cell>
          <cell r="GJ76">
            <v>7.7337520878462023</v>
          </cell>
          <cell r="GK76">
            <v>13.082262702206542</v>
          </cell>
        </row>
        <row r="77">
          <cell r="A77">
            <v>39567</v>
          </cell>
          <cell r="FR77">
            <v>26.493965060240964</v>
          </cell>
          <cell r="FS77">
            <v>22.314663874962239</v>
          </cell>
          <cell r="FT77">
            <v>20.116606119778133</v>
          </cell>
          <cell r="FU77">
            <v>17.065595346429742</v>
          </cell>
          <cell r="FV77">
            <v>23.167616893126525</v>
          </cell>
          <cell r="GG77">
            <v>10.373509895047857</v>
          </cell>
          <cell r="GH77">
            <v>13.982143405445317</v>
          </cell>
          <cell r="GI77">
            <v>10.408007395026372</v>
          </cell>
          <cell r="GJ77">
            <v>7.7337520878462023</v>
          </cell>
          <cell r="GK77">
            <v>13.082262702206542</v>
          </cell>
        </row>
        <row r="78">
          <cell r="A78">
            <v>39568</v>
          </cell>
          <cell r="FR78">
            <v>26.759026506024096</v>
          </cell>
          <cell r="FS78">
            <v>22.314663874962239</v>
          </cell>
          <cell r="FT78">
            <v>20.116606119778133</v>
          </cell>
          <cell r="FU78">
            <v>17.065595346429742</v>
          </cell>
          <cell r="FV78">
            <v>23.167616893126525</v>
          </cell>
          <cell r="GG78">
            <v>10.506423317226307</v>
          </cell>
          <cell r="GH78">
            <v>13.982143405445317</v>
          </cell>
          <cell r="GI78">
            <v>10.408007395026372</v>
          </cell>
          <cell r="GJ78">
            <v>7.7337520878462023</v>
          </cell>
          <cell r="GK78">
            <v>13.082262702206542</v>
          </cell>
        </row>
        <row r="79">
          <cell r="A79">
            <v>39569</v>
          </cell>
          <cell r="FR79">
            <v>27.060231325301206</v>
          </cell>
          <cell r="FS79">
            <v>22.314663874962239</v>
          </cell>
          <cell r="FT79">
            <v>20.116606119778133</v>
          </cell>
          <cell r="FU79">
            <v>17.065595346429742</v>
          </cell>
          <cell r="FV79">
            <v>23.167616893126525</v>
          </cell>
          <cell r="GG79">
            <v>10.506423317226307</v>
          </cell>
          <cell r="GH79">
            <v>13.982143405445317</v>
          </cell>
          <cell r="GI79">
            <v>10.408007395026372</v>
          </cell>
          <cell r="GJ79">
            <v>7.7337520878462023</v>
          </cell>
          <cell r="GK79">
            <v>13.082262702206542</v>
          </cell>
        </row>
        <row r="80">
          <cell r="A80">
            <v>39570</v>
          </cell>
          <cell r="FR80">
            <v>26.722883132530121</v>
          </cell>
          <cell r="FS80">
            <v>22.314663874962239</v>
          </cell>
          <cell r="FT80">
            <v>20.116606119778133</v>
          </cell>
          <cell r="FU80">
            <v>17.065595346429742</v>
          </cell>
          <cell r="FV80">
            <v>23.167616893126525</v>
          </cell>
          <cell r="GG80">
            <v>10.609126527346032</v>
          </cell>
          <cell r="GH80">
            <v>13.982143405445317</v>
          </cell>
          <cell r="GI80">
            <v>10.408007395026372</v>
          </cell>
          <cell r="GJ80">
            <v>7.7337520878462023</v>
          </cell>
          <cell r="GK80">
            <v>13.082262702206542</v>
          </cell>
        </row>
        <row r="81">
          <cell r="A81">
            <v>39573</v>
          </cell>
          <cell r="FR81">
            <v>26.602393975903613</v>
          </cell>
          <cell r="FS81">
            <v>22.314663874962239</v>
          </cell>
          <cell r="FT81">
            <v>20.116606119778133</v>
          </cell>
          <cell r="FU81">
            <v>17.065595346429742</v>
          </cell>
          <cell r="FV81">
            <v>23.167616893126525</v>
          </cell>
          <cell r="GG81">
            <v>10.554753008525436</v>
          </cell>
          <cell r="GH81">
            <v>13.982143405445317</v>
          </cell>
          <cell r="GI81">
            <v>10.408007395026372</v>
          </cell>
          <cell r="GJ81">
            <v>7.7337520878462023</v>
          </cell>
          <cell r="GK81">
            <v>13.082262702206542</v>
          </cell>
        </row>
        <row r="82">
          <cell r="A82">
            <v>39574</v>
          </cell>
          <cell r="FR82">
            <v>26.650597590361446</v>
          </cell>
          <cell r="FS82">
            <v>22.314663874962239</v>
          </cell>
          <cell r="FT82">
            <v>20.116606119778133</v>
          </cell>
          <cell r="FU82">
            <v>17.065595346429742</v>
          </cell>
          <cell r="FV82">
            <v>23.167616893126525</v>
          </cell>
          <cell r="GG82">
            <v>10.391631836508571</v>
          </cell>
          <cell r="GH82">
            <v>13.982143405445317</v>
          </cell>
          <cell r="GI82">
            <v>10.408007395026372</v>
          </cell>
          <cell r="GJ82">
            <v>7.7337520878462023</v>
          </cell>
          <cell r="GK82">
            <v>13.082262702206542</v>
          </cell>
        </row>
        <row r="83">
          <cell r="A83">
            <v>39575</v>
          </cell>
          <cell r="FR83">
            <v>25.927698795180724</v>
          </cell>
          <cell r="FS83">
            <v>22.314663874962239</v>
          </cell>
          <cell r="FT83">
            <v>20.116606119778133</v>
          </cell>
          <cell r="FU83">
            <v>17.065595346429742</v>
          </cell>
          <cell r="FV83">
            <v>23.167616893126525</v>
          </cell>
          <cell r="GG83">
            <v>10.373509895047857</v>
          </cell>
          <cell r="GH83">
            <v>13.982143405445317</v>
          </cell>
          <cell r="GI83">
            <v>10.408007395026372</v>
          </cell>
          <cell r="GJ83">
            <v>7.7337520878462023</v>
          </cell>
          <cell r="GK83">
            <v>13.082262702206542</v>
          </cell>
        </row>
        <row r="84">
          <cell r="A84">
            <v>39576</v>
          </cell>
          <cell r="FR84">
            <v>26.831313253012048</v>
          </cell>
          <cell r="FS84">
            <v>22.314663874962239</v>
          </cell>
          <cell r="FT84">
            <v>20.116606119778133</v>
          </cell>
          <cell r="FU84">
            <v>17.065595346429742</v>
          </cell>
          <cell r="FV84">
            <v>23.167616893126525</v>
          </cell>
          <cell r="GG84">
            <v>10.645378412483456</v>
          </cell>
          <cell r="GH84">
            <v>13.982143405445317</v>
          </cell>
          <cell r="GI84">
            <v>10.408007395026372</v>
          </cell>
          <cell r="GJ84">
            <v>7.7337520878462023</v>
          </cell>
          <cell r="GK84">
            <v>13.082262702206542</v>
          </cell>
        </row>
        <row r="85">
          <cell r="A85">
            <v>39577</v>
          </cell>
          <cell r="FR85">
            <v>25.831310843373494</v>
          </cell>
          <cell r="FS85">
            <v>22.314663874962239</v>
          </cell>
          <cell r="FT85">
            <v>20.116606119778133</v>
          </cell>
          <cell r="FU85">
            <v>17.065595346429742</v>
          </cell>
          <cell r="FV85">
            <v>23.167616893126525</v>
          </cell>
          <cell r="GG85">
            <v>10.270798374934596</v>
          </cell>
          <cell r="GH85">
            <v>13.982143405445317</v>
          </cell>
          <cell r="GI85">
            <v>10.408007395026372</v>
          </cell>
          <cell r="GJ85">
            <v>7.7337520878462023</v>
          </cell>
          <cell r="GK85">
            <v>13.082262702206542</v>
          </cell>
        </row>
        <row r="86">
          <cell r="A86">
            <v>39580</v>
          </cell>
          <cell r="FR86">
            <v>26.036127710843374</v>
          </cell>
          <cell r="FS86">
            <v>22.314663874962239</v>
          </cell>
          <cell r="FT86">
            <v>20.116606119778133</v>
          </cell>
          <cell r="FU86">
            <v>17.065595346429742</v>
          </cell>
          <cell r="FV86">
            <v>23.167616893126525</v>
          </cell>
          <cell r="GG86">
            <v>10.216424856113999</v>
          </cell>
          <cell r="GH86">
            <v>13.982143405445317</v>
          </cell>
          <cell r="GI86">
            <v>10.408007395026372</v>
          </cell>
          <cell r="GJ86">
            <v>7.7337520878462023</v>
          </cell>
          <cell r="GK86">
            <v>13.082262702206542</v>
          </cell>
        </row>
        <row r="87">
          <cell r="A87">
            <v>39581</v>
          </cell>
          <cell r="FR87">
            <v>26.156616867469879</v>
          </cell>
          <cell r="FS87">
            <v>22.314663874962239</v>
          </cell>
          <cell r="FT87">
            <v>20.116606119778133</v>
          </cell>
          <cell r="FU87">
            <v>17.065595346429742</v>
          </cell>
          <cell r="FV87">
            <v>23.167616893126525</v>
          </cell>
          <cell r="GG87">
            <v>10.307049952294479</v>
          </cell>
          <cell r="GH87">
            <v>13.982143405445317</v>
          </cell>
          <cell r="GI87">
            <v>10.408007395026372</v>
          </cell>
          <cell r="GJ87">
            <v>7.7337520878462023</v>
          </cell>
          <cell r="GK87">
            <v>13.082262702206542</v>
          </cell>
        </row>
        <row r="88">
          <cell r="A88">
            <v>39582</v>
          </cell>
          <cell r="FR88">
            <v>25.698779518072289</v>
          </cell>
          <cell r="FS88">
            <v>22.314663874962239</v>
          </cell>
          <cell r="FT88">
            <v>20.116606119778133</v>
          </cell>
          <cell r="FU88">
            <v>17.065595346429742</v>
          </cell>
          <cell r="FV88">
            <v>23.167616893126525</v>
          </cell>
          <cell r="GG88">
            <v>10.264762857406666</v>
          </cell>
          <cell r="GH88">
            <v>13.982143405445317</v>
          </cell>
          <cell r="GI88">
            <v>10.408007395026372</v>
          </cell>
          <cell r="GJ88">
            <v>7.7337520878462023</v>
          </cell>
          <cell r="GK88">
            <v>13.082262702206542</v>
          </cell>
        </row>
        <row r="89">
          <cell r="A89">
            <v>39583</v>
          </cell>
          <cell r="FR89">
            <v>25.337202325581394</v>
          </cell>
          <cell r="FS89">
            <v>22.314663874962239</v>
          </cell>
          <cell r="FT89">
            <v>20.116606119778133</v>
          </cell>
          <cell r="FU89">
            <v>17.065595346429742</v>
          </cell>
          <cell r="FV89">
            <v>23.167616893126525</v>
          </cell>
          <cell r="GG89">
            <v>10.068125037231189</v>
          </cell>
          <cell r="GH89">
            <v>13.982143405445317</v>
          </cell>
          <cell r="GI89">
            <v>10.408007395026372</v>
          </cell>
          <cell r="GJ89">
            <v>7.7337520878462023</v>
          </cell>
          <cell r="GK89">
            <v>13.082262702206542</v>
          </cell>
        </row>
        <row r="90">
          <cell r="A90">
            <v>39584</v>
          </cell>
          <cell r="FR90">
            <v>25.348823255813954</v>
          </cell>
          <cell r="FS90">
            <v>22.314663874962239</v>
          </cell>
          <cell r="FT90">
            <v>20.116606119778133</v>
          </cell>
          <cell r="FU90">
            <v>17.065595346429742</v>
          </cell>
          <cell r="FV90">
            <v>23.167616893126525</v>
          </cell>
          <cell r="GG90">
            <v>9.9511887174599387</v>
          </cell>
          <cell r="GH90">
            <v>13.982143405445317</v>
          </cell>
          <cell r="GI90">
            <v>10.408007395026372</v>
          </cell>
          <cell r="GJ90">
            <v>7.7337520878462023</v>
          </cell>
          <cell r="GK90">
            <v>13.082262702206542</v>
          </cell>
        </row>
        <row r="91">
          <cell r="A91">
            <v>39587</v>
          </cell>
          <cell r="FR91">
            <v>25.23255465116279</v>
          </cell>
          <cell r="FS91">
            <v>22.314663874962239</v>
          </cell>
          <cell r="FT91">
            <v>20.116606119778133</v>
          </cell>
          <cell r="FU91">
            <v>17.065595346429742</v>
          </cell>
          <cell r="FV91">
            <v>23.167616893126525</v>
          </cell>
          <cell r="GG91">
            <v>9.9979603264430796</v>
          </cell>
          <cell r="GH91">
            <v>13.982143405445317</v>
          </cell>
          <cell r="GI91">
            <v>10.408007395026372</v>
          </cell>
          <cell r="GJ91">
            <v>7.7337520878462023</v>
          </cell>
          <cell r="GK91">
            <v>13.082262702206542</v>
          </cell>
        </row>
        <row r="92">
          <cell r="A92">
            <v>39588</v>
          </cell>
          <cell r="FR92">
            <v>24.9651</v>
          </cell>
          <cell r="FS92">
            <v>22.314663874962239</v>
          </cell>
          <cell r="FT92">
            <v>20.116606119778133</v>
          </cell>
          <cell r="FU92">
            <v>17.065595346429742</v>
          </cell>
          <cell r="FV92">
            <v>23.167616893126525</v>
          </cell>
          <cell r="GG92">
            <v>9.8401009709894556</v>
          </cell>
          <cell r="GH92">
            <v>13.982143405445317</v>
          </cell>
          <cell r="GI92">
            <v>10.408007395026372</v>
          </cell>
          <cell r="GJ92">
            <v>7.7337520878462023</v>
          </cell>
          <cell r="GK92">
            <v>13.082262702206542</v>
          </cell>
        </row>
        <row r="93">
          <cell r="A93">
            <v>39589</v>
          </cell>
          <cell r="FR93">
            <v>24.499991860465116</v>
          </cell>
          <cell r="FS93">
            <v>22.314663874962239</v>
          </cell>
          <cell r="FT93">
            <v>20.116606119778133</v>
          </cell>
          <cell r="FU93">
            <v>17.065595346429742</v>
          </cell>
          <cell r="FV93">
            <v>23.167616893126525</v>
          </cell>
          <cell r="GG93">
            <v>9.7407118603681422</v>
          </cell>
          <cell r="GH93">
            <v>13.982143405445317</v>
          </cell>
          <cell r="GI93">
            <v>10.408007395026372</v>
          </cell>
          <cell r="GJ93">
            <v>7.7337520878462023</v>
          </cell>
          <cell r="GK93">
            <v>13.082262702206542</v>
          </cell>
        </row>
        <row r="94">
          <cell r="A94">
            <v>39590</v>
          </cell>
          <cell r="FR94">
            <v>24.23255465116279</v>
          </cell>
          <cell r="FS94">
            <v>22.314663874962239</v>
          </cell>
          <cell r="FT94">
            <v>20.116606119778133</v>
          </cell>
          <cell r="FU94">
            <v>17.065595346429742</v>
          </cell>
          <cell r="FV94">
            <v>23.167616893126525</v>
          </cell>
          <cell r="GG94">
            <v>9.5711586346577704</v>
          </cell>
          <cell r="GH94">
            <v>13.982143405445317</v>
          </cell>
          <cell r="GI94">
            <v>10.408007395026372</v>
          </cell>
          <cell r="GJ94">
            <v>7.7337520878462023</v>
          </cell>
          <cell r="GK94">
            <v>13.082262702206542</v>
          </cell>
        </row>
        <row r="95">
          <cell r="A95">
            <v>39591</v>
          </cell>
          <cell r="FR95">
            <v>24.011620930232557</v>
          </cell>
          <cell r="FS95">
            <v>22.314663874962239</v>
          </cell>
          <cell r="FT95">
            <v>20.116606119778133</v>
          </cell>
          <cell r="FU95">
            <v>17.065595346429742</v>
          </cell>
          <cell r="FV95">
            <v>23.167616893126525</v>
          </cell>
          <cell r="GG95">
            <v>9.512692559718829</v>
          </cell>
          <cell r="GH95">
            <v>13.982143405445317</v>
          </cell>
          <cell r="GI95">
            <v>10.408007395026372</v>
          </cell>
          <cell r="GJ95">
            <v>7.7337520878462023</v>
          </cell>
          <cell r="GK95">
            <v>13.082262702206542</v>
          </cell>
        </row>
        <row r="96">
          <cell r="A96">
            <v>39594</v>
          </cell>
          <cell r="FR96">
            <v>24.011620930232557</v>
          </cell>
          <cell r="FS96">
            <v>22.314663874962239</v>
          </cell>
          <cell r="FT96">
            <v>20.116606119778133</v>
          </cell>
          <cell r="FU96">
            <v>17.065595346429742</v>
          </cell>
          <cell r="FV96">
            <v>23.167616893126525</v>
          </cell>
          <cell r="GG96">
            <v>9.512692559718829</v>
          </cell>
          <cell r="GH96">
            <v>13.982143405445317</v>
          </cell>
          <cell r="GI96">
            <v>10.408007395026372</v>
          </cell>
          <cell r="GJ96">
            <v>7.7337520878462023</v>
          </cell>
          <cell r="GK96">
            <v>13.082262702206542</v>
          </cell>
        </row>
        <row r="97">
          <cell r="A97">
            <v>39595</v>
          </cell>
          <cell r="FR97">
            <v>23.918596511627907</v>
          </cell>
          <cell r="FS97">
            <v>22.314663874962239</v>
          </cell>
          <cell r="FT97">
            <v>20.116606119778133</v>
          </cell>
          <cell r="FU97">
            <v>17.065595346429742</v>
          </cell>
          <cell r="FV97">
            <v>23.167616893126525</v>
          </cell>
          <cell r="GG97">
            <v>9.4191454697087025</v>
          </cell>
          <cell r="GH97">
            <v>13.982143405445317</v>
          </cell>
          <cell r="GI97">
            <v>10.408007395026372</v>
          </cell>
          <cell r="GJ97">
            <v>7.7337520878462023</v>
          </cell>
          <cell r="GK97">
            <v>13.082262702206542</v>
          </cell>
        </row>
        <row r="98">
          <cell r="A98">
            <v>39596</v>
          </cell>
          <cell r="FR98">
            <v>23.837209302325583</v>
          </cell>
          <cell r="FS98">
            <v>22.314663874962239</v>
          </cell>
          <cell r="FT98">
            <v>20.116606119778133</v>
          </cell>
          <cell r="FU98">
            <v>17.065595346429742</v>
          </cell>
          <cell r="FV98">
            <v>23.167616893126525</v>
          </cell>
          <cell r="GG98">
            <v>9.4659185679394753</v>
          </cell>
          <cell r="GH98">
            <v>13.982143405445317</v>
          </cell>
          <cell r="GI98">
            <v>10.408007395026372</v>
          </cell>
          <cell r="GJ98">
            <v>7.7337520878462023</v>
          </cell>
          <cell r="GK98">
            <v>13.082262702206542</v>
          </cell>
        </row>
        <row r="99">
          <cell r="A99">
            <v>39597</v>
          </cell>
          <cell r="FR99">
            <v>23.74418488372093</v>
          </cell>
          <cell r="FS99">
            <v>22.314663874962239</v>
          </cell>
          <cell r="FT99">
            <v>20.116606119778133</v>
          </cell>
          <cell r="FU99">
            <v>17.065595346429742</v>
          </cell>
          <cell r="FV99">
            <v>23.167616893126525</v>
          </cell>
          <cell r="GG99">
            <v>9.5360791088342172</v>
          </cell>
          <cell r="GH99">
            <v>13.982143405445317</v>
          </cell>
          <cell r="GI99">
            <v>10.408007395026372</v>
          </cell>
          <cell r="GJ99">
            <v>7.7337520878462023</v>
          </cell>
          <cell r="GK99">
            <v>13.082262702206542</v>
          </cell>
        </row>
        <row r="100">
          <cell r="A100">
            <v>39598</v>
          </cell>
          <cell r="FR100">
            <v>23.151150000000001</v>
          </cell>
          <cell r="FS100">
            <v>22.314663874962239</v>
          </cell>
          <cell r="FT100">
            <v>20.116606119778133</v>
          </cell>
          <cell r="FU100">
            <v>17.065595346429742</v>
          </cell>
          <cell r="FV100">
            <v>23.167616893126525</v>
          </cell>
          <cell r="GG100">
            <v>9.3255977839995232</v>
          </cell>
          <cell r="GH100">
            <v>13.982143405445317</v>
          </cell>
          <cell r="GI100">
            <v>10.408007395026372</v>
          </cell>
          <cell r="GJ100">
            <v>7.7337520878462023</v>
          </cell>
          <cell r="GK100">
            <v>13.082262702206542</v>
          </cell>
        </row>
        <row r="101">
          <cell r="A101">
            <v>39601</v>
          </cell>
          <cell r="FR101">
            <v>23.01162093023256</v>
          </cell>
          <cell r="FS101">
            <v>22.314663874962239</v>
          </cell>
          <cell r="FT101">
            <v>20.116606119778133</v>
          </cell>
          <cell r="FU101">
            <v>17.065595346429742</v>
          </cell>
          <cell r="FV101">
            <v>23.167616893126525</v>
          </cell>
          <cell r="GG101">
            <v>9.220358610829809</v>
          </cell>
          <cell r="GH101">
            <v>13.982143405445317</v>
          </cell>
          <cell r="GI101">
            <v>10.408007395026372</v>
          </cell>
          <cell r="GJ101">
            <v>7.7337520878462023</v>
          </cell>
          <cell r="GK101">
            <v>13.082262702206542</v>
          </cell>
        </row>
        <row r="102">
          <cell r="A102">
            <v>39602</v>
          </cell>
          <cell r="FR102">
            <v>22.720923255813954</v>
          </cell>
          <cell r="FS102">
            <v>22.314663874962239</v>
          </cell>
          <cell r="FT102">
            <v>20.116606119778133</v>
          </cell>
          <cell r="FU102">
            <v>17.065595346429742</v>
          </cell>
          <cell r="FV102">
            <v>23.167616893126525</v>
          </cell>
          <cell r="GG102">
            <v>9.2554381366533622</v>
          </cell>
          <cell r="GH102">
            <v>13.982143405445317</v>
          </cell>
          <cell r="GI102">
            <v>10.408007395026372</v>
          </cell>
          <cell r="GJ102">
            <v>7.7337520878462023</v>
          </cell>
          <cell r="GK102">
            <v>13.082262702206542</v>
          </cell>
        </row>
        <row r="103">
          <cell r="A103">
            <v>39603</v>
          </cell>
          <cell r="FR103">
            <v>22.918595348837208</v>
          </cell>
          <cell r="FS103">
            <v>22.314663874962239</v>
          </cell>
          <cell r="FT103">
            <v>20.116606119778133</v>
          </cell>
          <cell r="FU103">
            <v>17.065595346429742</v>
          </cell>
          <cell r="FV103">
            <v>23.167616893126525</v>
          </cell>
          <cell r="GG103">
            <v>9.2846717698218857</v>
          </cell>
          <cell r="GH103">
            <v>13.982143405445317</v>
          </cell>
          <cell r="GI103">
            <v>10.408007395026372</v>
          </cell>
          <cell r="GJ103">
            <v>7.7337520878462023</v>
          </cell>
          <cell r="GK103">
            <v>13.082262702206542</v>
          </cell>
        </row>
        <row r="104">
          <cell r="A104">
            <v>39604</v>
          </cell>
          <cell r="FR104">
            <v>22.732544186046511</v>
          </cell>
          <cell r="FS104">
            <v>22.314663874962239</v>
          </cell>
          <cell r="FT104">
            <v>20.116606119778133</v>
          </cell>
          <cell r="FU104">
            <v>17.065595346429742</v>
          </cell>
          <cell r="FV104">
            <v>23.167616893126525</v>
          </cell>
          <cell r="GG104">
            <v>9.132658009173765</v>
          </cell>
          <cell r="GH104">
            <v>13.982143405445317</v>
          </cell>
          <cell r="GI104">
            <v>10.408007395026372</v>
          </cell>
          <cell r="GJ104">
            <v>7.7337520878462023</v>
          </cell>
          <cell r="GK104">
            <v>13.082262702206542</v>
          </cell>
        </row>
        <row r="105">
          <cell r="A105">
            <v>39605</v>
          </cell>
          <cell r="FR105">
            <v>22.360460465116279</v>
          </cell>
          <cell r="FS105">
            <v>22.314663874962239</v>
          </cell>
          <cell r="FT105">
            <v>20.116606119778133</v>
          </cell>
          <cell r="FU105">
            <v>17.065595346429742</v>
          </cell>
          <cell r="FV105">
            <v>23.167616893126525</v>
          </cell>
          <cell r="GG105">
            <v>8.9631041877643405</v>
          </cell>
          <cell r="GH105">
            <v>13.982143405445317</v>
          </cell>
          <cell r="GI105">
            <v>10.408007395026372</v>
          </cell>
          <cell r="GJ105">
            <v>7.7337520878462023</v>
          </cell>
          <cell r="GK105">
            <v>13.082262702206542</v>
          </cell>
        </row>
        <row r="106">
          <cell r="A106">
            <v>39608</v>
          </cell>
          <cell r="FR106">
            <v>21.813947674418603</v>
          </cell>
          <cell r="FS106">
            <v>22.314663874962239</v>
          </cell>
          <cell r="FT106">
            <v>20.116606119778133</v>
          </cell>
          <cell r="FU106">
            <v>17.065595346429742</v>
          </cell>
          <cell r="FV106">
            <v>23.167616893126525</v>
          </cell>
          <cell r="GG106">
            <v>8.8169375111693569</v>
          </cell>
          <cell r="GH106">
            <v>13.982143405445317</v>
          </cell>
          <cell r="GI106">
            <v>10.408007395026372</v>
          </cell>
          <cell r="GJ106">
            <v>7.7337520878462023</v>
          </cell>
          <cell r="GK106">
            <v>13.082262702206542</v>
          </cell>
        </row>
        <row r="107">
          <cell r="A107">
            <v>39609</v>
          </cell>
          <cell r="FR107">
            <v>21.988359302325581</v>
          </cell>
          <cell r="FS107">
            <v>22.314663874962239</v>
          </cell>
          <cell r="FT107">
            <v>20.116606119778133</v>
          </cell>
          <cell r="FU107">
            <v>17.065595346429742</v>
          </cell>
          <cell r="FV107">
            <v>23.167616893126525</v>
          </cell>
          <cell r="GG107">
            <v>8.9280246619407873</v>
          </cell>
          <cell r="GH107">
            <v>13.982143405445317</v>
          </cell>
          <cell r="GI107">
            <v>10.408007395026372</v>
          </cell>
          <cell r="GJ107">
            <v>7.7337520878462023</v>
          </cell>
          <cell r="GK107">
            <v>13.082262702206542</v>
          </cell>
        </row>
        <row r="108">
          <cell r="A108">
            <v>39610</v>
          </cell>
          <cell r="FR108">
            <v>22.313939534883719</v>
          </cell>
          <cell r="FS108">
            <v>22.314663874962239</v>
          </cell>
          <cell r="FT108">
            <v>20.116606119778133</v>
          </cell>
          <cell r="FU108">
            <v>17.065595346429742</v>
          </cell>
          <cell r="FV108">
            <v>23.167616893126525</v>
          </cell>
          <cell r="GG108">
            <v>8.9338702567462907</v>
          </cell>
          <cell r="GH108">
            <v>13.982143405445317</v>
          </cell>
          <cell r="GI108">
            <v>10.408007395026372</v>
          </cell>
          <cell r="GJ108">
            <v>7.7337520878462023</v>
          </cell>
          <cell r="GK108">
            <v>13.082262702206542</v>
          </cell>
        </row>
        <row r="109">
          <cell r="A109">
            <v>39611</v>
          </cell>
          <cell r="FR109">
            <v>23.162789534883721</v>
          </cell>
          <cell r="FS109">
            <v>22.314663874962239</v>
          </cell>
          <cell r="FT109">
            <v>20.116606119778133</v>
          </cell>
          <cell r="FU109">
            <v>17.065595346429742</v>
          </cell>
          <cell r="FV109">
            <v>23.167616893126525</v>
          </cell>
          <cell r="GG109">
            <v>9.3255977839995232</v>
          </cell>
          <cell r="GH109">
            <v>13.982143405445317</v>
          </cell>
          <cell r="GI109">
            <v>10.408007395026372</v>
          </cell>
          <cell r="GJ109">
            <v>7.7337520878462023</v>
          </cell>
          <cell r="GK109">
            <v>13.082262702206542</v>
          </cell>
        </row>
        <row r="110">
          <cell r="A110">
            <v>39612</v>
          </cell>
          <cell r="FR110">
            <v>23.22091395348837</v>
          </cell>
          <cell r="FS110">
            <v>22.314663874962239</v>
          </cell>
          <cell r="FT110">
            <v>20.116606119778133</v>
          </cell>
          <cell r="FU110">
            <v>17.065595346429742</v>
          </cell>
          <cell r="FV110">
            <v>23.167616893126525</v>
          </cell>
          <cell r="GG110">
            <v>9.2612846250074448</v>
          </cell>
          <cell r="GH110">
            <v>13.982143405445317</v>
          </cell>
          <cell r="GI110">
            <v>10.408007395026372</v>
          </cell>
          <cell r="GJ110">
            <v>7.7337520878462023</v>
          </cell>
          <cell r="GK110">
            <v>13.082262702206542</v>
          </cell>
        </row>
        <row r="111">
          <cell r="A111">
            <v>39615</v>
          </cell>
          <cell r="FR111">
            <v>22.639518604651162</v>
          </cell>
          <cell r="FS111">
            <v>22.314663874962239</v>
          </cell>
          <cell r="FT111">
            <v>20.116606119778133</v>
          </cell>
          <cell r="FU111">
            <v>17.065595346429742</v>
          </cell>
          <cell r="FV111">
            <v>23.167616893126525</v>
          </cell>
          <cell r="GG111">
            <v>9.0800378268898552</v>
          </cell>
          <cell r="GH111">
            <v>13.982143405445317</v>
          </cell>
          <cell r="GI111">
            <v>10.408007395026372</v>
          </cell>
          <cell r="GJ111">
            <v>7.7337520878462023</v>
          </cell>
          <cell r="GK111">
            <v>13.082262702206542</v>
          </cell>
        </row>
        <row r="112">
          <cell r="A112">
            <v>39616</v>
          </cell>
          <cell r="FR112">
            <v>22.662780232558141</v>
          </cell>
          <cell r="FS112">
            <v>22.314663874962239</v>
          </cell>
          <cell r="FT112">
            <v>20.116606119778133</v>
          </cell>
          <cell r="FU112">
            <v>17.065595346429742</v>
          </cell>
          <cell r="FV112">
            <v>23.167616893126525</v>
          </cell>
          <cell r="GG112">
            <v>9.1677381306963728</v>
          </cell>
          <cell r="GH112">
            <v>13.982143405445317</v>
          </cell>
          <cell r="GI112">
            <v>10.408007395026372</v>
          </cell>
          <cell r="GJ112">
            <v>7.7337520878462023</v>
          </cell>
          <cell r="GK112">
            <v>13.082262702206542</v>
          </cell>
        </row>
        <row r="113">
          <cell r="A113">
            <v>39617</v>
          </cell>
          <cell r="FR113">
            <v>22.499989534883721</v>
          </cell>
          <cell r="FS113">
            <v>22.314663874962239</v>
          </cell>
          <cell r="FT113">
            <v>20.116606119778133</v>
          </cell>
          <cell r="FU113">
            <v>17.065595346429742</v>
          </cell>
          <cell r="FV113">
            <v>23.167616893126525</v>
          </cell>
          <cell r="GG113">
            <v>9.0975778876511573</v>
          </cell>
          <cell r="GH113">
            <v>13.982143405445317</v>
          </cell>
          <cell r="GI113">
            <v>10.408007395026372</v>
          </cell>
          <cell r="GJ113">
            <v>7.7337520878462023</v>
          </cell>
          <cell r="GK113">
            <v>13.082262702206542</v>
          </cell>
        </row>
        <row r="114">
          <cell r="A114">
            <v>39618</v>
          </cell>
          <cell r="FR114">
            <v>22.079537500000001</v>
          </cell>
          <cell r="FS114">
            <v>22.314663874962239</v>
          </cell>
          <cell r="FT114">
            <v>20.116606119778133</v>
          </cell>
          <cell r="FU114">
            <v>17.065595346429742</v>
          </cell>
          <cell r="FV114">
            <v>23.167616893126525</v>
          </cell>
          <cell r="GG114">
            <v>8.9501771001319455</v>
          </cell>
          <cell r="GH114">
            <v>13.982143405445317</v>
          </cell>
          <cell r="GI114">
            <v>10.408007395026372</v>
          </cell>
          <cell r="GJ114">
            <v>7.7337520878462023</v>
          </cell>
          <cell r="GK114">
            <v>13.082262702206542</v>
          </cell>
        </row>
        <row r="115">
          <cell r="A115">
            <v>39619</v>
          </cell>
          <cell r="FR115">
            <v>22.31818181818182</v>
          </cell>
          <cell r="FS115">
            <v>22.314663874962239</v>
          </cell>
          <cell r="FT115">
            <v>20.116606119778133</v>
          </cell>
          <cell r="FU115">
            <v>17.065595346429742</v>
          </cell>
          <cell r="FV115">
            <v>23.167616893126525</v>
          </cell>
          <cell r="GG115">
            <v>8.9731995308605761</v>
          </cell>
          <cell r="GH115">
            <v>13.982143405445317</v>
          </cell>
          <cell r="GI115">
            <v>10.408007395026372</v>
          </cell>
          <cell r="GJ115">
            <v>7.7337520878462023</v>
          </cell>
          <cell r="GK115">
            <v>13.082262702206542</v>
          </cell>
        </row>
        <row r="116">
          <cell r="A116">
            <v>39622</v>
          </cell>
          <cell r="FR116">
            <v>21.818178409090908</v>
          </cell>
          <cell r="FS116">
            <v>22.314663874962239</v>
          </cell>
          <cell r="FT116">
            <v>20.116606119778133</v>
          </cell>
          <cell r="FU116">
            <v>17.065595346429742</v>
          </cell>
          <cell r="FV116">
            <v>23.167616893126525</v>
          </cell>
          <cell r="GG116">
            <v>8.9501771001319455</v>
          </cell>
          <cell r="GH116">
            <v>13.982143405445317</v>
          </cell>
          <cell r="GI116">
            <v>10.408007395026372</v>
          </cell>
          <cell r="GJ116">
            <v>7.7337520878462023</v>
          </cell>
          <cell r="GK116">
            <v>13.082262702206542</v>
          </cell>
        </row>
        <row r="117">
          <cell r="A117">
            <v>39623</v>
          </cell>
          <cell r="FR117">
            <v>21.59090909090909</v>
          </cell>
          <cell r="FS117">
            <v>22.314663874962239</v>
          </cell>
          <cell r="FT117">
            <v>20.116606119778133</v>
          </cell>
          <cell r="FU117">
            <v>17.065595346429742</v>
          </cell>
          <cell r="FV117">
            <v>23.167616893126525</v>
          </cell>
          <cell r="GG117">
            <v>8.8177976836241001</v>
          </cell>
          <cell r="GH117">
            <v>13.982143405445317</v>
          </cell>
          <cell r="GI117">
            <v>10.408007395026372</v>
          </cell>
          <cell r="GJ117">
            <v>7.7337520878462023</v>
          </cell>
          <cell r="GK117">
            <v>13.082262702206542</v>
          </cell>
        </row>
        <row r="118">
          <cell r="A118">
            <v>39624</v>
          </cell>
          <cell r="FR118">
            <v>21.840893181818181</v>
          </cell>
          <cell r="FS118">
            <v>22.314663874962239</v>
          </cell>
          <cell r="FT118">
            <v>20.116606119778133</v>
          </cell>
          <cell r="FU118">
            <v>17.065595346429742</v>
          </cell>
          <cell r="FV118">
            <v>23.167616893126525</v>
          </cell>
          <cell r="GG118">
            <v>8.8120416361237339</v>
          </cell>
          <cell r="GH118">
            <v>13.982143405445317</v>
          </cell>
          <cell r="GI118">
            <v>10.408007395026372</v>
          </cell>
          <cell r="GJ118">
            <v>7.7337520878462023</v>
          </cell>
          <cell r="GK118">
            <v>13.082262702206542</v>
          </cell>
        </row>
        <row r="119">
          <cell r="A119">
            <v>39625</v>
          </cell>
          <cell r="FR119">
            <v>22.249985227272727</v>
          </cell>
          <cell r="FS119">
            <v>22.314663874962239</v>
          </cell>
          <cell r="FT119">
            <v>20.116606119778133</v>
          </cell>
          <cell r="FU119">
            <v>17.065595346429742</v>
          </cell>
          <cell r="FV119">
            <v>23.167616893126525</v>
          </cell>
          <cell r="GG119">
            <v>8.8983758979621754</v>
          </cell>
          <cell r="GH119">
            <v>13.982143405445317</v>
          </cell>
          <cell r="GI119">
            <v>10.408007395026372</v>
          </cell>
          <cell r="GJ119">
            <v>7.7337520878462023</v>
          </cell>
          <cell r="GK119">
            <v>13.082262702206542</v>
          </cell>
        </row>
        <row r="120">
          <cell r="A120">
            <v>39626</v>
          </cell>
          <cell r="FR120">
            <v>22.738630681818183</v>
          </cell>
          <cell r="FS120">
            <v>22.314663874962239</v>
          </cell>
          <cell r="FT120">
            <v>20.116606119778133</v>
          </cell>
          <cell r="FU120">
            <v>17.065595346429742</v>
          </cell>
          <cell r="FV120">
            <v>23.167616893126525</v>
          </cell>
          <cell r="GG120">
            <v>9.0480228705468395</v>
          </cell>
          <cell r="GH120">
            <v>13.982143405445317</v>
          </cell>
          <cell r="GI120">
            <v>10.408007395026372</v>
          </cell>
          <cell r="GJ120">
            <v>7.7337520878462023</v>
          </cell>
          <cell r="GK120">
            <v>13.082262702206542</v>
          </cell>
        </row>
        <row r="121">
          <cell r="A121">
            <v>39629</v>
          </cell>
          <cell r="FR121">
            <v>22.874988636363636</v>
          </cell>
          <cell r="FS121">
            <v>22.314663874962239</v>
          </cell>
          <cell r="FT121">
            <v>20.116606119778133</v>
          </cell>
          <cell r="FU121">
            <v>17.065595346429742</v>
          </cell>
          <cell r="FV121">
            <v>23.167616893126525</v>
          </cell>
          <cell r="GG121">
            <v>9.1113349948687876</v>
          </cell>
          <cell r="GH121">
            <v>13.982143405445317</v>
          </cell>
          <cell r="GI121">
            <v>10.408007395026372</v>
          </cell>
          <cell r="GJ121">
            <v>7.7337520878462023</v>
          </cell>
          <cell r="GK121">
            <v>13.082262702206542</v>
          </cell>
        </row>
        <row r="122">
          <cell r="A122">
            <v>39630</v>
          </cell>
          <cell r="FR122">
            <v>23.181811363636363</v>
          </cell>
          <cell r="FS122">
            <v>22.314663874962239</v>
          </cell>
          <cell r="FT122">
            <v>20.116606119778133</v>
          </cell>
          <cell r="FU122">
            <v>17.065595346429742</v>
          </cell>
          <cell r="FV122">
            <v>23.167616893126525</v>
          </cell>
          <cell r="GG122">
            <v>9.0768016419879771</v>
          </cell>
          <cell r="GH122">
            <v>13.982143405445317</v>
          </cell>
          <cell r="GI122">
            <v>10.408007395026372</v>
          </cell>
          <cell r="GJ122">
            <v>7.7337520878462023</v>
          </cell>
          <cell r="GK122">
            <v>13.082262702206542</v>
          </cell>
        </row>
        <row r="123">
          <cell r="A123">
            <v>39631</v>
          </cell>
          <cell r="FR123">
            <v>23.965905681818182</v>
          </cell>
          <cell r="FS123">
            <v>22.314663874962239</v>
          </cell>
          <cell r="FT123">
            <v>20.116606119778133</v>
          </cell>
          <cell r="FU123">
            <v>17.065595346429742</v>
          </cell>
          <cell r="FV123">
            <v>23.167616893126525</v>
          </cell>
          <cell r="GG123">
            <v>9.364584078580851</v>
          </cell>
          <cell r="GH123">
            <v>13.982143405445317</v>
          </cell>
          <cell r="GI123">
            <v>10.408007395026372</v>
          </cell>
          <cell r="GJ123">
            <v>7.7337520878462023</v>
          </cell>
          <cell r="GK123">
            <v>13.082262702206542</v>
          </cell>
        </row>
        <row r="124">
          <cell r="A124">
            <v>39632</v>
          </cell>
          <cell r="FR124">
            <v>23.295454545454547</v>
          </cell>
          <cell r="FS124">
            <v>22.314663874962239</v>
          </cell>
          <cell r="FT124">
            <v>20.116606119778133</v>
          </cell>
          <cell r="FU124">
            <v>17.065595346429742</v>
          </cell>
          <cell r="FV124">
            <v>23.167616893126525</v>
          </cell>
          <cell r="GG124">
            <v>9.2552256267409465</v>
          </cell>
          <cell r="GH124">
            <v>13.982143405445317</v>
          </cell>
          <cell r="GI124">
            <v>10.408007395026372</v>
          </cell>
          <cell r="GJ124">
            <v>7.7337520878462023</v>
          </cell>
          <cell r="GK124">
            <v>13.082262702206542</v>
          </cell>
        </row>
        <row r="125">
          <cell r="A125">
            <v>39633</v>
          </cell>
          <cell r="FR125">
            <v>23.295454545454547</v>
          </cell>
          <cell r="FS125">
            <v>22.314663874962239</v>
          </cell>
          <cell r="FT125">
            <v>20.116606119778133</v>
          </cell>
          <cell r="FU125">
            <v>17.065595346429742</v>
          </cell>
          <cell r="FV125">
            <v>23.167616893126525</v>
          </cell>
          <cell r="GG125">
            <v>9.2552256267409465</v>
          </cell>
          <cell r="GH125">
            <v>13.982143405445317</v>
          </cell>
          <cell r="GI125">
            <v>10.408007395026372</v>
          </cell>
          <cell r="GJ125">
            <v>7.7337520878462023</v>
          </cell>
          <cell r="GK125">
            <v>13.082262702206542</v>
          </cell>
        </row>
        <row r="126">
          <cell r="A126">
            <v>39636</v>
          </cell>
          <cell r="FR126">
            <v>23.124989772727272</v>
          </cell>
          <cell r="FS126">
            <v>22.314663874962239</v>
          </cell>
          <cell r="FT126">
            <v>20.116606119778133</v>
          </cell>
          <cell r="FU126">
            <v>17.065595346429742</v>
          </cell>
          <cell r="FV126">
            <v>23.167616893126525</v>
          </cell>
          <cell r="GG126">
            <v>9.2206925670722768</v>
          </cell>
          <cell r="GH126">
            <v>13.982143405445317</v>
          </cell>
          <cell r="GI126">
            <v>10.408007395026372</v>
          </cell>
          <cell r="GJ126">
            <v>7.7337520878462023</v>
          </cell>
          <cell r="GK126">
            <v>13.082262702206542</v>
          </cell>
        </row>
        <row r="127">
          <cell r="A127">
            <v>39637</v>
          </cell>
          <cell r="FR127">
            <v>22.965900000000001</v>
          </cell>
          <cell r="FS127">
            <v>22.314663874962239</v>
          </cell>
          <cell r="FT127">
            <v>20.116606119778133</v>
          </cell>
          <cell r="FU127">
            <v>17.065595346429742</v>
          </cell>
          <cell r="FV127">
            <v>23.167616893126525</v>
          </cell>
          <cell r="GG127">
            <v>9.1573798563260507</v>
          </cell>
          <cell r="GH127">
            <v>13.982143405445317</v>
          </cell>
          <cell r="GI127">
            <v>10.408007395026372</v>
          </cell>
          <cell r="GJ127">
            <v>7.7337520878462023</v>
          </cell>
          <cell r="GK127">
            <v>13.082262702206542</v>
          </cell>
        </row>
        <row r="128">
          <cell r="A128">
            <v>39638</v>
          </cell>
          <cell r="FR128">
            <v>23.22725909090909</v>
          </cell>
          <cell r="FS128">
            <v>22.314663874962239</v>
          </cell>
          <cell r="FT128">
            <v>20.116606119778133</v>
          </cell>
          <cell r="FU128">
            <v>17.065595346429742</v>
          </cell>
          <cell r="FV128">
            <v>23.167616893126525</v>
          </cell>
          <cell r="GG128">
            <v>9.3070268289107165</v>
          </cell>
          <cell r="GH128">
            <v>13.982143405445317</v>
          </cell>
          <cell r="GI128">
            <v>10.408007395026372</v>
          </cell>
          <cell r="GJ128">
            <v>7.7337520878462023</v>
          </cell>
          <cell r="GK128">
            <v>13.082262702206542</v>
          </cell>
        </row>
        <row r="129">
          <cell r="A129">
            <v>39639</v>
          </cell>
          <cell r="FR129">
            <v>22.829542045454545</v>
          </cell>
          <cell r="FS129">
            <v>22.314663874962239</v>
          </cell>
          <cell r="FT129">
            <v>20.116606119778133</v>
          </cell>
          <cell r="FU129">
            <v>17.065595346429742</v>
          </cell>
          <cell r="FV129">
            <v>23.167616893126525</v>
          </cell>
          <cell r="GG129">
            <v>9.1458689341738744</v>
          </cell>
          <cell r="GH129">
            <v>13.982143405445317</v>
          </cell>
          <cell r="GI129">
            <v>10.408007395026372</v>
          </cell>
          <cell r="GJ129">
            <v>7.7337520878462023</v>
          </cell>
          <cell r="GK129">
            <v>13.082262702206542</v>
          </cell>
        </row>
        <row r="130">
          <cell r="A130">
            <v>39640</v>
          </cell>
          <cell r="FR130">
            <v>22.34089659090909</v>
          </cell>
          <cell r="FS130">
            <v>22.314663874962239</v>
          </cell>
          <cell r="FT130">
            <v>20.116606119778133</v>
          </cell>
          <cell r="FU130">
            <v>17.065595346429742</v>
          </cell>
          <cell r="FV130">
            <v>23.167616893126525</v>
          </cell>
          <cell r="GG130">
            <v>8.875353467233543</v>
          </cell>
          <cell r="GH130">
            <v>13.982143405445317</v>
          </cell>
          <cell r="GI130">
            <v>10.408007395026372</v>
          </cell>
          <cell r="GJ130">
            <v>7.7337520878462023</v>
          </cell>
          <cell r="GK130">
            <v>13.082262702206542</v>
          </cell>
        </row>
        <row r="131">
          <cell r="A131">
            <v>39643</v>
          </cell>
          <cell r="FR131">
            <v>22.15909090909091</v>
          </cell>
          <cell r="FS131">
            <v>22.314663874962239</v>
          </cell>
          <cell r="FT131">
            <v>20.116606119778133</v>
          </cell>
          <cell r="FU131">
            <v>17.065595346429742</v>
          </cell>
          <cell r="FV131">
            <v>23.167616893126525</v>
          </cell>
          <cell r="GG131">
            <v>8.7947737868347744</v>
          </cell>
          <cell r="GH131">
            <v>13.982143405445317</v>
          </cell>
          <cell r="GI131">
            <v>10.408007395026372</v>
          </cell>
          <cell r="GJ131">
            <v>7.7337520878462023</v>
          </cell>
          <cell r="GK131">
            <v>13.082262702206542</v>
          </cell>
        </row>
        <row r="132">
          <cell r="A132">
            <v>39644</v>
          </cell>
          <cell r="FR132">
            <v>22.352271590909091</v>
          </cell>
          <cell r="FS132">
            <v>22.314663874962239</v>
          </cell>
          <cell r="FT132">
            <v>20.116606119778133</v>
          </cell>
          <cell r="FU132">
            <v>17.065595346429742</v>
          </cell>
          <cell r="FV132">
            <v>23.167616893126525</v>
          </cell>
          <cell r="GG132">
            <v>8.9213983286908078</v>
          </cell>
          <cell r="GH132">
            <v>13.982143405445317</v>
          </cell>
          <cell r="GI132">
            <v>10.408007395026372</v>
          </cell>
          <cell r="GJ132">
            <v>7.7337520878462023</v>
          </cell>
          <cell r="GK132">
            <v>13.082262702206542</v>
          </cell>
        </row>
        <row r="133">
          <cell r="A133">
            <v>39645</v>
          </cell>
          <cell r="FR133">
            <v>22.636362500000001</v>
          </cell>
          <cell r="FS133">
            <v>22.314663874962239</v>
          </cell>
          <cell r="FT133">
            <v>20.116606119778133</v>
          </cell>
          <cell r="FU133">
            <v>17.065595346429742</v>
          </cell>
          <cell r="FV133">
            <v>23.167616893126525</v>
          </cell>
          <cell r="GG133">
            <v>9.0077334701656628</v>
          </cell>
          <cell r="GH133">
            <v>13.982143405445317</v>
          </cell>
          <cell r="GI133">
            <v>10.408007395026372</v>
          </cell>
          <cell r="GJ133">
            <v>7.7337520878462023</v>
          </cell>
          <cell r="GK133">
            <v>13.082262702206542</v>
          </cell>
        </row>
        <row r="134">
          <cell r="A134">
            <v>39646</v>
          </cell>
          <cell r="FR134">
            <v>22.63332888888889</v>
          </cell>
          <cell r="FS134">
            <v>22.314663874962239</v>
          </cell>
          <cell r="FT134">
            <v>20.116606119778133</v>
          </cell>
          <cell r="FU134">
            <v>17.065595346429742</v>
          </cell>
          <cell r="FV134">
            <v>23.167616893126525</v>
          </cell>
          <cell r="GG134">
            <v>9.1066481921351272</v>
          </cell>
          <cell r="GH134">
            <v>13.982143405445317</v>
          </cell>
          <cell r="GI134">
            <v>10.408007395026372</v>
          </cell>
          <cell r="GJ134">
            <v>7.7337520878462023</v>
          </cell>
          <cell r="GK134">
            <v>13.082262702206542</v>
          </cell>
        </row>
        <row r="135">
          <cell r="A135">
            <v>39647</v>
          </cell>
          <cell r="FR135">
            <v>22.833319999999997</v>
          </cell>
          <cell r="FS135">
            <v>22.314663874962239</v>
          </cell>
          <cell r="FT135">
            <v>20.116606119778133</v>
          </cell>
          <cell r="FU135">
            <v>17.065595346429742</v>
          </cell>
          <cell r="FV135">
            <v>23.167616893126525</v>
          </cell>
          <cell r="GG135">
            <v>9.1757235858185986</v>
          </cell>
          <cell r="GH135">
            <v>13.982143405445317</v>
          </cell>
          <cell r="GI135">
            <v>10.408007395026372</v>
          </cell>
          <cell r="GJ135">
            <v>7.7337520878462023</v>
          </cell>
          <cell r="GK135">
            <v>13.082262702206542</v>
          </cell>
        </row>
        <row r="136">
          <cell r="A136">
            <v>39650</v>
          </cell>
          <cell r="FR136">
            <v>22.833319999999997</v>
          </cell>
          <cell r="FS136">
            <v>22.314663874962239</v>
          </cell>
          <cell r="FT136">
            <v>20.116606119778133</v>
          </cell>
          <cell r="FU136">
            <v>17.065595346429742</v>
          </cell>
          <cell r="FV136">
            <v>23.167616893126525</v>
          </cell>
          <cell r="GG136">
            <v>9.3138752529251327</v>
          </cell>
          <cell r="GH136">
            <v>13.982143405445317</v>
          </cell>
          <cell r="GI136">
            <v>10.408007395026372</v>
          </cell>
          <cell r="GJ136">
            <v>7.7337520878462023</v>
          </cell>
          <cell r="GK136">
            <v>13.082262702206542</v>
          </cell>
        </row>
        <row r="137">
          <cell r="A137">
            <v>39651</v>
          </cell>
          <cell r="FR137">
            <v>23.277774444444443</v>
          </cell>
          <cell r="FS137">
            <v>22.314663874962239</v>
          </cell>
          <cell r="FT137">
            <v>20.116606119778133</v>
          </cell>
          <cell r="FU137">
            <v>17.065595346429742</v>
          </cell>
          <cell r="FV137">
            <v>23.167616893126525</v>
          </cell>
          <cell r="GG137">
            <v>9.3944637987155808</v>
          </cell>
          <cell r="GH137">
            <v>13.982143405445317</v>
          </cell>
          <cell r="GI137">
            <v>10.408007395026372</v>
          </cell>
          <cell r="GJ137">
            <v>7.7337520878462023</v>
          </cell>
          <cell r="GK137">
            <v>13.082262702206542</v>
          </cell>
        </row>
        <row r="138">
          <cell r="A138">
            <v>39652</v>
          </cell>
          <cell r="FR138">
            <v>22.544437777777777</v>
          </cell>
          <cell r="FS138">
            <v>22.314663874962239</v>
          </cell>
          <cell r="FT138">
            <v>20.116606119778133</v>
          </cell>
          <cell r="FU138">
            <v>17.065595346429742</v>
          </cell>
          <cell r="FV138">
            <v>23.167616893126525</v>
          </cell>
          <cell r="GG138">
            <v>9.2793366763438012</v>
          </cell>
          <cell r="GH138">
            <v>13.982143405445317</v>
          </cell>
          <cell r="GI138">
            <v>10.408007395026372</v>
          </cell>
          <cell r="GJ138">
            <v>7.7337520878462023</v>
          </cell>
          <cell r="GK138">
            <v>13.082262702206542</v>
          </cell>
        </row>
        <row r="139">
          <cell r="A139">
            <v>39653</v>
          </cell>
          <cell r="FR139">
            <v>22.477773333333332</v>
          </cell>
          <cell r="FS139">
            <v>22.314663874962239</v>
          </cell>
          <cell r="FT139">
            <v>20.116606119778133</v>
          </cell>
          <cell r="FU139">
            <v>17.065595346429742</v>
          </cell>
          <cell r="FV139">
            <v>23.167616893126525</v>
          </cell>
          <cell r="GG139">
            <v>9.2563112518694464</v>
          </cell>
          <cell r="GH139">
            <v>13.982143405445317</v>
          </cell>
          <cell r="GI139">
            <v>10.408007395026372</v>
          </cell>
          <cell r="GJ139">
            <v>7.7337520878462023</v>
          </cell>
          <cell r="GK139">
            <v>13.082262702206542</v>
          </cell>
        </row>
        <row r="140">
          <cell r="A140">
            <v>39654</v>
          </cell>
          <cell r="FR140">
            <v>22.411110000000001</v>
          </cell>
          <cell r="FS140">
            <v>22.314663874962239</v>
          </cell>
          <cell r="FT140">
            <v>20.116606119778133</v>
          </cell>
          <cell r="FU140">
            <v>17.065595346429742</v>
          </cell>
          <cell r="FV140">
            <v>23.167616893126525</v>
          </cell>
          <cell r="GG140">
            <v>9.2217741415207772</v>
          </cell>
          <cell r="GH140">
            <v>13.982143405445317</v>
          </cell>
          <cell r="GI140">
            <v>10.408007395026372</v>
          </cell>
          <cell r="GJ140">
            <v>7.7337520878462023</v>
          </cell>
          <cell r="GK140">
            <v>13.082262702206542</v>
          </cell>
        </row>
        <row r="141">
          <cell r="A141">
            <v>39657</v>
          </cell>
          <cell r="FR141">
            <v>21.511095555555553</v>
          </cell>
          <cell r="FS141">
            <v>22.314663874962239</v>
          </cell>
          <cell r="FT141">
            <v>20.116606119778133</v>
          </cell>
          <cell r="FU141">
            <v>17.065595346429742</v>
          </cell>
          <cell r="FV141">
            <v>23.167616893126525</v>
          </cell>
          <cell r="GG141">
            <v>8.9512269434913936</v>
          </cell>
          <cell r="GH141">
            <v>13.982143405445317</v>
          </cell>
          <cell r="GI141">
            <v>10.408007395026372</v>
          </cell>
          <cell r="GJ141">
            <v>7.7337520878462023</v>
          </cell>
          <cell r="GK141">
            <v>13.082262702206542</v>
          </cell>
        </row>
        <row r="142">
          <cell r="A142">
            <v>39658</v>
          </cell>
          <cell r="FR142">
            <v>20.955539999999999</v>
          </cell>
          <cell r="FS142">
            <v>22.314663874962239</v>
          </cell>
          <cell r="FT142">
            <v>20.116606119778133</v>
          </cell>
          <cell r="FU142">
            <v>17.065595346429742</v>
          </cell>
          <cell r="FV142">
            <v>23.167616893126525</v>
          </cell>
          <cell r="GG142">
            <v>8.78429342248028</v>
          </cell>
          <cell r="GH142">
            <v>13.982143405445317</v>
          </cell>
          <cell r="GI142">
            <v>10.408007395026372</v>
          </cell>
          <cell r="GJ142">
            <v>7.7337520878462023</v>
          </cell>
          <cell r="GK142">
            <v>13.082262702206542</v>
          </cell>
        </row>
        <row r="143">
          <cell r="A143">
            <v>39659</v>
          </cell>
          <cell r="FR143">
            <v>21.011098888888888</v>
          </cell>
          <cell r="FS143">
            <v>22.314663874962239</v>
          </cell>
          <cell r="FT143">
            <v>20.116606119778133</v>
          </cell>
          <cell r="FU143">
            <v>17.065595346429742</v>
          </cell>
          <cell r="FV143">
            <v>23.167616893126525</v>
          </cell>
          <cell r="GG143">
            <v>8.77853728629659</v>
          </cell>
          <cell r="GH143">
            <v>13.982143405445317</v>
          </cell>
          <cell r="GI143">
            <v>10.408007395026372</v>
          </cell>
          <cell r="GJ143">
            <v>7.7337520878462023</v>
          </cell>
          <cell r="GK143">
            <v>13.082262702206542</v>
          </cell>
        </row>
        <row r="144">
          <cell r="A144">
            <v>39660</v>
          </cell>
          <cell r="FR144">
            <v>20.877771111111112</v>
          </cell>
          <cell r="FS144">
            <v>22.314663874962239</v>
          </cell>
          <cell r="FT144">
            <v>20.116606119778133</v>
          </cell>
          <cell r="FU144">
            <v>17.065595346429742</v>
          </cell>
          <cell r="FV144">
            <v>23.167616893126525</v>
          </cell>
          <cell r="GG144">
            <v>8.78429342248028</v>
          </cell>
          <cell r="GH144">
            <v>13.982143405445317</v>
          </cell>
          <cell r="GI144">
            <v>10.408007395026372</v>
          </cell>
          <cell r="GJ144">
            <v>7.7337520878462023</v>
          </cell>
          <cell r="GK144">
            <v>13.082262702206542</v>
          </cell>
        </row>
        <row r="145">
          <cell r="A145">
            <v>39661</v>
          </cell>
          <cell r="FR145">
            <v>20.711111111111112</v>
          </cell>
          <cell r="FS145">
            <v>22.314663874962239</v>
          </cell>
          <cell r="FT145">
            <v>20.116606119778133</v>
          </cell>
          <cell r="FU145">
            <v>17.065595346429742</v>
          </cell>
          <cell r="FV145">
            <v>23.167616893126525</v>
          </cell>
          <cell r="GG145">
            <v>8.697948740506142</v>
          </cell>
          <cell r="GH145">
            <v>13.982143405445317</v>
          </cell>
          <cell r="GI145">
            <v>10.408007395026372</v>
          </cell>
          <cell r="GJ145">
            <v>7.7337520878462023</v>
          </cell>
          <cell r="GK145">
            <v>13.082262702206542</v>
          </cell>
        </row>
        <row r="146">
          <cell r="A146">
            <v>39664</v>
          </cell>
          <cell r="FR146">
            <v>20.655552222222223</v>
          </cell>
          <cell r="FS146">
            <v>22.314663874962239</v>
          </cell>
          <cell r="FT146">
            <v>20.116606119778133</v>
          </cell>
          <cell r="FU146">
            <v>17.065595346429742</v>
          </cell>
          <cell r="FV146">
            <v>23.167616893126525</v>
          </cell>
          <cell r="GG146">
            <v>8.6000914929180965</v>
          </cell>
          <cell r="GH146">
            <v>13.982143405445317</v>
          </cell>
          <cell r="GI146">
            <v>10.408007395026372</v>
          </cell>
          <cell r="GJ146">
            <v>7.7337520878462023</v>
          </cell>
          <cell r="GK146">
            <v>13.082262702206542</v>
          </cell>
        </row>
        <row r="147">
          <cell r="A147">
            <v>39665</v>
          </cell>
          <cell r="FR147">
            <v>22.211101111111109</v>
          </cell>
          <cell r="FS147">
            <v>22.314663874962239</v>
          </cell>
          <cell r="FT147">
            <v>20.116606119778133</v>
          </cell>
          <cell r="FU147">
            <v>17.065595346429742</v>
          </cell>
          <cell r="FV147">
            <v>23.167616893126525</v>
          </cell>
          <cell r="GG147">
            <v>9.1872358581859768</v>
          </cell>
          <cell r="GH147">
            <v>13.982143405445317</v>
          </cell>
          <cell r="GI147">
            <v>10.408007395026372</v>
          </cell>
          <cell r="GJ147">
            <v>7.7337520878462023</v>
          </cell>
          <cell r="GK147">
            <v>13.082262702206542</v>
          </cell>
        </row>
        <row r="148">
          <cell r="A148">
            <v>39666</v>
          </cell>
          <cell r="FR148">
            <v>23.06666111111111</v>
          </cell>
          <cell r="FS148">
            <v>22.314663874962239</v>
          </cell>
          <cell r="FT148">
            <v>20.116606119778133</v>
          </cell>
          <cell r="FU148">
            <v>17.065595346429742</v>
          </cell>
          <cell r="FV148">
            <v>23.167616893126525</v>
          </cell>
          <cell r="GG148">
            <v>9.4923204598105624</v>
          </cell>
          <cell r="GH148">
            <v>13.982143405445317</v>
          </cell>
          <cell r="GI148">
            <v>10.408007395026372</v>
          </cell>
          <cell r="GJ148">
            <v>7.7337520878462023</v>
          </cell>
          <cell r="GK148">
            <v>13.082262702206542</v>
          </cell>
        </row>
        <row r="149">
          <cell r="A149">
            <v>39667</v>
          </cell>
          <cell r="FR149">
            <v>22.411110000000001</v>
          </cell>
          <cell r="FS149">
            <v>22.314663874962239</v>
          </cell>
          <cell r="FT149">
            <v>20.116606119778133</v>
          </cell>
          <cell r="FU149">
            <v>17.065595346429742</v>
          </cell>
          <cell r="FV149">
            <v>23.167616893126525</v>
          </cell>
          <cell r="GG149">
            <v>9.5844224509545164</v>
          </cell>
          <cell r="GH149">
            <v>13.982143405445317</v>
          </cell>
          <cell r="GI149">
            <v>10.408007395026372</v>
          </cell>
          <cell r="GJ149">
            <v>7.7337520878462023</v>
          </cell>
          <cell r="GK149">
            <v>13.082262702206542</v>
          </cell>
        </row>
        <row r="150">
          <cell r="A150">
            <v>39668</v>
          </cell>
          <cell r="FR150">
            <v>22.92221111111111</v>
          </cell>
          <cell r="FS150">
            <v>22.314663874962239</v>
          </cell>
          <cell r="FT150">
            <v>20.116606119778133</v>
          </cell>
          <cell r="FU150">
            <v>17.065595346429742</v>
          </cell>
          <cell r="FV150">
            <v>23.167616893126525</v>
          </cell>
          <cell r="GG150">
            <v>9.6016914459986502</v>
          </cell>
          <cell r="GH150">
            <v>13.982143405445317</v>
          </cell>
          <cell r="GI150">
            <v>10.408007395026372</v>
          </cell>
          <cell r="GJ150">
            <v>7.7337520878462023</v>
          </cell>
          <cell r="GK150">
            <v>13.082262702206542</v>
          </cell>
        </row>
        <row r="151">
          <cell r="A151">
            <v>39671</v>
          </cell>
          <cell r="FR151">
            <v>22.888878888888886</v>
          </cell>
          <cell r="FS151">
            <v>22.314663874962239</v>
          </cell>
          <cell r="FT151">
            <v>20.116606119778133</v>
          </cell>
          <cell r="FU151">
            <v>17.065595346429742</v>
          </cell>
          <cell r="FV151">
            <v>23.167616893126525</v>
          </cell>
          <cell r="GG151">
            <v>9.797402128969825</v>
          </cell>
          <cell r="GH151">
            <v>13.982143405445317</v>
          </cell>
          <cell r="GI151">
            <v>10.408007395026372</v>
          </cell>
          <cell r="GJ151">
            <v>7.7337520878462023</v>
          </cell>
          <cell r="GK151">
            <v>13.082262702206542</v>
          </cell>
        </row>
        <row r="152">
          <cell r="A152">
            <v>39672</v>
          </cell>
          <cell r="FR152">
            <v>22.899984444444442</v>
          </cell>
          <cell r="FS152">
            <v>22.314663874962239</v>
          </cell>
          <cell r="FT152">
            <v>20.116606119778133</v>
          </cell>
          <cell r="FU152">
            <v>17.065595346429742</v>
          </cell>
          <cell r="FV152">
            <v>23.167616893126525</v>
          </cell>
          <cell r="GG152">
            <v>9.699546934107504</v>
          </cell>
          <cell r="GH152">
            <v>13.982143405445317</v>
          </cell>
          <cell r="GI152">
            <v>10.408007395026372</v>
          </cell>
          <cell r="GJ152">
            <v>7.7337520878462023</v>
          </cell>
          <cell r="GK152">
            <v>13.082262702206542</v>
          </cell>
        </row>
        <row r="153">
          <cell r="A153">
            <v>39673</v>
          </cell>
          <cell r="FR153">
            <v>22.811109999999999</v>
          </cell>
          <cell r="FS153">
            <v>22.314663874962239</v>
          </cell>
          <cell r="FT153">
            <v>20.116606119778133</v>
          </cell>
          <cell r="FU153">
            <v>17.065595346429742</v>
          </cell>
          <cell r="FV153">
            <v>23.167616893126525</v>
          </cell>
          <cell r="GG153">
            <v>9.6189598545497201</v>
          </cell>
          <cell r="GH153">
            <v>13.982143405445317</v>
          </cell>
          <cell r="GI153">
            <v>10.408007395026372</v>
          </cell>
          <cell r="GJ153">
            <v>7.7337520878462023</v>
          </cell>
          <cell r="GK153">
            <v>13.082262702206542</v>
          </cell>
        </row>
        <row r="154">
          <cell r="A154">
            <v>39674</v>
          </cell>
          <cell r="FR154">
            <v>22.902166304347826</v>
          </cell>
          <cell r="FS154">
            <v>22.314663874962239</v>
          </cell>
          <cell r="FT154">
            <v>20.116606119778133</v>
          </cell>
          <cell r="FU154">
            <v>17.065595346429742</v>
          </cell>
          <cell r="FV154">
            <v>23.167616893126525</v>
          </cell>
          <cell r="GG154">
            <v>9.9710105896581211</v>
          </cell>
          <cell r="GH154">
            <v>13.982143405445317</v>
          </cell>
          <cell r="GI154">
            <v>10.408007395026372</v>
          </cell>
          <cell r="GJ154">
            <v>7.7337520878462023</v>
          </cell>
          <cell r="GK154">
            <v>13.082262702206542</v>
          </cell>
        </row>
        <row r="155">
          <cell r="A155">
            <v>39675</v>
          </cell>
          <cell r="FR155">
            <v>23.554346739130434</v>
          </cell>
          <cell r="FS155">
            <v>22.314663874962239</v>
          </cell>
          <cell r="FT155">
            <v>20.116606119778133</v>
          </cell>
          <cell r="FU155">
            <v>17.065595346429742</v>
          </cell>
          <cell r="FV155">
            <v>23.167616893126525</v>
          </cell>
          <cell r="GG155">
            <v>10.254732013804903</v>
          </cell>
          <cell r="GH155">
            <v>13.982143405445317</v>
          </cell>
          <cell r="GI155">
            <v>10.408007395026372</v>
          </cell>
          <cell r="GJ155">
            <v>7.7337520878462023</v>
          </cell>
          <cell r="GK155">
            <v>13.082262702206542</v>
          </cell>
        </row>
        <row r="156">
          <cell r="A156">
            <v>39678</v>
          </cell>
          <cell r="FR156">
            <v>23.380429347826087</v>
          </cell>
          <cell r="FS156">
            <v>22.314663874962239</v>
          </cell>
          <cell r="FT156">
            <v>20.116606119778133</v>
          </cell>
          <cell r="FU156">
            <v>17.065595346429742</v>
          </cell>
          <cell r="FV156">
            <v>23.167616893126525</v>
          </cell>
          <cell r="GG156">
            <v>10.150507064688357</v>
          </cell>
          <cell r="GH156">
            <v>13.982143405445317</v>
          </cell>
          <cell r="GI156">
            <v>10.408007395026372</v>
          </cell>
          <cell r="GJ156">
            <v>7.7337520878462023</v>
          </cell>
          <cell r="GK156">
            <v>13.082262702206542</v>
          </cell>
        </row>
        <row r="157">
          <cell r="A157">
            <v>39679</v>
          </cell>
          <cell r="FR157">
            <v>23.499995652173912</v>
          </cell>
          <cell r="FS157">
            <v>22.314663874962239</v>
          </cell>
          <cell r="FT157">
            <v>20.116606119778133</v>
          </cell>
          <cell r="FU157">
            <v>17.065595346429742</v>
          </cell>
          <cell r="FV157">
            <v>23.167616893126525</v>
          </cell>
          <cell r="GG157">
            <v>10.202619096781806</v>
          </cell>
          <cell r="GH157">
            <v>13.982143405445317</v>
          </cell>
          <cell r="GI157">
            <v>10.408007395026372</v>
          </cell>
          <cell r="GJ157">
            <v>7.7337520878462023</v>
          </cell>
          <cell r="GK157">
            <v>13.082262702206542</v>
          </cell>
        </row>
        <row r="158">
          <cell r="A158">
            <v>39680</v>
          </cell>
          <cell r="FR158">
            <v>23.456507608695649</v>
          </cell>
          <cell r="FS158">
            <v>22.314663874962239</v>
          </cell>
          <cell r="FT158">
            <v>20.116606119778133</v>
          </cell>
          <cell r="FU158">
            <v>17.065595346429742</v>
          </cell>
          <cell r="FV158">
            <v>23.167616893126525</v>
          </cell>
          <cell r="GG158">
            <v>10.219987905961474</v>
          </cell>
          <cell r="GH158">
            <v>13.982143405445317</v>
          </cell>
          <cell r="GI158">
            <v>10.408007395026372</v>
          </cell>
          <cell r="GJ158">
            <v>7.7337520878462023</v>
          </cell>
          <cell r="GK158">
            <v>13.082262702206542</v>
          </cell>
        </row>
        <row r="159">
          <cell r="A159">
            <v>39681</v>
          </cell>
          <cell r="FR159">
            <v>23.413036956521736</v>
          </cell>
          <cell r="FS159">
            <v>22.314663874962239</v>
          </cell>
          <cell r="FT159">
            <v>20.116606119778133</v>
          </cell>
          <cell r="FU159">
            <v>17.065595346429742</v>
          </cell>
          <cell r="FV159">
            <v>23.167616893126525</v>
          </cell>
          <cell r="GG159">
            <v>10.156299224211676</v>
          </cell>
          <cell r="GH159">
            <v>13.982143405445317</v>
          </cell>
          <cell r="GI159">
            <v>10.408007395026372</v>
          </cell>
          <cell r="GJ159">
            <v>7.7337520878462023</v>
          </cell>
          <cell r="GK159">
            <v>13.082262702206542</v>
          </cell>
        </row>
        <row r="160">
          <cell r="A160">
            <v>39682</v>
          </cell>
          <cell r="FR160">
            <v>23.26086304347826</v>
          </cell>
          <cell r="FS160">
            <v>22.314663874962239</v>
          </cell>
          <cell r="FT160">
            <v>20.116606119778133</v>
          </cell>
          <cell r="FU160">
            <v>17.065595346429742</v>
          </cell>
          <cell r="FV160">
            <v>23.167616893126525</v>
          </cell>
          <cell r="GG160">
            <v>10.115762956844931</v>
          </cell>
          <cell r="GH160">
            <v>13.982143405445317</v>
          </cell>
          <cell r="GI160">
            <v>10.408007395026372</v>
          </cell>
          <cell r="GJ160">
            <v>7.7337520878462023</v>
          </cell>
          <cell r="GK160">
            <v>13.082262702206542</v>
          </cell>
        </row>
        <row r="161">
          <cell r="A161">
            <v>39685</v>
          </cell>
          <cell r="FR161">
            <v>22.663033695652171</v>
          </cell>
          <cell r="FS161">
            <v>22.314663874962239</v>
          </cell>
          <cell r="FT161">
            <v>20.116606119778133</v>
          </cell>
          <cell r="FU161">
            <v>17.065595346429742</v>
          </cell>
          <cell r="FV161">
            <v>23.167616893126525</v>
          </cell>
          <cell r="GG161">
            <v>9.9883788088846934</v>
          </cell>
          <cell r="GH161">
            <v>13.982143405445317</v>
          </cell>
          <cell r="GI161">
            <v>10.408007395026372</v>
          </cell>
          <cell r="GJ161">
            <v>7.7337520878462023</v>
          </cell>
          <cell r="GK161">
            <v>13.082262702206542</v>
          </cell>
        </row>
        <row r="162">
          <cell r="A162">
            <v>39686</v>
          </cell>
          <cell r="FR162">
            <v>23.043474999999997</v>
          </cell>
          <cell r="FS162">
            <v>22.314663874962239</v>
          </cell>
          <cell r="FT162">
            <v>20.116606119778133</v>
          </cell>
          <cell r="FU162">
            <v>17.065595346429742</v>
          </cell>
          <cell r="FV162">
            <v>23.167616893126525</v>
          </cell>
          <cell r="GG162">
            <v>10.214203710804991</v>
          </cell>
          <cell r="GH162">
            <v>13.982143405445317</v>
          </cell>
          <cell r="GI162">
            <v>10.408007395026372</v>
          </cell>
          <cell r="GJ162">
            <v>7.7337520878462023</v>
          </cell>
          <cell r="GK162">
            <v>13.082262702206542</v>
          </cell>
        </row>
        <row r="163">
          <cell r="A163">
            <v>39687</v>
          </cell>
          <cell r="FR163">
            <v>23.413036956521736</v>
          </cell>
          <cell r="FS163">
            <v>22.314663874962239</v>
          </cell>
          <cell r="FT163">
            <v>20.116606119778133</v>
          </cell>
          <cell r="FU163">
            <v>17.065595346429742</v>
          </cell>
          <cell r="FV163">
            <v>23.167616893126525</v>
          </cell>
          <cell r="GG163">
            <v>10.301051591398483</v>
          </cell>
          <cell r="GH163">
            <v>13.982143405445317</v>
          </cell>
          <cell r="GI163">
            <v>10.408007395026372</v>
          </cell>
          <cell r="GJ163">
            <v>7.7337520878462023</v>
          </cell>
          <cell r="GK163">
            <v>13.082262702206542</v>
          </cell>
        </row>
        <row r="164">
          <cell r="A164">
            <v>39688</v>
          </cell>
          <cell r="FR164">
            <v>23.510858695652171</v>
          </cell>
          <cell r="FS164">
            <v>22.314663874962239</v>
          </cell>
          <cell r="FT164">
            <v>20.116606119778133</v>
          </cell>
          <cell r="FU164">
            <v>17.065595346429742</v>
          </cell>
          <cell r="FV164">
            <v>23.167616893126525</v>
          </cell>
          <cell r="GG164">
            <v>10.312635320492021</v>
          </cell>
          <cell r="GH164">
            <v>13.982143405445317</v>
          </cell>
          <cell r="GI164">
            <v>10.408007395026372</v>
          </cell>
          <cell r="GJ164">
            <v>7.7337520878462023</v>
          </cell>
          <cell r="GK164">
            <v>13.082262702206542</v>
          </cell>
        </row>
        <row r="165">
          <cell r="A165">
            <v>39689</v>
          </cell>
          <cell r="FR165">
            <v>22.999988043478261</v>
          </cell>
          <cell r="FS165">
            <v>22.314663874962239</v>
          </cell>
          <cell r="FT165">
            <v>20.116606119778133</v>
          </cell>
          <cell r="FU165">
            <v>17.065595346429742</v>
          </cell>
          <cell r="FV165">
            <v>23.167616893126525</v>
          </cell>
          <cell r="GG165">
            <v>10.156299224211676</v>
          </cell>
          <cell r="GH165">
            <v>13.982143405445317</v>
          </cell>
          <cell r="GI165">
            <v>10.408007395026372</v>
          </cell>
          <cell r="GJ165">
            <v>7.7337520878462023</v>
          </cell>
          <cell r="GK165">
            <v>13.082262702206542</v>
          </cell>
        </row>
        <row r="166">
          <cell r="A166">
            <v>39692</v>
          </cell>
          <cell r="FR166">
            <v>22.999988043478261</v>
          </cell>
          <cell r="FS166">
            <v>22.314663874962239</v>
          </cell>
          <cell r="FT166">
            <v>20.116606119778133</v>
          </cell>
          <cell r="FU166">
            <v>17.065595346429742</v>
          </cell>
          <cell r="FV166">
            <v>23.167616893126525</v>
          </cell>
          <cell r="GG166">
            <v>10.156299224211676</v>
          </cell>
          <cell r="GH166">
            <v>13.982143405445317</v>
          </cell>
          <cell r="GI166">
            <v>10.408007395026372</v>
          </cell>
          <cell r="GJ166">
            <v>7.7337520878462023</v>
          </cell>
          <cell r="GK166">
            <v>13.082262702206542</v>
          </cell>
        </row>
        <row r="167">
          <cell r="A167">
            <v>39693</v>
          </cell>
          <cell r="FR167">
            <v>22.847815217391304</v>
          </cell>
          <cell r="FS167">
            <v>22.314663874962239</v>
          </cell>
          <cell r="FT167">
            <v>20.116606119778133</v>
          </cell>
          <cell r="FU167">
            <v>17.065595346429742</v>
          </cell>
          <cell r="FV167">
            <v>23.167616893126525</v>
          </cell>
          <cell r="GG167">
            <v>10.179459602961565</v>
          </cell>
          <cell r="GH167">
            <v>13.982143405445317</v>
          </cell>
          <cell r="GI167">
            <v>10.408007395026372</v>
          </cell>
          <cell r="GJ167">
            <v>7.7337520878462023</v>
          </cell>
          <cell r="GK167">
            <v>13.082262702206542</v>
          </cell>
        </row>
        <row r="168">
          <cell r="A168">
            <v>39694</v>
          </cell>
          <cell r="FR168">
            <v>23.173905434782608</v>
          </cell>
          <cell r="FS168">
            <v>22.314663874962239</v>
          </cell>
          <cell r="FT168">
            <v>20.116606119778133</v>
          </cell>
          <cell r="FU168">
            <v>17.065595346429742</v>
          </cell>
          <cell r="FV168">
            <v>23.167616893126525</v>
          </cell>
          <cell r="GG168">
            <v>10.231571635055012</v>
          </cell>
          <cell r="GH168">
            <v>13.982143405445317</v>
          </cell>
          <cell r="GI168">
            <v>10.408007395026372</v>
          </cell>
          <cell r="GJ168">
            <v>7.7337520878462023</v>
          </cell>
          <cell r="GK168">
            <v>13.082262702206542</v>
          </cell>
        </row>
        <row r="169">
          <cell r="A169">
            <v>39695</v>
          </cell>
          <cell r="FR169">
            <v>22.271729347826085</v>
          </cell>
          <cell r="FS169">
            <v>22.314663874962239</v>
          </cell>
          <cell r="FT169">
            <v>20.116606119778133</v>
          </cell>
          <cell r="FU169">
            <v>17.065595346429742</v>
          </cell>
          <cell r="FV169">
            <v>23.167616893126525</v>
          </cell>
          <cell r="GG169">
            <v>10.034699271407922</v>
          </cell>
          <cell r="GH169">
            <v>13.982143405445317</v>
          </cell>
          <cell r="GI169">
            <v>10.408007395026372</v>
          </cell>
          <cell r="GJ169">
            <v>7.7337520878462023</v>
          </cell>
          <cell r="GK169">
            <v>13.082262702206542</v>
          </cell>
        </row>
        <row r="170">
          <cell r="A170">
            <v>39696</v>
          </cell>
          <cell r="FR170">
            <v>21.413040217391302</v>
          </cell>
          <cell r="FS170">
            <v>22.314663874962239</v>
          </cell>
          <cell r="FT170">
            <v>20.116606119778133</v>
          </cell>
          <cell r="FU170">
            <v>17.065595346429742</v>
          </cell>
          <cell r="FV170">
            <v>23.167616893126525</v>
          </cell>
          <cell r="GG170">
            <v>9.7393935282145065</v>
          </cell>
          <cell r="GH170">
            <v>13.982143405445317</v>
          </cell>
          <cell r="GI170">
            <v>10.408007395026372</v>
          </cell>
          <cell r="GJ170">
            <v>7.7337520878462023</v>
          </cell>
          <cell r="GK170">
            <v>13.082262702206542</v>
          </cell>
        </row>
        <row r="171">
          <cell r="A171">
            <v>39699</v>
          </cell>
          <cell r="FR171">
            <v>21.304338043478261</v>
          </cell>
          <cell r="FS171">
            <v>22.314663874962239</v>
          </cell>
          <cell r="FT171">
            <v>20.116606119778133</v>
          </cell>
          <cell r="FU171">
            <v>17.065595346429742</v>
          </cell>
          <cell r="FV171">
            <v>23.167616893126525</v>
          </cell>
          <cell r="GG171">
            <v>9.8899460192914663</v>
          </cell>
          <cell r="GH171">
            <v>13.982143405445317</v>
          </cell>
          <cell r="GI171">
            <v>10.408007395026372</v>
          </cell>
          <cell r="GJ171">
            <v>7.7337520878462023</v>
          </cell>
          <cell r="GK171">
            <v>13.082262702206542</v>
          </cell>
        </row>
        <row r="172">
          <cell r="A172">
            <v>39700</v>
          </cell>
          <cell r="FR172">
            <v>21.554333695652172</v>
          </cell>
          <cell r="FS172">
            <v>22.314663874962239</v>
          </cell>
          <cell r="FT172">
            <v>20.116606119778133</v>
          </cell>
          <cell r="FU172">
            <v>17.065595346429742</v>
          </cell>
          <cell r="FV172">
            <v>23.167616893126525</v>
          </cell>
          <cell r="GG172">
            <v>9.9710105896581211</v>
          </cell>
          <cell r="GH172">
            <v>13.982143405445317</v>
          </cell>
          <cell r="GI172">
            <v>10.408007395026372</v>
          </cell>
          <cell r="GJ172">
            <v>7.7337520878462023</v>
          </cell>
          <cell r="GK172">
            <v>13.082262702206542</v>
          </cell>
        </row>
        <row r="173">
          <cell r="A173">
            <v>39701</v>
          </cell>
          <cell r="FR173">
            <v>21.69564347826087</v>
          </cell>
          <cell r="FS173">
            <v>22.314663874962239</v>
          </cell>
          <cell r="FT173">
            <v>20.116606119778133</v>
          </cell>
          <cell r="FU173">
            <v>17.065595346429742</v>
          </cell>
          <cell r="FV173">
            <v>23.167616893126525</v>
          </cell>
          <cell r="GG173">
            <v>9.9883788088846934</v>
          </cell>
          <cell r="GH173">
            <v>13.982143405445317</v>
          </cell>
          <cell r="GI173">
            <v>10.408007395026372</v>
          </cell>
          <cell r="GJ173">
            <v>7.7337520878462023</v>
          </cell>
          <cell r="GK173">
            <v>13.082262702206542</v>
          </cell>
        </row>
        <row r="174">
          <cell r="A174">
            <v>39702</v>
          </cell>
          <cell r="FR174">
            <v>21.858680434782606</v>
          </cell>
          <cell r="FS174">
            <v>22.314663874962239</v>
          </cell>
          <cell r="FT174">
            <v>20.116606119778133</v>
          </cell>
          <cell r="FU174">
            <v>17.065595346429742</v>
          </cell>
          <cell r="FV174">
            <v>23.167616893126525</v>
          </cell>
          <cell r="GG174">
            <v>10.046283000501459</v>
          </cell>
          <cell r="GH174">
            <v>13.982143405445317</v>
          </cell>
          <cell r="GI174">
            <v>10.408007395026372</v>
          </cell>
          <cell r="GJ174">
            <v>7.7337520878462023</v>
          </cell>
          <cell r="GK174">
            <v>13.082262702206542</v>
          </cell>
        </row>
        <row r="175">
          <cell r="A175">
            <v>39703</v>
          </cell>
          <cell r="FR175">
            <v>21.815209782608694</v>
          </cell>
          <cell r="FS175">
            <v>22.314663874962239</v>
          </cell>
          <cell r="FT175">
            <v>20.116606119778133</v>
          </cell>
          <cell r="FU175">
            <v>17.065595346429742</v>
          </cell>
          <cell r="FV175">
            <v>23.167616893126525</v>
          </cell>
          <cell r="GG175">
            <v>9.9594262706114858</v>
          </cell>
          <cell r="GH175">
            <v>13.982143405445317</v>
          </cell>
          <cell r="GI175">
            <v>10.408007395026372</v>
          </cell>
          <cell r="GJ175">
            <v>7.7337520878462023</v>
          </cell>
          <cell r="GK175">
            <v>13.082262702206542</v>
          </cell>
        </row>
        <row r="176">
          <cell r="A176">
            <v>39706</v>
          </cell>
          <cell r="FR176">
            <v>21.402160869565215</v>
          </cell>
          <cell r="FS176">
            <v>22.314663874962239</v>
          </cell>
          <cell r="FT176">
            <v>20.116606119778133</v>
          </cell>
          <cell r="FU176">
            <v>17.065595346429742</v>
          </cell>
          <cell r="FV176">
            <v>23.167616893126525</v>
          </cell>
          <cell r="GG176">
            <v>9.8841538597681478</v>
          </cell>
          <cell r="GH176">
            <v>13.982143405445317</v>
          </cell>
          <cell r="GI176">
            <v>10.408007395026372</v>
          </cell>
          <cell r="GJ176">
            <v>7.7337520878462023</v>
          </cell>
          <cell r="GK176">
            <v>13.082262702206542</v>
          </cell>
        </row>
        <row r="177">
          <cell r="A177">
            <v>39707</v>
          </cell>
          <cell r="FR177">
            <v>21.239123913043478</v>
          </cell>
          <cell r="FS177">
            <v>22.314663874962239</v>
          </cell>
          <cell r="FT177">
            <v>20.116606119778133</v>
          </cell>
          <cell r="FU177">
            <v>17.065595346429742</v>
          </cell>
          <cell r="FV177">
            <v>23.167616893126525</v>
          </cell>
          <cell r="GG177">
            <v>9.6814978909176705</v>
          </cell>
          <cell r="GH177">
            <v>13.982143405445317</v>
          </cell>
          <cell r="GI177">
            <v>10.408007395026372</v>
          </cell>
          <cell r="GJ177">
            <v>7.7337520878462023</v>
          </cell>
          <cell r="GK177">
            <v>13.082262702206542</v>
          </cell>
        </row>
        <row r="178">
          <cell r="A178">
            <v>39708</v>
          </cell>
          <cell r="FR178">
            <v>20.543471739130432</v>
          </cell>
          <cell r="FS178">
            <v>22.314663874962239</v>
          </cell>
          <cell r="FT178">
            <v>20.116606119778133</v>
          </cell>
          <cell r="FU178">
            <v>17.065595346429742</v>
          </cell>
          <cell r="FV178">
            <v>23.167616893126525</v>
          </cell>
          <cell r="GG178">
            <v>9.415144685997463</v>
          </cell>
          <cell r="GH178">
            <v>13.982143405445317</v>
          </cell>
          <cell r="GI178">
            <v>10.408007395026372</v>
          </cell>
          <cell r="GJ178">
            <v>7.7337520878462023</v>
          </cell>
          <cell r="GK178">
            <v>13.082262702206542</v>
          </cell>
        </row>
        <row r="179">
          <cell r="A179">
            <v>39709</v>
          </cell>
          <cell r="FR179">
            <v>21.440847311827955</v>
          </cell>
          <cell r="FS179">
            <v>22.314663874962239</v>
          </cell>
          <cell r="FT179">
            <v>20.116606119778133</v>
          </cell>
          <cell r="FU179">
            <v>17.065595346429742</v>
          </cell>
          <cell r="FV179">
            <v>23.167616893126525</v>
          </cell>
          <cell r="GG179">
            <v>9.5144657510073234</v>
          </cell>
          <cell r="GH179">
            <v>13.982143405445317</v>
          </cell>
          <cell r="GI179">
            <v>10.408007395026372</v>
          </cell>
          <cell r="GJ179">
            <v>7.7337520878462023</v>
          </cell>
          <cell r="GK179">
            <v>13.082262702206542</v>
          </cell>
        </row>
        <row r="180">
          <cell r="A180">
            <v>39710</v>
          </cell>
          <cell r="FR180">
            <v>20.709672043010752</v>
          </cell>
          <cell r="FS180">
            <v>22.314663874962239</v>
          </cell>
          <cell r="FT180">
            <v>20.116606119778133</v>
          </cell>
          <cell r="FU180">
            <v>17.065595346429742</v>
          </cell>
          <cell r="FV180">
            <v>23.167616893126525</v>
          </cell>
          <cell r="GG180">
            <v>9.6126110996735381</v>
          </cell>
          <cell r="GH180">
            <v>13.982143405445317</v>
          </cell>
          <cell r="GI180">
            <v>10.408007395026372</v>
          </cell>
          <cell r="GJ180">
            <v>7.7337520878462023</v>
          </cell>
          <cell r="GK180">
            <v>13.082262702206542</v>
          </cell>
        </row>
        <row r="181">
          <cell r="A181">
            <v>39713</v>
          </cell>
          <cell r="FR181">
            <v>20.67741505376344</v>
          </cell>
          <cell r="FS181">
            <v>22.314663874962239</v>
          </cell>
          <cell r="FT181">
            <v>20.116606119778133</v>
          </cell>
          <cell r="FU181">
            <v>17.065595346429742</v>
          </cell>
          <cell r="FV181">
            <v>23.167616893126525</v>
          </cell>
          <cell r="GG181">
            <v>9.364361048204465</v>
          </cell>
          <cell r="GH181">
            <v>13.982143405445317</v>
          </cell>
          <cell r="GI181">
            <v>10.408007395026372</v>
          </cell>
          <cell r="GJ181">
            <v>7.7337520878462023</v>
          </cell>
          <cell r="GK181">
            <v>13.082262702206542</v>
          </cell>
        </row>
        <row r="182">
          <cell r="A182">
            <v>39714</v>
          </cell>
          <cell r="FR182">
            <v>20.827952688172044</v>
          </cell>
          <cell r="FS182">
            <v>22.314663874962239</v>
          </cell>
          <cell r="FT182">
            <v>20.116606119778133</v>
          </cell>
          <cell r="FU182">
            <v>17.065595346429742</v>
          </cell>
          <cell r="FV182">
            <v>23.167616893126525</v>
          </cell>
          <cell r="GG182">
            <v>9.4740525278668279</v>
          </cell>
          <cell r="GH182">
            <v>13.982143405445317</v>
          </cell>
          <cell r="GI182">
            <v>10.408007395026372</v>
          </cell>
          <cell r="GJ182">
            <v>7.7337520878462023</v>
          </cell>
          <cell r="GK182">
            <v>13.082262702206542</v>
          </cell>
        </row>
        <row r="183">
          <cell r="A183">
            <v>39715</v>
          </cell>
          <cell r="FR183">
            <v>21.118279569892472</v>
          </cell>
          <cell r="FS183">
            <v>22.314663874962239</v>
          </cell>
          <cell r="FT183">
            <v>20.116606119778133</v>
          </cell>
          <cell r="FU183">
            <v>17.065595346429742</v>
          </cell>
          <cell r="FV183">
            <v>23.167616893126525</v>
          </cell>
          <cell r="GG183">
            <v>9.5375588953266082</v>
          </cell>
          <cell r="GH183">
            <v>13.982143405445317</v>
          </cell>
          <cell r="GI183">
            <v>10.408007395026372</v>
          </cell>
          <cell r="GJ183">
            <v>7.7337520878462023</v>
          </cell>
          <cell r="GK183">
            <v>13.082262702206542</v>
          </cell>
        </row>
        <row r="184">
          <cell r="A184">
            <v>39716</v>
          </cell>
          <cell r="FR184">
            <v>21.516123655913976</v>
          </cell>
          <cell r="FS184">
            <v>22.314663874962239</v>
          </cell>
          <cell r="FT184">
            <v>20.116606119778133</v>
          </cell>
          <cell r="FU184">
            <v>17.065595346429742</v>
          </cell>
          <cell r="FV184">
            <v>23.167616893126525</v>
          </cell>
          <cell r="GG184">
            <v>9.7280741742889916</v>
          </cell>
          <cell r="GH184">
            <v>13.982143405445317</v>
          </cell>
          <cell r="GI184">
            <v>10.408007395026372</v>
          </cell>
          <cell r="GJ184">
            <v>7.7337520878462023</v>
          </cell>
          <cell r="GK184">
            <v>13.082262702206542</v>
          </cell>
        </row>
        <row r="185">
          <cell r="A185">
            <v>39717</v>
          </cell>
          <cell r="FR185">
            <v>21.354823655913975</v>
          </cell>
          <cell r="FS185">
            <v>22.314663874962239</v>
          </cell>
          <cell r="FT185">
            <v>20.116606119778133</v>
          </cell>
          <cell r="FU185">
            <v>17.065595346429742</v>
          </cell>
          <cell r="FV185">
            <v>23.167616893126525</v>
          </cell>
          <cell r="GG185">
            <v>9.5317849475015439</v>
          </cell>
          <cell r="GH185">
            <v>13.982143405445317</v>
          </cell>
          <cell r="GI185">
            <v>10.408007395026372</v>
          </cell>
          <cell r="GJ185">
            <v>7.7337520878462023</v>
          </cell>
          <cell r="GK185">
            <v>13.082262702206542</v>
          </cell>
        </row>
        <row r="186">
          <cell r="A186">
            <v>39720</v>
          </cell>
          <cell r="FR186">
            <v>20.365578494623655</v>
          </cell>
          <cell r="FS186">
            <v>22.314663874962239</v>
          </cell>
          <cell r="FT186">
            <v>20.116606119778133</v>
          </cell>
          <cell r="FU186">
            <v>17.065595346429742</v>
          </cell>
          <cell r="FV186">
            <v>23.167616893126525</v>
          </cell>
          <cell r="GG186">
            <v>9.4105467486250394</v>
          </cell>
          <cell r="GH186">
            <v>13.982143405445317</v>
          </cell>
          <cell r="GI186">
            <v>10.408007395026372</v>
          </cell>
          <cell r="GJ186">
            <v>7.7337520878462023</v>
          </cell>
          <cell r="GK186">
            <v>13.082262702206542</v>
          </cell>
        </row>
        <row r="187">
          <cell r="A187">
            <v>39721</v>
          </cell>
          <cell r="FR187">
            <v>21.215049462365592</v>
          </cell>
          <cell r="FS187">
            <v>22.314663874962239</v>
          </cell>
          <cell r="FT187">
            <v>20.116606119778133</v>
          </cell>
          <cell r="FU187">
            <v>17.065595346429742</v>
          </cell>
          <cell r="FV187">
            <v>23.167616893126525</v>
          </cell>
          <cell r="GG187">
            <v>9.78003294020764</v>
          </cell>
          <cell r="GH187">
            <v>13.982143405445317</v>
          </cell>
          <cell r="GI187">
            <v>10.408007395026372</v>
          </cell>
          <cell r="GJ187">
            <v>7.7337520878462023</v>
          </cell>
          <cell r="GK187">
            <v>13.082262702206542</v>
          </cell>
        </row>
        <row r="188">
          <cell r="A188">
            <v>39722</v>
          </cell>
          <cell r="FR188">
            <v>21.795688172043011</v>
          </cell>
          <cell r="FS188">
            <v>22.314663874962239</v>
          </cell>
          <cell r="FT188">
            <v>20.116606119778133</v>
          </cell>
          <cell r="FU188">
            <v>17.065595346429742</v>
          </cell>
          <cell r="FV188">
            <v>23.167616893126525</v>
          </cell>
          <cell r="GG188">
            <v>9.9820940560571749</v>
          </cell>
          <cell r="GH188">
            <v>13.982143405445317</v>
          </cell>
          <cell r="GI188">
            <v>10.408007395026372</v>
          </cell>
          <cell r="GJ188">
            <v>7.7337520878462023</v>
          </cell>
          <cell r="GK188">
            <v>13.082262702206542</v>
          </cell>
        </row>
        <row r="189">
          <cell r="A189">
            <v>39723</v>
          </cell>
          <cell r="FR189">
            <v>20.688162365591396</v>
          </cell>
          <cell r="FS189">
            <v>22.314663874962239</v>
          </cell>
          <cell r="FT189">
            <v>20.116606119778133</v>
          </cell>
          <cell r="FU189">
            <v>17.065595346429742</v>
          </cell>
          <cell r="FV189">
            <v>23.167616893126525</v>
          </cell>
          <cell r="GG189">
            <v>9.8146675097791238</v>
          </cell>
          <cell r="GH189">
            <v>13.982143405445317</v>
          </cell>
          <cell r="GI189">
            <v>10.408007395026372</v>
          </cell>
          <cell r="GJ189">
            <v>7.7337520878462023</v>
          </cell>
          <cell r="GK189">
            <v>13.082262702206542</v>
          </cell>
        </row>
        <row r="190">
          <cell r="A190">
            <v>39724</v>
          </cell>
          <cell r="FR190">
            <v>20.215040860215051</v>
          </cell>
          <cell r="FS190">
            <v>22.314663874962239</v>
          </cell>
          <cell r="FT190">
            <v>20.116606119778133</v>
          </cell>
          <cell r="FU190">
            <v>17.065595346429742</v>
          </cell>
          <cell r="FV190">
            <v>23.167616893126525</v>
          </cell>
          <cell r="GG190">
            <v>9.8377668303873413</v>
          </cell>
          <cell r="GH190">
            <v>13.982143405445317</v>
          </cell>
          <cell r="GI190">
            <v>10.408007395026372</v>
          </cell>
          <cell r="GJ190">
            <v>7.7337520878462023</v>
          </cell>
          <cell r="GK190">
            <v>13.082262702206542</v>
          </cell>
        </row>
        <row r="191">
          <cell r="A191">
            <v>39727</v>
          </cell>
          <cell r="FR191">
            <v>19.268816129032256</v>
          </cell>
          <cell r="FS191">
            <v>22.314663874962239</v>
          </cell>
          <cell r="FT191">
            <v>20.116606119778133</v>
          </cell>
          <cell r="FU191">
            <v>17.065595346429742</v>
          </cell>
          <cell r="FV191">
            <v>23.167616893126525</v>
          </cell>
          <cell r="GG191">
            <v>9.3585873944883957</v>
          </cell>
          <cell r="GH191">
            <v>13.982143405445317</v>
          </cell>
          <cell r="GI191">
            <v>10.408007395026372</v>
          </cell>
          <cell r="GJ191">
            <v>7.7337520878462023</v>
          </cell>
          <cell r="GK191">
            <v>13.082262702206542</v>
          </cell>
        </row>
        <row r="192">
          <cell r="A192">
            <v>39728</v>
          </cell>
          <cell r="FR192">
            <v>18.43010752688172</v>
          </cell>
          <cell r="FS192">
            <v>22.314663874962239</v>
          </cell>
          <cell r="FT192">
            <v>20.116606119778133</v>
          </cell>
          <cell r="FU192">
            <v>17.065595346429742</v>
          </cell>
          <cell r="FV192">
            <v>23.167616893126525</v>
          </cell>
          <cell r="GG192">
            <v>9.1045651598482404</v>
          </cell>
          <cell r="GH192">
            <v>13.982143405445317</v>
          </cell>
          <cell r="GI192">
            <v>10.408007395026372</v>
          </cell>
          <cell r="GJ192">
            <v>7.7337520878462023</v>
          </cell>
          <cell r="GK192">
            <v>13.082262702206542</v>
          </cell>
        </row>
        <row r="193">
          <cell r="A193">
            <v>39729</v>
          </cell>
          <cell r="FR193">
            <v>17.903219354838708</v>
          </cell>
          <cell r="FS193">
            <v>22.314663874962239</v>
          </cell>
          <cell r="FT193">
            <v>20.116606119778133</v>
          </cell>
          <cell r="FU193">
            <v>17.065595346429742</v>
          </cell>
          <cell r="FV193">
            <v>23.167616893126525</v>
          </cell>
          <cell r="GG193">
            <v>8.8736343048733861</v>
          </cell>
          <cell r="GH193">
            <v>13.982143405445317</v>
          </cell>
          <cell r="GI193">
            <v>10.408007395026372</v>
          </cell>
          <cell r="GJ193">
            <v>7.7337520878462023</v>
          </cell>
          <cell r="GK193">
            <v>13.082262702206542</v>
          </cell>
        </row>
        <row r="194">
          <cell r="A194">
            <v>39730</v>
          </cell>
          <cell r="FR194">
            <v>17.376332258064515</v>
          </cell>
          <cell r="FS194">
            <v>22.314663874962239</v>
          </cell>
          <cell r="FT194">
            <v>20.116606119778133</v>
          </cell>
          <cell r="FU194">
            <v>17.065595346429742</v>
          </cell>
          <cell r="FV194">
            <v>23.167616893126525</v>
          </cell>
          <cell r="GG194">
            <v>8.9140478221228783</v>
          </cell>
          <cell r="GH194">
            <v>13.982143405445317</v>
          </cell>
          <cell r="GI194">
            <v>10.408007395026372</v>
          </cell>
          <cell r="GJ194">
            <v>7.7337520878462023</v>
          </cell>
          <cell r="GK194">
            <v>13.082262702206542</v>
          </cell>
        </row>
        <row r="195">
          <cell r="A195">
            <v>39731</v>
          </cell>
          <cell r="FR195">
            <v>15.623655913978492</v>
          </cell>
          <cell r="FS195">
            <v>22.314663874962239</v>
          </cell>
          <cell r="FT195">
            <v>20.116606119778133</v>
          </cell>
          <cell r="FU195">
            <v>17.065595346429742</v>
          </cell>
          <cell r="FV195">
            <v>23.167616893126525</v>
          </cell>
          <cell r="GG195">
            <v>7.8633151966118637</v>
          </cell>
          <cell r="GH195">
            <v>13.982143405445317</v>
          </cell>
          <cell r="GI195">
            <v>10.408007395026372</v>
          </cell>
          <cell r="GJ195">
            <v>7.7337520878462023</v>
          </cell>
          <cell r="GK195">
            <v>13.082262702206542</v>
          </cell>
        </row>
        <row r="196">
          <cell r="A196">
            <v>39734</v>
          </cell>
          <cell r="FR196">
            <v>17.118279569892472</v>
          </cell>
          <cell r="FS196">
            <v>22.314663874962239</v>
          </cell>
          <cell r="FT196">
            <v>20.116606119778133</v>
          </cell>
          <cell r="FU196">
            <v>17.065595346429742</v>
          </cell>
          <cell r="FV196">
            <v>23.167616893126525</v>
          </cell>
          <cell r="GG196">
            <v>8.4983732831387311</v>
          </cell>
          <cell r="GH196">
            <v>13.982143405445317</v>
          </cell>
          <cell r="GI196">
            <v>10.408007395026372</v>
          </cell>
          <cell r="GJ196">
            <v>7.7337520878462023</v>
          </cell>
          <cell r="GK196">
            <v>13.082262702206542</v>
          </cell>
        </row>
        <row r="197">
          <cell r="A197">
            <v>39735</v>
          </cell>
          <cell r="FR197">
            <v>16.752688172043008</v>
          </cell>
          <cell r="FS197">
            <v>22.314663874962239</v>
          </cell>
          <cell r="FT197">
            <v>20.116606119778133</v>
          </cell>
          <cell r="FU197">
            <v>17.065595346429742</v>
          </cell>
          <cell r="FV197">
            <v>23.167616893126525</v>
          </cell>
          <cell r="GG197">
            <v>8.4637334196053065</v>
          </cell>
          <cell r="GH197">
            <v>13.982143405445317</v>
          </cell>
          <cell r="GI197">
            <v>10.408007395026372</v>
          </cell>
          <cell r="GJ197">
            <v>7.7337520878462023</v>
          </cell>
          <cell r="GK197">
            <v>13.082262702206542</v>
          </cell>
        </row>
        <row r="198">
          <cell r="A198">
            <v>39736</v>
          </cell>
          <cell r="FR198">
            <v>16.333333333333332</v>
          </cell>
          <cell r="FS198">
            <v>22.314663874962239</v>
          </cell>
          <cell r="FT198">
            <v>20.116606119778133</v>
          </cell>
          <cell r="FU198">
            <v>17.065595346429742</v>
          </cell>
          <cell r="FV198">
            <v>23.167616893126525</v>
          </cell>
          <cell r="GG198">
            <v>8.4637334196053065</v>
          </cell>
          <cell r="GH198">
            <v>13.982143405445317</v>
          </cell>
          <cell r="GI198">
            <v>10.408007395026372</v>
          </cell>
          <cell r="GJ198">
            <v>7.7337520878462023</v>
          </cell>
          <cell r="GK198">
            <v>13.082262702206542</v>
          </cell>
        </row>
        <row r="199">
          <cell r="A199">
            <v>39737</v>
          </cell>
          <cell r="FR199">
            <v>17.053190425531916</v>
          </cell>
          <cell r="FS199">
            <v>22.314663874962239</v>
          </cell>
          <cell r="FT199">
            <v>20.116606119778133</v>
          </cell>
          <cell r="FU199">
            <v>17.065595346429742</v>
          </cell>
          <cell r="FV199">
            <v>23.167616893126525</v>
          </cell>
          <cell r="GG199">
            <v>8.3032778068492341</v>
          </cell>
          <cell r="GH199">
            <v>13.982143405445317</v>
          </cell>
          <cell r="GI199">
            <v>10.408007395026372</v>
          </cell>
          <cell r="GJ199">
            <v>7.7337520878462023</v>
          </cell>
          <cell r="GK199">
            <v>13.082262702206542</v>
          </cell>
        </row>
        <row r="200">
          <cell r="A200">
            <v>39738</v>
          </cell>
          <cell r="FR200">
            <v>16.159574468085108</v>
          </cell>
          <cell r="FS200">
            <v>22.314663874962239</v>
          </cell>
          <cell r="FT200">
            <v>20.116606119778133</v>
          </cell>
          <cell r="FU200">
            <v>17.065595346429742</v>
          </cell>
          <cell r="FV200">
            <v>23.167616893126525</v>
          </cell>
          <cell r="GG200">
            <v>8.3146912611198314</v>
          </cell>
          <cell r="GH200">
            <v>13.982143405445317</v>
          </cell>
          <cell r="GI200">
            <v>10.408007395026372</v>
          </cell>
          <cell r="GJ200">
            <v>7.7337520878462023</v>
          </cell>
          <cell r="GK200">
            <v>13.082262702206542</v>
          </cell>
        </row>
        <row r="201">
          <cell r="A201">
            <v>39741</v>
          </cell>
          <cell r="FR201">
            <v>16.882978723404257</v>
          </cell>
          <cell r="FS201">
            <v>22.314663874962239</v>
          </cell>
          <cell r="FT201">
            <v>20.116606119778133</v>
          </cell>
          <cell r="FU201">
            <v>17.065595346429742</v>
          </cell>
          <cell r="FV201">
            <v>23.167616893126525</v>
          </cell>
          <cell r="GG201">
            <v>8.4573571137856831</v>
          </cell>
          <cell r="GH201">
            <v>13.982143405445317</v>
          </cell>
          <cell r="GI201">
            <v>10.408007395026372</v>
          </cell>
          <cell r="GJ201">
            <v>7.7337520878462023</v>
          </cell>
          <cell r="GK201">
            <v>13.082262702206542</v>
          </cell>
        </row>
        <row r="202">
          <cell r="A202">
            <v>39742</v>
          </cell>
          <cell r="FR202">
            <v>16.202127659574469</v>
          </cell>
          <cell r="FS202">
            <v>22.314663874962239</v>
          </cell>
          <cell r="FT202">
            <v>20.116606119778133</v>
          </cell>
          <cell r="FU202">
            <v>17.065595346429742</v>
          </cell>
          <cell r="FV202">
            <v>23.167616893126525</v>
          </cell>
          <cell r="GG202">
            <v>8.4630629687772529</v>
          </cell>
          <cell r="GH202">
            <v>13.982143405445317</v>
          </cell>
          <cell r="GI202">
            <v>10.408007395026372</v>
          </cell>
          <cell r="GJ202">
            <v>7.7337520878462023</v>
          </cell>
          <cell r="GK202">
            <v>13.082262702206542</v>
          </cell>
        </row>
        <row r="203">
          <cell r="A203">
            <v>39743</v>
          </cell>
          <cell r="FR203">
            <v>16.010638297872344</v>
          </cell>
          <cell r="FS203">
            <v>22.314663874962239</v>
          </cell>
          <cell r="FT203">
            <v>20.116606119778133</v>
          </cell>
          <cell r="FU203">
            <v>17.065595346429742</v>
          </cell>
          <cell r="FV203">
            <v>23.167616893126525</v>
          </cell>
          <cell r="GG203">
            <v>8.3945839874411305</v>
          </cell>
          <cell r="GH203">
            <v>13.982143405445317</v>
          </cell>
          <cell r="GI203">
            <v>10.408007395026372</v>
          </cell>
          <cell r="GJ203">
            <v>7.7337520878462023</v>
          </cell>
          <cell r="GK203">
            <v>13.082262702206542</v>
          </cell>
        </row>
        <row r="204">
          <cell r="A204">
            <v>39744</v>
          </cell>
          <cell r="FR204">
            <v>15.840425531914896</v>
          </cell>
          <cell r="FS204">
            <v>22.314663874962239</v>
          </cell>
          <cell r="FT204">
            <v>20.116606119778133</v>
          </cell>
          <cell r="FU204">
            <v>17.065595346429742</v>
          </cell>
          <cell r="FV204">
            <v>23.167616893126525</v>
          </cell>
          <cell r="GG204">
            <v>8.3603447874876426</v>
          </cell>
          <cell r="GH204">
            <v>13.982143405445317</v>
          </cell>
          <cell r="GI204">
            <v>10.408007395026372</v>
          </cell>
          <cell r="GJ204">
            <v>7.7337520878462023</v>
          </cell>
          <cell r="GK204">
            <v>13.082262702206542</v>
          </cell>
        </row>
        <row r="205">
          <cell r="A205">
            <v>39745</v>
          </cell>
          <cell r="FR205">
            <v>15.042553191489363</v>
          </cell>
          <cell r="FS205">
            <v>22.314663874962239</v>
          </cell>
          <cell r="FT205">
            <v>20.116606119778133</v>
          </cell>
          <cell r="FU205">
            <v>17.065595346429742</v>
          </cell>
          <cell r="FV205">
            <v>23.167616893126525</v>
          </cell>
          <cell r="GG205">
            <v>8.114959299959299</v>
          </cell>
          <cell r="GH205">
            <v>13.982143405445317</v>
          </cell>
          <cell r="GI205">
            <v>10.408007395026372</v>
          </cell>
          <cell r="GJ205">
            <v>7.7337520878462023</v>
          </cell>
          <cell r="GK205">
            <v>13.082262702206542</v>
          </cell>
        </row>
        <row r="206">
          <cell r="A206">
            <v>39748</v>
          </cell>
          <cell r="FR206">
            <v>13.73404255319149</v>
          </cell>
          <cell r="FS206">
            <v>22.314663874962239</v>
          </cell>
          <cell r="FT206">
            <v>20.116606119778133</v>
          </cell>
          <cell r="FU206">
            <v>17.065595346429742</v>
          </cell>
          <cell r="FV206">
            <v>23.167616893126525</v>
          </cell>
          <cell r="GG206">
            <v>7.8353351939066211</v>
          </cell>
          <cell r="GH206">
            <v>13.982143405445317</v>
          </cell>
          <cell r="GI206">
            <v>10.408007395026372</v>
          </cell>
          <cell r="GJ206">
            <v>7.7337520878462023</v>
          </cell>
          <cell r="GK206">
            <v>13.082262702206542</v>
          </cell>
        </row>
        <row r="207">
          <cell r="A207">
            <v>39749</v>
          </cell>
          <cell r="FR207">
            <v>13.914893617021278</v>
          </cell>
          <cell r="FS207">
            <v>22.314663874962239</v>
          </cell>
          <cell r="FT207">
            <v>20.116606119778133</v>
          </cell>
          <cell r="FU207">
            <v>17.065595346429742</v>
          </cell>
          <cell r="FV207">
            <v>23.167616893126525</v>
          </cell>
          <cell r="GG207">
            <v>7.5728303971161113</v>
          </cell>
          <cell r="GH207">
            <v>13.982143405445317</v>
          </cell>
          <cell r="GI207">
            <v>10.408007395026372</v>
          </cell>
          <cell r="GJ207">
            <v>7.7337520878462023</v>
          </cell>
          <cell r="GK207">
            <v>13.082262702206542</v>
          </cell>
        </row>
        <row r="208">
          <cell r="A208">
            <v>39750</v>
          </cell>
          <cell r="FR208">
            <v>13.840425531914894</v>
          </cell>
          <cell r="FS208">
            <v>22.314663874962239</v>
          </cell>
          <cell r="FT208">
            <v>20.116606119778133</v>
          </cell>
          <cell r="FU208">
            <v>17.065595346429742</v>
          </cell>
          <cell r="FV208">
            <v>23.167616893126525</v>
          </cell>
          <cell r="GG208">
            <v>7.6356029420315119</v>
          </cell>
          <cell r="GH208">
            <v>13.982143405445317</v>
          </cell>
          <cell r="GI208">
            <v>10.408007395026372</v>
          </cell>
          <cell r="GJ208">
            <v>7.7337520878462023</v>
          </cell>
          <cell r="GK208">
            <v>13.082262702206542</v>
          </cell>
        </row>
        <row r="209">
          <cell r="A209">
            <v>39751</v>
          </cell>
          <cell r="FR209">
            <v>14.702127659574469</v>
          </cell>
          <cell r="FS209">
            <v>22.314663874962239</v>
          </cell>
          <cell r="FT209">
            <v>20.116606119778133</v>
          </cell>
          <cell r="FU209">
            <v>17.065595346429742</v>
          </cell>
          <cell r="FV209">
            <v>23.167616893126525</v>
          </cell>
          <cell r="GG209">
            <v>7.8068018489447049</v>
          </cell>
          <cell r="GH209">
            <v>13.982143405445317</v>
          </cell>
          <cell r="GI209">
            <v>10.408007395026372</v>
          </cell>
          <cell r="GJ209">
            <v>7.7337520878462023</v>
          </cell>
          <cell r="GK209">
            <v>13.082262702206542</v>
          </cell>
        </row>
        <row r="210">
          <cell r="A210">
            <v>39752</v>
          </cell>
          <cell r="FR210">
            <v>15.170212765957448</v>
          </cell>
          <cell r="FS210">
            <v>22.314663874962239</v>
          </cell>
          <cell r="FT210">
            <v>20.116606119778133</v>
          </cell>
          <cell r="FU210">
            <v>17.065595346429742</v>
          </cell>
          <cell r="FV210">
            <v>23.167616893126525</v>
          </cell>
          <cell r="GG210">
            <v>8.1663189720332561</v>
          </cell>
          <cell r="GH210">
            <v>13.982143405445317</v>
          </cell>
          <cell r="GI210">
            <v>10.408007395026372</v>
          </cell>
          <cell r="GJ210">
            <v>7.7337520878462023</v>
          </cell>
          <cell r="GK210">
            <v>13.082262702206542</v>
          </cell>
        </row>
        <row r="211">
          <cell r="A211">
            <v>39755</v>
          </cell>
          <cell r="FR211">
            <v>15.117021276595747</v>
          </cell>
          <cell r="FS211">
            <v>22.314663874962239</v>
          </cell>
          <cell r="FT211">
            <v>20.116606119778133</v>
          </cell>
          <cell r="FU211">
            <v>17.065595346429742</v>
          </cell>
          <cell r="FV211">
            <v>23.167616893126525</v>
          </cell>
          <cell r="GG211">
            <v>8.2119724984010691</v>
          </cell>
          <cell r="GH211">
            <v>13.982143405445317</v>
          </cell>
          <cell r="GI211">
            <v>10.408007395026372</v>
          </cell>
          <cell r="GJ211">
            <v>7.7337520878462023</v>
          </cell>
          <cell r="GK211">
            <v>13.082262702206542</v>
          </cell>
        </row>
        <row r="212">
          <cell r="A212">
            <v>39756</v>
          </cell>
          <cell r="FR212">
            <v>15.542553191489361</v>
          </cell>
          <cell r="FS212">
            <v>22.314663874962239</v>
          </cell>
          <cell r="FT212">
            <v>20.116606119778133</v>
          </cell>
          <cell r="FU212">
            <v>17.065595346429742</v>
          </cell>
          <cell r="FV212">
            <v>23.167616893126525</v>
          </cell>
          <cell r="GG212">
            <v>8.1777318448747014</v>
          </cell>
          <cell r="GH212">
            <v>13.982143405445317</v>
          </cell>
          <cell r="GI212">
            <v>10.408007395026372</v>
          </cell>
          <cell r="GJ212">
            <v>7.7337520878462023</v>
          </cell>
          <cell r="GK212">
            <v>13.082262702206542</v>
          </cell>
        </row>
        <row r="213">
          <cell r="A213">
            <v>39757</v>
          </cell>
          <cell r="FR213">
            <v>15.659574468085108</v>
          </cell>
          <cell r="FS213">
            <v>22.314663874962239</v>
          </cell>
          <cell r="FT213">
            <v>20.116606119778133</v>
          </cell>
          <cell r="FU213">
            <v>17.065595346429742</v>
          </cell>
          <cell r="FV213">
            <v>23.167616893126525</v>
          </cell>
          <cell r="GG213">
            <v>8.2119724984010691</v>
          </cell>
          <cell r="GH213">
            <v>13.982143405445317</v>
          </cell>
          <cell r="GI213">
            <v>10.408007395026372</v>
          </cell>
          <cell r="GJ213">
            <v>7.7337520878462023</v>
          </cell>
          <cell r="GK213">
            <v>13.082262702206542</v>
          </cell>
        </row>
        <row r="214">
          <cell r="A214">
            <v>39758</v>
          </cell>
          <cell r="FR214">
            <v>15.01063829787234</v>
          </cell>
          <cell r="FS214">
            <v>22.314663874962239</v>
          </cell>
          <cell r="FT214">
            <v>20.116606119778133</v>
          </cell>
          <cell r="FU214">
            <v>17.065595346429742</v>
          </cell>
          <cell r="FV214">
            <v>23.167616893126525</v>
          </cell>
          <cell r="GG214">
            <v>8.0521873364730485</v>
          </cell>
          <cell r="GH214">
            <v>13.982143405445317</v>
          </cell>
          <cell r="GI214">
            <v>10.408007395026372</v>
          </cell>
          <cell r="GJ214">
            <v>7.7337520878462023</v>
          </cell>
          <cell r="GK214">
            <v>13.082262702206542</v>
          </cell>
        </row>
        <row r="215">
          <cell r="A215">
            <v>39759</v>
          </cell>
          <cell r="FR215">
            <v>16.085106382978722</v>
          </cell>
          <cell r="FS215">
            <v>22.314663874962239</v>
          </cell>
          <cell r="FT215">
            <v>20.116606119778133</v>
          </cell>
          <cell r="FU215">
            <v>17.065595346429742</v>
          </cell>
          <cell r="FV215">
            <v>23.167616893126525</v>
          </cell>
          <cell r="GG215">
            <v>8.4288237688237686</v>
          </cell>
          <cell r="GH215">
            <v>13.982143405445317</v>
          </cell>
          <cell r="GI215">
            <v>10.408007395026372</v>
          </cell>
          <cell r="GJ215">
            <v>7.7337520878462023</v>
          </cell>
          <cell r="GK215">
            <v>13.082262702206542</v>
          </cell>
        </row>
        <row r="216">
          <cell r="A216">
            <v>39762</v>
          </cell>
          <cell r="FR216">
            <v>16.617021276595743</v>
          </cell>
          <cell r="FS216">
            <v>22.314663874962239</v>
          </cell>
          <cell r="FT216">
            <v>20.116606119778133</v>
          </cell>
          <cell r="FU216">
            <v>17.065595346429742</v>
          </cell>
          <cell r="FV216">
            <v>23.167616893126525</v>
          </cell>
          <cell r="GG216">
            <v>8.5144226408512118</v>
          </cell>
          <cell r="GH216">
            <v>13.982143405445317</v>
          </cell>
          <cell r="GI216">
            <v>10.408007395026372</v>
          </cell>
          <cell r="GJ216">
            <v>7.7337520878462023</v>
          </cell>
          <cell r="GK216">
            <v>13.082262702206542</v>
          </cell>
        </row>
        <row r="217">
          <cell r="A217">
            <v>39763</v>
          </cell>
          <cell r="FR217">
            <v>16.627659574468087</v>
          </cell>
          <cell r="FS217">
            <v>22.314663874962239</v>
          </cell>
          <cell r="FT217">
            <v>20.116606119778133</v>
          </cell>
          <cell r="FU217">
            <v>17.065595346429742</v>
          </cell>
          <cell r="FV217">
            <v>23.167616893126525</v>
          </cell>
          <cell r="GG217">
            <v>8.7141548927263202</v>
          </cell>
          <cell r="GH217">
            <v>13.982143405445317</v>
          </cell>
          <cell r="GI217">
            <v>10.408007395026372</v>
          </cell>
          <cell r="GJ217">
            <v>7.7337520878462023</v>
          </cell>
          <cell r="GK217">
            <v>13.082262702206542</v>
          </cell>
        </row>
        <row r="218">
          <cell r="A218">
            <v>39764</v>
          </cell>
          <cell r="FR218">
            <v>15.819148936170214</v>
          </cell>
          <cell r="FS218">
            <v>22.314663874962239</v>
          </cell>
          <cell r="FT218">
            <v>20.116606119778133</v>
          </cell>
          <cell r="FU218">
            <v>17.065595346429742</v>
          </cell>
          <cell r="FV218">
            <v>23.167616893126525</v>
          </cell>
          <cell r="GG218">
            <v>8.5201299494156633</v>
          </cell>
          <cell r="GH218">
            <v>13.982143405445317</v>
          </cell>
          <cell r="GI218">
            <v>10.408007395026372</v>
          </cell>
          <cell r="GJ218">
            <v>7.7337520878462023</v>
          </cell>
          <cell r="GK218">
            <v>13.082262702206542</v>
          </cell>
        </row>
        <row r="219">
          <cell r="A219">
            <v>39765</v>
          </cell>
          <cell r="FR219">
            <v>16.861702127659576</v>
          </cell>
          <cell r="FS219">
            <v>22.314663874962239</v>
          </cell>
          <cell r="FT219">
            <v>20.116606119778133</v>
          </cell>
          <cell r="FU219">
            <v>17.065595346429742</v>
          </cell>
          <cell r="FV219">
            <v>23.167616893126525</v>
          </cell>
          <cell r="GG219">
            <v>8.5886089307517874</v>
          </cell>
          <cell r="GH219">
            <v>13.982143405445317</v>
          </cell>
          <cell r="GI219">
            <v>10.408007395026372</v>
          </cell>
          <cell r="GJ219">
            <v>7.7337520878462023</v>
          </cell>
          <cell r="GK219">
            <v>13.082262702206542</v>
          </cell>
        </row>
        <row r="220">
          <cell r="A220">
            <v>39766</v>
          </cell>
          <cell r="FR220">
            <v>16.627659574468087</v>
          </cell>
          <cell r="FS220">
            <v>22.314663874962239</v>
          </cell>
          <cell r="FT220">
            <v>20.116606119778133</v>
          </cell>
          <cell r="FU220">
            <v>17.065595346429742</v>
          </cell>
          <cell r="FV220">
            <v>23.167616893126525</v>
          </cell>
          <cell r="GG220">
            <v>8.7598075469504035</v>
          </cell>
          <cell r="GH220">
            <v>13.982143405445317</v>
          </cell>
          <cell r="GI220">
            <v>10.408007395026372</v>
          </cell>
          <cell r="GJ220">
            <v>7.7337520878462023</v>
          </cell>
          <cell r="GK220">
            <v>13.082262702206542</v>
          </cell>
        </row>
        <row r="221">
          <cell r="A221">
            <v>39769</v>
          </cell>
          <cell r="FR221">
            <v>16.191489361702128</v>
          </cell>
          <cell r="FS221">
            <v>22.314663874962239</v>
          </cell>
          <cell r="FT221">
            <v>20.116606119778133</v>
          </cell>
          <cell r="FU221">
            <v>17.065595346429742</v>
          </cell>
          <cell r="FV221">
            <v>23.167616893126525</v>
          </cell>
          <cell r="GG221">
            <v>8.6742078027792306</v>
          </cell>
          <cell r="GH221">
            <v>13.982143405445317</v>
          </cell>
          <cell r="GI221">
            <v>10.408007395026372</v>
          </cell>
          <cell r="GJ221">
            <v>7.7337520878462023</v>
          </cell>
          <cell r="GK221">
            <v>13.082262702206542</v>
          </cell>
        </row>
        <row r="222">
          <cell r="A222">
            <v>39770</v>
          </cell>
          <cell r="FR222">
            <v>15.925531914893618</v>
          </cell>
          <cell r="FS222">
            <v>22.314663874962239</v>
          </cell>
          <cell r="FT222">
            <v>20.116606119778133</v>
          </cell>
          <cell r="FU222">
            <v>17.065595346429742</v>
          </cell>
          <cell r="FV222">
            <v>23.167616893126525</v>
          </cell>
          <cell r="GG222">
            <v>8.5144226408512118</v>
          </cell>
          <cell r="GH222">
            <v>13.982143405445317</v>
          </cell>
          <cell r="GI222">
            <v>10.408007395026372</v>
          </cell>
          <cell r="GJ222">
            <v>7.7337520878462023</v>
          </cell>
          <cell r="GK222">
            <v>13.082262702206542</v>
          </cell>
        </row>
        <row r="223">
          <cell r="A223">
            <v>39771</v>
          </cell>
          <cell r="FR223">
            <v>14.74468085106383</v>
          </cell>
          <cell r="FS223">
            <v>22.314663874962239</v>
          </cell>
          <cell r="FT223">
            <v>20.116606119778133</v>
          </cell>
          <cell r="FU223">
            <v>17.065595346429742</v>
          </cell>
          <cell r="FV223">
            <v>23.167616893126525</v>
          </cell>
          <cell r="GG223">
            <v>8.132079190650618</v>
          </cell>
          <cell r="GH223">
            <v>13.982143405445317</v>
          </cell>
          <cell r="GI223">
            <v>10.408007395026372</v>
          </cell>
          <cell r="GJ223">
            <v>7.7337520878462023</v>
          </cell>
          <cell r="GK223">
            <v>13.082262702206542</v>
          </cell>
        </row>
        <row r="224">
          <cell r="A224">
            <v>39772</v>
          </cell>
          <cell r="FR224">
            <v>14.8</v>
          </cell>
          <cell r="FS224">
            <v>22.314663874962239</v>
          </cell>
          <cell r="FT224">
            <v>20.116606119778133</v>
          </cell>
          <cell r="FU224">
            <v>17.065595346429742</v>
          </cell>
          <cell r="FV224">
            <v>23.167616893126525</v>
          </cell>
          <cell r="GG224">
            <v>8.4280304278735798</v>
          </cell>
          <cell r="GH224">
            <v>13.982143405445317</v>
          </cell>
          <cell r="GI224">
            <v>10.408007395026372</v>
          </cell>
          <cell r="GJ224">
            <v>7.7337520878462023</v>
          </cell>
          <cell r="GK224">
            <v>13.082262702206542</v>
          </cell>
        </row>
        <row r="225">
          <cell r="A225">
            <v>39773</v>
          </cell>
          <cell r="FR225">
            <v>15.8</v>
          </cell>
          <cell r="FS225">
            <v>22.314663874962239</v>
          </cell>
          <cell r="FT225">
            <v>20.116606119778133</v>
          </cell>
          <cell r="FU225">
            <v>17.065595346429742</v>
          </cell>
          <cell r="FV225">
            <v>23.167616893126525</v>
          </cell>
          <cell r="GG225">
            <v>8.3644894355835433</v>
          </cell>
          <cell r="GH225">
            <v>13.982143405445317</v>
          </cell>
          <cell r="GI225">
            <v>10.408007395026372</v>
          </cell>
          <cell r="GJ225">
            <v>7.7337520878462023</v>
          </cell>
          <cell r="GK225">
            <v>13.082262702206542</v>
          </cell>
        </row>
        <row r="226">
          <cell r="A226">
            <v>39776</v>
          </cell>
          <cell r="FR226">
            <v>16.18947368421053</v>
          </cell>
          <cell r="FS226">
            <v>22.314663874962239</v>
          </cell>
          <cell r="FT226">
            <v>20.116606119778133</v>
          </cell>
          <cell r="FU226">
            <v>17.065595346429742</v>
          </cell>
          <cell r="FV226">
            <v>23.167616893126525</v>
          </cell>
          <cell r="GG226">
            <v>8.5146771820375484</v>
          </cell>
          <cell r="GH226">
            <v>13.982143405445317</v>
          </cell>
          <cell r="GI226">
            <v>10.408007395026372</v>
          </cell>
          <cell r="GJ226">
            <v>7.7337520878462023</v>
          </cell>
          <cell r="GK226">
            <v>13.082262702206542</v>
          </cell>
        </row>
        <row r="227">
          <cell r="A227">
            <v>39777</v>
          </cell>
          <cell r="FR227">
            <v>16.326315789473686</v>
          </cell>
          <cell r="FS227">
            <v>22.314663874962239</v>
          </cell>
          <cell r="FT227">
            <v>20.116606119778133</v>
          </cell>
          <cell r="FU227">
            <v>17.065595346429742</v>
          </cell>
          <cell r="FV227">
            <v>23.167616893126525</v>
          </cell>
          <cell r="GG227">
            <v>8.6533135189217827</v>
          </cell>
          <cell r="GH227">
            <v>13.982143405445317</v>
          </cell>
          <cell r="GI227">
            <v>10.408007395026372</v>
          </cell>
          <cell r="GJ227">
            <v>7.7337520878462023</v>
          </cell>
          <cell r="GK227">
            <v>13.082262702206542</v>
          </cell>
        </row>
        <row r="228">
          <cell r="A228">
            <v>39778</v>
          </cell>
          <cell r="FR228">
            <v>16.621052631578948</v>
          </cell>
          <cell r="FS228">
            <v>22.314663874962239</v>
          </cell>
          <cell r="FT228">
            <v>20.116606119778133</v>
          </cell>
          <cell r="FU228">
            <v>17.065595346429742</v>
          </cell>
          <cell r="FV228">
            <v>23.167616893126525</v>
          </cell>
          <cell r="GG228">
            <v>8.7572897416279201</v>
          </cell>
          <cell r="GH228">
            <v>13.982143405445317</v>
          </cell>
          <cell r="GI228">
            <v>10.408007395026372</v>
          </cell>
          <cell r="GJ228">
            <v>7.7337520878462023</v>
          </cell>
          <cell r="GK228">
            <v>13.082262702206542</v>
          </cell>
        </row>
        <row r="229">
          <cell r="A229">
            <v>39779</v>
          </cell>
          <cell r="FR229">
            <v>16.621052631578948</v>
          </cell>
          <cell r="FS229">
            <v>22.314663874962239</v>
          </cell>
          <cell r="FT229">
            <v>20.116606119778133</v>
          </cell>
          <cell r="FU229">
            <v>17.065595346429742</v>
          </cell>
          <cell r="FV229">
            <v>23.167616893126525</v>
          </cell>
          <cell r="GG229">
            <v>8.7572897416279201</v>
          </cell>
          <cell r="GH229">
            <v>13.982143405445317</v>
          </cell>
          <cell r="GI229">
            <v>10.408007395026372</v>
          </cell>
          <cell r="GJ229">
            <v>7.7337520878462023</v>
          </cell>
          <cell r="GK229">
            <v>13.082262702206542</v>
          </cell>
        </row>
        <row r="230">
          <cell r="A230">
            <v>39780</v>
          </cell>
          <cell r="FR230">
            <v>16.978936842105263</v>
          </cell>
          <cell r="FS230">
            <v>22.314663874962239</v>
          </cell>
          <cell r="FT230">
            <v>20.116606119778133</v>
          </cell>
          <cell r="FU230">
            <v>17.065595346429742</v>
          </cell>
          <cell r="FV230">
            <v>23.167616893126525</v>
          </cell>
          <cell r="GG230">
            <v>8.9710196574657175</v>
          </cell>
          <cell r="GH230">
            <v>13.982143405445317</v>
          </cell>
          <cell r="GI230">
            <v>10.408007395026372</v>
          </cell>
          <cell r="GJ230">
            <v>7.7337520878462023</v>
          </cell>
          <cell r="GK230">
            <v>13.082262702206542</v>
          </cell>
        </row>
        <row r="231">
          <cell r="A231">
            <v>39783</v>
          </cell>
          <cell r="FR231">
            <v>15.621052631578948</v>
          </cell>
          <cell r="FS231">
            <v>22.314663874962239</v>
          </cell>
          <cell r="FT231">
            <v>20.116606119778133</v>
          </cell>
          <cell r="FU231">
            <v>17.065595346429742</v>
          </cell>
          <cell r="FV231">
            <v>23.167616893126525</v>
          </cell>
          <cell r="GG231">
            <v>8.6533135189217827</v>
          </cell>
          <cell r="GH231">
            <v>13.982143405445317</v>
          </cell>
          <cell r="GI231">
            <v>10.408007395026372</v>
          </cell>
          <cell r="GJ231">
            <v>7.7337520878462023</v>
          </cell>
          <cell r="GK231">
            <v>13.082262702206542</v>
          </cell>
        </row>
        <row r="232">
          <cell r="A232">
            <v>39784</v>
          </cell>
          <cell r="FR232">
            <v>16.315789473684212</v>
          </cell>
          <cell r="FS232">
            <v>22.314663874962239</v>
          </cell>
          <cell r="FT232">
            <v>20.116606119778133</v>
          </cell>
          <cell r="FU232">
            <v>17.065595346429742</v>
          </cell>
          <cell r="FV232">
            <v>23.167616893126525</v>
          </cell>
          <cell r="GG232">
            <v>8.7110782178800541</v>
          </cell>
          <cell r="GH232">
            <v>13.982143405445317</v>
          </cell>
          <cell r="GI232">
            <v>10.408007395026372</v>
          </cell>
          <cell r="GJ232">
            <v>7.7337520878462023</v>
          </cell>
          <cell r="GK232">
            <v>13.082262702206542</v>
          </cell>
        </row>
        <row r="233">
          <cell r="A233">
            <v>39785</v>
          </cell>
          <cell r="FR233">
            <v>17.421040000000001</v>
          </cell>
          <cell r="FS233">
            <v>22.314663874962239</v>
          </cell>
          <cell r="FT233">
            <v>20.116606119778133</v>
          </cell>
          <cell r="FU233">
            <v>17.065595346429742</v>
          </cell>
          <cell r="FV233">
            <v>23.167616893126525</v>
          </cell>
          <cell r="GG233">
            <v>9.2136313342357727</v>
          </cell>
          <cell r="GH233">
            <v>13.982143405445317</v>
          </cell>
          <cell r="GI233">
            <v>10.408007395026372</v>
          </cell>
          <cell r="GJ233">
            <v>7.7337520878462023</v>
          </cell>
          <cell r="GK233">
            <v>13.082262702206542</v>
          </cell>
        </row>
        <row r="234">
          <cell r="A234">
            <v>39786</v>
          </cell>
          <cell r="FR234">
            <v>17.073669473684209</v>
          </cell>
          <cell r="FS234">
            <v>22.314663874962239</v>
          </cell>
          <cell r="FT234">
            <v>20.116606119778133</v>
          </cell>
          <cell r="FU234">
            <v>17.065595346429742</v>
          </cell>
          <cell r="FV234">
            <v>23.167616893126525</v>
          </cell>
          <cell r="GG234">
            <v>9.2482911541404285</v>
          </cell>
          <cell r="GH234">
            <v>13.982143405445317</v>
          </cell>
          <cell r="GI234">
            <v>10.408007395026372</v>
          </cell>
          <cell r="GJ234">
            <v>7.7337520878462023</v>
          </cell>
          <cell r="GK234">
            <v>13.082262702206542</v>
          </cell>
        </row>
        <row r="235">
          <cell r="A235">
            <v>39787</v>
          </cell>
          <cell r="FR235">
            <v>18.105260000000001</v>
          </cell>
          <cell r="FS235">
            <v>22.314663874962239</v>
          </cell>
          <cell r="FT235">
            <v>20.116606119778133</v>
          </cell>
          <cell r="FU235">
            <v>17.065595346429742</v>
          </cell>
          <cell r="FV235">
            <v>23.167616893126525</v>
          </cell>
          <cell r="GG235">
            <v>9.3349379083043953</v>
          </cell>
          <cell r="GH235">
            <v>13.982143405445317</v>
          </cell>
          <cell r="GI235">
            <v>10.408007395026372</v>
          </cell>
          <cell r="GJ235">
            <v>7.7337520878462023</v>
          </cell>
          <cell r="GK235">
            <v>13.082262702206542</v>
          </cell>
        </row>
        <row r="236">
          <cell r="A236">
            <v>39790</v>
          </cell>
          <cell r="FR236">
            <v>17.894736842105264</v>
          </cell>
          <cell r="FS236">
            <v>22.314663874962239</v>
          </cell>
          <cell r="FT236">
            <v>20.116606119778133</v>
          </cell>
          <cell r="FU236">
            <v>17.065595346429742</v>
          </cell>
          <cell r="FV236">
            <v>23.167616893126525</v>
          </cell>
          <cell r="GG236">
            <v>9.3349379083043953</v>
          </cell>
          <cell r="GH236">
            <v>13.982143405445317</v>
          </cell>
          <cell r="GI236">
            <v>10.408007395026372</v>
          </cell>
          <cell r="GJ236">
            <v>7.7337520878462023</v>
          </cell>
          <cell r="GK236">
            <v>13.082262702206542</v>
          </cell>
        </row>
        <row r="237">
          <cell r="A237">
            <v>39791</v>
          </cell>
          <cell r="FR237">
            <v>17.389463157894738</v>
          </cell>
          <cell r="FS237">
            <v>22.314663874962239</v>
          </cell>
          <cell r="FT237">
            <v>20.116606119778133</v>
          </cell>
          <cell r="FU237">
            <v>17.065595346429742</v>
          </cell>
          <cell r="FV237">
            <v>23.167616893126525</v>
          </cell>
          <cell r="GG237">
            <v>9.1789729856983104</v>
          </cell>
          <cell r="GH237">
            <v>13.982143405445317</v>
          </cell>
          <cell r="GI237">
            <v>10.408007395026372</v>
          </cell>
          <cell r="GJ237">
            <v>7.7337520878462023</v>
          </cell>
          <cell r="GK237">
            <v>13.082262702206542</v>
          </cell>
        </row>
        <row r="238">
          <cell r="A238">
            <v>39792</v>
          </cell>
          <cell r="FR238">
            <v>17.578944210526316</v>
          </cell>
          <cell r="FS238">
            <v>22.314663874962239</v>
          </cell>
          <cell r="FT238">
            <v>20.116606119778133</v>
          </cell>
          <cell r="FU238">
            <v>17.065595346429742</v>
          </cell>
          <cell r="FV238">
            <v>23.167616893126525</v>
          </cell>
          <cell r="GG238">
            <v>9.2251845094461782</v>
          </cell>
          <cell r="GH238">
            <v>13.982143405445317</v>
          </cell>
          <cell r="GI238">
            <v>10.408007395026372</v>
          </cell>
          <cell r="GJ238">
            <v>7.7337520878462023</v>
          </cell>
          <cell r="GK238">
            <v>13.082262702206542</v>
          </cell>
        </row>
        <row r="239">
          <cell r="A239">
            <v>39793</v>
          </cell>
          <cell r="FR239">
            <v>17.305250526315788</v>
          </cell>
          <cell r="FS239">
            <v>22.314663874962239</v>
          </cell>
          <cell r="FT239">
            <v>20.116606119778133</v>
          </cell>
          <cell r="FU239">
            <v>17.065595346429742</v>
          </cell>
          <cell r="FV239">
            <v>23.167616893126525</v>
          </cell>
          <cell r="GG239">
            <v>9.1038785239244309</v>
          </cell>
          <cell r="GH239">
            <v>13.982143405445317</v>
          </cell>
          <cell r="GI239">
            <v>10.408007395026372</v>
          </cell>
          <cell r="GJ239">
            <v>7.7337520878462023</v>
          </cell>
          <cell r="GK239">
            <v>13.082262702206542</v>
          </cell>
        </row>
        <row r="240">
          <cell r="A240">
            <v>39794</v>
          </cell>
          <cell r="FR240">
            <v>17.452617894736843</v>
          </cell>
          <cell r="FS240">
            <v>22.314663874962239</v>
          </cell>
          <cell r="FT240">
            <v>20.116606119778133</v>
          </cell>
          <cell r="FU240">
            <v>17.065595346429742</v>
          </cell>
          <cell r="FV240">
            <v>23.167616893126525</v>
          </cell>
          <cell r="GG240">
            <v>8.820831616738273</v>
          </cell>
          <cell r="GH240">
            <v>13.982143405445317</v>
          </cell>
          <cell r="GI240">
            <v>10.408007395026372</v>
          </cell>
          <cell r="GJ240">
            <v>7.7337520878462023</v>
          </cell>
          <cell r="GK240">
            <v>13.082262702206542</v>
          </cell>
        </row>
        <row r="241">
          <cell r="A241">
            <v>39797</v>
          </cell>
          <cell r="FR241">
            <v>17.494732631578948</v>
          </cell>
          <cell r="FS241">
            <v>22.314663874962239</v>
          </cell>
          <cell r="FT241">
            <v>20.116606119778133</v>
          </cell>
          <cell r="FU241">
            <v>17.065595346429742</v>
          </cell>
          <cell r="FV241">
            <v>23.167616893126525</v>
          </cell>
          <cell r="GG241">
            <v>8.7515134482961567</v>
          </cell>
          <cell r="GH241">
            <v>13.982143405445317</v>
          </cell>
          <cell r="GI241">
            <v>10.408007395026372</v>
          </cell>
          <cell r="GJ241">
            <v>7.7337520878462023</v>
          </cell>
          <cell r="GK241">
            <v>13.082262702206542</v>
          </cell>
        </row>
        <row r="242">
          <cell r="A242">
            <v>39798</v>
          </cell>
          <cell r="FR242">
            <v>18.147358947368421</v>
          </cell>
          <cell r="FS242">
            <v>22.314663874962239</v>
          </cell>
          <cell r="FT242">
            <v>20.116606119778133</v>
          </cell>
          <cell r="FU242">
            <v>17.065595346429742</v>
          </cell>
          <cell r="FV242">
            <v>23.167616893126525</v>
          </cell>
          <cell r="GG242">
            <v>8.7688429168383255</v>
          </cell>
          <cell r="GH242">
            <v>13.982143405445317</v>
          </cell>
          <cell r="GI242">
            <v>10.408007395026372</v>
          </cell>
          <cell r="GJ242">
            <v>7.7337520878462023</v>
          </cell>
          <cell r="GK242">
            <v>13.082262702206542</v>
          </cell>
        </row>
        <row r="243">
          <cell r="A243">
            <v>39799</v>
          </cell>
          <cell r="FR243">
            <v>18.26314842105263</v>
          </cell>
          <cell r="FS243">
            <v>22.314663874962239</v>
          </cell>
          <cell r="FT243">
            <v>20.116606119778133</v>
          </cell>
          <cell r="FU243">
            <v>17.065595346429742</v>
          </cell>
          <cell r="FV243">
            <v>23.167616893126525</v>
          </cell>
          <cell r="GG243">
            <v>8.7919486787122594</v>
          </cell>
          <cell r="GH243">
            <v>13.982143405445317</v>
          </cell>
          <cell r="GI243">
            <v>10.408007395026372</v>
          </cell>
          <cell r="GJ243">
            <v>7.7337520878462023</v>
          </cell>
          <cell r="GK243">
            <v>13.082262702206542</v>
          </cell>
        </row>
        <row r="244">
          <cell r="A244">
            <v>39800</v>
          </cell>
          <cell r="FR244">
            <v>18.020820833333332</v>
          </cell>
          <cell r="FS244">
            <v>22.314663874962239</v>
          </cell>
          <cell r="FT244">
            <v>20.116606119778133</v>
          </cell>
          <cell r="FU244">
            <v>17.065595346429742</v>
          </cell>
          <cell r="FV244">
            <v>23.167616893126525</v>
          </cell>
          <cell r="GG244">
            <v>8.7075732047408785</v>
          </cell>
          <cell r="GH244">
            <v>13.982143405445317</v>
          </cell>
          <cell r="GI244">
            <v>10.408007395026372</v>
          </cell>
          <cell r="GJ244">
            <v>7.7337520878462023</v>
          </cell>
          <cell r="GK244">
            <v>13.082262702206542</v>
          </cell>
        </row>
        <row r="245">
          <cell r="A245">
            <v>39801</v>
          </cell>
          <cell r="FR245">
            <v>17.177073958333335</v>
          </cell>
          <cell r="FS245">
            <v>22.314663874962239</v>
          </cell>
          <cell r="FT245">
            <v>20.116606119778133</v>
          </cell>
          <cell r="FU245">
            <v>17.065595346429742</v>
          </cell>
          <cell r="FV245">
            <v>23.167616893126525</v>
          </cell>
          <cell r="GG245">
            <v>8.56501510574018</v>
          </cell>
          <cell r="GH245">
            <v>13.982143405445317</v>
          </cell>
          <cell r="GI245">
            <v>10.408007395026372</v>
          </cell>
          <cell r="GJ245">
            <v>7.7337520878462023</v>
          </cell>
          <cell r="GK245">
            <v>13.082262702206542</v>
          </cell>
        </row>
        <row r="246">
          <cell r="A246">
            <v>39804</v>
          </cell>
          <cell r="FR246">
            <v>17.083327083333334</v>
          </cell>
          <cell r="FS246">
            <v>22.314663874962239</v>
          </cell>
          <cell r="FT246">
            <v>20.116606119778133</v>
          </cell>
          <cell r="FU246">
            <v>17.065595346429742</v>
          </cell>
          <cell r="FV246">
            <v>23.167616893126525</v>
          </cell>
          <cell r="GG246">
            <v>8.5079918080409005</v>
          </cell>
          <cell r="GH246">
            <v>13.982143405445317</v>
          </cell>
          <cell r="GI246">
            <v>10.408007395026372</v>
          </cell>
          <cell r="GJ246">
            <v>7.7337520878462023</v>
          </cell>
          <cell r="GK246">
            <v>13.082262702206542</v>
          </cell>
        </row>
        <row r="247">
          <cell r="A247">
            <v>39805</v>
          </cell>
          <cell r="FR247">
            <v>17.718744791666666</v>
          </cell>
          <cell r="FS247">
            <v>22.314663874962239</v>
          </cell>
          <cell r="FT247">
            <v>20.116606119778133</v>
          </cell>
          <cell r="FU247">
            <v>17.065595346429742</v>
          </cell>
          <cell r="FV247">
            <v>23.167616893126525</v>
          </cell>
          <cell r="GG247">
            <v>8.639145073204741</v>
          </cell>
          <cell r="GH247">
            <v>13.982143405445317</v>
          </cell>
          <cell r="GI247">
            <v>10.408007395026372</v>
          </cell>
          <cell r="GJ247">
            <v>7.7337520878462023</v>
          </cell>
          <cell r="GK247">
            <v>13.082262702206542</v>
          </cell>
        </row>
        <row r="248">
          <cell r="A248">
            <v>39806</v>
          </cell>
          <cell r="FR248">
            <v>17.354155208333335</v>
          </cell>
          <cell r="FS248">
            <v>22.314663874962239</v>
          </cell>
          <cell r="FT248">
            <v>20.116606119778133</v>
          </cell>
          <cell r="FU248">
            <v>17.065595346429742</v>
          </cell>
          <cell r="FV248">
            <v>23.167616893126525</v>
          </cell>
          <cell r="GG248">
            <v>8.639145073204741</v>
          </cell>
          <cell r="GH248">
            <v>13.982143405445317</v>
          </cell>
          <cell r="GI248">
            <v>10.408007395026372</v>
          </cell>
          <cell r="GJ248">
            <v>7.7337520878462023</v>
          </cell>
          <cell r="GK248">
            <v>13.082262702206542</v>
          </cell>
        </row>
        <row r="249">
          <cell r="A249">
            <v>39807</v>
          </cell>
          <cell r="FR249">
            <v>17.354155208333335</v>
          </cell>
          <cell r="FS249">
            <v>22.314663874962239</v>
          </cell>
          <cell r="FT249">
            <v>20.116606119778133</v>
          </cell>
          <cell r="FU249">
            <v>17.065595346429742</v>
          </cell>
          <cell r="FV249">
            <v>23.167616893126525</v>
          </cell>
          <cell r="GG249">
            <v>8.639145073204741</v>
          </cell>
          <cell r="GH249">
            <v>13.982143405445317</v>
          </cell>
          <cell r="GI249">
            <v>10.408007395026372</v>
          </cell>
          <cell r="GJ249">
            <v>7.7337520878462023</v>
          </cell>
          <cell r="GK249">
            <v>13.082262702206542</v>
          </cell>
        </row>
        <row r="250">
          <cell r="A250">
            <v>39808</v>
          </cell>
          <cell r="FR250">
            <v>17.67706875</v>
          </cell>
          <cell r="FS250">
            <v>22.314663874962239</v>
          </cell>
          <cell r="FT250">
            <v>20.116606119778133</v>
          </cell>
          <cell r="FU250">
            <v>17.065595346429742</v>
          </cell>
          <cell r="FV250">
            <v>23.167616893126525</v>
          </cell>
          <cell r="GG250">
            <v>8.639145073204741</v>
          </cell>
          <cell r="GH250">
            <v>13.982143405445317</v>
          </cell>
          <cell r="GI250">
            <v>10.408007395026372</v>
          </cell>
          <cell r="GJ250">
            <v>7.7337520878462023</v>
          </cell>
          <cell r="GK250">
            <v>13.082262702206542</v>
          </cell>
        </row>
        <row r="251">
          <cell r="A251">
            <v>39811</v>
          </cell>
          <cell r="FR251">
            <v>17.59375</v>
          </cell>
          <cell r="FS251">
            <v>22.314663874962239</v>
          </cell>
          <cell r="FT251">
            <v>20.116606119778133</v>
          </cell>
          <cell r="FU251">
            <v>17.065595346429742</v>
          </cell>
          <cell r="FV251">
            <v>23.167616893126525</v>
          </cell>
          <cell r="GG251">
            <v>8.5992290262607476</v>
          </cell>
          <cell r="GH251">
            <v>13.982143405445317</v>
          </cell>
          <cell r="GI251">
            <v>10.408007395026372</v>
          </cell>
          <cell r="GJ251">
            <v>7.7337520878462023</v>
          </cell>
          <cell r="GK251">
            <v>13.082262702206542</v>
          </cell>
        </row>
        <row r="252">
          <cell r="A252">
            <v>39812</v>
          </cell>
          <cell r="FR252">
            <v>18.08331875</v>
          </cell>
          <cell r="FS252">
            <v>22.314663874962239</v>
          </cell>
          <cell r="FT252">
            <v>20.116606119778133</v>
          </cell>
          <cell r="FU252">
            <v>17.065595346429742</v>
          </cell>
          <cell r="FV252">
            <v>23.167616893126525</v>
          </cell>
          <cell r="GG252">
            <v>8.7588940855217281</v>
          </cell>
          <cell r="GH252">
            <v>13.982143405445317</v>
          </cell>
          <cell r="GI252">
            <v>10.408007395026372</v>
          </cell>
          <cell r="GJ252">
            <v>7.7337520878462023</v>
          </cell>
          <cell r="GK252">
            <v>13.082262702206542</v>
          </cell>
        </row>
        <row r="253">
          <cell r="A253">
            <v>39813</v>
          </cell>
          <cell r="FR253">
            <v>18.291664583333333</v>
          </cell>
          <cell r="FS253">
            <v>22.314663874962239</v>
          </cell>
          <cell r="FT253">
            <v>20.116606119778133</v>
          </cell>
          <cell r="FU253">
            <v>17.065595346429742</v>
          </cell>
          <cell r="FV253">
            <v>23.167616893126525</v>
          </cell>
          <cell r="GG253">
            <v>8.7588940855217281</v>
          </cell>
          <cell r="GH253">
            <v>13.982143405445317</v>
          </cell>
          <cell r="GI253">
            <v>10.408007395026372</v>
          </cell>
          <cell r="GJ253">
            <v>7.7337520878462023</v>
          </cell>
          <cell r="GK253">
            <v>13.082262702206542</v>
          </cell>
        </row>
        <row r="254">
          <cell r="A254">
            <v>39814</v>
          </cell>
          <cell r="FR254">
            <v>18.291664583333333</v>
          </cell>
          <cell r="FS254">
            <v>22.314663874962239</v>
          </cell>
          <cell r="FT254">
            <v>20.116606119778133</v>
          </cell>
          <cell r="FU254">
            <v>17.065595346429742</v>
          </cell>
          <cell r="FV254">
            <v>23.167616893126525</v>
          </cell>
          <cell r="GG254">
            <v>8.7588940855217281</v>
          </cell>
          <cell r="GH254">
            <v>13.982143405445317</v>
          </cell>
          <cell r="GI254">
            <v>10.408007395026372</v>
          </cell>
          <cell r="GJ254">
            <v>7.7337520878462023</v>
          </cell>
          <cell r="GK254">
            <v>13.082262702206542</v>
          </cell>
        </row>
        <row r="255">
          <cell r="A255">
            <v>39815</v>
          </cell>
          <cell r="FR255">
            <v>17.822902083333332</v>
          </cell>
          <cell r="FS255">
            <v>22.314663874962239</v>
          </cell>
          <cell r="FT255">
            <v>20.116606119778133</v>
          </cell>
          <cell r="FU255">
            <v>17.065595346429742</v>
          </cell>
          <cell r="FV255">
            <v>23.167616893126525</v>
          </cell>
          <cell r="GG255">
            <v>8.7189774575877284</v>
          </cell>
          <cell r="GH255">
            <v>13.982143405445317</v>
          </cell>
          <cell r="GI255">
            <v>10.408007395026372</v>
          </cell>
          <cell r="GJ255">
            <v>7.7337520878462023</v>
          </cell>
          <cell r="GK255">
            <v>13.082262702206542</v>
          </cell>
        </row>
        <row r="256">
          <cell r="A256">
            <v>39818</v>
          </cell>
          <cell r="FR256">
            <v>18.572903125</v>
          </cell>
          <cell r="FS256">
            <v>22.314663874962239</v>
          </cell>
          <cell r="FT256">
            <v>20.116606119778133</v>
          </cell>
          <cell r="FU256">
            <v>17.065595346429742</v>
          </cell>
          <cell r="FV256">
            <v>23.167616893126525</v>
          </cell>
          <cell r="GG256">
            <v>9.0782230420636747</v>
          </cell>
          <cell r="GH256">
            <v>13.982143405445317</v>
          </cell>
          <cell r="GI256">
            <v>10.408007395026372</v>
          </cell>
          <cell r="GJ256">
            <v>7.7337520878462023</v>
          </cell>
          <cell r="GK256">
            <v>13.082262702206542</v>
          </cell>
        </row>
        <row r="257">
          <cell r="A257">
            <v>39819</v>
          </cell>
          <cell r="FR257">
            <v>18.08331875</v>
          </cell>
          <cell r="FS257">
            <v>22.314663874962239</v>
          </cell>
          <cell r="FT257">
            <v>20.116606119778133</v>
          </cell>
          <cell r="FU257">
            <v>17.065595346429742</v>
          </cell>
          <cell r="FV257">
            <v>23.167616893126525</v>
          </cell>
          <cell r="GG257">
            <v>8.998390076690681</v>
          </cell>
          <cell r="GH257">
            <v>13.982143405445317</v>
          </cell>
          <cell r="GI257">
            <v>10.408007395026372</v>
          </cell>
          <cell r="GJ257">
            <v>7.7337520878462023</v>
          </cell>
          <cell r="GK257">
            <v>13.082262702206542</v>
          </cell>
        </row>
        <row r="258">
          <cell r="A258">
            <v>39820</v>
          </cell>
          <cell r="FR258">
            <v>17.718744791666666</v>
          </cell>
          <cell r="FS258">
            <v>22.314663874962239</v>
          </cell>
          <cell r="FT258">
            <v>20.116606119778133</v>
          </cell>
          <cell r="FU258">
            <v>17.065595346429742</v>
          </cell>
          <cell r="FV258">
            <v>23.167616893126525</v>
          </cell>
          <cell r="GG258">
            <v>8.833023471996281</v>
          </cell>
          <cell r="GH258">
            <v>13.982143405445317</v>
          </cell>
          <cell r="GI258">
            <v>10.408007395026372</v>
          </cell>
          <cell r="GJ258">
            <v>7.7337520878462023</v>
          </cell>
          <cell r="GK258">
            <v>13.082262702206542</v>
          </cell>
        </row>
        <row r="259">
          <cell r="A259">
            <v>39821</v>
          </cell>
          <cell r="FR259">
            <v>17.59375</v>
          </cell>
          <cell r="FS259">
            <v>22.314663874962239</v>
          </cell>
          <cell r="FT259">
            <v>20.116606119778133</v>
          </cell>
          <cell r="FU259">
            <v>17.065595346429742</v>
          </cell>
          <cell r="FV259">
            <v>23.167616893126525</v>
          </cell>
          <cell r="GG259">
            <v>8.7931074250522894</v>
          </cell>
          <cell r="GH259">
            <v>13.982143405445317</v>
          </cell>
          <cell r="GI259">
            <v>10.408007395026372</v>
          </cell>
          <cell r="GJ259">
            <v>7.7337520878462023</v>
          </cell>
          <cell r="GK259">
            <v>13.082262702206542</v>
          </cell>
        </row>
        <row r="260">
          <cell r="A260">
            <v>39822</v>
          </cell>
          <cell r="FR260">
            <v>17.395830208333333</v>
          </cell>
          <cell r="FS260">
            <v>22.314663874962239</v>
          </cell>
          <cell r="FT260">
            <v>20.116606119778133</v>
          </cell>
          <cell r="FU260">
            <v>17.065595346429742</v>
          </cell>
          <cell r="FV260">
            <v>23.167616893126525</v>
          </cell>
          <cell r="GG260">
            <v>8.833023471996281</v>
          </cell>
          <cell r="GH260">
            <v>13.982143405445317</v>
          </cell>
          <cell r="GI260">
            <v>10.408007395026372</v>
          </cell>
          <cell r="GJ260">
            <v>7.7337520878462023</v>
          </cell>
          <cell r="GK260">
            <v>13.082262702206542</v>
          </cell>
        </row>
        <row r="261">
          <cell r="A261">
            <v>39825</v>
          </cell>
          <cell r="FR261">
            <v>16.999992708333334</v>
          </cell>
          <cell r="FS261">
            <v>22.314663874962239</v>
          </cell>
          <cell r="FT261">
            <v>20.116606119778133</v>
          </cell>
          <cell r="FU261">
            <v>17.065595346429742</v>
          </cell>
          <cell r="FV261">
            <v>23.167616893126525</v>
          </cell>
          <cell r="GG261">
            <v>8.7645956309551458</v>
          </cell>
          <cell r="GH261">
            <v>13.982143405445317</v>
          </cell>
          <cell r="GI261">
            <v>10.408007395026372</v>
          </cell>
          <cell r="GJ261">
            <v>7.7337520878462023</v>
          </cell>
          <cell r="GK261">
            <v>13.082262702206542</v>
          </cell>
        </row>
        <row r="262">
          <cell r="A262">
            <v>39826</v>
          </cell>
          <cell r="FR262">
            <v>17.1249875</v>
          </cell>
          <cell r="FS262">
            <v>22.314663874962239</v>
          </cell>
          <cell r="FT262">
            <v>20.116606119778133</v>
          </cell>
          <cell r="FU262">
            <v>17.065595346429742</v>
          </cell>
          <cell r="FV262">
            <v>23.167616893126525</v>
          </cell>
          <cell r="GG262">
            <v>8.833023471996281</v>
          </cell>
          <cell r="GH262">
            <v>13.982143405445317</v>
          </cell>
          <cell r="GI262">
            <v>10.408007395026372</v>
          </cell>
          <cell r="GJ262">
            <v>7.7337520878462023</v>
          </cell>
          <cell r="GK262">
            <v>13.082262702206542</v>
          </cell>
        </row>
        <row r="263">
          <cell r="A263">
            <v>39827</v>
          </cell>
          <cell r="FR263">
            <v>17.041652083333332</v>
          </cell>
          <cell r="FS263">
            <v>22.314663874962239</v>
          </cell>
          <cell r="FT263">
            <v>20.116606119778133</v>
          </cell>
          <cell r="FU263">
            <v>17.065595346429742</v>
          </cell>
          <cell r="FV263">
            <v>23.167616893126525</v>
          </cell>
          <cell r="GG263">
            <v>8.753191378108296</v>
          </cell>
          <cell r="GH263">
            <v>13.982143405445317</v>
          </cell>
          <cell r="GI263">
            <v>10.408007395026372</v>
          </cell>
          <cell r="GJ263">
            <v>7.7337520878462023</v>
          </cell>
          <cell r="GK263">
            <v>13.082262702206542</v>
          </cell>
        </row>
        <row r="264">
          <cell r="A264">
            <v>39828</v>
          </cell>
          <cell r="FR264">
            <v>17.680406185567012</v>
          </cell>
          <cell r="FS264">
            <v>22.314663874962239</v>
          </cell>
          <cell r="FT264">
            <v>20.116606119778133</v>
          </cell>
          <cell r="FU264">
            <v>17.065595346429742</v>
          </cell>
          <cell r="FV264">
            <v>23.167616893126525</v>
          </cell>
          <cell r="GG264">
            <v>8.9687966364366876</v>
          </cell>
          <cell r="GH264">
            <v>13.982143405445317</v>
          </cell>
          <cell r="GI264">
            <v>10.408007395026372</v>
          </cell>
          <cell r="GJ264">
            <v>7.7337520878462023</v>
          </cell>
          <cell r="GK264">
            <v>13.082262702206542</v>
          </cell>
        </row>
        <row r="265">
          <cell r="A265">
            <v>39829</v>
          </cell>
          <cell r="FR265">
            <v>17.938138144329898</v>
          </cell>
          <cell r="FS265">
            <v>22.314663874962239</v>
          </cell>
          <cell r="FT265">
            <v>20.116606119778133</v>
          </cell>
          <cell r="FU265">
            <v>17.065595346429742</v>
          </cell>
          <cell r="FV265">
            <v>23.167616893126525</v>
          </cell>
          <cell r="GG265">
            <v>9.0927356216278259</v>
          </cell>
          <cell r="GH265">
            <v>13.982143405445317</v>
          </cell>
          <cell r="GI265">
            <v>10.408007395026372</v>
          </cell>
          <cell r="GJ265">
            <v>7.7337520878462023</v>
          </cell>
          <cell r="GK265">
            <v>13.082262702206542</v>
          </cell>
        </row>
        <row r="266">
          <cell r="A266">
            <v>39832</v>
          </cell>
          <cell r="FR266">
            <v>17.938138144329898</v>
          </cell>
          <cell r="FS266">
            <v>22.314663874962239</v>
          </cell>
          <cell r="FT266">
            <v>20.116606119778133</v>
          </cell>
          <cell r="FU266">
            <v>17.065595346429742</v>
          </cell>
          <cell r="FV266">
            <v>23.167616893126525</v>
          </cell>
          <cell r="GG266">
            <v>9.0927356216278259</v>
          </cell>
          <cell r="GH266">
            <v>13.982143405445317</v>
          </cell>
          <cell r="GI266">
            <v>10.408007395026372</v>
          </cell>
          <cell r="GJ266">
            <v>7.7337520878462023</v>
          </cell>
          <cell r="GK266">
            <v>13.082262702206542</v>
          </cell>
        </row>
        <row r="267">
          <cell r="A267">
            <v>39833</v>
          </cell>
          <cell r="FR267">
            <v>17.628856701030927</v>
          </cell>
          <cell r="FS267">
            <v>22.314663874962239</v>
          </cell>
          <cell r="FT267">
            <v>20.116606119778133</v>
          </cell>
          <cell r="FU267">
            <v>17.065595346429742</v>
          </cell>
          <cell r="FV267">
            <v>23.167616893126525</v>
          </cell>
          <cell r="GG267">
            <v>9.20540666972793</v>
          </cell>
          <cell r="GH267">
            <v>13.982143405445317</v>
          </cell>
          <cell r="GI267">
            <v>10.408007395026372</v>
          </cell>
          <cell r="GJ267">
            <v>7.7337520878462023</v>
          </cell>
          <cell r="GK267">
            <v>13.082262702206542</v>
          </cell>
        </row>
        <row r="268">
          <cell r="A268">
            <v>39834</v>
          </cell>
          <cell r="FR268">
            <v>18.340199999999999</v>
          </cell>
          <cell r="FS268">
            <v>22.314663874962239</v>
          </cell>
          <cell r="FT268">
            <v>20.116606119778133</v>
          </cell>
          <cell r="FU268">
            <v>17.065595346429742</v>
          </cell>
          <cell r="FV268">
            <v>23.167616893126525</v>
          </cell>
          <cell r="GG268">
            <v>9.2279408219492591</v>
          </cell>
          <cell r="GH268">
            <v>13.982143405445317</v>
          </cell>
          <cell r="GI268">
            <v>10.408007395026372</v>
          </cell>
          <cell r="GJ268">
            <v>7.7337520878462023</v>
          </cell>
          <cell r="GK268">
            <v>13.082262702206542</v>
          </cell>
        </row>
        <row r="269">
          <cell r="A269">
            <v>39835</v>
          </cell>
          <cell r="FR269">
            <v>18.103090721649487</v>
          </cell>
          <cell r="FS269">
            <v>22.314663874962239</v>
          </cell>
          <cell r="FT269">
            <v>20.116606119778133</v>
          </cell>
          <cell r="FU269">
            <v>17.065595346429742</v>
          </cell>
          <cell r="FV269">
            <v>23.167616893126525</v>
          </cell>
          <cell r="GG269">
            <v>9.3068115026977374</v>
          </cell>
          <cell r="GH269">
            <v>13.982143405445317</v>
          </cell>
          <cell r="GI269">
            <v>10.408007395026372</v>
          </cell>
          <cell r="GJ269">
            <v>7.7337520878462023</v>
          </cell>
          <cell r="GK269">
            <v>13.082262702206542</v>
          </cell>
        </row>
        <row r="270">
          <cell r="A270">
            <v>39836</v>
          </cell>
          <cell r="FR270">
            <v>17.711332989690721</v>
          </cell>
          <cell r="FS270">
            <v>22.314663874962239</v>
          </cell>
          <cell r="FT270">
            <v>20.116606119778133</v>
          </cell>
          <cell r="FU270">
            <v>17.065595346429742</v>
          </cell>
          <cell r="FV270">
            <v>23.167616893126525</v>
          </cell>
          <cell r="GG270">
            <v>9.2279408219492591</v>
          </cell>
          <cell r="GH270">
            <v>13.982143405445317</v>
          </cell>
          <cell r="GI270">
            <v>10.408007395026372</v>
          </cell>
          <cell r="GJ270">
            <v>7.7337520878462023</v>
          </cell>
          <cell r="GK270">
            <v>13.082262702206542</v>
          </cell>
        </row>
        <row r="271">
          <cell r="A271">
            <v>39839</v>
          </cell>
          <cell r="FR271">
            <v>17.845358762886598</v>
          </cell>
          <cell r="FS271">
            <v>22.314663874962239</v>
          </cell>
          <cell r="FT271">
            <v>20.116606119778133</v>
          </cell>
          <cell r="FU271">
            <v>17.065595346429742</v>
          </cell>
          <cell r="FV271">
            <v>23.167616893126525</v>
          </cell>
          <cell r="GG271">
            <v>9.2730097003788305</v>
          </cell>
          <cell r="GH271">
            <v>13.982143405445317</v>
          </cell>
          <cell r="GI271">
            <v>10.408007395026372</v>
          </cell>
          <cell r="GJ271">
            <v>7.7337520878462023</v>
          </cell>
          <cell r="GK271">
            <v>13.082262702206542</v>
          </cell>
        </row>
        <row r="272">
          <cell r="A272">
            <v>39840</v>
          </cell>
          <cell r="FR272">
            <v>18.494832989690721</v>
          </cell>
          <cell r="FS272">
            <v>22.314663874962239</v>
          </cell>
          <cell r="FT272">
            <v>20.116606119778133</v>
          </cell>
          <cell r="FU272">
            <v>17.065595346429742</v>
          </cell>
          <cell r="FV272">
            <v>23.167616893126525</v>
          </cell>
          <cell r="GG272">
            <v>9.419482837791298</v>
          </cell>
          <cell r="GH272">
            <v>13.982143405445317</v>
          </cell>
          <cell r="GI272">
            <v>10.408007395026372</v>
          </cell>
          <cell r="GJ272">
            <v>7.7337520878462023</v>
          </cell>
          <cell r="GK272">
            <v>13.082262702206542</v>
          </cell>
        </row>
        <row r="273">
          <cell r="A273">
            <v>39841</v>
          </cell>
          <cell r="FR273">
            <v>18.556701030927837</v>
          </cell>
          <cell r="FS273">
            <v>22.314663874962239</v>
          </cell>
          <cell r="FT273">
            <v>20.116606119778133</v>
          </cell>
          <cell r="FU273">
            <v>17.065595346429742</v>
          </cell>
          <cell r="FV273">
            <v>23.167616893126525</v>
          </cell>
          <cell r="GG273">
            <v>9.3913147170244518</v>
          </cell>
          <cell r="GH273">
            <v>13.982143405445317</v>
          </cell>
          <cell r="GI273">
            <v>10.408007395026372</v>
          </cell>
          <cell r="GJ273">
            <v>7.7337520878462023</v>
          </cell>
          <cell r="GK273">
            <v>13.082262702206542</v>
          </cell>
        </row>
        <row r="274">
          <cell r="A274">
            <v>39842</v>
          </cell>
          <cell r="FR274">
            <v>17.83503917525773</v>
          </cell>
          <cell r="FS274">
            <v>22.314663874962239</v>
          </cell>
          <cell r="FT274">
            <v>20.116606119778133</v>
          </cell>
          <cell r="FU274">
            <v>17.065595346429742</v>
          </cell>
          <cell r="FV274">
            <v>23.167616893126525</v>
          </cell>
          <cell r="GG274">
            <v>9.3068115026977374</v>
          </cell>
          <cell r="GH274">
            <v>13.982143405445317</v>
          </cell>
          <cell r="GI274">
            <v>10.408007395026372</v>
          </cell>
          <cell r="GJ274">
            <v>7.7337520878462023</v>
          </cell>
          <cell r="GK274">
            <v>13.082262702206542</v>
          </cell>
        </row>
        <row r="275">
          <cell r="A275">
            <v>39843</v>
          </cell>
          <cell r="FR275">
            <v>17.680406185567012</v>
          </cell>
          <cell r="FS275">
            <v>22.314663874962239</v>
          </cell>
          <cell r="FT275">
            <v>20.116606119778133</v>
          </cell>
          <cell r="FU275">
            <v>17.065595346429742</v>
          </cell>
          <cell r="FV275">
            <v>23.167616893126525</v>
          </cell>
          <cell r="GG275">
            <v>9.2504755481575014</v>
          </cell>
          <cell r="GH275">
            <v>13.982143405445317</v>
          </cell>
          <cell r="GI275">
            <v>10.408007395026372</v>
          </cell>
          <cell r="GJ275">
            <v>7.7337520878462023</v>
          </cell>
          <cell r="GK275">
            <v>13.082262702206542</v>
          </cell>
        </row>
        <row r="276">
          <cell r="A276">
            <v>39846</v>
          </cell>
          <cell r="FR276">
            <v>17.474223711340205</v>
          </cell>
          <cell r="FS276">
            <v>22.314663874962239</v>
          </cell>
          <cell r="FT276">
            <v>20.116606119778133</v>
          </cell>
          <cell r="FU276">
            <v>17.065595346429742</v>
          </cell>
          <cell r="FV276">
            <v>23.167616893126525</v>
          </cell>
          <cell r="GG276">
            <v>9.1321699575249671</v>
          </cell>
          <cell r="GH276">
            <v>13.982143405445317</v>
          </cell>
          <cell r="GI276">
            <v>10.408007395026372</v>
          </cell>
          <cell r="GJ276">
            <v>7.7337520878462023</v>
          </cell>
          <cell r="GK276">
            <v>13.082262702206542</v>
          </cell>
        </row>
        <row r="277">
          <cell r="A277">
            <v>39847</v>
          </cell>
          <cell r="FR277">
            <v>17.164942268041237</v>
          </cell>
          <cell r="FS277">
            <v>22.314663874962239</v>
          </cell>
          <cell r="FT277">
            <v>20.116606119778133</v>
          </cell>
          <cell r="FU277">
            <v>17.065595346429742</v>
          </cell>
          <cell r="FV277">
            <v>23.167616893126525</v>
          </cell>
          <cell r="GG277">
            <v>8.9124615428768212</v>
          </cell>
          <cell r="GH277">
            <v>13.982143405445317</v>
          </cell>
          <cell r="GI277">
            <v>10.408007395026372</v>
          </cell>
          <cell r="GJ277">
            <v>7.7337520878462023</v>
          </cell>
          <cell r="GK277">
            <v>13.082262702206542</v>
          </cell>
        </row>
        <row r="278">
          <cell r="A278">
            <v>39848</v>
          </cell>
          <cell r="FR278">
            <v>17.896892783505155</v>
          </cell>
          <cell r="FS278">
            <v>22.314663874962239</v>
          </cell>
          <cell r="FT278">
            <v>20.116606119778133</v>
          </cell>
          <cell r="FU278">
            <v>17.065595346429742</v>
          </cell>
          <cell r="FV278">
            <v>23.167616893126525</v>
          </cell>
          <cell r="GG278">
            <v>9.2223074273906551</v>
          </cell>
          <cell r="GH278">
            <v>13.982143405445317</v>
          </cell>
          <cell r="GI278">
            <v>10.408007395026372</v>
          </cell>
          <cell r="GJ278">
            <v>7.7337520878462023</v>
          </cell>
          <cell r="GK278">
            <v>13.082262702206542</v>
          </cell>
        </row>
        <row r="279">
          <cell r="A279">
            <v>39849</v>
          </cell>
          <cell r="FR279">
            <v>17.742259793814434</v>
          </cell>
          <cell r="FS279">
            <v>22.314663874962239</v>
          </cell>
          <cell r="FT279">
            <v>20.116606119778133</v>
          </cell>
          <cell r="FU279">
            <v>17.065595346429742</v>
          </cell>
          <cell r="FV279">
            <v>23.167616893126525</v>
          </cell>
          <cell r="GG279">
            <v>9.3631463092641489</v>
          </cell>
          <cell r="GH279">
            <v>13.982143405445317</v>
          </cell>
          <cell r="GI279">
            <v>10.408007395026372</v>
          </cell>
          <cell r="GJ279">
            <v>7.7337520878462023</v>
          </cell>
          <cell r="GK279">
            <v>13.082262702206542</v>
          </cell>
        </row>
        <row r="280">
          <cell r="A280">
            <v>39850</v>
          </cell>
          <cell r="FR280">
            <v>17.422674226804123</v>
          </cell>
          <cell r="FS280">
            <v>22.314663874962239</v>
          </cell>
          <cell r="FT280">
            <v>20.116606119778133</v>
          </cell>
          <cell r="FU280">
            <v>17.065595346429742</v>
          </cell>
          <cell r="FV280">
            <v>23.167616893126525</v>
          </cell>
          <cell r="GG280">
            <v>9.115269773849155</v>
          </cell>
          <cell r="GH280">
            <v>13.982143405445317</v>
          </cell>
          <cell r="GI280">
            <v>10.408007395026372</v>
          </cell>
          <cell r="GJ280">
            <v>7.7337520878462023</v>
          </cell>
          <cell r="GK280">
            <v>13.082262702206542</v>
          </cell>
        </row>
        <row r="281">
          <cell r="A281">
            <v>39853</v>
          </cell>
          <cell r="FR281">
            <v>18.010294845360825</v>
          </cell>
          <cell r="FS281">
            <v>22.314663874962239</v>
          </cell>
          <cell r="FT281">
            <v>20.116606119778133</v>
          </cell>
          <cell r="FU281">
            <v>17.065595346429742</v>
          </cell>
          <cell r="FV281">
            <v>23.167616893126525</v>
          </cell>
          <cell r="GG281">
            <v>9.1885064860521179</v>
          </cell>
          <cell r="GH281">
            <v>13.982143405445317</v>
          </cell>
          <cell r="GI281">
            <v>10.408007395026372</v>
          </cell>
          <cell r="GJ281">
            <v>7.7337520878462023</v>
          </cell>
          <cell r="GK281">
            <v>13.082262702206542</v>
          </cell>
        </row>
        <row r="282">
          <cell r="A282">
            <v>39854</v>
          </cell>
          <cell r="FR282">
            <v>18.288650515463917</v>
          </cell>
          <cell r="FS282">
            <v>22.314663874962239</v>
          </cell>
          <cell r="FT282">
            <v>20.116606119778133</v>
          </cell>
          <cell r="FU282">
            <v>17.065595346429742</v>
          </cell>
          <cell r="FV282">
            <v>23.167616893126525</v>
          </cell>
          <cell r="GG282">
            <v>9.4589137297669605</v>
          </cell>
          <cell r="GH282">
            <v>13.982143405445317</v>
          </cell>
          <cell r="GI282">
            <v>10.408007395026372</v>
          </cell>
          <cell r="GJ282">
            <v>7.7337520878462023</v>
          </cell>
          <cell r="GK282">
            <v>13.082262702206542</v>
          </cell>
        </row>
        <row r="283">
          <cell r="A283">
            <v>39855</v>
          </cell>
          <cell r="FR283">
            <v>18.412356701030927</v>
          </cell>
          <cell r="FS283">
            <v>22.314663874962239</v>
          </cell>
          <cell r="FT283">
            <v>20.116606119778133</v>
          </cell>
          <cell r="FU283">
            <v>17.065595346429742</v>
          </cell>
          <cell r="FV283">
            <v>23.167616893126525</v>
          </cell>
          <cell r="GG283">
            <v>9.5152508322810228</v>
          </cell>
          <cell r="GH283">
            <v>13.982143405445317</v>
          </cell>
          <cell r="GI283">
            <v>10.408007395026372</v>
          </cell>
          <cell r="GJ283">
            <v>7.7337520878462023</v>
          </cell>
          <cell r="GK283">
            <v>13.082262702206542</v>
          </cell>
        </row>
        <row r="284">
          <cell r="A284">
            <v>39856</v>
          </cell>
          <cell r="FR284">
            <v>18.443298969072167</v>
          </cell>
          <cell r="FS284">
            <v>22.314663874962239</v>
          </cell>
          <cell r="FT284">
            <v>20.116606119778133</v>
          </cell>
          <cell r="FU284">
            <v>17.065595346429742</v>
          </cell>
          <cell r="FV284">
            <v>23.167616893126525</v>
          </cell>
          <cell r="GG284">
            <v>9.5997563425553896</v>
          </cell>
          <cell r="GH284">
            <v>13.982143405445317</v>
          </cell>
          <cell r="GI284">
            <v>10.408007395026372</v>
          </cell>
          <cell r="GJ284">
            <v>7.7337520878462023</v>
          </cell>
          <cell r="GK284">
            <v>13.082262702206542</v>
          </cell>
        </row>
        <row r="285">
          <cell r="A285">
            <v>39857</v>
          </cell>
          <cell r="FR285">
            <v>17.793809278350516</v>
          </cell>
          <cell r="FS285">
            <v>22.314663874962239</v>
          </cell>
          <cell r="FT285">
            <v>20.116606119778133</v>
          </cell>
          <cell r="FU285">
            <v>17.065595346429742</v>
          </cell>
          <cell r="FV285">
            <v>23.167616893126525</v>
          </cell>
          <cell r="GG285">
            <v>9.2842770634829535</v>
          </cell>
          <cell r="GH285">
            <v>13.982143405445317</v>
          </cell>
          <cell r="GI285">
            <v>10.408007395026372</v>
          </cell>
          <cell r="GJ285">
            <v>7.7337520878462023</v>
          </cell>
          <cell r="GK285">
            <v>13.082262702206542</v>
          </cell>
        </row>
        <row r="286">
          <cell r="A286">
            <v>39860</v>
          </cell>
          <cell r="FR286">
            <v>17.793809278350516</v>
          </cell>
          <cell r="FS286">
            <v>22.314663874962239</v>
          </cell>
          <cell r="FT286">
            <v>20.116606119778133</v>
          </cell>
          <cell r="FU286">
            <v>17.065595346429742</v>
          </cell>
          <cell r="FV286">
            <v>23.167616893126525</v>
          </cell>
          <cell r="GG286">
            <v>9.2842770634829535</v>
          </cell>
          <cell r="GH286">
            <v>13.982143405445317</v>
          </cell>
          <cell r="GI286">
            <v>10.408007395026372</v>
          </cell>
          <cell r="GJ286">
            <v>7.7337520878462023</v>
          </cell>
          <cell r="GK286">
            <v>13.082262702206542</v>
          </cell>
        </row>
        <row r="287">
          <cell r="A287">
            <v>39861</v>
          </cell>
          <cell r="FR287">
            <v>17.793809278350516</v>
          </cell>
          <cell r="FS287">
            <v>22.314663874962239</v>
          </cell>
          <cell r="FT287">
            <v>20.116606119778133</v>
          </cell>
          <cell r="FU287">
            <v>17.065595346429742</v>
          </cell>
          <cell r="FV287">
            <v>23.167616893126525</v>
          </cell>
          <cell r="GG287">
            <v>9.4420155550453444</v>
          </cell>
          <cell r="GH287">
            <v>13.982143405445317</v>
          </cell>
          <cell r="GI287">
            <v>10.408007395026372</v>
          </cell>
          <cell r="GJ287">
            <v>7.7337520878462023</v>
          </cell>
          <cell r="GK287">
            <v>13.082262702206542</v>
          </cell>
        </row>
        <row r="288">
          <cell r="A288">
            <v>39862</v>
          </cell>
          <cell r="FR288">
            <v>17.783505154639176</v>
          </cell>
          <cell r="FS288">
            <v>22.314663874962239</v>
          </cell>
          <cell r="FT288">
            <v>20.116606119778133</v>
          </cell>
          <cell r="FU288">
            <v>17.065595346429742</v>
          </cell>
          <cell r="FV288">
            <v>23.167616893126525</v>
          </cell>
          <cell r="GG288">
            <v>9.4532789002410738</v>
          </cell>
          <cell r="GH288">
            <v>13.982143405445317</v>
          </cell>
          <cell r="GI288">
            <v>10.408007395026372</v>
          </cell>
          <cell r="GJ288">
            <v>7.7337520878462023</v>
          </cell>
          <cell r="GK288">
            <v>13.082262702206542</v>
          </cell>
        </row>
        <row r="289">
          <cell r="A289">
            <v>39863</v>
          </cell>
          <cell r="FR289">
            <v>18.473110752688171</v>
          </cell>
          <cell r="FS289">
            <v>22.314663874962239</v>
          </cell>
          <cell r="FT289">
            <v>20.116606119778133</v>
          </cell>
          <cell r="FU289">
            <v>17.065595346429742</v>
          </cell>
          <cell r="FV289">
            <v>23.167616893126525</v>
          </cell>
          <cell r="GG289">
            <v>9.3814471775913564</v>
          </cell>
          <cell r="GH289">
            <v>13.982143405445317</v>
          </cell>
          <cell r="GI289">
            <v>10.408007395026372</v>
          </cell>
          <cell r="GJ289">
            <v>7.7337520878462023</v>
          </cell>
          <cell r="GK289">
            <v>13.082262702206542</v>
          </cell>
        </row>
        <row r="290">
          <cell r="A290">
            <v>39864</v>
          </cell>
          <cell r="FR290">
            <v>18.096760215053763</v>
          </cell>
          <cell r="FS290">
            <v>22.314663874962239</v>
          </cell>
          <cell r="FT290">
            <v>20.116606119778133</v>
          </cell>
          <cell r="FU290">
            <v>17.065595346429742</v>
          </cell>
          <cell r="FV290">
            <v>23.167616893126525</v>
          </cell>
          <cell r="GG290">
            <v>9.0241905303568899</v>
          </cell>
          <cell r="GH290">
            <v>13.982143405445317</v>
          </cell>
          <cell r="GI290">
            <v>10.408007395026372</v>
          </cell>
          <cell r="GJ290">
            <v>7.7337520878462023</v>
          </cell>
          <cell r="GK290">
            <v>13.082262702206542</v>
          </cell>
        </row>
        <row r="291">
          <cell r="A291">
            <v>39867</v>
          </cell>
          <cell r="FR291">
            <v>17.387095698924732</v>
          </cell>
          <cell r="FS291">
            <v>22.314663874962239</v>
          </cell>
          <cell r="FT291">
            <v>20.116606119778133</v>
          </cell>
          <cell r="FU291">
            <v>17.065595346429742</v>
          </cell>
          <cell r="FV291">
            <v>23.167616893126525</v>
          </cell>
          <cell r="GG291">
            <v>8.962787715057587</v>
          </cell>
          <cell r="GH291">
            <v>13.982143405445317</v>
          </cell>
          <cell r="GI291">
            <v>10.408007395026372</v>
          </cell>
          <cell r="GJ291">
            <v>7.7337520878462023</v>
          </cell>
          <cell r="GK291">
            <v>13.082262702206542</v>
          </cell>
        </row>
        <row r="292">
          <cell r="A292">
            <v>39868</v>
          </cell>
          <cell r="FR292">
            <v>18.602137634408599</v>
          </cell>
          <cell r="FS292">
            <v>22.314663874962239</v>
          </cell>
          <cell r="FT292">
            <v>20.116606119778133</v>
          </cell>
          <cell r="FU292">
            <v>17.065595346429742</v>
          </cell>
          <cell r="FV292">
            <v>23.167616893126525</v>
          </cell>
          <cell r="GG292">
            <v>9.1079237878572439</v>
          </cell>
          <cell r="GH292">
            <v>13.982143405445317</v>
          </cell>
          <cell r="GI292">
            <v>10.408007395026372</v>
          </cell>
          <cell r="GJ292">
            <v>7.7337520878462023</v>
          </cell>
          <cell r="GK292">
            <v>13.082262702206542</v>
          </cell>
        </row>
        <row r="293">
          <cell r="A293">
            <v>39869</v>
          </cell>
          <cell r="FR293">
            <v>17.93547634408602</v>
          </cell>
          <cell r="FS293">
            <v>22.314663874962239</v>
          </cell>
          <cell r="FT293">
            <v>20.116606119778133</v>
          </cell>
          <cell r="FU293">
            <v>17.065595346429742</v>
          </cell>
          <cell r="FV293">
            <v>23.167616893126525</v>
          </cell>
          <cell r="GG293">
            <v>9.06884800227499</v>
          </cell>
          <cell r="GH293">
            <v>13.982143405445317</v>
          </cell>
          <cell r="GI293">
            <v>10.408007395026372</v>
          </cell>
          <cell r="GJ293">
            <v>7.7337520878462023</v>
          </cell>
          <cell r="GK293">
            <v>13.082262702206542</v>
          </cell>
        </row>
        <row r="294">
          <cell r="A294">
            <v>39870</v>
          </cell>
          <cell r="FR294">
            <v>17.752682795698924</v>
          </cell>
          <cell r="FS294">
            <v>22.314663874962239</v>
          </cell>
          <cell r="FT294">
            <v>20.116606119778133</v>
          </cell>
          <cell r="FU294">
            <v>17.065595346429742</v>
          </cell>
          <cell r="FV294">
            <v>23.167616893126525</v>
          </cell>
          <cell r="GG294">
            <v>9.0800125124413498</v>
          </cell>
          <cell r="GH294">
            <v>13.982143405445317</v>
          </cell>
          <cell r="GI294">
            <v>10.408007395026372</v>
          </cell>
          <cell r="GJ294">
            <v>7.7337520878462023</v>
          </cell>
          <cell r="GK294">
            <v>13.082262702206542</v>
          </cell>
        </row>
        <row r="295">
          <cell r="A295">
            <v>39871</v>
          </cell>
          <cell r="FR295">
            <v>17.225795698924731</v>
          </cell>
          <cell r="FS295">
            <v>22.314663874962239</v>
          </cell>
          <cell r="FT295">
            <v>20.116606119778133</v>
          </cell>
          <cell r="FU295">
            <v>17.065595346429742</v>
          </cell>
          <cell r="FV295">
            <v>23.167616893126525</v>
          </cell>
          <cell r="GG295">
            <v>8.8958015071804351</v>
          </cell>
          <cell r="GH295">
            <v>13.982143405445317</v>
          </cell>
          <cell r="GI295">
            <v>10.408007395026372</v>
          </cell>
          <cell r="GJ295">
            <v>7.7337520878462023</v>
          </cell>
          <cell r="GK295">
            <v>13.082262702206542</v>
          </cell>
        </row>
        <row r="296">
          <cell r="A296">
            <v>39874</v>
          </cell>
          <cell r="FR296">
            <v>16.709677419354836</v>
          </cell>
          <cell r="FS296">
            <v>22.314663874962239</v>
          </cell>
          <cell r="FT296">
            <v>20.116606119778133</v>
          </cell>
          <cell r="FU296">
            <v>17.065595346429742</v>
          </cell>
          <cell r="FV296">
            <v>23.167616893126525</v>
          </cell>
          <cell r="GG296">
            <v>8.6166938717474757</v>
          </cell>
          <cell r="GH296">
            <v>13.982143405445317</v>
          </cell>
          <cell r="GI296">
            <v>10.408007395026372</v>
          </cell>
          <cell r="GJ296">
            <v>7.7337520878462023</v>
          </cell>
          <cell r="GK296">
            <v>13.082262702206542</v>
          </cell>
        </row>
        <row r="297">
          <cell r="A297">
            <v>39875</v>
          </cell>
          <cell r="FR297">
            <v>17.129032258064516</v>
          </cell>
          <cell r="FS297">
            <v>22.314663874962239</v>
          </cell>
          <cell r="FT297">
            <v>20.116606119778133</v>
          </cell>
          <cell r="FU297">
            <v>17.065595346429742</v>
          </cell>
          <cell r="FV297">
            <v>23.167616893126525</v>
          </cell>
          <cell r="GG297">
            <v>8.8902195364709229</v>
          </cell>
          <cell r="GH297">
            <v>13.982143405445317</v>
          </cell>
          <cell r="GI297">
            <v>10.408007395026372</v>
          </cell>
          <cell r="GJ297">
            <v>7.7337520878462023</v>
          </cell>
          <cell r="GK297">
            <v>13.082262702206542</v>
          </cell>
        </row>
        <row r="298">
          <cell r="A298">
            <v>39876</v>
          </cell>
          <cell r="FR298">
            <v>17.204301075268816</v>
          </cell>
          <cell r="FS298">
            <v>22.314663874962239</v>
          </cell>
          <cell r="FT298">
            <v>20.116606119778133</v>
          </cell>
          <cell r="FU298">
            <v>17.065595346429742</v>
          </cell>
          <cell r="FV298">
            <v>23.167616893126525</v>
          </cell>
          <cell r="GG298">
            <v>8.8399800938433106</v>
          </cell>
          <cell r="GH298">
            <v>13.982143405445317</v>
          </cell>
          <cell r="GI298">
            <v>10.408007395026372</v>
          </cell>
          <cell r="GJ298">
            <v>7.7337520878462023</v>
          </cell>
          <cell r="GK298">
            <v>13.082262702206542</v>
          </cell>
        </row>
        <row r="299">
          <cell r="A299">
            <v>39877</v>
          </cell>
          <cell r="FR299">
            <v>16.763440860215052</v>
          </cell>
          <cell r="FS299">
            <v>22.314663874962239</v>
          </cell>
          <cell r="FT299">
            <v>20.116606119778133</v>
          </cell>
          <cell r="FU299">
            <v>17.065595346429742</v>
          </cell>
          <cell r="FV299">
            <v>23.167616893126525</v>
          </cell>
          <cell r="GG299">
            <v>8.7729938859661605</v>
          </cell>
          <cell r="GH299">
            <v>13.982143405445317</v>
          </cell>
          <cell r="GI299">
            <v>10.408007395026372</v>
          </cell>
          <cell r="GJ299">
            <v>7.7337520878462023</v>
          </cell>
          <cell r="GK299">
            <v>13.082262702206542</v>
          </cell>
        </row>
        <row r="300">
          <cell r="A300">
            <v>39878</v>
          </cell>
          <cell r="FR300">
            <v>16.698924731182792</v>
          </cell>
          <cell r="FS300">
            <v>22.314663874962239</v>
          </cell>
          <cell r="FT300">
            <v>20.116606119778133</v>
          </cell>
          <cell r="FU300">
            <v>17.065595346429742</v>
          </cell>
          <cell r="FV300">
            <v>23.167616893126525</v>
          </cell>
          <cell r="GG300">
            <v>8.6892620503341398</v>
          </cell>
          <cell r="GH300">
            <v>13.982143405445317</v>
          </cell>
          <cell r="GI300">
            <v>10.408007395026372</v>
          </cell>
          <cell r="GJ300">
            <v>7.7337520878462023</v>
          </cell>
          <cell r="GK300">
            <v>13.082262702206542</v>
          </cell>
        </row>
        <row r="301">
          <cell r="A301">
            <v>39881</v>
          </cell>
          <cell r="FR301">
            <v>16.78494623655914</v>
          </cell>
          <cell r="FS301">
            <v>22.314663874962239</v>
          </cell>
          <cell r="FT301">
            <v>20.116606119778133</v>
          </cell>
          <cell r="FU301">
            <v>17.065595346429742</v>
          </cell>
          <cell r="FV301">
            <v>23.167616893126525</v>
          </cell>
          <cell r="GG301">
            <v>8.6390223233328598</v>
          </cell>
          <cell r="GH301">
            <v>13.982143405445317</v>
          </cell>
          <cell r="GI301">
            <v>10.408007395026372</v>
          </cell>
          <cell r="GJ301">
            <v>7.7337520878462023</v>
          </cell>
          <cell r="GK301">
            <v>13.082262702206542</v>
          </cell>
        </row>
        <row r="302">
          <cell r="A302">
            <v>39882</v>
          </cell>
          <cell r="FR302">
            <v>17.397841935483871</v>
          </cell>
          <cell r="FS302">
            <v>22.314663874962239</v>
          </cell>
          <cell r="FT302">
            <v>20.116606119778133</v>
          </cell>
          <cell r="FU302">
            <v>17.065595346429742</v>
          </cell>
          <cell r="FV302">
            <v>23.167616893126525</v>
          </cell>
          <cell r="GG302">
            <v>8.8567271434665162</v>
          </cell>
          <cell r="GH302">
            <v>13.982143405445317</v>
          </cell>
          <cell r="GI302">
            <v>10.408007395026372</v>
          </cell>
          <cell r="GJ302">
            <v>7.7337520878462023</v>
          </cell>
          <cell r="GK302">
            <v>13.082262702206542</v>
          </cell>
        </row>
        <row r="303">
          <cell r="A303">
            <v>39883</v>
          </cell>
          <cell r="FR303">
            <v>16.612903225806448</v>
          </cell>
          <cell r="FS303">
            <v>22.314663874962239</v>
          </cell>
          <cell r="FT303">
            <v>20.116606119778133</v>
          </cell>
          <cell r="FU303">
            <v>17.065595346429742</v>
          </cell>
          <cell r="FV303">
            <v>23.167616893126525</v>
          </cell>
          <cell r="GG303">
            <v>8.4380654059434104</v>
          </cell>
          <cell r="GH303">
            <v>13.982143405445317</v>
          </cell>
          <cell r="GI303">
            <v>10.408007395026372</v>
          </cell>
          <cell r="GJ303">
            <v>7.7337520878462023</v>
          </cell>
          <cell r="GK303">
            <v>13.082262702206542</v>
          </cell>
        </row>
        <row r="304">
          <cell r="A304">
            <v>39884</v>
          </cell>
          <cell r="FR304">
            <v>17.408589247311827</v>
          </cell>
          <cell r="FS304">
            <v>22.314663874962239</v>
          </cell>
          <cell r="FT304">
            <v>20.116606119778133</v>
          </cell>
          <cell r="FU304">
            <v>17.065595346429742</v>
          </cell>
          <cell r="FV304">
            <v>23.167616893126525</v>
          </cell>
          <cell r="GG304">
            <v>8.7618299445471344</v>
          </cell>
          <cell r="GH304">
            <v>13.982143405445317</v>
          </cell>
          <cell r="GI304">
            <v>10.408007395026372</v>
          </cell>
          <cell r="GJ304">
            <v>7.7337520878462023</v>
          </cell>
          <cell r="GK304">
            <v>13.082262702206542</v>
          </cell>
        </row>
        <row r="305">
          <cell r="A305">
            <v>39885</v>
          </cell>
          <cell r="FR305">
            <v>16.21505376344086</v>
          </cell>
          <cell r="FS305">
            <v>22.314663874962239</v>
          </cell>
          <cell r="FT305">
            <v>20.116606119778133</v>
          </cell>
          <cell r="FU305">
            <v>17.065595346429742</v>
          </cell>
          <cell r="FV305">
            <v>23.167616893126525</v>
          </cell>
          <cell r="GG305">
            <v>8.2426901748898054</v>
          </cell>
          <cell r="GH305">
            <v>13.982143405445317</v>
          </cell>
          <cell r="GI305">
            <v>10.408007395026372</v>
          </cell>
          <cell r="GJ305">
            <v>7.7337520878462023</v>
          </cell>
          <cell r="GK305">
            <v>13.082262702206542</v>
          </cell>
        </row>
        <row r="306">
          <cell r="A306">
            <v>39888</v>
          </cell>
          <cell r="FR306">
            <v>16.623655913978496</v>
          </cell>
          <cell r="FS306">
            <v>22.314663874962239</v>
          </cell>
          <cell r="FT306">
            <v>20.116606119778133</v>
          </cell>
          <cell r="FU306">
            <v>17.065595346429742</v>
          </cell>
          <cell r="FV306">
            <v>23.167616893126525</v>
          </cell>
          <cell r="GG306">
            <v>8.4380662590644118</v>
          </cell>
          <cell r="GH306">
            <v>13.982143405445317</v>
          </cell>
          <cell r="GI306">
            <v>10.408007395026372</v>
          </cell>
          <cell r="GJ306">
            <v>7.7337520878462023</v>
          </cell>
          <cell r="GK306">
            <v>13.082262702206542</v>
          </cell>
        </row>
        <row r="307">
          <cell r="A307">
            <v>39889</v>
          </cell>
          <cell r="FR307">
            <v>17.0752688172043</v>
          </cell>
          <cell r="FS307">
            <v>22.314663874962239</v>
          </cell>
          <cell r="FT307">
            <v>20.116606119778133</v>
          </cell>
          <cell r="FU307">
            <v>17.065595346429742</v>
          </cell>
          <cell r="FV307">
            <v>23.167616893126525</v>
          </cell>
          <cell r="GG307">
            <v>8.4938859661595334</v>
          </cell>
          <cell r="GH307">
            <v>13.982143405445317</v>
          </cell>
          <cell r="GI307">
            <v>10.408007395026372</v>
          </cell>
          <cell r="GJ307">
            <v>7.7337520878462023</v>
          </cell>
          <cell r="GK307">
            <v>13.082262702206542</v>
          </cell>
        </row>
        <row r="308">
          <cell r="A308">
            <v>39890</v>
          </cell>
          <cell r="FR308">
            <v>17.1505376344086</v>
          </cell>
          <cell r="FS308">
            <v>22.314663874962239</v>
          </cell>
          <cell r="FT308">
            <v>20.116606119778133</v>
          </cell>
          <cell r="FU308">
            <v>17.065595346429742</v>
          </cell>
          <cell r="FV308">
            <v>23.167616893126525</v>
          </cell>
          <cell r="GG308">
            <v>8.4380662590644118</v>
          </cell>
          <cell r="GH308">
            <v>13.982143405445317</v>
          </cell>
          <cell r="GI308">
            <v>10.408007395026372</v>
          </cell>
          <cell r="GJ308">
            <v>7.7337520878462023</v>
          </cell>
          <cell r="GK308">
            <v>13.082262702206542</v>
          </cell>
        </row>
        <row r="309">
          <cell r="A309">
            <v>39891</v>
          </cell>
          <cell r="FR309">
            <v>17.228260869565215</v>
          </cell>
          <cell r="FS309">
            <v>22.314663874962239</v>
          </cell>
          <cell r="FT309">
            <v>20.116606119778133</v>
          </cell>
          <cell r="FU309">
            <v>17.065595346429742</v>
          </cell>
          <cell r="FV309">
            <v>23.167616893126525</v>
          </cell>
          <cell r="GG309">
            <v>7.8027085708082291</v>
          </cell>
          <cell r="GH309">
            <v>13.982143405445317</v>
          </cell>
          <cell r="GI309">
            <v>10.408007395026372</v>
          </cell>
          <cell r="GJ309">
            <v>7.7337520878462023</v>
          </cell>
          <cell r="GK309">
            <v>13.082262702206542</v>
          </cell>
        </row>
        <row r="310">
          <cell r="A310">
            <v>39892</v>
          </cell>
          <cell r="FR310">
            <v>17</v>
          </cell>
          <cell r="FS310">
            <v>22.314663874962239</v>
          </cell>
          <cell r="FT310">
            <v>20.116606119778133</v>
          </cell>
          <cell r="FU310">
            <v>17.065595346429742</v>
          </cell>
          <cell r="FV310">
            <v>23.167616893126525</v>
          </cell>
          <cell r="GG310">
            <v>7.8186913097758239</v>
          </cell>
          <cell r="GH310">
            <v>13.982143405445317</v>
          </cell>
          <cell r="GI310">
            <v>10.408007395026372</v>
          </cell>
          <cell r="GJ310">
            <v>7.7337520878462023</v>
          </cell>
          <cell r="GK310">
            <v>13.082262702206542</v>
          </cell>
        </row>
        <row r="311">
          <cell r="A311">
            <v>39895</v>
          </cell>
          <cell r="FR311">
            <v>17.663043478260867</v>
          </cell>
          <cell r="FS311">
            <v>22.314663874962239</v>
          </cell>
          <cell r="FT311">
            <v>20.116606119778133</v>
          </cell>
          <cell r="FU311">
            <v>17.065595346429742</v>
          </cell>
          <cell r="FV311">
            <v>23.167616893126525</v>
          </cell>
          <cell r="GG311">
            <v>7.9358953482060475</v>
          </cell>
          <cell r="GH311">
            <v>13.982143405445317</v>
          </cell>
          <cell r="GI311">
            <v>10.408007395026372</v>
          </cell>
          <cell r="GJ311">
            <v>7.7337520878462023</v>
          </cell>
          <cell r="GK311">
            <v>13.082262702206542</v>
          </cell>
        </row>
        <row r="312">
          <cell r="A312">
            <v>39896</v>
          </cell>
          <cell r="FR312">
            <v>17.532597826086956</v>
          </cell>
          <cell r="FS312">
            <v>22.314663874962239</v>
          </cell>
          <cell r="FT312">
            <v>20.116606119778133</v>
          </cell>
          <cell r="FU312">
            <v>17.065595346429742</v>
          </cell>
          <cell r="FV312">
            <v>23.167616893126525</v>
          </cell>
          <cell r="GG312">
            <v>8.0957200238831906</v>
          </cell>
          <cell r="GH312">
            <v>13.982143405445317</v>
          </cell>
          <cell r="GI312">
            <v>10.408007395026372</v>
          </cell>
          <cell r="GJ312">
            <v>7.7337520878462023</v>
          </cell>
          <cell r="GK312">
            <v>13.082262702206542</v>
          </cell>
        </row>
        <row r="313">
          <cell r="A313">
            <v>39897</v>
          </cell>
          <cell r="FR313">
            <v>17.749985869565215</v>
          </cell>
          <cell r="FS313">
            <v>22.314663874962239</v>
          </cell>
          <cell r="FT313">
            <v>20.116606119778133</v>
          </cell>
          <cell r="FU313">
            <v>17.065595346429742</v>
          </cell>
          <cell r="FV313">
            <v>23.167616893126525</v>
          </cell>
          <cell r="GG313">
            <v>8.0424469413233464</v>
          </cell>
          <cell r="GH313">
            <v>13.982143405445317</v>
          </cell>
          <cell r="GI313">
            <v>10.408007395026372</v>
          </cell>
          <cell r="GJ313">
            <v>7.7337520878462023</v>
          </cell>
          <cell r="GK313">
            <v>13.082262702206542</v>
          </cell>
        </row>
        <row r="314">
          <cell r="A314">
            <v>39898</v>
          </cell>
          <cell r="FR314">
            <v>17.771729347826085</v>
          </cell>
          <cell r="FS314">
            <v>22.314663874962239</v>
          </cell>
          <cell r="FT314">
            <v>20.116606119778133</v>
          </cell>
          <cell r="FU314">
            <v>17.065595346429742</v>
          </cell>
          <cell r="FV314">
            <v>23.167616893126525</v>
          </cell>
          <cell r="GG314">
            <v>8.0744097052597308</v>
          </cell>
          <cell r="GH314">
            <v>13.982143405445317</v>
          </cell>
          <cell r="GI314">
            <v>10.408007395026372</v>
          </cell>
          <cell r="GJ314">
            <v>7.7337520878462023</v>
          </cell>
          <cell r="GK314">
            <v>13.082262702206542</v>
          </cell>
        </row>
        <row r="315">
          <cell r="A315">
            <v>39899</v>
          </cell>
          <cell r="FR315">
            <v>17.021739130434781</v>
          </cell>
          <cell r="FS315">
            <v>22.314663874962239</v>
          </cell>
          <cell r="FT315">
            <v>20.116606119778133</v>
          </cell>
          <cell r="FU315">
            <v>17.065595346429742</v>
          </cell>
          <cell r="FV315">
            <v>23.167616893126525</v>
          </cell>
          <cell r="GG315">
            <v>7.978515985452967</v>
          </cell>
          <cell r="GH315">
            <v>13.982143405445317</v>
          </cell>
          <cell r="GI315">
            <v>10.408007395026372</v>
          </cell>
          <cell r="GJ315">
            <v>7.7337520878462023</v>
          </cell>
          <cell r="GK315">
            <v>13.082262702206542</v>
          </cell>
        </row>
        <row r="316">
          <cell r="A316">
            <v>39902</v>
          </cell>
          <cell r="FR316">
            <v>16.815217391304348</v>
          </cell>
          <cell r="FS316">
            <v>22.314663874962239</v>
          </cell>
          <cell r="FT316">
            <v>20.116606119778133</v>
          </cell>
          <cell r="FU316">
            <v>17.065595346429742</v>
          </cell>
          <cell r="FV316">
            <v>23.167616893126525</v>
          </cell>
          <cell r="GG316">
            <v>7.8719671063344743</v>
          </cell>
          <cell r="GH316">
            <v>13.982143405445317</v>
          </cell>
          <cell r="GI316">
            <v>10.408007395026372</v>
          </cell>
          <cell r="GJ316">
            <v>7.7337520878462023</v>
          </cell>
          <cell r="GK316">
            <v>13.082262702206542</v>
          </cell>
        </row>
        <row r="317">
          <cell r="A317">
            <v>39903</v>
          </cell>
          <cell r="FR317">
            <v>17.347826086956523</v>
          </cell>
          <cell r="FS317">
            <v>22.314663874962239</v>
          </cell>
          <cell r="FT317">
            <v>20.116606119778133</v>
          </cell>
          <cell r="FU317">
            <v>17.065595346429742</v>
          </cell>
          <cell r="FV317">
            <v>23.167616893126525</v>
          </cell>
          <cell r="GG317">
            <v>8.2628670683384904</v>
          </cell>
          <cell r="GH317">
            <v>13.982143405445317</v>
          </cell>
          <cell r="GI317">
            <v>10.408007395026372</v>
          </cell>
          <cell r="GJ317">
            <v>7.7337520878462023</v>
          </cell>
          <cell r="GK317">
            <v>13.082262702206542</v>
          </cell>
        </row>
        <row r="318">
          <cell r="A318">
            <v>39904</v>
          </cell>
          <cell r="FR318">
            <v>17.749985869565215</v>
          </cell>
          <cell r="FS318">
            <v>22.314663874962239</v>
          </cell>
          <cell r="FT318">
            <v>20.116606119778133</v>
          </cell>
          <cell r="FU318">
            <v>17.065595346429742</v>
          </cell>
          <cell r="FV318">
            <v>23.167616893126525</v>
          </cell>
          <cell r="GG318">
            <v>8.2090566140150898</v>
          </cell>
          <cell r="GH318">
            <v>13.982143405445317</v>
          </cell>
          <cell r="GI318">
            <v>10.408007395026372</v>
          </cell>
          <cell r="GJ318">
            <v>7.7337520878462023</v>
          </cell>
          <cell r="GK318">
            <v>13.082262702206542</v>
          </cell>
        </row>
        <row r="319">
          <cell r="A319">
            <v>39905</v>
          </cell>
          <cell r="FR319">
            <v>17.847825</v>
          </cell>
          <cell r="FS319">
            <v>22.314663874962239</v>
          </cell>
          <cell r="FT319">
            <v>20.116606119778133</v>
          </cell>
          <cell r="FU319">
            <v>17.065595346429742</v>
          </cell>
          <cell r="FV319">
            <v>23.167616893126525</v>
          </cell>
          <cell r="GG319">
            <v>8.2467242034413513</v>
          </cell>
          <cell r="GH319">
            <v>13.982143405445317</v>
          </cell>
          <cell r="GI319">
            <v>10.408007395026372</v>
          </cell>
          <cell r="GJ319">
            <v>7.7337520878462023</v>
          </cell>
          <cell r="GK319">
            <v>13.082262702206542</v>
          </cell>
        </row>
        <row r="320">
          <cell r="A320">
            <v>39906</v>
          </cell>
          <cell r="FR320">
            <v>17.65216413043478</v>
          </cell>
          <cell r="FS320">
            <v>22.314663874962239</v>
          </cell>
          <cell r="FT320">
            <v>20.116606119778133</v>
          </cell>
          <cell r="FU320">
            <v>17.065595346429742</v>
          </cell>
          <cell r="FV320">
            <v>23.167616893126525</v>
          </cell>
          <cell r="GG320">
            <v>8.0906692721055204</v>
          </cell>
          <cell r="GH320">
            <v>13.982143405445317</v>
          </cell>
          <cell r="GI320">
            <v>10.408007395026372</v>
          </cell>
          <cell r="GJ320">
            <v>7.7337520878462023</v>
          </cell>
          <cell r="GK320">
            <v>13.082262702206542</v>
          </cell>
        </row>
        <row r="321">
          <cell r="A321">
            <v>39909</v>
          </cell>
          <cell r="FR321">
            <v>17.369565217391305</v>
          </cell>
          <cell r="FS321">
            <v>22.314663874962239</v>
          </cell>
          <cell r="FT321">
            <v>20.116606119778133</v>
          </cell>
          <cell r="FU321">
            <v>17.065595346429742</v>
          </cell>
          <cell r="FV321">
            <v>23.167616893126525</v>
          </cell>
          <cell r="GG321">
            <v>8.015331379254194</v>
          </cell>
          <cell r="GH321">
            <v>13.982143405445317</v>
          </cell>
          <cell r="GI321">
            <v>10.408007395026372</v>
          </cell>
          <cell r="GJ321">
            <v>7.7337520878462023</v>
          </cell>
          <cell r="GK321">
            <v>13.082262702206542</v>
          </cell>
        </row>
        <row r="322">
          <cell r="A322">
            <v>39910</v>
          </cell>
          <cell r="FR322">
            <v>17.336956521739129</v>
          </cell>
          <cell r="FS322">
            <v>22.314663874962239</v>
          </cell>
          <cell r="FT322">
            <v>20.116606119778133</v>
          </cell>
          <cell r="FU322">
            <v>17.065595346429742</v>
          </cell>
          <cell r="FV322">
            <v>23.167616893126525</v>
          </cell>
          <cell r="GG322">
            <v>8.1713863105900248</v>
          </cell>
          <cell r="GH322">
            <v>13.982143405445317</v>
          </cell>
          <cell r="GI322">
            <v>10.408007395026372</v>
          </cell>
          <cell r="GJ322">
            <v>7.7337520878462023</v>
          </cell>
          <cell r="GK322">
            <v>13.082262702206542</v>
          </cell>
        </row>
        <row r="323">
          <cell r="A323">
            <v>39911</v>
          </cell>
          <cell r="FR323">
            <v>17.88043152173913</v>
          </cell>
          <cell r="FS323">
            <v>22.314663874962239</v>
          </cell>
          <cell r="FT323">
            <v>20.116606119778133</v>
          </cell>
          <cell r="FU323">
            <v>17.065595346429742</v>
          </cell>
          <cell r="FV323">
            <v>23.167616893126525</v>
          </cell>
          <cell r="GG323">
            <v>8.2843917928676127</v>
          </cell>
          <cell r="GH323">
            <v>13.982143405445317</v>
          </cell>
          <cell r="GI323">
            <v>10.408007395026372</v>
          </cell>
          <cell r="GJ323">
            <v>7.7337520878462023</v>
          </cell>
          <cell r="GK323">
            <v>13.082262702206542</v>
          </cell>
        </row>
        <row r="324">
          <cell r="A324">
            <v>39912</v>
          </cell>
          <cell r="FR324">
            <v>17.478246739130434</v>
          </cell>
          <cell r="FS324">
            <v>22.314663874962239</v>
          </cell>
          <cell r="FT324">
            <v>20.116606119778133</v>
          </cell>
          <cell r="FU324">
            <v>17.065595346429742</v>
          </cell>
          <cell r="FV324">
            <v>23.167616893126525</v>
          </cell>
          <cell r="GG324">
            <v>8.2251994789122307</v>
          </cell>
          <cell r="GH324">
            <v>13.982143405445317</v>
          </cell>
          <cell r="GI324">
            <v>10.408007395026372</v>
          </cell>
          <cell r="GJ324">
            <v>7.7337520878462023</v>
          </cell>
          <cell r="GK324">
            <v>13.082262702206542</v>
          </cell>
        </row>
        <row r="325">
          <cell r="A325">
            <v>39913</v>
          </cell>
          <cell r="FR325">
            <v>17.478246739130434</v>
          </cell>
          <cell r="FS325">
            <v>22.314663874962239</v>
          </cell>
          <cell r="FT325">
            <v>20.116606119778133</v>
          </cell>
          <cell r="FU325">
            <v>17.065595346429742</v>
          </cell>
          <cell r="FV325">
            <v>23.167616893126525</v>
          </cell>
          <cell r="GG325">
            <v>8.2251994789122307</v>
          </cell>
          <cell r="GH325">
            <v>13.982143405445317</v>
          </cell>
          <cell r="GI325">
            <v>10.408007395026372</v>
          </cell>
          <cell r="GJ325">
            <v>7.7337520878462023</v>
          </cell>
          <cell r="GK325">
            <v>13.082262702206542</v>
          </cell>
        </row>
        <row r="326">
          <cell r="A326">
            <v>39916</v>
          </cell>
          <cell r="FR326">
            <v>17.467383695652174</v>
          </cell>
          <cell r="FS326">
            <v>22.314663874962239</v>
          </cell>
          <cell r="FT326">
            <v>20.116606119778133</v>
          </cell>
          <cell r="FU326">
            <v>17.065595346429742</v>
          </cell>
          <cell r="FV326">
            <v>23.167616893126525</v>
          </cell>
          <cell r="GG326">
            <v>8.2251994789122307</v>
          </cell>
          <cell r="GH326">
            <v>13.982143405445317</v>
          </cell>
          <cell r="GI326">
            <v>10.408007395026372</v>
          </cell>
          <cell r="GJ326">
            <v>7.7337520878462023</v>
          </cell>
          <cell r="GK326">
            <v>13.082262702206542</v>
          </cell>
        </row>
        <row r="327">
          <cell r="A327">
            <v>39917</v>
          </cell>
          <cell r="FR327">
            <v>16.85869565217391</v>
          </cell>
          <cell r="FS327">
            <v>22.314663874962239</v>
          </cell>
          <cell r="FT327">
            <v>20.116606119778133</v>
          </cell>
          <cell r="FU327">
            <v>17.065595346429742</v>
          </cell>
          <cell r="FV327">
            <v>23.167616893126525</v>
          </cell>
          <cell r="GG327">
            <v>7.8754193128155032</v>
          </cell>
          <cell r="GH327">
            <v>13.982143405445317</v>
          </cell>
          <cell r="GI327">
            <v>10.408007395026372</v>
          </cell>
          <cell r="GJ327">
            <v>7.7337520878462023</v>
          </cell>
          <cell r="GK327">
            <v>13.082262702206542</v>
          </cell>
        </row>
        <row r="328">
          <cell r="A328">
            <v>39918</v>
          </cell>
          <cell r="FR328">
            <v>16.60869565217391</v>
          </cell>
          <cell r="FS328">
            <v>22.314663874962239</v>
          </cell>
          <cell r="FT328">
            <v>20.116606119778133</v>
          </cell>
          <cell r="FU328">
            <v>17.065595346429742</v>
          </cell>
          <cell r="FV328">
            <v>23.167616893126525</v>
          </cell>
          <cell r="GG328">
            <v>7.8646583075503447</v>
          </cell>
          <cell r="GH328">
            <v>13.982143405445317</v>
          </cell>
          <cell r="GI328">
            <v>10.408007395026372</v>
          </cell>
          <cell r="GJ328">
            <v>7.7337520878462023</v>
          </cell>
          <cell r="GK328">
            <v>13.082262702206542</v>
          </cell>
        </row>
        <row r="329">
          <cell r="A329">
            <v>39919</v>
          </cell>
          <cell r="FR329">
            <v>16.86021505376344</v>
          </cell>
          <cell r="FS329">
            <v>22.314663874962239</v>
          </cell>
          <cell r="FT329">
            <v>20.116606119778133</v>
          </cell>
          <cell r="FU329">
            <v>17.065595346429742</v>
          </cell>
          <cell r="FV329">
            <v>23.167616893126525</v>
          </cell>
          <cell r="GG329">
            <v>7.9606599956255479</v>
          </cell>
          <cell r="GH329">
            <v>13.982143405445317</v>
          </cell>
          <cell r="GI329">
            <v>10.408007395026372</v>
          </cell>
          <cell r="GJ329">
            <v>7.7337520878462023</v>
          </cell>
          <cell r="GK329">
            <v>13.082262702206542</v>
          </cell>
        </row>
        <row r="330">
          <cell r="A330">
            <v>39920</v>
          </cell>
          <cell r="FR330">
            <v>16.827956989247312</v>
          </cell>
          <cell r="FS330">
            <v>22.314663874962239</v>
          </cell>
          <cell r="FT330">
            <v>20.116606119778133</v>
          </cell>
          <cell r="FU330">
            <v>17.065595346429742</v>
          </cell>
          <cell r="FV330">
            <v>23.167616893126525</v>
          </cell>
          <cell r="GG330">
            <v>8.2100229658792649</v>
          </cell>
          <cell r="GH330">
            <v>13.982143405445317</v>
          </cell>
          <cell r="GI330">
            <v>10.408007395026372</v>
          </cell>
          <cell r="GJ330">
            <v>7.7337520878462023</v>
          </cell>
          <cell r="GK330">
            <v>13.082262702206542</v>
          </cell>
        </row>
        <row r="331">
          <cell r="A331">
            <v>39923</v>
          </cell>
          <cell r="FR331">
            <v>16.978494623655912</v>
          </cell>
          <cell r="FS331">
            <v>22.314663874962239</v>
          </cell>
          <cell r="FT331">
            <v>20.116606119778133</v>
          </cell>
          <cell r="FU331">
            <v>17.065595346429742</v>
          </cell>
          <cell r="FV331">
            <v>23.167616893126525</v>
          </cell>
          <cell r="GG331">
            <v>8.2479713473315837</v>
          </cell>
          <cell r="GH331">
            <v>13.982143405445317</v>
          </cell>
          <cell r="GI331">
            <v>10.408007395026372</v>
          </cell>
          <cell r="GJ331">
            <v>7.7337520878462023</v>
          </cell>
          <cell r="GK331">
            <v>13.082262702206542</v>
          </cell>
        </row>
        <row r="332">
          <cell r="A332">
            <v>39924</v>
          </cell>
          <cell r="FR332">
            <v>16.731182795698924</v>
          </cell>
          <cell r="FS332">
            <v>22.314663874962239</v>
          </cell>
          <cell r="FT332">
            <v>20.116606119778133</v>
          </cell>
          <cell r="FU332">
            <v>17.065595346429742</v>
          </cell>
          <cell r="FV332">
            <v>23.167616893126525</v>
          </cell>
          <cell r="GG332">
            <v>8.1991825240594931</v>
          </cell>
          <cell r="GH332">
            <v>13.982143405445317</v>
          </cell>
          <cell r="GI332">
            <v>10.408007395026372</v>
          </cell>
          <cell r="GJ332">
            <v>7.7337520878462023</v>
          </cell>
          <cell r="GK332">
            <v>13.082262702206542</v>
          </cell>
        </row>
        <row r="333">
          <cell r="A333">
            <v>39925</v>
          </cell>
          <cell r="FR333">
            <v>16.494623655913976</v>
          </cell>
          <cell r="FS333">
            <v>22.314663874962239</v>
          </cell>
          <cell r="FT333">
            <v>20.116606119778133</v>
          </cell>
          <cell r="FU333">
            <v>17.065595346429742</v>
          </cell>
          <cell r="FV333">
            <v>23.167616893126525</v>
          </cell>
          <cell r="GG333">
            <v>8.1503937007874026</v>
          </cell>
          <cell r="GH333">
            <v>13.982143405445317</v>
          </cell>
          <cell r="GI333">
            <v>10.408007395026372</v>
          </cell>
          <cell r="GJ333">
            <v>7.7337520878462023</v>
          </cell>
          <cell r="GK333">
            <v>13.082262702206542</v>
          </cell>
        </row>
        <row r="334">
          <cell r="A334">
            <v>39926</v>
          </cell>
          <cell r="FR334">
            <v>15.946236559139784</v>
          </cell>
          <cell r="FS334">
            <v>22.314663874962239</v>
          </cell>
          <cell r="FT334">
            <v>20.116606119778133</v>
          </cell>
          <cell r="FU334">
            <v>17.065595346429742</v>
          </cell>
          <cell r="FV334">
            <v>23.167616893126525</v>
          </cell>
          <cell r="GG334">
            <v>7.890187554680665</v>
          </cell>
          <cell r="GH334">
            <v>13.982143405445317</v>
          </cell>
          <cell r="GI334">
            <v>10.408007395026372</v>
          </cell>
          <cell r="GJ334">
            <v>7.7337520878462023</v>
          </cell>
          <cell r="GK334">
            <v>13.082262702206542</v>
          </cell>
        </row>
        <row r="335">
          <cell r="A335">
            <v>39927</v>
          </cell>
          <cell r="FR335">
            <v>16.698924731182792</v>
          </cell>
          <cell r="FS335">
            <v>22.314663874962239</v>
          </cell>
          <cell r="FT335">
            <v>20.116606119778133</v>
          </cell>
          <cell r="FU335">
            <v>17.065595346429742</v>
          </cell>
          <cell r="FV335">
            <v>23.167616893126525</v>
          </cell>
          <cell r="GG335">
            <v>8.0094488188976385</v>
          </cell>
          <cell r="GH335">
            <v>13.982143405445317</v>
          </cell>
          <cell r="GI335">
            <v>10.408007395026372</v>
          </cell>
          <cell r="GJ335">
            <v>7.7337520878462023</v>
          </cell>
          <cell r="GK335">
            <v>13.082262702206542</v>
          </cell>
        </row>
        <row r="336">
          <cell r="A336">
            <v>39930</v>
          </cell>
          <cell r="FR336">
            <v>16.827956989247312</v>
          </cell>
          <cell r="FS336">
            <v>22.314663874962239</v>
          </cell>
          <cell r="FT336">
            <v>20.116606119778133</v>
          </cell>
          <cell r="FU336">
            <v>17.065595346429742</v>
          </cell>
          <cell r="FV336">
            <v>23.167616893126525</v>
          </cell>
          <cell r="GG336">
            <v>8.182917760279965</v>
          </cell>
          <cell r="GH336">
            <v>13.982143405445317</v>
          </cell>
          <cell r="GI336">
            <v>10.408007395026372</v>
          </cell>
          <cell r="GJ336">
            <v>7.7337520878462023</v>
          </cell>
          <cell r="GK336">
            <v>13.082262702206542</v>
          </cell>
        </row>
        <row r="337">
          <cell r="A337">
            <v>39931</v>
          </cell>
          <cell r="FR337">
            <v>17.215048387096772</v>
          </cell>
          <cell r="FS337">
            <v>22.314663874962239</v>
          </cell>
          <cell r="FT337">
            <v>20.116606119778133</v>
          </cell>
          <cell r="FU337">
            <v>17.065595346429742</v>
          </cell>
          <cell r="FV337">
            <v>23.167616893126525</v>
          </cell>
          <cell r="GG337">
            <v>8.3021790244969385</v>
          </cell>
          <cell r="GH337">
            <v>13.982143405445317</v>
          </cell>
          <cell r="GI337">
            <v>10.408007395026372</v>
          </cell>
          <cell r="GJ337">
            <v>7.7337520878462023</v>
          </cell>
          <cell r="GK337">
            <v>13.082262702206542</v>
          </cell>
        </row>
        <row r="338">
          <cell r="A338">
            <v>39932</v>
          </cell>
          <cell r="FR338">
            <v>17.645149462365591</v>
          </cell>
          <cell r="FS338">
            <v>22.314663874962239</v>
          </cell>
          <cell r="FT338">
            <v>20.116606119778133</v>
          </cell>
          <cell r="FU338">
            <v>17.065595346429742</v>
          </cell>
          <cell r="FV338">
            <v>23.167616893126525</v>
          </cell>
          <cell r="GG338">
            <v>8.2967574365704291</v>
          </cell>
          <cell r="GH338">
            <v>13.982143405445317</v>
          </cell>
          <cell r="GI338">
            <v>10.408007395026372</v>
          </cell>
          <cell r="GJ338">
            <v>7.7337520878462023</v>
          </cell>
          <cell r="GK338">
            <v>13.082262702206542</v>
          </cell>
        </row>
        <row r="339">
          <cell r="A339">
            <v>39933</v>
          </cell>
          <cell r="FR339">
            <v>17.720425806451612</v>
          </cell>
          <cell r="FS339">
            <v>22.314663874962239</v>
          </cell>
          <cell r="FT339">
            <v>20.116606119778133</v>
          </cell>
          <cell r="FU339">
            <v>17.065595346429742</v>
          </cell>
          <cell r="FV339">
            <v>23.167616893126525</v>
          </cell>
          <cell r="GG339">
            <v>8.4214402887139119</v>
          </cell>
          <cell r="GH339">
            <v>13.982143405445317</v>
          </cell>
          <cell r="GI339">
            <v>10.408007395026372</v>
          </cell>
          <cell r="GJ339">
            <v>7.7337520878462023</v>
          </cell>
          <cell r="GK339">
            <v>13.082262702206542</v>
          </cell>
        </row>
        <row r="340">
          <cell r="A340">
            <v>39934</v>
          </cell>
          <cell r="FR340">
            <v>17.559125806451611</v>
          </cell>
          <cell r="FS340">
            <v>22.314663874962239</v>
          </cell>
          <cell r="FT340">
            <v>20.116606119778133</v>
          </cell>
          <cell r="FU340">
            <v>17.065595346429742</v>
          </cell>
          <cell r="FV340">
            <v>23.167616893126525</v>
          </cell>
          <cell r="GG340">
            <v>8.4214402887139119</v>
          </cell>
          <cell r="GH340">
            <v>13.982143405445317</v>
          </cell>
          <cell r="GI340">
            <v>10.408007395026372</v>
          </cell>
          <cell r="GJ340">
            <v>7.7337520878462023</v>
          </cell>
          <cell r="GK340">
            <v>13.082262702206542</v>
          </cell>
        </row>
        <row r="341">
          <cell r="A341">
            <v>39937</v>
          </cell>
          <cell r="FR341">
            <v>17.720425806451612</v>
          </cell>
          <cell r="FS341">
            <v>22.314663874962239</v>
          </cell>
          <cell r="FT341">
            <v>20.116606119778133</v>
          </cell>
          <cell r="FU341">
            <v>17.065595346429742</v>
          </cell>
          <cell r="FV341">
            <v>23.167616893126525</v>
          </cell>
          <cell r="GG341">
            <v>8.5298583770778649</v>
          </cell>
          <cell r="GH341">
            <v>13.982143405445317</v>
          </cell>
          <cell r="GI341">
            <v>10.408007395026372</v>
          </cell>
          <cell r="GJ341">
            <v>7.7337520878462023</v>
          </cell>
          <cell r="GK341">
            <v>13.082262702206542</v>
          </cell>
        </row>
        <row r="342">
          <cell r="A342">
            <v>39938</v>
          </cell>
          <cell r="FR342">
            <v>17.215048387096772</v>
          </cell>
          <cell r="FS342">
            <v>22.314663874962239</v>
          </cell>
          <cell r="FT342">
            <v>20.116606119778133</v>
          </cell>
          <cell r="FU342">
            <v>17.065595346429742</v>
          </cell>
          <cell r="FV342">
            <v>23.167616893126525</v>
          </cell>
          <cell r="GG342">
            <v>8.1774989063867025</v>
          </cell>
          <cell r="GH342">
            <v>13.982143405445317</v>
          </cell>
          <cell r="GI342">
            <v>10.408007395026372</v>
          </cell>
          <cell r="GJ342">
            <v>7.7337520878462023</v>
          </cell>
          <cell r="GK342">
            <v>13.082262702206542</v>
          </cell>
        </row>
        <row r="343">
          <cell r="A343">
            <v>39939</v>
          </cell>
          <cell r="FR343">
            <v>17.311818279569891</v>
          </cell>
          <cell r="FS343">
            <v>22.314663874962239</v>
          </cell>
          <cell r="FT343">
            <v>20.116606119778133</v>
          </cell>
          <cell r="FU343">
            <v>17.065595346429742</v>
          </cell>
          <cell r="FV343">
            <v>23.167616893126525</v>
          </cell>
          <cell r="GG343">
            <v>8.2371281714785649</v>
          </cell>
          <cell r="GH343">
            <v>13.982143405445317</v>
          </cell>
          <cell r="GI343">
            <v>10.408007395026372</v>
          </cell>
          <cell r="GJ343">
            <v>7.7337520878462023</v>
          </cell>
          <cell r="GK343">
            <v>13.082262702206542</v>
          </cell>
        </row>
        <row r="344">
          <cell r="A344">
            <v>39940</v>
          </cell>
          <cell r="FR344">
            <v>17.548379569892472</v>
          </cell>
          <cell r="FS344">
            <v>22.314663874962239</v>
          </cell>
          <cell r="FT344">
            <v>20.116606119778133</v>
          </cell>
          <cell r="FU344">
            <v>17.065595346429742</v>
          </cell>
          <cell r="FV344">
            <v>23.167616893126525</v>
          </cell>
          <cell r="GG344">
            <v>8.2479713473315837</v>
          </cell>
          <cell r="GH344">
            <v>13.982143405445317</v>
          </cell>
          <cell r="GI344">
            <v>10.408007395026372</v>
          </cell>
          <cell r="GJ344">
            <v>7.7337520878462023</v>
          </cell>
          <cell r="GK344">
            <v>13.082262702206542</v>
          </cell>
        </row>
        <row r="345">
          <cell r="A345">
            <v>39941</v>
          </cell>
          <cell r="FR345">
            <v>17.580635483870967</v>
          </cell>
          <cell r="FS345">
            <v>22.314663874962239</v>
          </cell>
          <cell r="FT345">
            <v>20.116606119778133</v>
          </cell>
          <cell r="FU345">
            <v>17.065595346429742</v>
          </cell>
          <cell r="FV345">
            <v>23.167616893126525</v>
          </cell>
          <cell r="GG345">
            <v>8.1774989063867025</v>
          </cell>
          <cell r="GH345">
            <v>13.982143405445317</v>
          </cell>
          <cell r="GI345">
            <v>10.408007395026372</v>
          </cell>
          <cell r="GJ345">
            <v>7.7337520878462023</v>
          </cell>
          <cell r="GK345">
            <v>13.082262702206542</v>
          </cell>
        </row>
        <row r="346">
          <cell r="A346">
            <v>39944</v>
          </cell>
          <cell r="FR346">
            <v>17.870963440860216</v>
          </cell>
          <cell r="FS346">
            <v>22.314663874962239</v>
          </cell>
          <cell r="FT346">
            <v>20.116606119778133</v>
          </cell>
          <cell r="FU346">
            <v>17.065595346429742</v>
          </cell>
          <cell r="FV346">
            <v>23.167616893126525</v>
          </cell>
          <cell r="GG346">
            <v>8.2859169947506572</v>
          </cell>
          <cell r="GH346">
            <v>13.982143405445317</v>
          </cell>
          <cell r="GI346">
            <v>10.408007395026372</v>
          </cell>
          <cell r="GJ346">
            <v>7.7337520878462023</v>
          </cell>
          <cell r="GK346">
            <v>13.082262702206542</v>
          </cell>
        </row>
        <row r="347">
          <cell r="A347">
            <v>39945</v>
          </cell>
          <cell r="FR347">
            <v>17.634402150537632</v>
          </cell>
          <cell r="FS347">
            <v>22.314663874962239</v>
          </cell>
          <cell r="FT347">
            <v>20.116606119778133</v>
          </cell>
          <cell r="FU347">
            <v>17.065595346429742</v>
          </cell>
          <cell r="FV347">
            <v>23.167616893126525</v>
          </cell>
          <cell r="GG347">
            <v>8.1558152887139101</v>
          </cell>
          <cell r="GH347">
            <v>13.982143405445317</v>
          </cell>
          <cell r="GI347">
            <v>10.408007395026372</v>
          </cell>
          <cell r="GJ347">
            <v>7.7337520878462023</v>
          </cell>
          <cell r="GK347">
            <v>13.082262702206542</v>
          </cell>
        </row>
        <row r="348">
          <cell r="A348">
            <v>39946</v>
          </cell>
          <cell r="FR348">
            <v>17.580635483870967</v>
          </cell>
          <cell r="FS348">
            <v>22.314663874962239</v>
          </cell>
          <cell r="FT348">
            <v>20.116606119778133</v>
          </cell>
          <cell r="FU348">
            <v>17.065595346429742</v>
          </cell>
          <cell r="FV348">
            <v>23.167616893126525</v>
          </cell>
          <cell r="GG348">
            <v>8.1937609361329837</v>
          </cell>
          <cell r="GH348">
            <v>13.982143405445317</v>
          </cell>
          <cell r="GI348">
            <v>10.408007395026372</v>
          </cell>
          <cell r="GJ348">
            <v>7.7337520878462023</v>
          </cell>
          <cell r="GK348">
            <v>13.082262702206542</v>
          </cell>
        </row>
        <row r="349">
          <cell r="A349">
            <v>39947</v>
          </cell>
          <cell r="FR349">
            <v>17.510629787234045</v>
          </cell>
          <cell r="FS349">
            <v>22.314663874962239</v>
          </cell>
          <cell r="FT349">
            <v>20.116606119778133</v>
          </cell>
          <cell r="FU349">
            <v>17.065595346429742</v>
          </cell>
          <cell r="FV349">
            <v>23.167616893126525</v>
          </cell>
          <cell r="GG349">
            <v>8.1109465132024372</v>
          </cell>
          <cell r="GH349">
            <v>13.982143405445317</v>
          </cell>
          <cell r="GI349">
            <v>10.408007395026372</v>
          </cell>
          <cell r="GJ349">
            <v>7.7337520878462023</v>
          </cell>
          <cell r="GK349">
            <v>13.082262702206542</v>
          </cell>
        </row>
        <row r="350">
          <cell r="A350">
            <v>39948</v>
          </cell>
          <cell r="FR350">
            <v>17.606370212765956</v>
          </cell>
          <cell r="FS350">
            <v>22.314663874962239</v>
          </cell>
          <cell r="FT350">
            <v>20.116606119778133</v>
          </cell>
          <cell r="FU350">
            <v>17.065595346429742</v>
          </cell>
          <cell r="FV350">
            <v>23.167616893126525</v>
          </cell>
          <cell r="GG350">
            <v>8.2398185511171285</v>
          </cell>
          <cell r="GH350">
            <v>13.982143405445317</v>
          </cell>
          <cell r="GI350">
            <v>10.408007395026372</v>
          </cell>
          <cell r="GJ350">
            <v>7.7337520878462023</v>
          </cell>
          <cell r="GK350">
            <v>13.082262702206542</v>
          </cell>
        </row>
        <row r="351">
          <cell r="A351">
            <v>39951</v>
          </cell>
          <cell r="FR351">
            <v>17.585105319148937</v>
          </cell>
          <cell r="FS351">
            <v>22.314663874962239</v>
          </cell>
          <cell r="FT351">
            <v>20.116606119778133</v>
          </cell>
          <cell r="FU351">
            <v>17.065595346429742</v>
          </cell>
          <cell r="FV351">
            <v>23.167616893126525</v>
          </cell>
          <cell r="GG351">
            <v>8.1861232227488152</v>
          </cell>
          <cell r="GH351">
            <v>13.982143405445317</v>
          </cell>
          <cell r="GI351">
            <v>10.408007395026372</v>
          </cell>
          <cell r="GJ351">
            <v>7.7337520878462023</v>
          </cell>
          <cell r="GK351">
            <v>13.082262702206542</v>
          </cell>
        </row>
        <row r="352">
          <cell r="A352">
            <v>39952</v>
          </cell>
          <cell r="FR352">
            <v>17.712759574468084</v>
          </cell>
          <cell r="FS352">
            <v>22.314663874962239</v>
          </cell>
          <cell r="FT352">
            <v>20.116606119778133</v>
          </cell>
          <cell r="FU352">
            <v>17.065595346429742</v>
          </cell>
          <cell r="FV352">
            <v>23.167616893126525</v>
          </cell>
          <cell r="GG352">
            <v>8.1861232227488152</v>
          </cell>
          <cell r="GH352">
            <v>13.982143405445317</v>
          </cell>
          <cell r="GI352">
            <v>10.408007395026372</v>
          </cell>
          <cell r="GJ352">
            <v>7.7337520878462023</v>
          </cell>
          <cell r="GK352">
            <v>13.082262702206542</v>
          </cell>
        </row>
        <row r="353">
          <cell r="A353">
            <v>39953</v>
          </cell>
          <cell r="FR353">
            <v>17.734041489361704</v>
          </cell>
          <cell r="FS353">
            <v>22.314663874962239</v>
          </cell>
          <cell r="FT353">
            <v>20.116606119778133</v>
          </cell>
          <cell r="FU353">
            <v>17.065595346429742</v>
          </cell>
          <cell r="FV353">
            <v>23.167616893126525</v>
          </cell>
          <cell r="GG353">
            <v>8.1646445497630342</v>
          </cell>
          <cell r="GH353">
            <v>13.982143405445317</v>
          </cell>
          <cell r="GI353">
            <v>10.408007395026372</v>
          </cell>
          <cell r="GJ353">
            <v>7.7337520878462023</v>
          </cell>
          <cell r="GK353">
            <v>13.082262702206542</v>
          </cell>
        </row>
        <row r="354">
          <cell r="A354">
            <v>39954</v>
          </cell>
          <cell r="FR354">
            <v>17.074455319148935</v>
          </cell>
          <cell r="FS354">
            <v>22.314663874962239</v>
          </cell>
          <cell r="FT354">
            <v>20.116606119778133</v>
          </cell>
          <cell r="FU354">
            <v>17.065595346429742</v>
          </cell>
          <cell r="FV354">
            <v>23.167616893126525</v>
          </cell>
          <cell r="GG354">
            <v>7.9498551117129317</v>
          </cell>
          <cell r="GH354">
            <v>13.982143405445317</v>
          </cell>
          <cell r="GI354">
            <v>10.408007395026372</v>
          </cell>
          <cell r="GJ354">
            <v>7.7337520878462023</v>
          </cell>
          <cell r="GK354">
            <v>13.082262702206542</v>
          </cell>
        </row>
        <row r="355">
          <cell r="A355">
            <v>39955</v>
          </cell>
          <cell r="FR355">
            <v>18.031911702127662</v>
          </cell>
          <cell r="FS355">
            <v>22.314663874962239</v>
          </cell>
          <cell r="FT355">
            <v>20.116606119778133</v>
          </cell>
          <cell r="FU355">
            <v>17.065595346429742</v>
          </cell>
          <cell r="FV355">
            <v>23.167616893126525</v>
          </cell>
          <cell r="GG355">
            <v>8.1646445497630342</v>
          </cell>
          <cell r="GH355">
            <v>13.982143405445317</v>
          </cell>
          <cell r="GI355">
            <v>10.408007395026372</v>
          </cell>
          <cell r="GJ355">
            <v>7.7337520878462023</v>
          </cell>
          <cell r="GK355">
            <v>13.082262702206542</v>
          </cell>
        </row>
        <row r="356">
          <cell r="A356">
            <v>39958</v>
          </cell>
          <cell r="FR356">
            <v>18.031911702127662</v>
          </cell>
          <cell r="FS356">
            <v>22.314663874962239</v>
          </cell>
          <cell r="FT356">
            <v>20.116606119778133</v>
          </cell>
          <cell r="FU356">
            <v>17.065595346429742</v>
          </cell>
          <cell r="FV356">
            <v>23.167616893126525</v>
          </cell>
          <cell r="GG356">
            <v>8.1646445497630342</v>
          </cell>
          <cell r="GH356">
            <v>13.982143405445317</v>
          </cell>
          <cell r="GI356">
            <v>10.408007395026372</v>
          </cell>
          <cell r="GJ356">
            <v>7.7337520878462023</v>
          </cell>
          <cell r="GK356">
            <v>13.082262702206542</v>
          </cell>
        </row>
        <row r="357">
          <cell r="A357">
            <v>39959</v>
          </cell>
          <cell r="FR357">
            <v>18.97872021276596</v>
          </cell>
          <cell r="FS357">
            <v>22.314663874962239</v>
          </cell>
          <cell r="FT357">
            <v>20.116606119778133</v>
          </cell>
          <cell r="FU357">
            <v>17.065595346429742</v>
          </cell>
          <cell r="FV357">
            <v>23.167616893126525</v>
          </cell>
          <cell r="GG357">
            <v>8.4760866621530138</v>
          </cell>
          <cell r="GH357">
            <v>13.982143405445317</v>
          </cell>
          <cell r="GI357">
            <v>10.408007395026372</v>
          </cell>
          <cell r="GJ357">
            <v>7.7337520878462023</v>
          </cell>
          <cell r="GK357">
            <v>13.082262702206542</v>
          </cell>
        </row>
        <row r="358">
          <cell r="A358">
            <v>39960</v>
          </cell>
          <cell r="FR358">
            <v>18.765957446808514</v>
          </cell>
          <cell r="FS358">
            <v>22.314663874962239</v>
          </cell>
          <cell r="FT358">
            <v>20.116606119778133</v>
          </cell>
          <cell r="FU358">
            <v>17.065595346429742</v>
          </cell>
          <cell r="FV358">
            <v>23.167616893126525</v>
          </cell>
          <cell r="GG358">
            <v>8.4760866621530138</v>
          </cell>
          <cell r="GH358">
            <v>13.982143405445317</v>
          </cell>
          <cell r="GI358">
            <v>10.408007395026372</v>
          </cell>
          <cell r="GJ358">
            <v>7.7337520878462023</v>
          </cell>
          <cell r="GK358">
            <v>13.082262702206542</v>
          </cell>
        </row>
        <row r="359">
          <cell r="A359">
            <v>39961</v>
          </cell>
          <cell r="FR359">
            <v>18.765957446808514</v>
          </cell>
          <cell r="FS359">
            <v>22.314663874962239</v>
          </cell>
          <cell r="FT359">
            <v>20.116606119778133</v>
          </cell>
          <cell r="FU359">
            <v>17.065595346429742</v>
          </cell>
          <cell r="FV359">
            <v>23.167616893126525</v>
          </cell>
          <cell r="GG359">
            <v>8.4384996614759658</v>
          </cell>
          <cell r="GH359">
            <v>13.982143405445317</v>
          </cell>
          <cell r="GI359">
            <v>10.408007395026372</v>
          </cell>
          <cell r="GJ359">
            <v>7.7337520878462023</v>
          </cell>
          <cell r="GK359">
            <v>13.082262702206542</v>
          </cell>
        </row>
        <row r="360">
          <cell r="A360">
            <v>39962</v>
          </cell>
          <cell r="FR360">
            <v>18.723394680851065</v>
          </cell>
          <cell r="FS360">
            <v>22.314663874962239</v>
          </cell>
          <cell r="FT360">
            <v>20.116606119778133</v>
          </cell>
          <cell r="FU360">
            <v>17.065595346429742</v>
          </cell>
          <cell r="FV360">
            <v>23.167616893126525</v>
          </cell>
          <cell r="GG360">
            <v>8.3525822613405563</v>
          </cell>
          <cell r="GH360">
            <v>13.982143405445317</v>
          </cell>
          <cell r="GI360">
            <v>10.408007395026372</v>
          </cell>
          <cell r="GJ360">
            <v>7.7337520878462023</v>
          </cell>
          <cell r="GK360">
            <v>13.082262702206542</v>
          </cell>
        </row>
        <row r="361">
          <cell r="A361">
            <v>39965</v>
          </cell>
          <cell r="FR361">
            <v>18.936157446808512</v>
          </cell>
          <cell r="FS361">
            <v>22.314663874962239</v>
          </cell>
          <cell r="FT361">
            <v>20.116606119778133</v>
          </cell>
          <cell r="FU361">
            <v>17.065595346429742</v>
          </cell>
          <cell r="FV361">
            <v>23.167616893126525</v>
          </cell>
          <cell r="GG361">
            <v>8.4116506431956672</v>
          </cell>
          <cell r="GH361">
            <v>13.982143405445317</v>
          </cell>
          <cell r="GI361">
            <v>10.408007395026372</v>
          </cell>
          <cell r="GJ361">
            <v>7.7337520878462023</v>
          </cell>
          <cell r="GK361">
            <v>13.082262702206542</v>
          </cell>
        </row>
        <row r="362">
          <cell r="A362">
            <v>39966</v>
          </cell>
          <cell r="FR362">
            <v>19.053179787234043</v>
          </cell>
          <cell r="FS362">
            <v>22.314663874962239</v>
          </cell>
          <cell r="FT362">
            <v>20.116606119778133</v>
          </cell>
          <cell r="FU362">
            <v>17.065595346429742</v>
          </cell>
          <cell r="FV362">
            <v>23.167616893126525</v>
          </cell>
          <cell r="GG362">
            <v>8.3848016249153687</v>
          </cell>
          <cell r="GH362">
            <v>13.982143405445317</v>
          </cell>
          <cell r="GI362">
            <v>10.408007395026372</v>
          </cell>
          <cell r="GJ362">
            <v>7.7337520878462023</v>
          </cell>
          <cell r="GK362">
            <v>13.082262702206542</v>
          </cell>
        </row>
        <row r="363">
          <cell r="A363">
            <v>39967</v>
          </cell>
          <cell r="FR363">
            <v>18.797871276595746</v>
          </cell>
          <cell r="FS363">
            <v>22.314663874962239</v>
          </cell>
          <cell r="FT363">
            <v>20.116606119778133</v>
          </cell>
          <cell r="FU363">
            <v>17.065595346429742</v>
          </cell>
          <cell r="FV363">
            <v>23.167616893126525</v>
          </cell>
          <cell r="GG363">
            <v>8.3257359512525397</v>
          </cell>
          <cell r="GH363">
            <v>13.982143405445317</v>
          </cell>
          <cell r="GI363">
            <v>10.408007395026372</v>
          </cell>
          <cell r="GJ363">
            <v>7.7337520878462023</v>
          </cell>
          <cell r="GK363">
            <v>13.082262702206542</v>
          </cell>
        </row>
        <row r="364">
          <cell r="A364">
            <v>39968</v>
          </cell>
          <cell r="FR364">
            <v>18.872330851063829</v>
          </cell>
          <cell r="FS364">
            <v>22.314663874962239</v>
          </cell>
          <cell r="FT364">
            <v>20.116606119778133</v>
          </cell>
          <cell r="FU364">
            <v>17.065595346429742</v>
          </cell>
          <cell r="FV364">
            <v>23.167616893126525</v>
          </cell>
          <cell r="GG364">
            <v>8.3579526066350702</v>
          </cell>
          <cell r="GH364">
            <v>13.982143405445317</v>
          </cell>
          <cell r="GI364">
            <v>10.408007395026372</v>
          </cell>
          <cell r="GJ364">
            <v>7.7337520878462023</v>
          </cell>
          <cell r="GK364">
            <v>13.082262702206542</v>
          </cell>
        </row>
        <row r="365">
          <cell r="A365">
            <v>39969</v>
          </cell>
          <cell r="FR365">
            <v>18.925525531914897</v>
          </cell>
          <cell r="FS365">
            <v>22.314663874962239</v>
          </cell>
          <cell r="FT365">
            <v>20.116606119778133</v>
          </cell>
          <cell r="FU365">
            <v>17.065595346429742</v>
          </cell>
          <cell r="FV365">
            <v>23.167616893126525</v>
          </cell>
          <cell r="GG365">
            <v>8.4384996614759658</v>
          </cell>
          <cell r="GH365">
            <v>13.982143405445317</v>
          </cell>
          <cell r="GI365">
            <v>10.408007395026372</v>
          </cell>
          <cell r="GJ365">
            <v>7.7337520878462023</v>
          </cell>
          <cell r="GK365">
            <v>13.082262702206542</v>
          </cell>
        </row>
        <row r="366">
          <cell r="A366">
            <v>39972</v>
          </cell>
          <cell r="FR366">
            <v>18.606373404255319</v>
          </cell>
          <cell r="FS366">
            <v>22.314663874962239</v>
          </cell>
          <cell r="FT366">
            <v>20.116606119778133</v>
          </cell>
          <cell r="FU366">
            <v>17.065595346429742</v>
          </cell>
          <cell r="FV366">
            <v>23.167616893126525</v>
          </cell>
          <cell r="GG366">
            <v>8.3686932972241017</v>
          </cell>
          <cell r="GH366">
            <v>13.982143405445317</v>
          </cell>
          <cell r="GI366">
            <v>10.408007395026372</v>
          </cell>
          <cell r="GJ366">
            <v>7.7337520878462023</v>
          </cell>
          <cell r="GK366">
            <v>13.082262702206542</v>
          </cell>
        </row>
        <row r="367">
          <cell r="A367">
            <v>39973</v>
          </cell>
          <cell r="FR367">
            <v>18.861697872340425</v>
          </cell>
          <cell r="FS367">
            <v>22.314663874962239</v>
          </cell>
          <cell r="FT367">
            <v>20.116606119778133</v>
          </cell>
          <cell r="FU367">
            <v>17.065595346429742</v>
          </cell>
          <cell r="FV367">
            <v>23.167616893126525</v>
          </cell>
          <cell r="GG367">
            <v>8.3740609343263372</v>
          </cell>
          <cell r="GH367">
            <v>13.982143405445317</v>
          </cell>
          <cell r="GI367">
            <v>10.408007395026372</v>
          </cell>
          <cell r="GJ367">
            <v>7.7337520878462023</v>
          </cell>
          <cell r="GK367">
            <v>13.082262702206542</v>
          </cell>
        </row>
        <row r="368">
          <cell r="A368">
            <v>39974</v>
          </cell>
          <cell r="FR368">
            <v>18.840417021276597</v>
          </cell>
          <cell r="FS368">
            <v>22.314663874962239</v>
          </cell>
          <cell r="FT368">
            <v>20.116606119778133</v>
          </cell>
          <cell r="FU368">
            <v>17.065595346429742</v>
          </cell>
          <cell r="FV368">
            <v>23.167616893126525</v>
          </cell>
          <cell r="GG368">
            <v>8.4116506431956672</v>
          </cell>
          <cell r="GH368">
            <v>13.982143405445317</v>
          </cell>
          <cell r="GI368">
            <v>10.408007395026372</v>
          </cell>
          <cell r="GJ368">
            <v>7.7337520878462023</v>
          </cell>
          <cell r="GK368">
            <v>13.082262702206542</v>
          </cell>
        </row>
        <row r="369">
          <cell r="A369">
            <v>39975</v>
          </cell>
          <cell r="FR369">
            <v>19.329786170212767</v>
          </cell>
          <cell r="FS369">
            <v>22.314663874962239</v>
          </cell>
          <cell r="FT369">
            <v>20.116606119778133</v>
          </cell>
          <cell r="FU369">
            <v>17.065595346429742</v>
          </cell>
          <cell r="FV369">
            <v>23.167616893126525</v>
          </cell>
          <cell r="GG369">
            <v>8.5727393364928908</v>
          </cell>
          <cell r="GH369">
            <v>13.982143405445317</v>
          </cell>
          <cell r="GI369">
            <v>10.408007395026372</v>
          </cell>
          <cell r="GJ369">
            <v>7.7337520878462023</v>
          </cell>
          <cell r="GK369">
            <v>13.082262702206542</v>
          </cell>
        </row>
        <row r="370">
          <cell r="A370">
            <v>39976</v>
          </cell>
          <cell r="FR370">
            <v>19.361698936170214</v>
          </cell>
          <cell r="FS370">
            <v>22.314663874962239</v>
          </cell>
          <cell r="FT370">
            <v>20.116606119778133</v>
          </cell>
          <cell r="FU370">
            <v>17.065595346429742</v>
          </cell>
          <cell r="FV370">
            <v>23.167616893126525</v>
          </cell>
          <cell r="GG370">
            <v>8.6586567366283003</v>
          </cell>
          <cell r="GH370">
            <v>13.982143405445317</v>
          </cell>
          <cell r="GI370">
            <v>10.408007395026372</v>
          </cell>
          <cell r="GJ370">
            <v>7.7337520878462023</v>
          </cell>
          <cell r="GK370">
            <v>13.082262702206542</v>
          </cell>
        </row>
        <row r="371">
          <cell r="A371">
            <v>39979</v>
          </cell>
          <cell r="FR371">
            <v>18.606373404255319</v>
          </cell>
          <cell r="FS371">
            <v>22.314663874962239</v>
          </cell>
          <cell r="FT371">
            <v>20.116606119778133</v>
          </cell>
          <cell r="FU371">
            <v>17.065595346429742</v>
          </cell>
          <cell r="FV371">
            <v>23.167616893126525</v>
          </cell>
          <cell r="GG371">
            <v>8.51367366283006</v>
          </cell>
          <cell r="GH371">
            <v>13.982143405445317</v>
          </cell>
          <cell r="GI371">
            <v>10.408007395026372</v>
          </cell>
          <cell r="GJ371">
            <v>7.7337520878462023</v>
          </cell>
          <cell r="GK371">
            <v>13.082262702206542</v>
          </cell>
        </row>
        <row r="372">
          <cell r="A372">
            <v>39980</v>
          </cell>
          <cell r="FR372">
            <v>18.329782978723404</v>
          </cell>
          <cell r="FS372">
            <v>22.314663874962239</v>
          </cell>
          <cell r="FT372">
            <v>20.116606119778133</v>
          </cell>
          <cell r="FU372">
            <v>17.065595346429742</v>
          </cell>
          <cell r="FV372">
            <v>23.167616893126525</v>
          </cell>
          <cell r="GG372">
            <v>8.4384996614759658</v>
          </cell>
          <cell r="GH372">
            <v>13.982143405445317</v>
          </cell>
          <cell r="GI372">
            <v>10.408007395026372</v>
          </cell>
          <cell r="GJ372">
            <v>7.7337520878462023</v>
          </cell>
          <cell r="GK372">
            <v>13.082262702206542</v>
          </cell>
        </row>
        <row r="373">
          <cell r="A373">
            <v>39981</v>
          </cell>
          <cell r="FR373">
            <v>18.851048936170212</v>
          </cell>
          <cell r="FS373">
            <v>22.314663874962239</v>
          </cell>
          <cell r="FT373">
            <v>20.116606119778133</v>
          </cell>
          <cell r="FU373">
            <v>17.065595346429742</v>
          </cell>
          <cell r="FV373">
            <v>23.167616893126525</v>
          </cell>
          <cell r="GG373">
            <v>8.4116506431956672</v>
          </cell>
          <cell r="GH373">
            <v>13.982143405445317</v>
          </cell>
          <cell r="GI373">
            <v>10.408007395026372</v>
          </cell>
          <cell r="GJ373">
            <v>7.7337520878462023</v>
          </cell>
          <cell r="GK373">
            <v>13.082262702206542</v>
          </cell>
        </row>
        <row r="374">
          <cell r="A374">
            <v>39982</v>
          </cell>
          <cell r="FR374">
            <v>18.684210526315791</v>
          </cell>
          <cell r="FS374">
            <v>22.314663874962239</v>
          </cell>
          <cell r="FT374">
            <v>20.116606119778133</v>
          </cell>
          <cell r="FU374">
            <v>17.065595346429742</v>
          </cell>
          <cell r="FV374">
            <v>23.167616893126525</v>
          </cell>
          <cell r="GG374">
            <v>8.2697795549008255</v>
          </cell>
          <cell r="GH374">
            <v>13.982143405445317</v>
          </cell>
          <cell r="GI374">
            <v>10.408007395026372</v>
          </cell>
          <cell r="GJ374">
            <v>7.7337520878462023</v>
          </cell>
          <cell r="GK374">
            <v>13.082262702206542</v>
          </cell>
        </row>
        <row r="375">
          <cell r="A375">
            <v>39983</v>
          </cell>
          <cell r="FR375">
            <v>18.831578947368424</v>
          </cell>
          <cell r="FS375">
            <v>22.314663874962239</v>
          </cell>
          <cell r="FT375">
            <v>20.116606119778133</v>
          </cell>
          <cell r="FU375">
            <v>17.065595346429742</v>
          </cell>
          <cell r="FV375">
            <v>23.167616893126525</v>
          </cell>
          <cell r="GG375">
            <v>8.2958594202136062</v>
          </cell>
          <cell r="GH375">
            <v>13.982143405445317</v>
          </cell>
          <cell r="GI375">
            <v>10.408007395026372</v>
          </cell>
          <cell r="GJ375">
            <v>7.7337520878462023</v>
          </cell>
          <cell r="GK375">
            <v>13.082262702206542</v>
          </cell>
        </row>
        <row r="376">
          <cell r="A376">
            <v>39986</v>
          </cell>
          <cell r="FR376">
            <v>18.484208421052632</v>
          </cell>
          <cell r="FS376">
            <v>22.314663874962239</v>
          </cell>
          <cell r="FT376">
            <v>20.116606119778133</v>
          </cell>
          <cell r="FU376">
            <v>17.065595346429742</v>
          </cell>
          <cell r="FV376">
            <v>23.167616893126525</v>
          </cell>
          <cell r="GG376">
            <v>8.222836323459779</v>
          </cell>
          <cell r="GH376">
            <v>13.982143405445317</v>
          </cell>
          <cell r="GI376">
            <v>10.408007395026372</v>
          </cell>
          <cell r="GJ376">
            <v>7.7337520878462023</v>
          </cell>
          <cell r="GK376">
            <v>13.082262702206542</v>
          </cell>
        </row>
        <row r="377">
          <cell r="A377">
            <v>39987</v>
          </cell>
          <cell r="FR377">
            <v>18.684210526315791</v>
          </cell>
          <cell r="FS377">
            <v>22.314663874962239</v>
          </cell>
          <cell r="FT377">
            <v>20.116606119778133</v>
          </cell>
          <cell r="FU377">
            <v>17.065595346429742</v>
          </cell>
          <cell r="FV377">
            <v>23.167616893126525</v>
          </cell>
          <cell r="GG377">
            <v>8.0715762613773876</v>
          </cell>
          <cell r="GH377">
            <v>13.982143405445317</v>
          </cell>
          <cell r="GI377">
            <v>10.408007395026372</v>
          </cell>
          <cell r="GJ377">
            <v>7.7337520878462023</v>
          </cell>
          <cell r="GK377">
            <v>13.082262702206542</v>
          </cell>
        </row>
        <row r="378">
          <cell r="A378">
            <v>39988</v>
          </cell>
          <cell r="FR378">
            <v>18.673674736842106</v>
          </cell>
          <cell r="FS378">
            <v>22.314663874962239</v>
          </cell>
          <cell r="FT378">
            <v>20.116606119778133</v>
          </cell>
          <cell r="FU378">
            <v>17.065595346429742</v>
          </cell>
          <cell r="FV378">
            <v>23.167616893126525</v>
          </cell>
          <cell r="GG378">
            <v>8.2802125532698483</v>
          </cell>
          <cell r="GH378">
            <v>13.982143405445317</v>
          </cell>
          <cell r="GI378">
            <v>10.408007395026372</v>
          </cell>
          <cell r="GJ378">
            <v>7.7337520878462023</v>
          </cell>
          <cell r="GK378">
            <v>13.082262702206542</v>
          </cell>
        </row>
        <row r="379">
          <cell r="A379">
            <v>39989</v>
          </cell>
          <cell r="FR379">
            <v>19.105256842105263</v>
          </cell>
          <cell r="FS379">
            <v>22.314663874962239</v>
          </cell>
          <cell r="FT379">
            <v>20.116606119778133</v>
          </cell>
          <cell r="FU379">
            <v>17.065595346429742</v>
          </cell>
          <cell r="FV379">
            <v>23.167616893126525</v>
          </cell>
          <cell r="GG379">
            <v>8.3636660177829221</v>
          </cell>
          <cell r="GH379">
            <v>13.982143405445317</v>
          </cell>
          <cell r="GI379">
            <v>10.408007395026372</v>
          </cell>
          <cell r="GJ379">
            <v>7.7337520878462023</v>
          </cell>
          <cell r="GK379">
            <v>13.082262702206542</v>
          </cell>
        </row>
        <row r="380">
          <cell r="A380">
            <v>39990</v>
          </cell>
          <cell r="FR380">
            <v>19.231568421052632</v>
          </cell>
          <cell r="FS380">
            <v>22.314663874962239</v>
          </cell>
          <cell r="FT380">
            <v>20.116606119778133</v>
          </cell>
          <cell r="FU380">
            <v>17.065595346429742</v>
          </cell>
          <cell r="FV380">
            <v>23.167616893126525</v>
          </cell>
          <cell r="GG380">
            <v>8.3375861524701431</v>
          </cell>
          <cell r="GH380">
            <v>13.982143405445317</v>
          </cell>
          <cell r="GI380">
            <v>10.408007395026372</v>
          </cell>
          <cell r="GJ380">
            <v>7.7337520878462023</v>
          </cell>
          <cell r="GK380">
            <v>13.082262702206542</v>
          </cell>
        </row>
        <row r="381">
          <cell r="A381">
            <v>39993</v>
          </cell>
          <cell r="FR381">
            <v>19.389472631578951</v>
          </cell>
          <cell r="FS381">
            <v>22.314663874962239</v>
          </cell>
          <cell r="FT381">
            <v>20.116606119778133</v>
          </cell>
          <cell r="FU381">
            <v>17.065595346429742</v>
          </cell>
          <cell r="FV381">
            <v>23.167616893126525</v>
          </cell>
          <cell r="GG381">
            <v>8.4210396169832169</v>
          </cell>
          <cell r="GH381">
            <v>13.982143405445317</v>
          </cell>
          <cell r="GI381">
            <v>10.408007395026372</v>
          </cell>
          <cell r="GJ381">
            <v>7.7337520878462023</v>
          </cell>
          <cell r="GK381">
            <v>13.082262702206542</v>
          </cell>
        </row>
        <row r="382">
          <cell r="A382">
            <v>39994</v>
          </cell>
          <cell r="FR382">
            <v>19.568417894736843</v>
          </cell>
          <cell r="FS382">
            <v>22.314663874962239</v>
          </cell>
          <cell r="FT382">
            <v>20.116606119778133</v>
          </cell>
          <cell r="FU382">
            <v>17.065595346429742</v>
          </cell>
          <cell r="FV382">
            <v>23.167616893126525</v>
          </cell>
          <cell r="GG382">
            <v>8.478415846793288</v>
          </cell>
          <cell r="GH382">
            <v>13.982143405445317</v>
          </cell>
          <cell r="GI382">
            <v>10.408007395026372</v>
          </cell>
          <cell r="GJ382">
            <v>7.7337520878462023</v>
          </cell>
          <cell r="GK382">
            <v>13.082262702206542</v>
          </cell>
        </row>
        <row r="383">
          <cell r="A383">
            <v>39995</v>
          </cell>
          <cell r="FR383">
            <v>19.568417894736843</v>
          </cell>
          <cell r="FS383">
            <v>22.314663874962239</v>
          </cell>
          <cell r="FT383">
            <v>20.116606119778133</v>
          </cell>
          <cell r="FU383">
            <v>17.065595346429742</v>
          </cell>
          <cell r="FV383">
            <v>23.167616893126525</v>
          </cell>
          <cell r="GG383">
            <v>8.4419029831114862</v>
          </cell>
          <cell r="GH383">
            <v>13.982143405445317</v>
          </cell>
          <cell r="GI383">
            <v>10.408007395026372</v>
          </cell>
          <cell r="GJ383">
            <v>7.7337520878462023</v>
          </cell>
          <cell r="GK383">
            <v>13.082262702206542</v>
          </cell>
        </row>
        <row r="384">
          <cell r="A384">
            <v>39996</v>
          </cell>
          <cell r="FR384">
            <v>18.936832631578948</v>
          </cell>
          <cell r="FS384">
            <v>22.314663874962239</v>
          </cell>
          <cell r="FT384">
            <v>20.116606119778133</v>
          </cell>
          <cell r="FU384">
            <v>17.065595346429742</v>
          </cell>
          <cell r="FV384">
            <v>23.167616893126525</v>
          </cell>
          <cell r="GG384">
            <v>8.3636660177829221</v>
          </cell>
          <cell r="GH384">
            <v>13.982143405445317</v>
          </cell>
          <cell r="GI384">
            <v>10.408007395026372</v>
          </cell>
          <cell r="GJ384">
            <v>7.7337520878462023</v>
          </cell>
          <cell r="GK384">
            <v>13.082262702206542</v>
          </cell>
        </row>
        <row r="385">
          <cell r="A385">
            <v>39997</v>
          </cell>
          <cell r="FR385">
            <v>18.936832631578948</v>
          </cell>
          <cell r="FS385">
            <v>22.314663874962239</v>
          </cell>
          <cell r="FT385">
            <v>20.116606119778133</v>
          </cell>
          <cell r="FU385">
            <v>17.065595346429742</v>
          </cell>
          <cell r="FV385">
            <v>23.167616893126525</v>
          </cell>
          <cell r="GG385">
            <v>8.3636660177829221</v>
          </cell>
          <cell r="GH385">
            <v>13.982143405445317</v>
          </cell>
          <cell r="GI385">
            <v>10.408007395026372</v>
          </cell>
          <cell r="GJ385">
            <v>7.7337520878462023</v>
          </cell>
          <cell r="GK385">
            <v>13.082262702206542</v>
          </cell>
        </row>
        <row r="386">
          <cell r="A386">
            <v>40000</v>
          </cell>
          <cell r="FR386">
            <v>19.31578</v>
          </cell>
          <cell r="FS386">
            <v>22.314663874962239</v>
          </cell>
          <cell r="FT386">
            <v>20.116606119778133</v>
          </cell>
          <cell r="FU386">
            <v>17.065595346429742</v>
          </cell>
          <cell r="FV386">
            <v>23.167616893126525</v>
          </cell>
          <cell r="GG386">
            <v>8.4210396169832169</v>
          </cell>
          <cell r="GH386">
            <v>13.982143405445317</v>
          </cell>
          <cell r="GI386">
            <v>10.408007395026372</v>
          </cell>
          <cell r="GJ386">
            <v>7.7337520878462023</v>
          </cell>
          <cell r="GK386">
            <v>13.082262702206542</v>
          </cell>
        </row>
        <row r="387">
          <cell r="A387">
            <v>40001</v>
          </cell>
          <cell r="FR387">
            <v>18.894733684210529</v>
          </cell>
          <cell r="FS387">
            <v>22.314663874962239</v>
          </cell>
          <cell r="FT387">
            <v>20.116606119778133</v>
          </cell>
          <cell r="FU387">
            <v>17.065595346429742</v>
          </cell>
          <cell r="FV387">
            <v>23.167616893126525</v>
          </cell>
          <cell r="GG387">
            <v>8.37931288472668</v>
          </cell>
          <cell r="GH387">
            <v>13.982143405445317</v>
          </cell>
          <cell r="GI387">
            <v>10.408007395026372</v>
          </cell>
          <cell r="GJ387">
            <v>7.7337520878462023</v>
          </cell>
          <cell r="GK387">
            <v>13.082262702206542</v>
          </cell>
        </row>
        <row r="388">
          <cell r="A388">
            <v>40002</v>
          </cell>
          <cell r="FR388">
            <v>18.873676842105265</v>
          </cell>
          <cell r="FS388">
            <v>22.314663874962239</v>
          </cell>
          <cell r="FT388">
            <v>20.116606119778133</v>
          </cell>
          <cell r="FU388">
            <v>17.065595346429742</v>
          </cell>
          <cell r="FV388">
            <v>23.167616893126525</v>
          </cell>
          <cell r="GG388">
            <v>8.3375861524701431</v>
          </cell>
          <cell r="GH388">
            <v>13.982143405445317</v>
          </cell>
          <cell r="GI388">
            <v>10.408007395026372</v>
          </cell>
          <cell r="GJ388">
            <v>7.7337520878462023</v>
          </cell>
          <cell r="GK388">
            <v>13.082262702206542</v>
          </cell>
        </row>
        <row r="389">
          <cell r="A389">
            <v>40003</v>
          </cell>
          <cell r="FR389">
            <v>18.989467368421053</v>
          </cell>
          <cell r="FS389">
            <v>22.314663874962239</v>
          </cell>
          <cell r="FT389">
            <v>20.116606119778133</v>
          </cell>
          <cell r="FU389">
            <v>17.065595346429742</v>
          </cell>
          <cell r="FV389">
            <v>23.167616893126525</v>
          </cell>
          <cell r="GG389">
            <v>8.3428026516546545</v>
          </cell>
          <cell r="GH389">
            <v>13.982143405445317</v>
          </cell>
          <cell r="GI389">
            <v>10.408007395026372</v>
          </cell>
          <cell r="GJ389">
            <v>7.7337520878462023</v>
          </cell>
          <cell r="GK389">
            <v>13.082262702206542</v>
          </cell>
        </row>
        <row r="390">
          <cell r="A390">
            <v>40004</v>
          </cell>
          <cell r="FR390">
            <v>18.357882105263158</v>
          </cell>
          <cell r="FS390">
            <v>22.314663874962239</v>
          </cell>
          <cell r="FT390">
            <v>20.116606119778133</v>
          </cell>
          <cell r="FU390">
            <v>17.065595346429742</v>
          </cell>
          <cell r="FV390">
            <v>23.167616893126525</v>
          </cell>
          <cell r="GG390">
            <v>8.1237359920029473</v>
          </cell>
          <cell r="GH390">
            <v>13.982143405445317</v>
          </cell>
          <cell r="GI390">
            <v>10.408007395026372</v>
          </cell>
          <cell r="GJ390">
            <v>7.7337520878462023</v>
          </cell>
          <cell r="GK390">
            <v>13.082262702206542</v>
          </cell>
        </row>
        <row r="391">
          <cell r="A391">
            <v>40007</v>
          </cell>
          <cell r="FR391">
            <v>18.652616842105264</v>
          </cell>
          <cell r="FS391">
            <v>22.314663874962239</v>
          </cell>
          <cell r="FT391">
            <v>20.116606119778133</v>
          </cell>
          <cell r="FU391">
            <v>17.065595346429742</v>
          </cell>
          <cell r="FV391">
            <v>23.167616893126525</v>
          </cell>
          <cell r="GG391">
            <v>8.2019729573315097</v>
          </cell>
          <cell r="GH391">
            <v>13.982143405445317</v>
          </cell>
          <cell r="GI391">
            <v>10.408007395026372</v>
          </cell>
          <cell r="GJ391">
            <v>7.7337520878462023</v>
          </cell>
          <cell r="GK391">
            <v>13.082262702206542</v>
          </cell>
        </row>
        <row r="392">
          <cell r="A392">
            <v>40008</v>
          </cell>
          <cell r="FR392">
            <v>18.715788421052633</v>
          </cell>
          <cell r="FS392">
            <v>22.314663874962239</v>
          </cell>
          <cell r="FT392">
            <v>20.116606119778133</v>
          </cell>
          <cell r="FU392">
            <v>17.065595346429742</v>
          </cell>
          <cell r="FV392">
            <v>23.167616893126525</v>
          </cell>
          <cell r="GG392">
            <v>8.2280528226442886</v>
          </cell>
          <cell r="GH392">
            <v>13.982143405445317</v>
          </cell>
          <cell r="GI392">
            <v>10.408007395026372</v>
          </cell>
          <cell r="GJ392">
            <v>7.7337520878462023</v>
          </cell>
          <cell r="GK392">
            <v>13.082262702206542</v>
          </cell>
        </row>
        <row r="393">
          <cell r="A393">
            <v>40009</v>
          </cell>
          <cell r="FR393">
            <v>19.042102105263158</v>
          </cell>
          <cell r="FS393">
            <v>22.314663874962239</v>
          </cell>
          <cell r="FT393">
            <v>20.116606119778133</v>
          </cell>
          <cell r="FU393">
            <v>17.065595346429742</v>
          </cell>
          <cell r="FV393">
            <v>23.167616893126525</v>
          </cell>
          <cell r="GG393">
            <v>8.3375861524701431</v>
          </cell>
          <cell r="GH393">
            <v>13.982143405445317</v>
          </cell>
          <cell r="GI393">
            <v>10.408007395026372</v>
          </cell>
          <cell r="GJ393">
            <v>7.7337520878462023</v>
          </cell>
          <cell r="GK393">
            <v>13.082262702206542</v>
          </cell>
        </row>
        <row r="394">
          <cell r="A394">
            <v>40010</v>
          </cell>
          <cell r="FR394">
            <v>18.896893814432989</v>
          </cell>
          <cell r="FS394">
            <v>22.314663874962239</v>
          </cell>
          <cell r="FT394">
            <v>20.116606119778133</v>
          </cell>
          <cell r="FU394">
            <v>17.065595346429742</v>
          </cell>
          <cell r="FV394">
            <v>23.167616893126525</v>
          </cell>
          <cell r="GG394">
            <v>8.2389863091990758</v>
          </cell>
          <cell r="GH394">
            <v>13.982143405445317</v>
          </cell>
          <cell r="GI394">
            <v>10.408007395026372</v>
          </cell>
          <cell r="GJ394">
            <v>7.7337520878462023</v>
          </cell>
          <cell r="GK394">
            <v>13.082262702206542</v>
          </cell>
        </row>
        <row r="395">
          <cell r="A395">
            <v>40011</v>
          </cell>
          <cell r="FR395">
            <v>18.845359793814435</v>
          </cell>
          <cell r="FS395">
            <v>22.314663874962239</v>
          </cell>
          <cell r="FT395">
            <v>20.116606119778133</v>
          </cell>
          <cell r="FU395">
            <v>17.065595346429742</v>
          </cell>
          <cell r="FV395">
            <v>23.167616893126525</v>
          </cell>
          <cell r="GG395">
            <v>8.2338347231964253</v>
          </cell>
          <cell r="GH395">
            <v>13.982143405445317</v>
          </cell>
          <cell r="GI395">
            <v>10.408007395026372</v>
          </cell>
          <cell r="GJ395">
            <v>7.7337520878462023</v>
          </cell>
          <cell r="GK395">
            <v>13.082262702206542</v>
          </cell>
        </row>
        <row r="396">
          <cell r="A396">
            <v>40014</v>
          </cell>
          <cell r="FR396">
            <v>18.999992783505157</v>
          </cell>
          <cell r="FS396">
            <v>22.314663874962239</v>
          </cell>
          <cell r="FT396">
            <v>20.116606119778133</v>
          </cell>
          <cell r="FU396">
            <v>17.065595346429742</v>
          </cell>
          <cell r="FV396">
            <v>23.167616893126525</v>
          </cell>
          <cell r="GG396">
            <v>8.2389863091990758</v>
          </cell>
          <cell r="GH396">
            <v>13.982143405445317</v>
          </cell>
          <cell r="GI396">
            <v>10.408007395026372</v>
          </cell>
          <cell r="GJ396">
            <v>7.7337520878462023</v>
          </cell>
          <cell r="GK396">
            <v>13.082262702206542</v>
          </cell>
        </row>
        <row r="397">
          <cell r="A397">
            <v>40015</v>
          </cell>
          <cell r="FR397">
            <v>19.134018556701033</v>
          </cell>
          <cell r="FS397">
            <v>22.314663874962239</v>
          </cell>
          <cell r="FT397">
            <v>20.116606119778133</v>
          </cell>
          <cell r="FU397">
            <v>17.065595346429742</v>
          </cell>
          <cell r="FV397">
            <v>23.167616893126525</v>
          </cell>
          <cell r="GG397">
            <v>8.2956459616034088</v>
          </cell>
          <cell r="GH397">
            <v>13.982143405445317</v>
          </cell>
          <cell r="GI397">
            <v>10.408007395026372</v>
          </cell>
          <cell r="GJ397">
            <v>7.7337520878462023</v>
          </cell>
          <cell r="GK397">
            <v>13.082262702206542</v>
          </cell>
        </row>
        <row r="398">
          <cell r="A398">
            <v>40016</v>
          </cell>
          <cell r="FR398">
            <v>19.164945360824742</v>
          </cell>
          <cell r="FS398">
            <v>22.314663874962239</v>
          </cell>
          <cell r="FT398">
            <v>20.116606119778133</v>
          </cell>
          <cell r="FU398">
            <v>17.065595346429742</v>
          </cell>
          <cell r="FV398">
            <v>23.167616893126525</v>
          </cell>
          <cell r="GG398">
            <v>8.3214012937417188</v>
          </cell>
          <cell r="GH398">
            <v>13.982143405445317</v>
          </cell>
          <cell r="GI398">
            <v>10.408007395026372</v>
          </cell>
          <cell r="GJ398">
            <v>7.7337520878462023</v>
          </cell>
          <cell r="GK398">
            <v>13.082262702206542</v>
          </cell>
        </row>
        <row r="399">
          <cell r="A399">
            <v>40017</v>
          </cell>
          <cell r="FR399">
            <v>19.391750515463919</v>
          </cell>
          <cell r="FS399">
            <v>22.314663874962239</v>
          </cell>
          <cell r="FT399">
            <v>20.116606119778133</v>
          </cell>
          <cell r="FU399">
            <v>17.065595346429742</v>
          </cell>
          <cell r="FV399">
            <v>23.167616893126525</v>
          </cell>
          <cell r="GG399">
            <v>8.4038162782843635</v>
          </cell>
          <cell r="GH399">
            <v>13.982143405445317</v>
          </cell>
          <cell r="GI399">
            <v>10.408007395026372</v>
          </cell>
          <cell r="GJ399">
            <v>7.7337520878462023</v>
          </cell>
          <cell r="GK399">
            <v>13.082262702206542</v>
          </cell>
        </row>
        <row r="400">
          <cell r="A400">
            <v>40018</v>
          </cell>
          <cell r="FR400">
            <v>19.587628865979383</v>
          </cell>
          <cell r="FS400">
            <v>22.314663874962239</v>
          </cell>
          <cell r="FT400">
            <v>20.116606119778133</v>
          </cell>
          <cell r="FU400">
            <v>17.065595346429742</v>
          </cell>
          <cell r="FV400">
            <v>23.167616893126525</v>
          </cell>
          <cell r="GG400">
            <v>8.4656275166913471</v>
          </cell>
          <cell r="GH400">
            <v>13.982143405445317</v>
          </cell>
          <cell r="GI400">
            <v>10.408007395026372</v>
          </cell>
          <cell r="GJ400">
            <v>7.7337520878462023</v>
          </cell>
          <cell r="GK400">
            <v>13.082262702206542</v>
          </cell>
        </row>
        <row r="401">
          <cell r="A401">
            <v>40021</v>
          </cell>
          <cell r="FR401">
            <v>19.515456701030928</v>
          </cell>
          <cell r="FS401">
            <v>22.314663874962239</v>
          </cell>
          <cell r="FT401">
            <v>20.116606119778133</v>
          </cell>
          <cell r="FU401">
            <v>17.065595346429742</v>
          </cell>
          <cell r="FV401">
            <v>23.167616893126525</v>
          </cell>
          <cell r="GG401">
            <v>8.398664692281713</v>
          </cell>
          <cell r="GH401">
            <v>13.982143405445317</v>
          </cell>
          <cell r="GI401">
            <v>10.408007395026372</v>
          </cell>
          <cell r="GJ401">
            <v>7.7337520878462023</v>
          </cell>
          <cell r="GK401">
            <v>13.082262702206542</v>
          </cell>
        </row>
        <row r="402">
          <cell r="A402">
            <v>40022</v>
          </cell>
          <cell r="FR402">
            <v>19.54638350515464</v>
          </cell>
          <cell r="FS402">
            <v>22.314663874962239</v>
          </cell>
          <cell r="FT402">
            <v>20.116606119778133</v>
          </cell>
          <cell r="FU402">
            <v>17.065595346429742</v>
          </cell>
          <cell r="FV402">
            <v>23.167616893126525</v>
          </cell>
          <cell r="GG402">
            <v>8.4707791026939958</v>
          </cell>
          <cell r="GH402">
            <v>13.982143405445317</v>
          </cell>
          <cell r="GI402">
            <v>10.408007395026372</v>
          </cell>
          <cell r="GJ402">
            <v>7.7337520878462023</v>
          </cell>
          <cell r="GK402">
            <v>13.082262702206542</v>
          </cell>
        </row>
        <row r="403">
          <cell r="A403">
            <v>40023</v>
          </cell>
          <cell r="FR403">
            <v>19.814418556701032</v>
          </cell>
          <cell r="FS403">
            <v>22.314663874962239</v>
          </cell>
          <cell r="FT403">
            <v>20.116606119778133</v>
          </cell>
          <cell r="FU403">
            <v>17.065595346429742</v>
          </cell>
          <cell r="FV403">
            <v>23.167616893126525</v>
          </cell>
          <cell r="GG403">
            <v>8.6562102200400073</v>
          </cell>
          <cell r="GH403">
            <v>13.982143405445317</v>
          </cell>
          <cell r="GI403">
            <v>10.408007395026372</v>
          </cell>
          <cell r="GJ403">
            <v>7.7337520878462023</v>
          </cell>
          <cell r="GK403">
            <v>13.082262702206542</v>
          </cell>
        </row>
        <row r="404">
          <cell r="A404">
            <v>40024</v>
          </cell>
          <cell r="FR404">
            <v>19.309274226804124</v>
          </cell>
          <cell r="FS404">
            <v>22.314663874962239</v>
          </cell>
          <cell r="FT404">
            <v>20.116606119778133</v>
          </cell>
          <cell r="FU404">
            <v>17.065595346429742</v>
          </cell>
          <cell r="FV404">
            <v>23.167616893126525</v>
          </cell>
          <cell r="GG404">
            <v>8.4656275166913471</v>
          </cell>
          <cell r="GH404">
            <v>13.982143405445317</v>
          </cell>
          <cell r="GI404">
            <v>10.408007395026372</v>
          </cell>
          <cell r="GJ404">
            <v>7.7337520878462023</v>
          </cell>
          <cell r="GK404">
            <v>13.082262702206542</v>
          </cell>
        </row>
        <row r="405">
          <cell r="A405">
            <v>40025</v>
          </cell>
          <cell r="FR405">
            <v>19.54638350515464</v>
          </cell>
          <cell r="FS405">
            <v>22.314663874962239</v>
          </cell>
          <cell r="FT405">
            <v>20.116606119778133</v>
          </cell>
          <cell r="FU405">
            <v>17.065595346429742</v>
          </cell>
          <cell r="FV405">
            <v>23.167616893126525</v>
          </cell>
          <cell r="GG405">
            <v>8.4450237705556859</v>
          </cell>
          <cell r="GH405">
            <v>13.982143405445317</v>
          </cell>
          <cell r="GI405">
            <v>10.408007395026372</v>
          </cell>
          <cell r="GJ405">
            <v>7.7337520878462023</v>
          </cell>
          <cell r="GK405">
            <v>13.082262702206542</v>
          </cell>
        </row>
        <row r="406">
          <cell r="A406">
            <v>40028</v>
          </cell>
          <cell r="FR406">
            <v>19.835042268041239</v>
          </cell>
          <cell r="FS406">
            <v>22.314663874962239</v>
          </cell>
          <cell r="FT406">
            <v>20.116606119778133</v>
          </cell>
          <cell r="FU406">
            <v>17.065595346429742</v>
          </cell>
          <cell r="FV406">
            <v>23.167616893126525</v>
          </cell>
          <cell r="GG406">
            <v>8.4604759306886965</v>
          </cell>
          <cell r="GH406">
            <v>13.982143405445317</v>
          </cell>
          <cell r="GI406">
            <v>10.408007395026372</v>
          </cell>
          <cell r="GJ406">
            <v>7.7337520878462023</v>
          </cell>
          <cell r="GK406">
            <v>13.082262702206542</v>
          </cell>
        </row>
        <row r="407">
          <cell r="A407">
            <v>40029</v>
          </cell>
          <cell r="FR407">
            <v>19.804115463917526</v>
          </cell>
          <cell r="FS407">
            <v>22.314663874962239</v>
          </cell>
          <cell r="FT407">
            <v>20.116606119778133</v>
          </cell>
          <cell r="FU407">
            <v>17.065595346429742</v>
          </cell>
          <cell r="FV407">
            <v>23.167616893126525</v>
          </cell>
          <cell r="GG407">
            <v>8.4501753565583346</v>
          </cell>
          <cell r="GH407">
            <v>13.982143405445317</v>
          </cell>
          <cell r="GI407">
            <v>10.408007395026372</v>
          </cell>
          <cell r="GJ407">
            <v>7.7337520878462023</v>
          </cell>
          <cell r="GK407">
            <v>13.082262702206542</v>
          </cell>
        </row>
        <row r="408">
          <cell r="A408">
            <v>40030</v>
          </cell>
          <cell r="FR408">
            <v>19.979371134020617</v>
          </cell>
          <cell r="FS408">
            <v>22.314663874962239</v>
          </cell>
          <cell r="FT408">
            <v>20.116606119778133</v>
          </cell>
          <cell r="FU408">
            <v>17.065595346429742</v>
          </cell>
          <cell r="FV408">
            <v>23.167616893126525</v>
          </cell>
          <cell r="GG408">
            <v>8.4965344348323075</v>
          </cell>
          <cell r="GH408">
            <v>13.982143405445317</v>
          </cell>
          <cell r="GI408">
            <v>10.408007395026372</v>
          </cell>
          <cell r="GJ408">
            <v>7.7337520878462023</v>
          </cell>
          <cell r="GK408">
            <v>13.082262702206542</v>
          </cell>
        </row>
        <row r="409">
          <cell r="A409">
            <v>40031</v>
          </cell>
          <cell r="FR409">
            <v>19.865969072164948</v>
          </cell>
          <cell r="FS409">
            <v>22.314663874962239</v>
          </cell>
          <cell r="FT409">
            <v>20.116606119778133</v>
          </cell>
          <cell r="FU409">
            <v>17.065595346429742</v>
          </cell>
          <cell r="FV409">
            <v>23.167616893126525</v>
          </cell>
          <cell r="GG409">
            <v>8.5068350089626694</v>
          </cell>
          <cell r="GH409">
            <v>13.982143405445317</v>
          </cell>
          <cell r="GI409">
            <v>10.408007395026372</v>
          </cell>
          <cell r="GJ409">
            <v>7.7337520878462023</v>
          </cell>
          <cell r="GK409">
            <v>13.082262702206542</v>
          </cell>
        </row>
        <row r="410">
          <cell r="A410">
            <v>40032</v>
          </cell>
          <cell r="FR410">
            <v>19.515456701030928</v>
          </cell>
          <cell r="FS410">
            <v>22.314663874962239</v>
          </cell>
          <cell r="FT410">
            <v>20.116606119778133</v>
          </cell>
          <cell r="FU410">
            <v>17.065595346429742</v>
          </cell>
          <cell r="FV410">
            <v>23.167616893126525</v>
          </cell>
          <cell r="GG410">
            <v>8.5171381809679687</v>
          </cell>
          <cell r="GH410">
            <v>13.982143405445317</v>
          </cell>
          <cell r="GI410">
            <v>10.408007395026372</v>
          </cell>
          <cell r="GJ410">
            <v>7.7337520878462023</v>
          </cell>
          <cell r="GK410">
            <v>13.082262702206542</v>
          </cell>
        </row>
        <row r="411">
          <cell r="A411">
            <v>40035</v>
          </cell>
          <cell r="FR411">
            <v>19.577310309278349</v>
          </cell>
          <cell r="FS411">
            <v>22.314663874962239</v>
          </cell>
          <cell r="FT411">
            <v>20.116606119778133</v>
          </cell>
          <cell r="FU411">
            <v>17.065595346429742</v>
          </cell>
          <cell r="FV411">
            <v>23.167616893126525</v>
          </cell>
          <cell r="GG411">
            <v>8.491382848829657</v>
          </cell>
          <cell r="GH411">
            <v>13.982143405445317</v>
          </cell>
          <cell r="GI411">
            <v>10.408007395026372</v>
          </cell>
          <cell r="GJ411">
            <v>7.7337520878462023</v>
          </cell>
          <cell r="GK411">
            <v>13.082262702206542</v>
          </cell>
        </row>
        <row r="412">
          <cell r="A412">
            <v>40036</v>
          </cell>
          <cell r="FR412">
            <v>20.536081443298972</v>
          </cell>
          <cell r="FS412">
            <v>22.314663874962239</v>
          </cell>
          <cell r="FT412">
            <v>20.116606119778133</v>
          </cell>
          <cell r="FU412">
            <v>17.065595346429742</v>
          </cell>
          <cell r="FV412">
            <v>23.167616893126525</v>
          </cell>
          <cell r="GG412">
            <v>8.8313407632556569</v>
          </cell>
          <cell r="GH412">
            <v>13.982143405445317</v>
          </cell>
          <cell r="GI412">
            <v>10.408007395026372</v>
          </cell>
          <cell r="GJ412">
            <v>7.7337520878462023</v>
          </cell>
          <cell r="GK412">
            <v>13.082262702206542</v>
          </cell>
        </row>
        <row r="413">
          <cell r="A413">
            <v>40037</v>
          </cell>
          <cell r="FR413">
            <v>20.69071443298969</v>
          </cell>
          <cell r="FS413">
            <v>22.314663874962239</v>
          </cell>
          <cell r="FT413">
            <v>20.116606119778133</v>
          </cell>
          <cell r="FU413">
            <v>17.065595346429742</v>
          </cell>
          <cell r="FV413">
            <v>23.167616893126525</v>
          </cell>
          <cell r="GG413">
            <v>8.8725534512768558</v>
          </cell>
          <cell r="GH413">
            <v>13.982143405445317</v>
          </cell>
          <cell r="GI413">
            <v>10.408007395026372</v>
          </cell>
          <cell r="GJ413">
            <v>7.7337520878462023</v>
          </cell>
          <cell r="GK413">
            <v>13.082262702206542</v>
          </cell>
        </row>
        <row r="414">
          <cell r="A414">
            <v>40038</v>
          </cell>
          <cell r="FR414">
            <v>21.14432474226804</v>
          </cell>
          <cell r="FS414">
            <v>22.314663874962239</v>
          </cell>
          <cell r="FT414">
            <v>20.116606119778133</v>
          </cell>
          <cell r="FU414">
            <v>17.065595346429742</v>
          </cell>
          <cell r="FV414">
            <v>23.167616893126525</v>
          </cell>
          <cell r="GG414">
            <v>8.9807185722079339</v>
          </cell>
          <cell r="GH414">
            <v>13.982143405445317</v>
          </cell>
          <cell r="GI414">
            <v>10.408007395026372</v>
          </cell>
          <cell r="GJ414">
            <v>7.7337520878462023</v>
          </cell>
          <cell r="GK414">
            <v>13.082262702206542</v>
          </cell>
        </row>
        <row r="415">
          <cell r="A415">
            <v>40039</v>
          </cell>
          <cell r="FR415">
            <v>21.494836082474226</v>
          </cell>
          <cell r="FS415">
            <v>22.314663874962239</v>
          </cell>
          <cell r="FT415">
            <v>20.116606119778133</v>
          </cell>
          <cell r="FU415">
            <v>17.065595346429742</v>
          </cell>
          <cell r="FV415">
            <v>23.167616893126525</v>
          </cell>
          <cell r="GG415">
            <v>9.0785883147585285</v>
          </cell>
          <cell r="GH415">
            <v>13.982143405445317</v>
          </cell>
          <cell r="GI415">
            <v>10.408007395026372</v>
          </cell>
          <cell r="GJ415">
            <v>7.7337520878462023</v>
          </cell>
          <cell r="GK415">
            <v>13.082262702206542</v>
          </cell>
        </row>
        <row r="416">
          <cell r="A416">
            <v>40042</v>
          </cell>
          <cell r="FR416">
            <v>21.402056701030929</v>
          </cell>
          <cell r="FS416">
            <v>22.314663874962239</v>
          </cell>
          <cell r="FT416">
            <v>20.116606119778133</v>
          </cell>
          <cell r="FU416">
            <v>17.065595346429742</v>
          </cell>
          <cell r="FV416">
            <v>23.167616893126525</v>
          </cell>
          <cell r="GG416">
            <v>9.1094926350245498</v>
          </cell>
          <cell r="GH416">
            <v>13.982143405445317</v>
          </cell>
          <cell r="GI416">
            <v>10.408007395026372</v>
          </cell>
          <cell r="GJ416">
            <v>7.7337520878462023</v>
          </cell>
          <cell r="GK416">
            <v>13.082262702206542</v>
          </cell>
        </row>
        <row r="417">
          <cell r="A417">
            <v>40043</v>
          </cell>
          <cell r="FR417">
            <v>20.969069072164949</v>
          </cell>
          <cell r="FS417">
            <v>22.314663874962239</v>
          </cell>
          <cell r="FT417">
            <v>20.116606119778133</v>
          </cell>
          <cell r="FU417">
            <v>17.065595346429742</v>
          </cell>
          <cell r="FV417">
            <v>23.167616893126525</v>
          </cell>
          <cell r="GG417">
            <v>9.0322344322344321</v>
          </cell>
          <cell r="GH417">
            <v>13.982143405445317</v>
          </cell>
          <cell r="GI417">
            <v>10.408007395026372</v>
          </cell>
          <cell r="GJ417">
            <v>7.7337520878462023</v>
          </cell>
          <cell r="GK417">
            <v>13.082262702206542</v>
          </cell>
        </row>
        <row r="418">
          <cell r="A418">
            <v>40044</v>
          </cell>
          <cell r="FR418">
            <v>21.773191752577322</v>
          </cell>
          <cell r="FS418">
            <v>22.314663874962239</v>
          </cell>
          <cell r="FT418">
            <v>20.116606119778133</v>
          </cell>
          <cell r="FU418">
            <v>17.065595346429742</v>
          </cell>
          <cell r="FV418">
            <v>23.167616893126525</v>
          </cell>
          <cell r="GG418">
            <v>9.1764580573091212</v>
          </cell>
          <cell r="GH418">
            <v>13.982143405445317</v>
          </cell>
          <cell r="GI418">
            <v>10.408007395026372</v>
          </cell>
          <cell r="GJ418">
            <v>7.7337520878462023</v>
          </cell>
          <cell r="GK418">
            <v>13.082262702206542</v>
          </cell>
        </row>
        <row r="419">
          <cell r="A419">
            <v>40045</v>
          </cell>
          <cell r="FR419">
            <v>21.454536363636365</v>
          </cell>
          <cell r="FS419">
            <v>22.314663874962239</v>
          </cell>
          <cell r="FT419">
            <v>20.116606119778133</v>
          </cell>
          <cell r="FU419">
            <v>17.065595346429742</v>
          </cell>
          <cell r="FV419">
            <v>23.167616893126525</v>
          </cell>
          <cell r="GG419">
            <v>8.9919827476848919</v>
          </cell>
          <cell r="GH419">
            <v>13.982143405445317</v>
          </cell>
          <cell r="GI419">
            <v>10.408007395026372</v>
          </cell>
          <cell r="GJ419">
            <v>7.7337520878462023</v>
          </cell>
          <cell r="GK419">
            <v>13.082262702206542</v>
          </cell>
        </row>
        <row r="420">
          <cell r="A420">
            <v>40046</v>
          </cell>
          <cell r="FR420">
            <v>21.303027272727274</v>
          </cell>
          <cell r="FS420">
            <v>22.314663874962239</v>
          </cell>
          <cell r="FT420">
            <v>20.116606119778133</v>
          </cell>
          <cell r="FU420">
            <v>17.065595346429742</v>
          </cell>
          <cell r="FV420">
            <v>23.167616893126525</v>
          </cell>
          <cell r="GG420">
            <v>8.9970163643283012</v>
          </cell>
          <cell r="GH420">
            <v>13.982143405445317</v>
          </cell>
          <cell r="GI420">
            <v>10.408007395026372</v>
          </cell>
          <cell r="GJ420">
            <v>7.7337520878462023</v>
          </cell>
          <cell r="GK420">
            <v>13.082262702206542</v>
          </cell>
        </row>
        <row r="421">
          <cell r="A421">
            <v>40049</v>
          </cell>
          <cell r="FR421">
            <v>21.242423232323233</v>
          </cell>
          <cell r="FS421">
            <v>22.314663874962239</v>
          </cell>
          <cell r="FT421">
            <v>20.116606119778133</v>
          </cell>
          <cell r="FU421">
            <v>17.065595346429742</v>
          </cell>
          <cell r="FV421">
            <v>23.167616893126525</v>
          </cell>
          <cell r="GG421">
            <v>8.9165241659266776</v>
          </cell>
          <cell r="GH421">
            <v>13.982143405445317</v>
          </cell>
          <cell r="GI421">
            <v>10.408007395026372</v>
          </cell>
          <cell r="GJ421">
            <v>7.7337520878462023</v>
          </cell>
          <cell r="GK421">
            <v>13.082262702206542</v>
          </cell>
        </row>
        <row r="422">
          <cell r="A422">
            <v>40050</v>
          </cell>
          <cell r="FR422">
            <v>20.959595959595958</v>
          </cell>
          <cell r="FS422">
            <v>22.314663874962239</v>
          </cell>
          <cell r="FT422">
            <v>20.116606119778133</v>
          </cell>
          <cell r="FU422">
            <v>17.065595346429742</v>
          </cell>
          <cell r="FV422">
            <v>23.167616893126525</v>
          </cell>
          <cell r="GG422">
            <v>8.8611949765317775</v>
          </cell>
          <cell r="GH422">
            <v>13.982143405445317</v>
          </cell>
          <cell r="GI422">
            <v>10.408007395026372</v>
          </cell>
          <cell r="GJ422">
            <v>7.7337520878462023</v>
          </cell>
          <cell r="GK422">
            <v>13.082262702206542</v>
          </cell>
        </row>
        <row r="423">
          <cell r="A423">
            <v>40051</v>
          </cell>
          <cell r="FR423">
            <v>20.757563636363635</v>
          </cell>
          <cell r="FS423">
            <v>22.314663874962239</v>
          </cell>
          <cell r="FT423">
            <v>20.116606119778133</v>
          </cell>
          <cell r="FU423">
            <v>17.065595346429742</v>
          </cell>
          <cell r="FV423">
            <v>23.167616893126525</v>
          </cell>
          <cell r="GG423">
            <v>8.7857363947735649</v>
          </cell>
          <cell r="GH423">
            <v>13.982143405445317</v>
          </cell>
          <cell r="GI423">
            <v>10.408007395026372</v>
          </cell>
          <cell r="GJ423">
            <v>7.7337520878462023</v>
          </cell>
          <cell r="GK423">
            <v>13.082262702206542</v>
          </cell>
        </row>
        <row r="424">
          <cell r="A424">
            <v>40052</v>
          </cell>
          <cell r="FR424">
            <v>20.868675757575758</v>
          </cell>
          <cell r="FS424">
            <v>22.314663874962239</v>
          </cell>
          <cell r="FT424">
            <v>20.116606119778133</v>
          </cell>
          <cell r="FU424">
            <v>17.065595346429742</v>
          </cell>
          <cell r="FV424">
            <v>23.167616893126525</v>
          </cell>
          <cell r="GG424">
            <v>8.7957960167448945</v>
          </cell>
          <cell r="GH424">
            <v>13.982143405445317</v>
          </cell>
          <cell r="GI424">
            <v>10.408007395026372</v>
          </cell>
          <cell r="GJ424">
            <v>7.7337520878462023</v>
          </cell>
          <cell r="GK424">
            <v>13.082262702206542</v>
          </cell>
        </row>
        <row r="425">
          <cell r="A425">
            <v>40053</v>
          </cell>
          <cell r="FR425">
            <v>20.727262626262625</v>
          </cell>
          <cell r="FS425">
            <v>22.314663874962239</v>
          </cell>
          <cell r="FT425">
            <v>20.116606119778133</v>
          </cell>
          <cell r="FU425">
            <v>17.065595346429742</v>
          </cell>
          <cell r="FV425">
            <v>23.167616893126525</v>
          </cell>
          <cell r="GG425">
            <v>8.7153088925535975</v>
          </cell>
          <cell r="GH425">
            <v>13.982143405445317</v>
          </cell>
          <cell r="GI425">
            <v>10.408007395026372</v>
          </cell>
          <cell r="GJ425">
            <v>7.7337520878462023</v>
          </cell>
          <cell r="GK425">
            <v>13.082262702206542</v>
          </cell>
        </row>
        <row r="426">
          <cell r="A426">
            <v>40056</v>
          </cell>
          <cell r="FR426">
            <v>20.757563636363635</v>
          </cell>
          <cell r="FS426">
            <v>22.314663874962239</v>
          </cell>
          <cell r="FT426">
            <v>20.116606119778133</v>
          </cell>
          <cell r="FU426">
            <v>17.065595346429742</v>
          </cell>
          <cell r="FV426">
            <v>23.167616893126525</v>
          </cell>
          <cell r="GG426">
            <v>8.7404592160345054</v>
          </cell>
          <cell r="GH426">
            <v>13.982143405445317</v>
          </cell>
          <cell r="GI426">
            <v>10.408007395026372</v>
          </cell>
          <cell r="GJ426">
            <v>7.7337520878462023</v>
          </cell>
          <cell r="GK426">
            <v>13.082262702206542</v>
          </cell>
        </row>
        <row r="427">
          <cell r="A427">
            <v>40057</v>
          </cell>
          <cell r="FR427">
            <v>20.424228282828281</v>
          </cell>
          <cell r="FS427">
            <v>22.314663874962239</v>
          </cell>
          <cell r="FT427">
            <v>20.116606119778133</v>
          </cell>
          <cell r="FU427">
            <v>17.065595346429742</v>
          </cell>
          <cell r="FV427">
            <v>23.167616893126525</v>
          </cell>
          <cell r="GG427">
            <v>8.7253710516300913</v>
          </cell>
          <cell r="GH427">
            <v>13.982143405445317</v>
          </cell>
          <cell r="GI427">
            <v>10.408007395026372</v>
          </cell>
          <cell r="GJ427">
            <v>7.7337520878462023</v>
          </cell>
          <cell r="GK427">
            <v>13.082262702206542</v>
          </cell>
        </row>
        <row r="428">
          <cell r="A428">
            <v>40058</v>
          </cell>
          <cell r="FR428">
            <v>20.434339393939393</v>
          </cell>
          <cell r="FS428">
            <v>22.314663874962239</v>
          </cell>
          <cell r="FT428">
            <v>20.116606119778133</v>
          </cell>
          <cell r="FU428">
            <v>17.065595346429742</v>
          </cell>
          <cell r="FV428">
            <v>23.167616893126525</v>
          </cell>
          <cell r="GG428">
            <v>8.6700342509197004</v>
          </cell>
          <cell r="GH428">
            <v>13.982143405445317</v>
          </cell>
          <cell r="GI428">
            <v>10.408007395026372</v>
          </cell>
          <cell r="GJ428">
            <v>7.7337520878462023</v>
          </cell>
          <cell r="GK428">
            <v>13.082262702206542</v>
          </cell>
        </row>
        <row r="429">
          <cell r="A429">
            <v>40059</v>
          </cell>
          <cell r="FR429">
            <v>20.505038383838382</v>
          </cell>
          <cell r="FS429">
            <v>22.314663874962239</v>
          </cell>
          <cell r="FT429">
            <v>20.116606119778133</v>
          </cell>
          <cell r="FU429">
            <v>17.065595346429742</v>
          </cell>
          <cell r="FV429">
            <v>23.167616893126525</v>
          </cell>
          <cell r="GG429">
            <v>8.6700342509197004</v>
          </cell>
          <cell r="GH429">
            <v>13.982143405445317</v>
          </cell>
          <cell r="GI429">
            <v>10.408007395026372</v>
          </cell>
          <cell r="GJ429">
            <v>7.7337520878462023</v>
          </cell>
          <cell r="GK429">
            <v>13.082262702206542</v>
          </cell>
        </row>
        <row r="430">
          <cell r="A430">
            <v>40060</v>
          </cell>
          <cell r="FR430">
            <v>20.848484848484848</v>
          </cell>
          <cell r="FS430">
            <v>22.314663874962239</v>
          </cell>
          <cell r="FT430">
            <v>20.116606119778133</v>
          </cell>
          <cell r="FU430">
            <v>17.065595346429742</v>
          </cell>
          <cell r="FV430">
            <v>23.167616893126525</v>
          </cell>
          <cell r="GG430">
            <v>8.8259774197640493</v>
          </cell>
          <cell r="GH430">
            <v>13.982143405445317</v>
          </cell>
          <cell r="GI430">
            <v>10.408007395026372</v>
          </cell>
          <cell r="GJ430">
            <v>7.7337520878462023</v>
          </cell>
          <cell r="GK430">
            <v>13.082262702206542</v>
          </cell>
        </row>
        <row r="431">
          <cell r="A431">
            <v>40063</v>
          </cell>
          <cell r="FR431">
            <v>20.848484848484848</v>
          </cell>
          <cell r="FS431">
            <v>22.314663874962239</v>
          </cell>
          <cell r="FT431">
            <v>20.116606119778133</v>
          </cell>
          <cell r="FU431">
            <v>17.065595346429742</v>
          </cell>
          <cell r="FV431">
            <v>23.167616893126525</v>
          </cell>
          <cell r="GG431">
            <v>8.8259774197640493</v>
          </cell>
          <cell r="GH431">
            <v>13.982143405445317</v>
          </cell>
          <cell r="GI431">
            <v>10.408007395026372</v>
          </cell>
          <cell r="GJ431">
            <v>7.7337520878462023</v>
          </cell>
          <cell r="GK431">
            <v>13.082262702206542</v>
          </cell>
        </row>
        <row r="432">
          <cell r="A432">
            <v>40064</v>
          </cell>
          <cell r="FR432">
            <v>21.151503030303029</v>
          </cell>
          <cell r="FS432">
            <v>22.314663874962239</v>
          </cell>
          <cell r="FT432">
            <v>20.116606119778133</v>
          </cell>
          <cell r="FU432">
            <v>17.065595346429742</v>
          </cell>
          <cell r="FV432">
            <v>23.167616893126525</v>
          </cell>
          <cell r="GG432">
            <v>8.8058556387162259</v>
          </cell>
          <cell r="GH432">
            <v>13.982143405445317</v>
          </cell>
          <cell r="GI432">
            <v>10.408007395026372</v>
          </cell>
          <cell r="GJ432">
            <v>7.7337520878462023</v>
          </cell>
          <cell r="GK432">
            <v>13.082262702206542</v>
          </cell>
        </row>
        <row r="433">
          <cell r="A433">
            <v>40065</v>
          </cell>
          <cell r="FR433">
            <v>20.939389898989898</v>
          </cell>
          <cell r="FS433">
            <v>22.314663874962239</v>
          </cell>
          <cell r="FT433">
            <v>20.116606119778133</v>
          </cell>
          <cell r="FU433">
            <v>17.065595346429742</v>
          </cell>
          <cell r="FV433">
            <v>23.167616893126525</v>
          </cell>
          <cell r="GG433">
            <v>8.7303970569580116</v>
          </cell>
          <cell r="GH433">
            <v>13.982143405445317</v>
          </cell>
          <cell r="GI433">
            <v>10.408007395026372</v>
          </cell>
          <cell r="GJ433">
            <v>7.7337520878462023</v>
          </cell>
          <cell r="GK433">
            <v>13.082262702206542</v>
          </cell>
        </row>
        <row r="434">
          <cell r="A434">
            <v>40066</v>
          </cell>
          <cell r="FR434">
            <v>21.333329292929292</v>
          </cell>
          <cell r="FS434">
            <v>22.314663874962239</v>
          </cell>
          <cell r="FT434">
            <v>20.116606119778133</v>
          </cell>
          <cell r="FU434">
            <v>17.065595346429742</v>
          </cell>
          <cell r="FV434">
            <v>23.167616893126525</v>
          </cell>
          <cell r="GG434">
            <v>8.8611949765317775</v>
          </cell>
          <cell r="GH434">
            <v>13.982143405445317</v>
          </cell>
          <cell r="GI434">
            <v>10.408007395026372</v>
          </cell>
          <cell r="GJ434">
            <v>7.7337520878462023</v>
          </cell>
          <cell r="GK434">
            <v>13.082262702206542</v>
          </cell>
        </row>
        <row r="435">
          <cell r="A435">
            <v>40067</v>
          </cell>
          <cell r="FR435">
            <v>21.525250505050504</v>
          </cell>
          <cell r="FS435">
            <v>22.314663874962239</v>
          </cell>
          <cell r="FT435">
            <v>20.116606119778133</v>
          </cell>
          <cell r="FU435">
            <v>17.065595346429742</v>
          </cell>
          <cell r="FV435">
            <v>23.167616893126525</v>
          </cell>
          <cell r="GG435">
            <v>8.9265863250031732</v>
          </cell>
          <cell r="GH435">
            <v>13.982143405445317</v>
          </cell>
          <cell r="GI435">
            <v>10.408007395026372</v>
          </cell>
          <cell r="GJ435">
            <v>7.7337520878462023</v>
          </cell>
          <cell r="GK435">
            <v>13.082262702206542</v>
          </cell>
        </row>
        <row r="436">
          <cell r="A436">
            <v>40070</v>
          </cell>
          <cell r="FR436">
            <v>21.676759595959595</v>
          </cell>
          <cell r="FS436">
            <v>22.314663874962239</v>
          </cell>
          <cell r="FT436">
            <v>20.116606119778133</v>
          </cell>
          <cell r="FU436">
            <v>17.065595346429742</v>
          </cell>
          <cell r="FV436">
            <v>23.167616893126525</v>
          </cell>
          <cell r="GG436">
            <v>8.9567677280223261</v>
          </cell>
          <cell r="GH436">
            <v>13.982143405445317</v>
          </cell>
          <cell r="GI436">
            <v>10.408007395026372</v>
          </cell>
          <cell r="GJ436">
            <v>7.7337520878462023</v>
          </cell>
          <cell r="GK436">
            <v>13.082262702206542</v>
          </cell>
        </row>
        <row r="437">
          <cell r="A437">
            <v>40071</v>
          </cell>
          <cell r="FR437">
            <v>22.151508080808082</v>
          </cell>
          <cell r="FS437">
            <v>22.314663874962239</v>
          </cell>
          <cell r="FT437">
            <v>20.116606119778133</v>
          </cell>
          <cell r="FU437">
            <v>17.065595346429742</v>
          </cell>
          <cell r="FV437">
            <v>23.167616893126525</v>
          </cell>
          <cell r="GG437">
            <v>9.0674413294431062</v>
          </cell>
          <cell r="GH437">
            <v>13.982143405445317</v>
          </cell>
          <cell r="GI437">
            <v>10.408007395026372</v>
          </cell>
          <cell r="GJ437">
            <v>7.7337520878462023</v>
          </cell>
          <cell r="GK437">
            <v>13.082262702206542</v>
          </cell>
        </row>
        <row r="438">
          <cell r="A438">
            <v>40072</v>
          </cell>
          <cell r="FR438">
            <v>23.181815151515153</v>
          </cell>
          <cell r="FS438">
            <v>22.314663874962239</v>
          </cell>
          <cell r="FT438">
            <v>20.116606119778133</v>
          </cell>
          <cell r="FU438">
            <v>17.065595346429742</v>
          </cell>
          <cell r="FV438">
            <v>23.167616893126525</v>
          </cell>
          <cell r="GG438">
            <v>9.4246023087656994</v>
          </cell>
          <cell r="GH438">
            <v>13.982143405445317</v>
          </cell>
          <cell r="GI438">
            <v>10.408007395026372</v>
          </cell>
          <cell r="GJ438">
            <v>7.7337520878462023</v>
          </cell>
          <cell r="GK438">
            <v>13.082262702206542</v>
          </cell>
        </row>
        <row r="439">
          <cell r="A439">
            <v>40073</v>
          </cell>
          <cell r="FR439">
            <v>22.699997</v>
          </cell>
          <cell r="FS439">
            <v>22.314663874962239</v>
          </cell>
          <cell r="FT439">
            <v>20.116606119778133</v>
          </cell>
          <cell r="FU439">
            <v>17.065595346429742</v>
          </cell>
          <cell r="FV439">
            <v>23.167616893126525</v>
          </cell>
          <cell r="GG439">
            <v>9.2541911653851958</v>
          </cell>
          <cell r="GH439">
            <v>13.982143405445317</v>
          </cell>
          <cell r="GI439">
            <v>10.408007395026372</v>
          </cell>
          <cell r="GJ439">
            <v>7.7337520878462023</v>
          </cell>
          <cell r="GK439">
            <v>13.082262702206542</v>
          </cell>
        </row>
        <row r="440">
          <cell r="A440">
            <v>40074</v>
          </cell>
          <cell r="FR440">
            <v>22.739991</v>
          </cell>
          <cell r="FS440">
            <v>22.314663874962239</v>
          </cell>
          <cell r="FT440">
            <v>20.116606119778133</v>
          </cell>
          <cell r="FU440">
            <v>17.065595346429742</v>
          </cell>
          <cell r="FV440">
            <v>23.167616893126525</v>
          </cell>
          <cell r="GG440">
            <v>9.2890698025026381</v>
          </cell>
          <cell r="GH440">
            <v>13.982143405445317</v>
          </cell>
          <cell r="GI440">
            <v>10.408007395026372</v>
          </cell>
          <cell r="GJ440">
            <v>7.7337520878462023</v>
          </cell>
          <cell r="GK440">
            <v>13.082262702206542</v>
          </cell>
        </row>
        <row r="441">
          <cell r="A441">
            <v>40077</v>
          </cell>
          <cell r="FR441">
            <v>22.51999</v>
          </cell>
          <cell r="FS441">
            <v>22.314663874962239</v>
          </cell>
          <cell r="FT441">
            <v>20.116606119778133</v>
          </cell>
          <cell r="FU441">
            <v>17.065595346429742</v>
          </cell>
          <cell r="FV441">
            <v>23.167616893126525</v>
          </cell>
          <cell r="GG441">
            <v>9.1844439419066273</v>
          </cell>
          <cell r="GH441">
            <v>13.982143405445317</v>
          </cell>
          <cell r="GI441">
            <v>10.408007395026372</v>
          </cell>
          <cell r="GJ441">
            <v>7.7337520878462023</v>
          </cell>
          <cell r="GK441">
            <v>13.082262702206542</v>
          </cell>
        </row>
        <row r="442">
          <cell r="A442">
            <v>40078</v>
          </cell>
          <cell r="FR442">
            <v>22.369996</v>
          </cell>
          <cell r="FS442">
            <v>22.314663874962239</v>
          </cell>
          <cell r="FT442">
            <v>20.116606119778133</v>
          </cell>
          <cell r="FU442">
            <v>17.065595346429742</v>
          </cell>
          <cell r="FV442">
            <v>23.167616893126525</v>
          </cell>
          <cell r="GG442">
            <v>9.0897834062013168</v>
          </cell>
          <cell r="GH442">
            <v>13.982143405445317</v>
          </cell>
          <cell r="GI442">
            <v>10.408007395026372</v>
          </cell>
          <cell r="GJ442">
            <v>7.7337520878462023</v>
          </cell>
          <cell r="GK442">
            <v>13.082262702206542</v>
          </cell>
        </row>
        <row r="443">
          <cell r="A443">
            <v>40079</v>
          </cell>
          <cell r="FR443">
            <v>21.39</v>
          </cell>
          <cell r="FS443">
            <v>22.314663874962239</v>
          </cell>
          <cell r="FT443">
            <v>20.116606119778133</v>
          </cell>
          <cell r="FU443">
            <v>17.065595346429742</v>
          </cell>
          <cell r="FV443">
            <v>23.167616893126525</v>
          </cell>
          <cell r="GG443">
            <v>8.7958465249510027</v>
          </cell>
          <cell r="GH443">
            <v>13.982143405445317</v>
          </cell>
          <cell r="GI443">
            <v>10.408007395026372</v>
          </cell>
          <cell r="GJ443">
            <v>7.7337520878462023</v>
          </cell>
          <cell r="GK443">
            <v>13.082262702206542</v>
          </cell>
        </row>
        <row r="444">
          <cell r="A444">
            <v>40080</v>
          </cell>
          <cell r="FR444">
            <v>21.01999</v>
          </cell>
          <cell r="FS444">
            <v>22.314663874962239</v>
          </cell>
          <cell r="FT444">
            <v>20.116606119778133</v>
          </cell>
          <cell r="FU444">
            <v>17.065595346429742</v>
          </cell>
          <cell r="FV444">
            <v>23.167616893126525</v>
          </cell>
          <cell r="GG444">
            <v>8.7111488014473082</v>
          </cell>
          <cell r="GH444">
            <v>13.982143405445317</v>
          </cell>
          <cell r="GI444">
            <v>10.408007395026372</v>
          </cell>
          <cell r="GJ444">
            <v>7.7337520878462023</v>
          </cell>
          <cell r="GK444">
            <v>13.082262702206542</v>
          </cell>
        </row>
        <row r="445">
          <cell r="A445">
            <v>40081</v>
          </cell>
          <cell r="FR445">
            <v>20.559998</v>
          </cell>
          <cell r="FS445">
            <v>22.314663874962239</v>
          </cell>
          <cell r="FT445">
            <v>20.116606119778133</v>
          </cell>
          <cell r="FU445">
            <v>17.065595346429742</v>
          </cell>
          <cell r="FV445">
            <v>23.167616893126525</v>
          </cell>
          <cell r="GG445">
            <v>9.5273983617267195</v>
          </cell>
          <cell r="GH445">
            <v>13.982143405445317</v>
          </cell>
          <cell r="GI445">
            <v>10.408007395026372</v>
          </cell>
          <cell r="GJ445">
            <v>7.7337520878462023</v>
          </cell>
          <cell r="GK445">
            <v>13.082262702206542</v>
          </cell>
        </row>
        <row r="446">
          <cell r="A446">
            <v>40084</v>
          </cell>
          <cell r="FR446">
            <v>20.89</v>
          </cell>
          <cell r="FS446">
            <v>22.314663874962239</v>
          </cell>
          <cell r="FT446">
            <v>20.116606119778133</v>
          </cell>
          <cell r="FU446">
            <v>17.065595346429742</v>
          </cell>
          <cell r="FV446">
            <v>23.167616893126525</v>
          </cell>
          <cell r="GG446">
            <v>9.7721217146590273</v>
          </cell>
          <cell r="GH446">
            <v>13.982143405445317</v>
          </cell>
          <cell r="GI446">
            <v>10.408007395026372</v>
          </cell>
          <cell r="GJ446">
            <v>7.7337520878462023</v>
          </cell>
          <cell r="GK446">
            <v>13.082262702206542</v>
          </cell>
        </row>
        <row r="447">
          <cell r="A447">
            <v>40085</v>
          </cell>
          <cell r="FR447">
            <v>20.989991</v>
          </cell>
          <cell r="FS447">
            <v>22.314663874962239</v>
          </cell>
          <cell r="FT447">
            <v>20.116606119778133</v>
          </cell>
          <cell r="FU447">
            <v>17.065595346429742</v>
          </cell>
          <cell r="FV447">
            <v>23.167616893126525</v>
          </cell>
          <cell r="GG447">
            <v>9.6810643750942251</v>
          </cell>
          <cell r="GH447">
            <v>13.982143405445317</v>
          </cell>
          <cell r="GI447">
            <v>10.408007395026372</v>
          </cell>
          <cell r="GJ447">
            <v>7.7337520878462023</v>
          </cell>
          <cell r="GK447">
            <v>13.082262702206542</v>
          </cell>
        </row>
        <row r="448">
          <cell r="A448">
            <v>40086</v>
          </cell>
          <cell r="FR448">
            <v>21.279999</v>
          </cell>
          <cell r="FS448">
            <v>22.314663874962239</v>
          </cell>
          <cell r="FT448">
            <v>20.116606119778133</v>
          </cell>
          <cell r="FU448">
            <v>17.065595346429742</v>
          </cell>
          <cell r="FV448">
            <v>23.167616893126525</v>
          </cell>
          <cell r="GG448">
            <v>9.7891954369566303</v>
          </cell>
          <cell r="GH448">
            <v>13.982143405445317</v>
          </cell>
          <cell r="GI448">
            <v>10.408007395026372</v>
          </cell>
          <cell r="GJ448">
            <v>7.7337520878462023</v>
          </cell>
          <cell r="GK448">
            <v>13.082262702206542</v>
          </cell>
        </row>
        <row r="449">
          <cell r="A449">
            <v>40087</v>
          </cell>
          <cell r="FR449">
            <v>20.809998</v>
          </cell>
          <cell r="FS449">
            <v>22.314663874962239</v>
          </cell>
          <cell r="FT449">
            <v>20.116606119778133</v>
          </cell>
          <cell r="FU449">
            <v>17.065595346429742</v>
          </cell>
          <cell r="FV449">
            <v>23.167616893126525</v>
          </cell>
          <cell r="GG449">
            <v>9.7265943012211658</v>
          </cell>
          <cell r="GH449">
            <v>13.982143405445317</v>
          </cell>
          <cell r="GI449">
            <v>10.408007395026372</v>
          </cell>
          <cell r="GJ449">
            <v>7.7337520878462023</v>
          </cell>
          <cell r="GK449">
            <v>13.082262702206542</v>
          </cell>
        </row>
        <row r="450">
          <cell r="A450">
            <v>40088</v>
          </cell>
          <cell r="FR450">
            <v>20.789994</v>
          </cell>
          <cell r="FS450">
            <v>22.314663874962239</v>
          </cell>
          <cell r="FT450">
            <v>20.116606119778133</v>
          </cell>
          <cell r="FU450">
            <v>17.065595346429742</v>
          </cell>
          <cell r="FV450">
            <v>23.167616893126525</v>
          </cell>
          <cell r="GG450">
            <v>9.6355344489672845</v>
          </cell>
          <cell r="GH450">
            <v>13.982143405445317</v>
          </cell>
          <cell r="GI450">
            <v>10.408007395026372</v>
          </cell>
          <cell r="GJ450">
            <v>7.7337520878462023</v>
          </cell>
          <cell r="GK450">
            <v>13.082262702206542</v>
          </cell>
        </row>
        <row r="451">
          <cell r="A451">
            <v>40091</v>
          </cell>
          <cell r="FR451">
            <v>20.559998</v>
          </cell>
          <cell r="FS451">
            <v>22.314663874962239</v>
          </cell>
          <cell r="FT451">
            <v>20.116606119778133</v>
          </cell>
          <cell r="FU451">
            <v>17.065595346429742</v>
          </cell>
          <cell r="FV451">
            <v>23.167616893126525</v>
          </cell>
          <cell r="GG451">
            <v>9.5615483190110044</v>
          </cell>
          <cell r="GH451">
            <v>13.982143405445317</v>
          </cell>
          <cell r="GI451">
            <v>10.408007395026372</v>
          </cell>
          <cell r="GJ451">
            <v>7.7337520878462023</v>
          </cell>
          <cell r="GK451">
            <v>13.082262702206542</v>
          </cell>
        </row>
        <row r="452">
          <cell r="A452">
            <v>40092</v>
          </cell>
          <cell r="FR452">
            <v>21.009995</v>
          </cell>
          <cell r="FS452">
            <v>22.314663874962239</v>
          </cell>
          <cell r="FT452">
            <v>20.116606119778133</v>
          </cell>
          <cell r="FU452">
            <v>17.065595346429742</v>
          </cell>
          <cell r="FV452">
            <v>23.167616893126525</v>
          </cell>
          <cell r="GG452">
            <v>9.624149454746469</v>
          </cell>
          <cell r="GH452">
            <v>13.982143405445317</v>
          </cell>
          <cell r="GI452">
            <v>10.408007395026372</v>
          </cell>
          <cell r="GJ452">
            <v>7.7337520878462023</v>
          </cell>
          <cell r="GK452">
            <v>13.082262702206542</v>
          </cell>
        </row>
        <row r="453">
          <cell r="A453">
            <v>40093</v>
          </cell>
          <cell r="FR453">
            <v>20.869996</v>
          </cell>
          <cell r="FS453">
            <v>22.314663874962239</v>
          </cell>
          <cell r="FT453">
            <v>20.116606119778133</v>
          </cell>
          <cell r="FU453">
            <v>17.065595346429742</v>
          </cell>
          <cell r="FV453">
            <v>23.167616893126525</v>
          </cell>
          <cell r="GG453">
            <v>9.6070782451379468</v>
          </cell>
          <cell r="GH453">
            <v>13.982143405445317</v>
          </cell>
          <cell r="GI453">
            <v>10.408007395026372</v>
          </cell>
          <cell r="GJ453">
            <v>7.7337520878462023</v>
          </cell>
          <cell r="GK453">
            <v>13.082262702206542</v>
          </cell>
        </row>
        <row r="454">
          <cell r="A454">
            <v>40094</v>
          </cell>
          <cell r="FR454">
            <v>20.919999000000001</v>
          </cell>
          <cell r="FS454">
            <v>22.314663874962239</v>
          </cell>
          <cell r="FT454">
            <v>20.116606119778133</v>
          </cell>
          <cell r="FU454">
            <v>17.065595346429742</v>
          </cell>
          <cell r="FV454">
            <v>23.167616893126525</v>
          </cell>
          <cell r="GG454">
            <v>9.6184582139806025</v>
          </cell>
          <cell r="GH454">
            <v>13.982143405445317</v>
          </cell>
          <cell r="GI454">
            <v>10.408007395026372</v>
          </cell>
          <cell r="GJ454">
            <v>7.7337520878462023</v>
          </cell>
          <cell r="GK454">
            <v>13.082262702206542</v>
          </cell>
        </row>
        <row r="455">
          <cell r="A455">
            <v>40095</v>
          </cell>
          <cell r="FR455">
            <v>21.449997</v>
          </cell>
          <cell r="FS455">
            <v>22.314663874962239</v>
          </cell>
          <cell r="FT455">
            <v>20.116606119778133</v>
          </cell>
          <cell r="FU455">
            <v>17.065595346429742</v>
          </cell>
          <cell r="FV455">
            <v>23.167616893126525</v>
          </cell>
          <cell r="GG455">
            <v>9.8347228503944919</v>
          </cell>
          <cell r="GH455">
            <v>13.982143405445317</v>
          </cell>
          <cell r="GI455">
            <v>10.408007395026372</v>
          </cell>
          <cell r="GJ455">
            <v>7.7337520878462023</v>
          </cell>
          <cell r="GK455">
            <v>13.082262702206542</v>
          </cell>
        </row>
        <row r="456">
          <cell r="A456">
            <v>40098</v>
          </cell>
          <cell r="FR456">
            <v>21.549987999999999</v>
          </cell>
          <cell r="FS456">
            <v>22.314663874962239</v>
          </cell>
          <cell r="FT456">
            <v>20.116606119778133</v>
          </cell>
          <cell r="FU456">
            <v>17.065595346429742</v>
          </cell>
          <cell r="FV456">
            <v>23.167616893126525</v>
          </cell>
          <cell r="GG456">
            <v>9.8631815669129104</v>
          </cell>
          <cell r="GH456">
            <v>13.982143405445317</v>
          </cell>
          <cell r="GI456">
            <v>10.408007395026372</v>
          </cell>
          <cell r="GJ456">
            <v>7.7337520878462023</v>
          </cell>
          <cell r="GK456">
            <v>13.082262702206542</v>
          </cell>
        </row>
        <row r="457">
          <cell r="A457">
            <v>40099</v>
          </cell>
          <cell r="FR457">
            <v>21.719985999999999</v>
          </cell>
          <cell r="FS457">
            <v>22.314663874962239</v>
          </cell>
          <cell r="FT457">
            <v>20.116606119778133</v>
          </cell>
          <cell r="FU457">
            <v>17.065595346429742</v>
          </cell>
          <cell r="FV457">
            <v>23.167616893126525</v>
          </cell>
          <cell r="GG457">
            <v>9.8631815669129104</v>
          </cell>
          <cell r="GH457">
            <v>13.982143405445317</v>
          </cell>
          <cell r="GI457">
            <v>10.408007395026372</v>
          </cell>
          <cell r="GJ457">
            <v>7.7337520878462023</v>
          </cell>
          <cell r="GK457">
            <v>13.082262702206542</v>
          </cell>
        </row>
        <row r="458">
          <cell r="A458">
            <v>40100</v>
          </cell>
          <cell r="FR458">
            <v>21.899994</v>
          </cell>
          <cell r="FS458">
            <v>22.314663874962239</v>
          </cell>
          <cell r="FT458">
            <v>20.116606119778133</v>
          </cell>
          <cell r="FU458">
            <v>17.065595346429742</v>
          </cell>
          <cell r="FV458">
            <v>23.167616893126525</v>
          </cell>
          <cell r="GG458">
            <v>9.8517940600030141</v>
          </cell>
          <cell r="GH458">
            <v>13.982143405445317</v>
          </cell>
          <cell r="GI458">
            <v>10.408007395026372</v>
          </cell>
          <cell r="GJ458">
            <v>7.7337520878462023</v>
          </cell>
          <cell r="GK458">
            <v>13.082262702206542</v>
          </cell>
        </row>
        <row r="459">
          <cell r="A459">
            <v>40101</v>
          </cell>
          <cell r="FR459">
            <v>22.51546082474227</v>
          </cell>
          <cell r="FS459">
            <v>22.314663874962239</v>
          </cell>
          <cell r="FT459">
            <v>20.116606119778133</v>
          </cell>
          <cell r="FU459">
            <v>17.065595346429742</v>
          </cell>
          <cell r="FV459">
            <v>23.167616893126525</v>
          </cell>
          <cell r="GG459">
            <v>9.7211645970415077</v>
          </cell>
          <cell r="GH459">
            <v>13.982143405445317</v>
          </cell>
          <cell r="GI459">
            <v>10.408007395026372</v>
          </cell>
          <cell r="GJ459">
            <v>7.7337520878462023</v>
          </cell>
          <cell r="GK459">
            <v>13.082262702206542</v>
          </cell>
        </row>
        <row r="460">
          <cell r="A460">
            <v>40102</v>
          </cell>
          <cell r="FR460">
            <v>22.350508247422681</v>
          </cell>
          <cell r="FS460">
            <v>22.314663874962239</v>
          </cell>
          <cell r="FT460">
            <v>20.116606119778133</v>
          </cell>
          <cell r="FU460">
            <v>17.065595346429742</v>
          </cell>
          <cell r="FV460">
            <v>23.167616893126525</v>
          </cell>
          <cell r="GG460">
            <v>9.6427274526294955</v>
          </cell>
          <cell r="GH460">
            <v>13.982143405445317</v>
          </cell>
          <cell r="GI460">
            <v>10.408007395026372</v>
          </cell>
          <cell r="GJ460">
            <v>7.7337520878462023</v>
          </cell>
          <cell r="GK460">
            <v>13.082262702206542</v>
          </cell>
        </row>
        <row r="461">
          <cell r="A461">
            <v>40105</v>
          </cell>
          <cell r="FR461">
            <v>22.319581443298969</v>
          </cell>
          <cell r="FS461">
            <v>22.314663874962239</v>
          </cell>
          <cell r="FT461">
            <v>20.116606119778133</v>
          </cell>
          <cell r="FU461">
            <v>17.065595346429742</v>
          </cell>
          <cell r="FV461">
            <v>23.167616893126525</v>
          </cell>
          <cell r="GG461">
            <v>9.6651387720773769</v>
          </cell>
          <cell r="GH461">
            <v>13.982143405445317</v>
          </cell>
          <cell r="GI461">
            <v>10.408007395026372</v>
          </cell>
          <cell r="GJ461">
            <v>7.7337520878462023</v>
          </cell>
          <cell r="GK461">
            <v>13.082262702206542</v>
          </cell>
        </row>
        <row r="462">
          <cell r="A462">
            <v>40106</v>
          </cell>
          <cell r="FR462">
            <v>21.979374226804126</v>
          </cell>
          <cell r="FS462">
            <v>22.314663874962239</v>
          </cell>
          <cell r="FT462">
            <v>20.116606119778133</v>
          </cell>
          <cell r="FU462">
            <v>17.065595346429742</v>
          </cell>
          <cell r="FV462">
            <v>23.167616893126525</v>
          </cell>
          <cell r="GG462">
            <v>9.5362712115964978</v>
          </cell>
          <cell r="GH462">
            <v>13.982143405445317</v>
          </cell>
          <cell r="GI462">
            <v>10.408007395026372</v>
          </cell>
          <cell r="GJ462">
            <v>7.7337520878462023</v>
          </cell>
          <cell r="GK462">
            <v>13.082262702206542</v>
          </cell>
        </row>
        <row r="463">
          <cell r="A463">
            <v>40107</v>
          </cell>
          <cell r="FR463">
            <v>22.144325773195877</v>
          </cell>
          <cell r="FS463">
            <v>22.314663874962239</v>
          </cell>
          <cell r="FT463">
            <v>20.116606119778133</v>
          </cell>
          <cell r="FU463">
            <v>17.065595346429742</v>
          </cell>
          <cell r="FV463">
            <v>23.167616893126525</v>
          </cell>
          <cell r="GG463">
            <v>9.5698906644238857</v>
          </cell>
          <cell r="GH463">
            <v>13.982143405445317</v>
          </cell>
          <cell r="GI463">
            <v>10.408007395026372</v>
          </cell>
          <cell r="GJ463">
            <v>7.7337520878462023</v>
          </cell>
          <cell r="GK463">
            <v>13.082262702206542</v>
          </cell>
        </row>
        <row r="464">
          <cell r="A464">
            <v>40108</v>
          </cell>
          <cell r="FR464">
            <v>22.195875257731959</v>
          </cell>
          <cell r="FS464">
            <v>22.314663874962239</v>
          </cell>
          <cell r="FT464">
            <v>20.116606119778133</v>
          </cell>
          <cell r="FU464">
            <v>17.065595346429742</v>
          </cell>
          <cell r="FV464">
            <v>23.167616893126525</v>
          </cell>
          <cell r="GG464">
            <v>9.5306733290456638</v>
          </cell>
          <cell r="GH464">
            <v>13.982143405445317</v>
          </cell>
          <cell r="GI464">
            <v>10.408007395026372</v>
          </cell>
          <cell r="GJ464">
            <v>7.7337520878462023</v>
          </cell>
          <cell r="GK464">
            <v>13.082262702206542</v>
          </cell>
        </row>
        <row r="465">
          <cell r="A465">
            <v>40109</v>
          </cell>
          <cell r="FR465">
            <v>22.268031958762887</v>
          </cell>
          <cell r="FS465">
            <v>22.314663874962239</v>
          </cell>
          <cell r="FT465">
            <v>20.116606119778133</v>
          </cell>
          <cell r="FU465">
            <v>17.065595346429742</v>
          </cell>
          <cell r="FV465">
            <v>23.167616893126525</v>
          </cell>
          <cell r="GG465">
            <v>9.5923019838717654</v>
          </cell>
          <cell r="GH465">
            <v>13.982143405445317</v>
          </cell>
          <cell r="GI465">
            <v>10.408007395026372</v>
          </cell>
          <cell r="GJ465">
            <v>7.7337520878462023</v>
          </cell>
          <cell r="GK465">
            <v>13.082262702206542</v>
          </cell>
        </row>
        <row r="466">
          <cell r="A466">
            <v>40112</v>
          </cell>
          <cell r="FR466">
            <v>21.886593814432992</v>
          </cell>
          <cell r="FS466">
            <v>22.314663874962239</v>
          </cell>
          <cell r="FT466">
            <v>20.116606119778133</v>
          </cell>
          <cell r="FU466">
            <v>17.065595346429742</v>
          </cell>
          <cell r="FV466">
            <v>23.167616893126525</v>
          </cell>
          <cell r="GG466">
            <v>9.5138598921486164</v>
          </cell>
          <cell r="GH466">
            <v>13.982143405445317</v>
          </cell>
          <cell r="GI466">
            <v>10.408007395026372</v>
          </cell>
          <cell r="GJ466">
            <v>7.7337520878462023</v>
          </cell>
          <cell r="GK466">
            <v>13.082262702206542</v>
          </cell>
        </row>
        <row r="467">
          <cell r="A467">
            <v>40113</v>
          </cell>
          <cell r="FR467">
            <v>22.247409278350514</v>
          </cell>
          <cell r="FS467">
            <v>22.314663874962239</v>
          </cell>
          <cell r="FT467">
            <v>20.116606119778133</v>
          </cell>
          <cell r="FU467">
            <v>17.065595346429742</v>
          </cell>
          <cell r="FV467">
            <v>23.167616893126525</v>
          </cell>
          <cell r="GG467">
            <v>9.6651387720773769</v>
          </cell>
          <cell r="GH467">
            <v>13.982143405445317</v>
          </cell>
          <cell r="GI467">
            <v>10.408007395026372</v>
          </cell>
          <cell r="GJ467">
            <v>7.7337520878462023</v>
          </cell>
          <cell r="GK467">
            <v>13.082262702206542</v>
          </cell>
        </row>
        <row r="468">
          <cell r="A468">
            <v>40114</v>
          </cell>
          <cell r="FR468">
            <v>21.443286597938144</v>
          </cell>
          <cell r="FS468">
            <v>22.314663874962239</v>
          </cell>
          <cell r="FT468">
            <v>20.116606119778133</v>
          </cell>
          <cell r="FU468">
            <v>17.065595346429742</v>
          </cell>
          <cell r="FV468">
            <v>23.167616893126525</v>
          </cell>
          <cell r="GG468">
            <v>9.4466284074605458</v>
          </cell>
          <cell r="GH468">
            <v>13.982143405445317</v>
          </cell>
          <cell r="GI468">
            <v>10.408007395026372</v>
          </cell>
          <cell r="GJ468">
            <v>7.7337520878462023</v>
          </cell>
          <cell r="GK468">
            <v>13.082262702206542</v>
          </cell>
        </row>
        <row r="469">
          <cell r="A469">
            <v>40115</v>
          </cell>
          <cell r="FR469">
            <v>21.896897938144331</v>
          </cell>
          <cell r="FS469">
            <v>22.314663874962239</v>
          </cell>
          <cell r="FT469">
            <v>20.116606119778133</v>
          </cell>
          <cell r="FU469">
            <v>17.065595346429742</v>
          </cell>
          <cell r="FV469">
            <v>23.167616893126525</v>
          </cell>
          <cell r="GG469">
            <v>9.5530846484935434</v>
          </cell>
          <cell r="GH469">
            <v>13.982143405445317</v>
          </cell>
          <cell r="GI469">
            <v>10.408007395026372</v>
          </cell>
          <cell r="GJ469">
            <v>7.7337520878462023</v>
          </cell>
          <cell r="GK469">
            <v>13.082262702206542</v>
          </cell>
        </row>
        <row r="470">
          <cell r="A470">
            <v>40116</v>
          </cell>
          <cell r="FR470">
            <v>21.474213402061856</v>
          </cell>
          <cell r="FS470">
            <v>22.314663874962239</v>
          </cell>
          <cell r="FT470">
            <v>20.116606119778133</v>
          </cell>
          <cell r="FU470">
            <v>17.065595346429742</v>
          </cell>
          <cell r="FV470">
            <v>23.167616893126525</v>
          </cell>
          <cell r="GG470">
            <v>9.4242170880126643</v>
          </cell>
          <cell r="GH470">
            <v>13.982143405445317</v>
          </cell>
          <cell r="GI470">
            <v>10.408007395026372</v>
          </cell>
          <cell r="GJ470">
            <v>7.7337520878462023</v>
          </cell>
          <cell r="GK470">
            <v>13.082262702206542</v>
          </cell>
        </row>
        <row r="471">
          <cell r="A471">
            <v>40119</v>
          </cell>
          <cell r="FR471">
            <v>21.27835051546392</v>
          </cell>
          <cell r="FS471">
            <v>22.314663874962239</v>
          </cell>
          <cell r="FT471">
            <v>20.116606119778133</v>
          </cell>
          <cell r="FU471">
            <v>17.065595346429742</v>
          </cell>
          <cell r="FV471">
            <v>23.167616893126525</v>
          </cell>
          <cell r="GG471">
            <v>9.3906025824964132</v>
          </cell>
          <cell r="GH471">
            <v>13.982143405445317</v>
          </cell>
          <cell r="GI471">
            <v>10.408007395026372</v>
          </cell>
          <cell r="GJ471">
            <v>7.7337520878462023</v>
          </cell>
          <cell r="GK471">
            <v>13.082262702206542</v>
          </cell>
        </row>
        <row r="472">
          <cell r="A472">
            <v>40120</v>
          </cell>
          <cell r="FR472">
            <v>21.752568041237112</v>
          </cell>
          <cell r="FS472">
            <v>22.314663874962239</v>
          </cell>
          <cell r="FT472">
            <v>20.116606119778133</v>
          </cell>
          <cell r="FU472">
            <v>17.065595346429742</v>
          </cell>
          <cell r="FV472">
            <v>23.167616893126525</v>
          </cell>
          <cell r="GG472">
            <v>9.5138598921486164</v>
          </cell>
          <cell r="GH472">
            <v>13.982143405445317</v>
          </cell>
          <cell r="GI472">
            <v>10.408007395026372</v>
          </cell>
          <cell r="GJ472">
            <v>7.7337520878462023</v>
          </cell>
          <cell r="GK472">
            <v>13.082262702206542</v>
          </cell>
        </row>
        <row r="473">
          <cell r="A473">
            <v>40121</v>
          </cell>
          <cell r="FR473">
            <v>21.680411340206188</v>
          </cell>
          <cell r="FS473">
            <v>22.314663874962239</v>
          </cell>
          <cell r="FT473">
            <v>20.116606119778133</v>
          </cell>
          <cell r="FU473">
            <v>17.065595346429742</v>
          </cell>
          <cell r="FV473">
            <v>23.167616893126525</v>
          </cell>
          <cell r="GG473">
            <v>9.4914485727007367</v>
          </cell>
          <cell r="GH473">
            <v>13.982143405445317</v>
          </cell>
          <cell r="GI473">
            <v>10.408007395026372</v>
          </cell>
          <cell r="GJ473">
            <v>7.7337520878462023</v>
          </cell>
          <cell r="GK473">
            <v>13.082262702206542</v>
          </cell>
        </row>
        <row r="474">
          <cell r="A474">
            <v>40122</v>
          </cell>
          <cell r="FR474">
            <v>22.288655670103093</v>
          </cell>
          <cell r="FS474">
            <v>22.314663874962239</v>
          </cell>
          <cell r="FT474">
            <v>20.116606119778133</v>
          </cell>
          <cell r="FU474">
            <v>17.065595346429742</v>
          </cell>
          <cell r="FV474">
            <v>23.167616893126525</v>
          </cell>
          <cell r="GG474">
            <v>9.6595334685598377</v>
          </cell>
          <cell r="GH474">
            <v>13.982143405445317</v>
          </cell>
          <cell r="GI474">
            <v>10.408007395026372</v>
          </cell>
          <cell r="GJ474">
            <v>7.7337520878462023</v>
          </cell>
          <cell r="GK474">
            <v>13.082262702206542</v>
          </cell>
        </row>
        <row r="475">
          <cell r="A475">
            <v>40123</v>
          </cell>
          <cell r="FR475">
            <v>22.422680412371136</v>
          </cell>
          <cell r="FS475">
            <v>22.314663874962239</v>
          </cell>
          <cell r="FT475">
            <v>20.116606119778133</v>
          </cell>
          <cell r="FU475">
            <v>17.065595346429742</v>
          </cell>
          <cell r="FV475">
            <v>23.167616893126525</v>
          </cell>
          <cell r="GG475">
            <v>9.6595334685598377</v>
          </cell>
          <cell r="GH475">
            <v>13.982143405445317</v>
          </cell>
          <cell r="GI475">
            <v>10.408007395026372</v>
          </cell>
          <cell r="GJ475">
            <v>7.7337520878462023</v>
          </cell>
          <cell r="GK475">
            <v>13.082262702206542</v>
          </cell>
        </row>
        <row r="476">
          <cell r="A476">
            <v>40126</v>
          </cell>
          <cell r="FR476">
            <v>23.082474226804123</v>
          </cell>
          <cell r="FS476">
            <v>22.314663874962239</v>
          </cell>
          <cell r="FT476">
            <v>20.116606119778133</v>
          </cell>
          <cell r="FU476">
            <v>17.065595346429742</v>
          </cell>
          <cell r="FV476">
            <v>23.167616893126525</v>
          </cell>
          <cell r="GG476">
            <v>9.822015534556968</v>
          </cell>
          <cell r="GH476">
            <v>13.982143405445317</v>
          </cell>
          <cell r="GI476">
            <v>10.408007395026372</v>
          </cell>
          <cell r="GJ476">
            <v>7.7337520878462023</v>
          </cell>
          <cell r="GK476">
            <v>13.082262702206542</v>
          </cell>
        </row>
        <row r="477">
          <cell r="A477">
            <v>40127</v>
          </cell>
          <cell r="FR477">
            <v>23.845350515463917</v>
          </cell>
          <cell r="FS477">
            <v>22.314663874962239</v>
          </cell>
          <cell r="FT477">
            <v>20.116606119778133</v>
          </cell>
          <cell r="FU477">
            <v>17.065595346429742</v>
          </cell>
          <cell r="FV477">
            <v>23.167616893126525</v>
          </cell>
          <cell r="GG477">
            <v>10.141371889378124</v>
          </cell>
          <cell r="GH477">
            <v>13.982143405445317</v>
          </cell>
          <cell r="GI477">
            <v>10.408007395026372</v>
          </cell>
          <cell r="GJ477">
            <v>7.7337520878462023</v>
          </cell>
          <cell r="GK477">
            <v>13.082262702206542</v>
          </cell>
        </row>
        <row r="478">
          <cell r="A478">
            <v>40128</v>
          </cell>
          <cell r="FR478">
            <v>23.31958350515464</v>
          </cell>
          <cell r="FS478">
            <v>22.314663874962239</v>
          </cell>
          <cell r="FT478">
            <v>20.116606119778133</v>
          </cell>
          <cell r="FU478">
            <v>17.065595346429742</v>
          </cell>
          <cell r="FV478">
            <v>23.167616893126525</v>
          </cell>
          <cell r="GG478">
            <v>9.9452777915203097</v>
          </cell>
          <cell r="GH478">
            <v>13.982143405445317</v>
          </cell>
          <cell r="GI478">
            <v>10.408007395026372</v>
          </cell>
          <cell r="GJ478">
            <v>7.7337520878462023</v>
          </cell>
          <cell r="GK478">
            <v>13.082262702206542</v>
          </cell>
        </row>
        <row r="479">
          <cell r="A479">
            <v>40129</v>
          </cell>
          <cell r="FR479">
            <v>22.907202061855671</v>
          </cell>
          <cell r="FS479">
            <v>22.314663874962239</v>
          </cell>
          <cell r="FT479">
            <v>20.116606119778133</v>
          </cell>
          <cell r="FU479">
            <v>17.065595346429742</v>
          </cell>
          <cell r="FV479">
            <v>23.167616893126525</v>
          </cell>
          <cell r="GG479">
            <v>9.9004576262801169</v>
          </cell>
          <cell r="GH479">
            <v>13.982143405445317</v>
          </cell>
          <cell r="GI479">
            <v>10.408007395026372</v>
          </cell>
          <cell r="GJ479">
            <v>7.7337520878462023</v>
          </cell>
          <cell r="GK479">
            <v>13.082262702206542</v>
          </cell>
        </row>
        <row r="480">
          <cell r="A480">
            <v>40130</v>
          </cell>
          <cell r="FR480">
            <v>23.020605154639174</v>
          </cell>
          <cell r="FS480">
            <v>22.314663874962239</v>
          </cell>
          <cell r="FT480">
            <v>20.116606119778133</v>
          </cell>
          <cell r="FU480">
            <v>17.065595346429742</v>
          </cell>
          <cell r="FV480">
            <v>23.167616893126525</v>
          </cell>
          <cell r="GG480">
            <v>9.9228689457279966</v>
          </cell>
          <cell r="GH480">
            <v>13.982143405445317</v>
          </cell>
          <cell r="GI480">
            <v>10.408007395026372</v>
          </cell>
          <cell r="GJ480">
            <v>7.7337520878462023</v>
          </cell>
          <cell r="GK480">
            <v>13.082262702206542</v>
          </cell>
        </row>
        <row r="481">
          <cell r="A481">
            <v>40133</v>
          </cell>
          <cell r="FR481">
            <v>23.350509278350515</v>
          </cell>
          <cell r="FS481">
            <v>22.314663874962239</v>
          </cell>
          <cell r="FT481">
            <v>20.116606119778133</v>
          </cell>
          <cell r="FU481">
            <v>17.065595346429742</v>
          </cell>
          <cell r="FV481">
            <v>23.167616893126525</v>
          </cell>
          <cell r="GG481">
            <v>9.990100430416069</v>
          </cell>
          <cell r="GH481">
            <v>13.982143405445317</v>
          </cell>
          <cell r="GI481">
            <v>10.408007395026372</v>
          </cell>
          <cell r="GJ481">
            <v>7.7337520878462023</v>
          </cell>
          <cell r="GK481">
            <v>13.082262702206542</v>
          </cell>
        </row>
        <row r="482">
          <cell r="A482">
            <v>40134</v>
          </cell>
          <cell r="FR482">
            <v>23.144326804123711</v>
          </cell>
          <cell r="FS482">
            <v>22.314663874962239</v>
          </cell>
          <cell r="FT482">
            <v>20.116606119778133</v>
          </cell>
          <cell r="FU482">
            <v>17.065595346429742</v>
          </cell>
          <cell r="FV482">
            <v>23.167616893126525</v>
          </cell>
          <cell r="GG482">
            <v>9.990100430416069</v>
          </cell>
          <cell r="GH482">
            <v>13.982143405445317</v>
          </cell>
          <cell r="GI482">
            <v>10.408007395026372</v>
          </cell>
          <cell r="GJ482">
            <v>7.7337520878462023</v>
          </cell>
          <cell r="GK482">
            <v>13.082262702206542</v>
          </cell>
        </row>
        <row r="483">
          <cell r="A483">
            <v>40135</v>
          </cell>
          <cell r="FR483">
            <v>23.164934020618556</v>
          </cell>
          <cell r="FS483">
            <v>22.314663874962239</v>
          </cell>
          <cell r="FT483">
            <v>20.116606119778133</v>
          </cell>
          <cell r="FU483">
            <v>17.065595346429742</v>
          </cell>
          <cell r="FV483">
            <v>23.167616893126525</v>
          </cell>
          <cell r="GG483">
            <v>9.9564809775886811</v>
          </cell>
          <cell r="GH483">
            <v>13.982143405445317</v>
          </cell>
          <cell r="GI483">
            <v>10.408007395026372</v>
          </cell>
          <cell r="GJ483">
            <v>7.7337520878462023</v>
          </cell>
          <cell r="GK483">
            <v>13.082262702206542</v>
          </cell>
        </row>
        <row r="484">
          <cell r="A484">
            <v>40136</v>
          </cell>
          <cell r="FR484">
            <v>23.083321874999999</v>
          </cell>
          <cell r="FS484">
            <v>22.314663874962239</v>
          </cell>
          <cell r="FT484">
            <v>20.116606119778133</v>
          </cell>
          <cell r="FU484">
            <v>17.065595346429742</v>
          </cell>
          <cell r="FV484">
            <v>23.167616893126525</v>
          </cell>
          <cell r="GG484">
            <v>9.6386640509578836</v>
          </cell>
          <cell r="GH484">
            <v>13.982143405445317</v>
          </cell>
          <cell r="GI484">
            <v>10.408007395026372</v>
          </cell>
          <cell r="GJ484">
            <v>7.7337520878462023</v>
          </cell>
          <cell r="GK484">
            <v>13.082262702206542</v>
          </cell>
        </row>
        <row r="485">
          <cell r="A485">
            <v>40137</v>
          </cell>
          <cell r="FR485">
            <v>22.406244791666669</v>
          </cell>
          <cell r="FS485">
            <v>22.314663874962239</v>
          </cell>
          <cell r="FT485">
            <v>20.116606119778133</v>
          </cell>
          <cell r="FU485">
            <v>17.065595346429742</v>
          </cell>
          <cell r="FV485">
            <v>23.167616893126525</v>
          </cell>
          <cell r="GG485">
            <v>9.4631233500448069</v>
          </cell>
          <cell r="GH485">
            <v>13.982143405445317</v>
          </cell>
          <cell r="GI485">
            <v>10.408007395026372</v>
          </cell>
          <cell r="GJ485">
            <v>7.7337520878462023</v>
          </cell>
          <cell r="GK485">
            <v>13.082262702206542</v>
          </cell>
        </row>
        <row r="486">
          <cell r="A486">
            <v>40140</v>
          </cell>
          <cell r="FR486">
            <v>22.541666666666668</v>
          </cell>
          <cell r="FS486">
            <v>22.314663874962239</v>
          </cell>
          <cell r="FT486">
            <v>20.116606119778133</v>
          </cell>
          <cell r="FU486">
            <v>17.065595346429742</v>
          </cell>
          <cell r="FV486">
            <v>23.167616893126525</v>
          </cell>
          <cell r="GG486">
            <v>9.44666860422873</v>
          </cell>
          <cell r="GH486">
            <v>13.982143405445317</v>
          </cell>
          <cell r="GI486">
            <v>10.408007395026372</v>
          </cell>
          <cell r="GJ486">
            <v>7.7337520878462023</v>
          </cell>
          <cell r="GK486">
            <v>13.082262702206542</v>
          </cell>
        </row>
        <row r="487">
          <cell r="A487">
            <v>40141</v>
          </cell>
          <cell r="FR487">
            <v>22.249985416666668</v>
          </cell>
          <cell r="FS487">
            <v>22.314663874962239</v>
          </cell>
          <cell r="FT487">
            <v>20.116606119778133</v>
          </cell>
          <cell r="FU487">
            <v>17.065595346429742</v>
          </cell>
          <cell r="FV487">
            <v>23.167616893126525</v>
          </cell>
          <cell r="GG487">
            <v>9.3314684298481438</v>
          </cell>
          <cell r="GH487">
            <v>13.982143405445317</v>
          </cell>
          <cell r="GI487">
            <v>10.408007395026372</v>
          </cell>
          <cell r="GJ487">
            <v>7.7337520878462023</v>
          </cell>
          <cell r="GK487">
            <v>13.082262702206542</v>
          </cell>
        </row>
        <row r="488">
          <cell r="A488">
            <v>40142</v>
          </cell>
          <cell r="FR488">
            <v>22.864580208333333</v>
          </cell>
          <cell r="FS488">
            <v>22.314663874962239</v>
          </cell>
          <cell r="FT488">
            <v>20.116606119778133</v>
          </cell>
          <cell r="FU488">
            <v>17.065595346429742</v>
          </cell>
          <cell r="FV488">
            <v>23.167616893126525</v>
          </cell>
          <cell r="GG488">
            <v>9.4247257138705223</v>
          </cell>
          <cell r="GH488">
            <v>13.982143405445317</v>
          </cell>
          <cell r="GI488">
            <v>10.408007395026372</v>
          </cell>
          <cell r="GJ488">
            <v>7.7337520878462023</v>
          </cell>
          <cell r="GK488">
            <v>13.082262702206542</v>
          </cell>
        </row>
        <row r="489">
          <cell r="A489">
            <v>40143</v>
          </cell>
          <cell r="FR489">
            <v>22.864580208333333</v>
          </cell>
          <cell r="FS489">
            <v>22.314663874962239</v>
          </cell>
          <cell r="FT489">
            <v>20.116606119778133</v>
          </cell>
          <cell r="FU489">
            <v>17.065595346429742</v>
          </cell>
          <cell r="FV489">
            <v>23.167616893126525</v>
          </cell>
          <cell r="GG489">
            <v>9.4247257138705223</v>
          </cell>
          <cell r="GH489">
            <v>13.982143405445317</v>
          </cell>
          <cell r="GI489">
            <v>10.408007395026372</v>
          </cell>
          <cell r="GJ489">
            <v>7.7337520878462023</v>
          </cell>
          <cell r="GK489">
            <v>13.082262702206542</v>
          </cell>
        </row>
        <row r="490">
          <cell r="A490">
            <v>40144</v>
          </cell>
          <cell r="FR490">
            <v>22.885402083333332</v>
          </cell>
          <cell r="FS490">
            <v>22.314663874962239</v>
          </cell>
          <cell r="FT490">
            <v>20.116606119778133</v>
          </cell>
          <cell r="FU490">
            <v>17.065595346429742</v>
          </cell>
          <cell r="FV490">
            <v>23.167616893126525</v>
          </cell>
          <cell r="GG490">
            <v>9.5618615127515802</v>
          </cell>
          <cell r="GH490">
            <v>13.982143405445317</v>
          </cell>
          <cell r="GI490">
            <v>10.408007395026372</v>
          </cell>
          <cell r="GJ490">
            <v>7.7337520878462023</v>
          </cell>
          <cell r="GK490">
            <v>13.082262702206542</v>
          </cell>
        </row>
        <row r="491">
          <cell r="A491">
            <v>40147</v>
          </cell>
          <cell r="FR491">
            <v>23.020823958333335</v>
          </cell>
          <cell r="FS491">
            <v>22.314663874962239</v>
          </cell>
          <cell r="FT491">
            <v>20.116606119778133</v>
          </cell>
          <cell r="FU491">
            <v>17.065595346429742</v>
          </cell>
          <cell r="FV491">
            <v>23.167616893126525</v>
          </cell>
          <cell r="GG491">
            <v>9.5454067669355034</v>
          </cell>
          <cell r="GH491">
            <v>13.982143405445317</v>
          </cell>
          <cell r="GI491">
            <v>10.408007395026372</v>
          </cell>
          <cell r="GJ491">
            <v>7.7337520878462023</v>
          </cell>
          <cell r="GK491">
            <v>13.082262702206542</v>
          </cell>
        </row>
        <row r="492">
          <cell r="A492">
            <v>40148</v>
          </cell>
          <cell r="FR492">
            <v>23.479160416666666</v>
          </cell>
          <cell r="FS492">
            <v>22.314663874962239</v>
          </cell>
          <cell r="FT492">
            <v>20.116606119778133</v>
          </cell>
          <cell r="FU492">
            <v>17.065595346429742</v>
          </cell>
          <cell r="FV492">
            <v>23.167616893126525</v>
          </cell>
          <cell r="GG492">
            <v>9.6551187967739587</v>
          </cell>
          <cell r="GH492">
            <v>13.982143405445317</v>
          </cell>
          <cell r="GI492">
            <v>10.408007395026372</v>
          </cell>
          <cell r="GJ492">
            <v>7.7337520878462023</v>
          </cell>
          <cell r="GK492">
            <v>13.082262702206542</v>
          </cell>
        </row>
        <row r="493">
          <cell r="A493">
            <v>40149</v>
          </cell>
          <cell r="FR493">
            <v>22.979164583333333</v>
          </cell>
          <cell r="FS493">
            <v>22.314663874962239</v>
          </cell>
          <cell r="FT493">
            <v>20.116606119778133</v>
          </cell>
          <cell r="FU493">
            <v>17.065595346429742</v>
          </cell>
          <cell r="FV493">
            <v>23.167616893126525</v>
          </cell>
          <cell r="GG493">
            <v>9.5673496572937111</v>
          </cell>
          <cell r="GH493">
            <v>13.982143405445317</v>
          </cell>
          <cell r="GI493">
            <v>10.408007395026372</v>
          </cell>
          <cell r="GJ493">
            <v>7.7337520878462023</v>
          </cell>
          <cell r="GK493">
            <v>13.082262702206542</v>
          </cell>
        </row>
        <row r="494">
          <cell r="A494">
            <v>40150</v>
          </cell>
          <cell r="FR494">
            <v>22.916666666666668</v>
          </cell>
          <cell r="FS494">
            <v>22.314663874962239</v>
          </cell>
          <cell r="FT494">
            <v>20.116606119778133</v>
          </cell>
          <cell r="FU494">
            <v>17.065595346429742</v>
          </cell>
          <cell r="FV494">
            <v>23.167616893126525</v>
          </cell>
          <cell r="GG494">
            <v>9.5728353798832622</v>
          </cell>
          <cell r="GH494">
            <v>13.982143405445317</v>
          </cell>
          <cell r="GI494">
            <v>10.408007395026372</v>
          </cell>
          <cell r="GJ494">
            <v>7.7337520878462023</v>
          </cell>
          <cell r="GK494">
            <v>13.082262702206542</v>
          </cell>
        </row>
        <row r="495">
          <cell r="A495">
            <v>40151</v>
          </cell>
          <cell r="FR495">
            <v>22.729159375000002</v>
          </cell>
          <cell r="FS495">
            <v>22.314663874962239</v>
          </cell>
          <cell r="FT495">
            <v>20.116606119778133</v>
          </cell>
          <cell r="FU495">
            <v>17.065595346429742</v>
          </cell>
          <cell r="FV495">
            <v>23.167616893126525</v>
          </cell>
          <cell r="GG495">
            <v>9.4960328416769606</v>
          </cell>
          <cell r="GH495">
            <v>13.982143405445317</v>
          </cell>
          <cell r="GI495">
            <v>10.408007395026372</v>
          </cell>
          <cell r="GJ495">
            <v>7.7337520878462023</v>
          </cell>
          <cell r="GK495">
            <v>13.082262702206542</v>
          </cell>
        </row>
        <row r="496">
          <cell r="A496">
            <v>40154</v>
          </cell>
          <cell r="FR496">
            <v>22.510402083333332</v>
          </cell>
          <cell r="FS496">
            <v>22.314663874962239</v>
          </cell>
          <cell r="FT496">
            <v>20.116606119778133</v>
          </cell>
          <cell r="FU496">
            <v>17.065595346429742</v>
          </cell>
          <cell r="FV496">
            <v>23.167616893126525</v>
          </cell>
          <cell r="GG496">
            <v>9.4740923732713327</v>
          </cell>
          <cell r="GH496">
            <v>13.982143405445317</v>
          </cell>
          <cell r="GI496">
            <v>10.408007395026372</v>
          </cell>
          <cell r="GJ496">
            <v>7.7337520878462023</v>
          </cell>
          <cell r="GK496">
            <v>13.082262702206542</v>
          </cell>
        </row>
        <row r="497">
          <cell r="A497">
            <v>40155</v>
          </cell>
          <cell r="FR497">
            <v>22.489580208333333</v>
          </cell>
          <cell r="FS497">
            <v>22.314663874962239</v>
          </cell>
          <cell r="FT497">
            <v>20.116606119778133</v>
          </cell>
          <cell r="FU497">
            <v>17.065595346429742</v>
          </cell>
          <cell r="FV497">
            <v>23.167616893126525</v>
          </cell>
          <cell r="GG497">
            <v>9.5070091307612206</v>
          </cell>
          <cell r="GH497">
            <v>13.982143405445317</v>
          </cell>
          <cell r="GI497">
            <v>10.408007395026372</v>
          </cell>
          <cell r="GJ497">
            <v>7.7337520878462023</v>
          </cell>
          <cell r="GK497">
            <v>13.082262702206542</v>
          </cell>
        </row>
        <row r="498">
          <cell r="A498">
            <v>40156</v>
          </cell>
          <cell r="FR498">
            <v>22.645823958333335</v>
          </cell>
          <cell r="FS498">
            <v>22.314663874962239</v>
          </cell>
          <cell r="FT498">
            <v>20.116606119778133</v>
          </cell>
          <cell r="FU498">
            <v>17.065595346429742</v>
          </cell>
          <cell r="FV498">
            <v>23.167616893126525</v>
          </cell>
          <cell r="GG498">
            <v>9.5454067669355034</v>
          </cell>
          <cell r="GH498">
            <v>13.982143405445317</v>
          </cell>
          <cell r="GI498">
            <v>10.408007395026372</v>
          </cell>
          <cell r="GJ498">
            <v>7.7337520878462023</v>
          </cell>
          <cell r="GK498">
            <v>13.082262702206542</v>
          </cell>
        </row>
        <row r="499">
          <cell r="A499">
            <v>40157</v>
          </cell>
          <cell r="FR499">
            <v>22.677072916666667</v>
          </cell>
          <cell r="FS499">
            <v>22.314663874962239</v>
          </cell>
          <cell r="FT499">
            <v>20.116606119778133</v>
          </cell>
          <cell r="FU499">
            <v>17.065595346429742</v>
          </cell>
          <cell r="FV499">
            <v>23.167616893126525</v>
          </cell>
          <cell r="GG499">
            <v>9.6276901838262017</v>
          </cell>
          <cell r="GH499">
            <v>13.982143405445317</v>
          </cell>
          <cell r="GI499">
            <v>10.408007395026372</v>
          </cell>
          <cell r="GJ499">
            <v>7.7337520878462023</v>
          </cell>
          <cell r="GK499">
            <v>13.082262702206542</v>
          </cell>
        </row>
        <row r="500">
          <cell r="A500">
            <v>40158</v>
          </cell>
          <cell r="FR500">
            <v>22.802083333333336</v>
          </cell>
          <cell r="FS500">
            <v>22.314663874962239</v>
          </cell>
          <cell r="FT500">
            <v>20.116606119778133</v>
          </cell>
          <cell r="FU500">
            <v>17.065595346429742</v>
          </cell>
          <cell r="FV500">
            <v>23.167616893126525</v>
          </cell>
          <cell r="GG500">
            <v>9.6935236988059774</v>
          </cell>
          <cell r="GH500">
            <v>13.982143405445317</v>
          </cell>
          <cell r="GI500">
            <v>10.408007395026372</v>
          </cell>
          <cell r="GJ500">
            <v>7.7337520878462023</v>
          </cell>
          <cell r="GK500">
            <v>13.082262702206542</v>
          </cell>
        </row>
        <row r="501">
          <cell r="A501">
            <v>40161</v>
          </cell>
          <cell r="FR501">
            <v>23.229154166666667</v>
          </cell>
          <cell r="FS501">
            <v>22.314663874962239</v>
          </cell>
          <cell r="FT501">
            <v>20.116606119778133</v>
          </cell>
          <cell r="FU501">
            <v>17.065595346429742</v>
          </cell>
          <cell r="FV501">
            <v>23.167616893126525</v>
          </cell>
          <cell r="GG501">
            <v>9.7812928382862268</v>
          </cell>
          <cell r="GH501">
            <v>13.982143405445317</v>
          </cell>
          <cell r="GI501">
            <v>10.408007395026372</v>
          </cell>
          <cell r="GJ501">
            <v>7.7337520878462023</v>
          </cell>
          <cell r="GK501">
            <v>13.082262702206542</v>
          </cell>
        </row>
        <row r="502">
          <cell r="A502">
            <v>40162</v>
          </cell>
          <cell r="FR502">
            <v>23.385413541666669</v>
          </cell>
          <cell r="FS502">
            <v>22.314663874962239</v>
          </cell>
          <cell r="FT502">
            <v>20.116606119778133</v>
          </cell>
          <cell r="FU502">
            <v>17.065595346429742</v>
          </cell>
          <cell r="FV502">
            <v>23.167616893126525</v>
          </cell>
          <cell r="GG502">
            <v>9.9403787933832248</v>
          </cell>
          <cell r="GH502">
            <v>13.982143405445317</v>
          </cell>
          <cell r="GI502">
            <v>10.408007395026372</v>
          </cell>
          <cell r="GJ502">
            <v>7.7337520878462023</v>
          </cell>
          <cell r="GK502">
            <v>13.082262702206542</v>
          </cell>
        </row>
        <row r="503">
          <cell r="A503">
            <v>40163</v>
          </cell>
          <cell r="FR503">
            <v>22.874991666666666</v>
          </cell>
          <cell r="FS503">
            <v>22.314663874962239</v>
          </cell>
          <cell r="FT503">
            <v>20.116606119778133</v>
          </cell>
          <cell r="FU503">
            <v>17.065595346429742</v>
          </cell>
          <cell r="FV503">
            <v>23.167616893126525</v>
          </cell>
          <cell r="GG503">
            <v>9.7428903582067878</v>
          </cell>
          <cell r="GH503">
            <v>13.982143405445317</v>
          </cell>
          <cell r="GI503">
            <v>10.408007395026372</v>
          </cell>
          <cell r="GJ503">
            <v>7.7337520878462023</v>
          </cell>
          <cell r="GK503">
            <v>13.082262702206542</v>
          </cell>
        </row>
        <row r="504">
          <cell r="A504">
            <v>40164</v>
          </cell>
          <cell r="FR504">
            <v>22.346932653061224</v>
          </cell>
          <cell r="FS504">
            <v>22.314663874962239</v>
          </cell>
          <cell r="FT504">
            <v>20.116606119778133</v>
          </cell>
          <cell r="FU504">
            <v>17.065595346429742</v>
          </cell>
          <cell r="FV504">
            <v>23.167616893126525</v>
          </cell>
          <cell r="GG504">
            <v>9.7037453004142815</v>
          </cell>
          <cell r="GH504">
            <v>13.982143405445317</v>
          </cell>
          <cell r="GI504">
            <v>10.408007395026372</v>
          </cell>
          <cell r="GJ504">
            <v>7.7337520878462023</v>
          </cell>
          <cell r="GK504">
            <v>13.082262702206542</v>
          </cell>
        </row>
        <row r="505">
          <cell r="A505">
            <v>40165</v>
          </cell>
          <cell r="FR505">
            <v>22.816312244897958</v>
          </cell>
          <cell r="FS505">
            <v>22.314663874962239</v>
          </cell>
          <cell r="FT505">
            <v>20.116606119778133</v>
          </cell>
          <cell r="FU505">
            <v>17.065595346429742</v>
          </cell>
          <cell r="FV505">
            <v>23.167616893126525</v>
          </cell>
          <cell r="GG505">
            <v>9.8935846164898571</v>
          </cell>
          <cell r="GH505">
            <v>13.982143405445317</v>
          </cell>
          <cell r="GI505">
            <v>10.408007395026372</v>
          </cell>
          <cell r="GJ505">
            <v>7.7337520878462023</v>
          </cell>
          <cell r="GK505">
            <v>13.082262702206542</v>
          </cell>
        </row>
        <row r="506">
          <cell r="A506">
            <v>40168</v>
          </cell>
          <cell r="FR506">
            <v>22.479590816326532</v>
          </cell>
          <cell r="FS506">
            <v>22.314663874962239</v>
          </cell>
          <cell r="FT506">
            <v>20.116606119778133</v>
          </cell>
          <cell r="FU506">
            <v>17.065595346429742</v>
          </cell>
          <cell r="FV506">
            <v>23.167616893126525</v>
          </cell>
          <cell r="GG506">
            <v>9.8610383390406859</v>
          </cell>
          <cell r="GH506">
            <v>13.982143405445317</v>
          </cell>
          <cell r="GI506">
            <v>10.408007395026372</v>
          </cell>
          <cell r="GJ506">
            <v>7.7337520878462023</v>
          </cell>
          <cell r="GK506">
            <v>13.082262702206542</v>
          </cell>
        </row>
        <row r="507">
          <cell r="A507">
            <v>40169</v>
          </cell>
          <cell r="FR507">
            <v>22.653058163265307</v>
          </cell>
          <cell r="FS507">
            <v>22.314663874962239</v>
          </cell>
          <cell r="FT507">
            <v>20.116606119778133</v>
          </cell>
          <cell r="FU507">
            <v>17.065595346429742</v>
          </cell>
          <cell r="FV507">
            <v>23.167616893126525</v>
          </cell>
          <cell r="GG507">
            <v>9.8935846164898571</v>
          </cell>
          <cell r="GH507">
            <v>13.982143405445317</v>
          </cell>
          <cell r="GI507">
            <v>10.408007395026372</v>
          </cell>
          <cell r="GJ507">
            <v>7.7337520878462023</v>
          </cell>
          <cell r="GK507">
            <v>13.082262702206542</v>
          </cell>
        </row>
        <row r="508">
          <cell r="A508">
            <v>40170</v>
          </cell>
          <cell r="FR508">
            <v>22.857136734693878</v>
          </cell>
          <cell r="FS508">
            <v>22.314663874962239</v>
          </cell>
          <cell r="FT508">
            <v>20.116606119778133</v>
          </cell>
          <cell r="FU508">
            <v>17.065595346429742</v>
          </cell>
          <cell r="FV508">
            <v>23.167616893126525</v>
          </cell>
          <cell r="GG508">
            <v>9.9044301827151031</v>
          </cell>
          <cell r="GH508">
            <v>13.982143405445317</v>
          </cell>
          <cell r="GI508">
            <v>10.408007395026372</v>
          </cell>
          <cell r="GJ508">
            <v>7.7337520878462023</v>
          </cell>
          <cell r="GK508">
            <v>13.082262702206542</v>
          </cell>
        </row>
        <row r="509">
          <cell r="A509">
            <v>40171</v>
          </cell>
          <cell r="FR509">
            <v>23.030605102040816</v>
          </cell>
          <cell r="FS509">
            <v>22.314663874962239</v>
          </cell>
          <cell r="FT509">
            <v>20.116606119778133</v>
          </cell>
          <cell r="FU509">
            <v>17.065595346429742</v>
          </cell>
          <cell r="FV509">
            <v>23.167616893126525</v>
          </cell>
          <cell r="GG509">
            <v>9.9044301827151031</v>
          </cell>
          <cell r="GH509">
            <v>13.982143405445317</v>
          </cell>
          <cell r="GI509">
            <v>10.408007395026372</v>
          </cell>
          <cell r="GJ509">
            <v>7.7337520878462023</v>
          </cell>
          <cell r="GK509">
            <v>13.082262702206542</v>
          </cell>
        </row>
        <row r="510">
          <cell r="A510">
            <v>40172</v>
          </cell>
          <cell r="FR510">
            <v>23.030605102040816</v>
          </cell>
          <cell r="FS510">
            <v>22.314663874962239</v>
          </cell>
          <cell r="FT510">
            <v>20.116606119778133</v>
          </cell>
          <cell r="FU510">
            <v>17.065595346429742</v>
          </cell>
          <cell r="FV510">
            <v>23.167616893126525</v>
          </cell>
          <cell r="GG510">
            <v>9.9044301827151031</v>
          </cell>
          <cell r="GH510">
            <v>13.982143405445317</v>
          </cell>
          <cell r="GI510">
            <v>10.408007395026372</v>
          </cell>
          <cell r="GJ510">
            <v>7.7337520878462023</v>
          </cell>
          <cell r="GK510">
            <v>13.082262702206542</v>
          </cell>
        </row>
        <row r="511">
          <cell r="A511">
            <v>40175</v>
          </cell>
          <cell r="FR511">
            <v>23.224484693877553</v>
          </cell>
          <cell r="FS511">
            <v>22.314663874962239</v>
          </cell>
          <cell r="FT511">
            <v>20.116606119778133</v>
          </cell>
          <cell r="FU511">
            <v>17.065595346429742</v>
          </cell>
          <cell r="FV511">
            <v>23.167616893126525</v>
          </cell>
          <cell r="GG511">
            <v>10.034603319044997</v>
          </cell>
          <cell r="GH511">
            <v>13.982143405445317</v>
          </cell>
          <cell r="GI511">
            <v>10.408007395026372</v>
          </cell>
          <cell r="GJ511">
            <v>7.7337520878462023</v>
          </cell>
          <cell r="GK511">
            <v>13.082262702206542</v>
          </cell>
        </row>
        <row r="512">
          <cell r="A512">
            <v>40176</v>
          </cell>
          <cell r="FR512">
            <v>23.173461224489795</v>
          </cell>
          <cell r="FS512">
            <v>22.314663874962239</v>
          </cell>
          <cell r="FT512">
            <v>20.116606119778133</v>
          </cell>
          <cell r="FU512">
            <v>17.065595346429742</v>
          </cell>
          <cell r="FV512">
            <v>23.167616893126525</v>
          </cell>
          <cell r="GG512">
            <v>10.023757752819751</v>
          </cell>
          <cell r="GH512">
            <v>13.982143405445317</v>
          </cell>
          <cell r="GI512">
            <v>10.408007395026372</v>
          </cell>
          <cell r="GJ512">
            <v>7.7337520878462023</v>
          </cell>
          <cell r="GK512">
            <v>13.082262702206542</v>
          </cell>
        </row>
        <row r="513">
          <cell r="A513">
            <v>40177</v>
          </cell>
          <cell r="FR513">
            <v>23.173461224489795</v>
          </cell>
          <cell r="FS513">
            <v>22.314663874962239</v>
          </cell>
          <cell r="FT513">
            <v>20.116606119778133</v>
          </cell>
          <cell r="FU513">
            <v>17.065595346429742</v>
          </cell>
          <cell r="FV513">
            <v>23.167616893126525</v>
          </cell>
          <cell r="GG513">
            <v>9.931550085011617</v>
          </cell>
          <cell r="GH513">
            <v>13.982143405445317</v>
          </cell>
          <cell r="GI513">
            <v>10.408007395026372</v>
          </cell>
          <cell r="GJ513">
            <v>7.7337520878462023</v>
          </cell>
          <cell r="GK513">
            <v>13.082262702206542</v>
          </cell>
        </row>
        <row r="514">
          <cell r="A514">
            <v>40178</v>
          </cell>
          <cell r="FR514">
            <v>22.785701020408162</v>
          </cell>
          <cell r="FS514">
            <v>22.314663874962239</v>
          </cell>
          <cell r="FT514">
            <v>20.116606119778133</v>
          </cell>
          <cell r="FU514">
            <v>17.065595346429742</v>
          </cell>
          <cell r="FV514">
            <v>23.167616893126525</v>
          </cell>
          <cell r="GG514">
            <v>9.931550085011617</v>
          </cell>
          <cell r="GH514">
            <v>13.982143405445317</v>
          </cell>
          <cell r="GI514">
            <v>10.408007395026372</v>
          </cell>
          <cell r="GJ514">
            <v>7.7337520878462023</v>
          </cell>
          <cell r="GK514">
            <v>13.082262702206542</v>
          </cell>
        </row>
        <row r="515">
          <cell r="A515">
            <v>40179</v>
          </cell>
          <cell r="FR515">
            <v>22.785701020408162</v>
          </cell>
          <cell r="FS515">
            <v>22.314663874962239</v>
          </cell>
          <cell r="FT515">
            <v>20.116606119778133</v>
          </cell>
          <cell r="FU515">
            <v>17.065595346429742</v>
          </cell>
          <cell r="FV515">
            <v>23.167616893126525</v>
          </cell>
          <cell r="GG515">
            <v>9.931550085011617</v>
          </cell>
          <cell r="GH515">
            <v>13.982143405445317</v>
          </cell>
          <cell r="GI515">
            <v>10.408007395026372</v>
          </cell>
          <cell r="GJ515">
            <v>7.7337520878462023</v>
          </cell>
          <cell r="GK515">
            <v>13.082262702206542</v>
          </cell>
        </row>
        <row r="516">
          <cell r="A516">
            <v>40182</v>
          </cell>
          <cell r="FR516">
            <v>23.122437755102041</v>
          </cell>
          <cell r="FS516">
            <v>22.314663874962239</v>
          </cell>
          <cell r="FT516">
            <v>20.116606119778133</v>
          </cell>
          <cell r="FU516">
            <v>17.065595346429742</v>
          </cell>
          <cell r="FV516">
            <v>23.167616893126525</v>
          </cell>
          <cell r="GG516">
            <v>10.267822505328192</v>
          </cell>
          <cell r="GH516">
            <v>13.982143405445317</v>
          </cell>
          <cell r="GI516">
            <v>10.408007395026372</v>
          </cell>
          <cell r="GJ516">
            <v>7.7337520878462023</v>
          </cell>
          <cell r="GK516">
            <v>13.082262702206542</v>
          </cell>
        </row>
        <row r="517">
          <cell r="A517">
            <v>40183</v>
          </cell>
          <cell r="FR517">
            <v>22.83672448979592</v>
          </cell>
          <cell r="FS517">
            <v>22.314663874962239</v>
          </cell>
          <cell r="FT517">
            <v>20.116606119778133</v>
          </cell>
          <cell r="FU517">
            <v>17.065595346429742</v>
          </cell>
          <cell r="FV517">
            <v>23.167616893126525</v>
          </cell>
          <cell r="GG517">
            <v>10.098316530568262</v>
          </cell>
          <cell r="GH517">
            <v>13.982143405445317</v>
          </cell>
          <cell r="GI517">
            <v>10.408007395026372</v>
          </cell>
          <cell r="GJ517">
            <v>7.7337520878462023</v>
          </cell>
          <cell r="GK517">
            <v>13.082262702206542</v>
          </cell>
        </row>
        <row r="518">
          <cell r="A518">
            <v>40184</v>
          </cell>
          <cell r="FR518">
            <v>23.081628571428574</v>
          </cell>
          <cell r="FS518">
            <v>22.314663874962239</v>
          </cell>
          <cell r="FT518">
            <v>20.116606119778133</v>
          </cell>
          <cell r="FU518">
            <v>17.065595346429742</v>
          </cell>
          <cell r="FV518">
            <v>23.167616893126525</v>
          </cell>
          <cell r="GG518">
            <v>10.237256639287342</v>
          </cell>
          <cell r="GH518">
            <v>13.982143405445317</v>
          </cell>
          <cell r="GI518">
            <v>10.408007395026372</v>
          </cell>
          <cell r="GJ518">
            <v>7.7337520878462023</v>
          </cell>
          <cell r="GK518">
            <v>13.082262702206542</v>
          </cell>
        </row>
        <row r="519">
          <cell r="A519">
            <v>40185</v>
          </cell>
          <cell r="FR519">
            <v>23.18365918367347</v>
          </cell>
          <cell r="FS519">
            <v>22.314663874962239</v>
          </cell>
          <cell r="FT519">
            <v>20.116606119778133</v>
          </cell>
          <cell r="FU519">
            <v>17.065595346429742</v>
          </cell>
          <cell r="FV519">
            <v>23.167616893126525</v>
          </cell>
          <cell r="GG519">
            <v>10.226140472712469</v>
          </cell>
          <cell r="GH519">
            <v>13.982143405445317</v>
          </cell>
          <cell r="GI519">
            <v>10.408007395026372</v>
          </cell>
          <cell r="GJ519">
            <v>7.7337520878462023</v>
          </cell>
          <cell r="GK519">
            <v>13.082262702206542</v>
          </cell>
        </row>
        <row r="520">
          <cell r="A520">
            <v>40186</v>
          </cell>
          <cell r="FR520">
            <v>23.081628571428574</v>
          </cell>
          <cell r="FS520">
            <v>22.314663874962239</v>
          </cell>
          <cell r="FT520">
            <v>20.116606119778133</v>
          </cell>
          <cell r="FU520">
            <v>17.065595346429742</v>
          </cell>
          <cell r="FV520">
            <v>23.167616893126525</v>
          </cell>
          <cell r="GG520">
            <v>10.184460834790105</v>
          </cell>
          <cell r="GH520">
            <v>13.982143405445317</v>
          </cell>
          <cell r="GI520">
            <v>10.408007395026372</v>
          </cell>
          <cell r="GJ520">
            <v>7.7337520878462023</v>
          </cell>
          <cell r="GK520">
            <v>13.082262702206542</v>
          </cell>
        </row>
        <row r="521">
          <cell r="A521">
            <v>40189</v>
          </cell>
          <cell r="FR521">
            <v>23.193873469387757</v>
          </cell>
          <cell r="FS521">
            <v>22.314663874962239</v>
          </cell>
          <cell r="FT521">
            <v>20.116606119778133</v>
          </cell>
          <cell r="FU521">
            <v>17.065595346429742</v>
          </cell>
          <cell r="FV521">
            <v>23.167616893126525</v>
          </cell>
          <cell r="GG521">
            <v>10.195574606671615</v>
          </cell>
          <cell r="GH521">
            <v>13.982143405445317</v>
          </cell>
          <cell r="GI521">
            <v>10.408007395026372</v>
          </cell>
          <cell r="GJ521">
            <v>7.7337520878462023</v>
          </cell>
          <cell r="GK521">
            <v>13.082262702206542</v>
          </cell>
        </row>
        <row r="522">
          <cell r="A522">
            <v>40190</v>
          </cell>
          <cell r="FR522">
            <v>23.010191836734695</v>
          </cell>
          <cell r="FS522">
            <v>22.314663874962239</v>
          </cell>
          <cell r="FT522">
            <v>20.116606119778133</v>
          </cell>
          <cell r="FU522">
            <v>17.065595346429742</v>
          </cell>
          <cell r="FV522">
            <v>23.167616893126525</v>
          </cell>
          <cell r="GG522">
            <v>9.9788333053952432</v>
          </cell>
          <cell r="GH522">
            <v>13.982143405445317</v>
          </cell>
          <cell r="GI522">
            <v>10.408007395026372</v>
          </cell>
          <cell r="GJ522">
            <v>7.7337520878462023</v>
          </cell>
          <cell r="GK522">
            <v>13.082262702206542</v>
          </cell>
        </row>
        <row r="523">
          <cell r="A523">
            <v>40191</v>
          </cell>
          <cell r="FR523">
            <v>23.989790816326533</v>
          </cell>
          <cell r="FS523">
            <v>22.314663874962239</v>
          </cell>
          <cell r="FT523">
            <v>20.116606119778133</v>
          </cell>
          <cell r="FU523">
            <v>17.065595346429742</v>
          </cell>
          <cell r="FV523">
            <v>23.167616893126525</v>
          </cell>
          <cell r="GG523">
            <v>10.317840465528391</v>
          </cell>
          <cell r="GH523">
            <v>13.982143405445317</v>
          </cell>
          <cell r="GI523">
            <v>10.408007395026372</v>
          </cell>
          <cell r="GJ523">
            <v>7.7337520878462023</v>
          </cell>
          <cell r="GK523">
            <v>13.082262702206542</v>
          </cell>
        </row>
        <row r="524">
          <cell r="A524">
            <v>40192</v>
          </cell>
          <cell r="FR524">
            <v>23.585849494949496</v>
          </cell>
          <cell r="FS524">
            <v>22.314663874962239</v>
          </cell>
          <cell r="FT524">
            <v>20.116606119778133</v>
          </cell>
          <cell r="FU524">
            <v>17.065595346429742</v>
          </cell>
          <cell r="FV524">
            <v>23.167616893126525</v>
          </cell>
          <cell r="GG524">
            <v>10.354436502263521</v>
          </cell>
          <cell r="GH524">
            <v>13.982143405445317</v>
          </cell>
          <cell r="GI524">
            <v>10.408007395026372</v>
          </cell>
          <cell r="GJ524">
            <v>7.7337520878462023</v>
          </cell>
          <cell r="GK524">
            <v>13.082262702206542</v>
          </cell>
        </row>
        <row r="525">
          <cell r="A525">
            <v>40193</v>
          </cell>
          <cell r="FR525">
            <v>23.717167676767676</v>
          </cell>
          <cell r="FS525">
            <v>22.314663874962239</v>
          </cell>
          <cell r="FT525">
            <v>20.116606119778133</v>
          </cell>
          <cell r="FU525">
            <v>17.065595346429742</v>
          </cell>
          <cell r="FV525">
            <v>23.167616893126525</v>
          </cell>
          <cell r="GG525">
            <v>10.47055515844651</v>
          </cell>
          <cell r="GH525">
            <v>13.982143405445317</v>
          </cell>
          <cell r="GI525">
            <v>10.408007395026372</v>
          </cell>
          <cell r="GJ525">
            <v>7.7337520878462023</v>
          </cell>
          <cell r="GK525">
            <v>13.082262702206542</v>
          </cell>
        </row>
        <row r="526">
          <cell r="A526">
            <v>40196</v>
          </cell>
          <cell r="FR526">
            <v>23.717167676767676</v>
          </cell>
          <cell r="FS526">
            <v>22.314663874962239</v>
          </cell>
          <cell r="FT526">
            <v>20.116606119778133</v>
          </cell>
          <cell r="FU526">
            <v>17.065595346429742</v>
          </cell>
          <cell r="FV526">
            <v>23.167616893126525</v>
          </cell>
          <cell r="GG526">
            <v>10.47055515844651</v>
          </cell>
          <cell r="GH526">
            <v>13.982143405445317</v>
          </cell>
          <cell r="GI526">
            <v>10.408007395026372</v>
          </cell>
          <cell r="GJ526">
            <v>7.7337520878462023</v>
          </cell>
          <cell r="GK526">
            <v>13.082262702206542</v>
          </cell>
        </row>
        <row r="527">
          <cell r="A527">
            <v>40197</v>
          </cell>
          <cell r="FR527">
            <v>23.676755555555555</v>
          </cell>
          <cell r="FS527">
            <v>22.314663874962239</v>
          </cell>
          <cell r="FT527">
            <v>20.116606119778133</v>
          </cell>
          <cell r="FU527">
            <v>17.065595346429742</v>
          </cell>
          <cell r="FV527">
            <v>23.167616893126525</v>
          </cell>
          <cell r="GG527">
            <v>10.594967834167264</v>
          </cell>
          <cell r="GH527">
            <v>13.982143405445317</v>
          </cell>
          <cell r="GI527">
            <v>10.408007395026372</v>
          </cell>
          <cell r="GJ527">
            <v>7.7337520878462023</v>
          </cell>
          <cell r="GK527">
            <v>13.082262702206542</v>
          </cell>
        </row>
        <row r="528">
          <cell r="A528">
            <v>40198</v>
          </cell>
          <cell r="FR528">
            <v>23.393928282828284</v>
          </cell>
          <cell r="FS528">
            <v>22.314663874962239</v>
          </cell>
          <cell r="FT528">
            <v>20.116606119778133</v>
          </cell>
          <cell r="FU528">
            <v>17.065595346429742</v>
          </cell>
          <cell r="FV528">
            <v>23.167616893126525</v>
          </cell>
          <cell r="GG528">
            <v>10.47055515844651</v>
          </cell>
          <cell r="GH528">
            <v>13.982143405445317</v>
          </cell>
          <cell r="GI528">
            <v>10.408007395026372</v>
          </cell>
          <cell r="GJ528">
            <v>7.7337520878462023</v>
          </cell>
          <cell r="GK528">
            <v>13.082262702206542</v>
          </cell>
        </row>
        <row r="529">
          <cell r="A529">
            <v>40199</v>
          </cell>
          <cell r="FR529">
            <v>22.686860606060606</v>
          </cell>
          <cell r="FS529">
            <v>22.314663874962239</v>
          </cell>
          <cell r="FT529">
            <v>20.116606119778133</v>
          </cell>
          <cell r="FU529">
            <v>17.065595346429742</v>
          </cell>
          <cell r="FV529">
            <v>23.167616893126525</v>
          </cell>
          <cell r="GG529">
            <v>10.271493924231594</v>
          </cell>
          <cell r="GH529">
            <v>13.982143405445317</v>
          </cell>
          <cell r="GI529">
            <v>10.408007395026372</v>
          </cell>
          <cell r="GJ529">
            <v>7.7337520878462023</v>
          </cell>
          <cell r="GK529">
            <v>13.082262702206542</v>
          </cell>
        </row>
        <row r="530">
          <cell r="A530">
            <v>40200</v>
          </cell>
          <cell r="FR530">
            <v>22.454541414141413</v>
          </cell>
          <cell r="FS530">
            <v>22.314663874962239</v>
          </cell>
          <cell r="FT530">
            <v>20.116606119778133</v>
          </cell>
          <cell r="FU530">
            <v>17.065595346429742</v>
          </cell>
          <cell r="FV530">
            <v>23.167616893126525</v>
          </cell>
          <cell r="GG530">
            <v>10.205141767929474</v>
          </cell>
          <cell r="GH530">
            <v>13.982143405445317</v>
          </cell>
          <cell r="GI530">
            <v>10.408007395026372</v>
          </cell>
          <cell r="GJ530">
            <v>7.7337520878462023</v>
          </cell>
          <cell r="GK530">
            <v>13.082262702206542</v>
          </cell>
        </row>
        <row r="531">
          <cell r="A531">
            <v>40203</v>
          </cell>
          <cell r="FR531">
            <v>22.808067676767678</v>
          </cell>
          <cell r="FS531">
            <v>22.314663874962239</v>
          </cell>
          <cell r="FT531">
            <v>20.116606119778133</v>
          </cell>
          <cell r="FU531">
            <v>17.065595346429742</v>
          </cell>
          <cell r="FV531">
            <v>23.167616893126525</v>
          </cell>
          <cell r="GG531">
            <v>10.271493924231594</v>
          </cell>
          <cell r="GH531">
            <v>13.982143405445317</v>
          </cell>
          <cell r="GI531">
            <v>10.408007395026372</v>
          </cell>
          <cell r="GJ531">
            <v>7.7337520878462023</v>
          </cell>
          <cell r="GK531">
            <v>13.082262702206542</v>
          </cell>
        </row>
        <row r="532">
          <cell r="A532">
            <v>40204</v>
          </cell>
          <cell r="FR532">
            <v>22.787876767676767</v>
          </cell>
          <cell r="FS532">
            <v>22.314663874962239</v>
          </cell>
          <cell r="FT532">
            <v>20.116606119778133</v>
          </cell>
          <cell r="FU532">
            <v>17.065595346429742</v>
          </cell>
          <cell r="FV532">
            <v>23.167616893126525</v>
          </cell>
          <cell r="GG532">
            <v>10.310202525613533</v>
          </cell>
          <cell r="GH532">
            <v>13.982143405445317</v>
          </cell>
          <cell r="GI532">
            <v>10.408007395026372</v>
          </cell>
          <cell r="GJ532">
            <v>7.7337520878462023</v>
          </cell>
          <cell r="GK532">
            <v>13.082262702206542</v>
          </cell>
        </row>
        <row r="533">
          <cell r="A533">
            <v>40205</v>
          </cell>
          <cell r="FR533">
            <v>22.565653535353537</v>
          </cell>
          <cell r="FS533">
            <v>22.314663874962239</v>
          </cell>
          <cell r="FT533">
            <v>20.116606119778133</v>
          </cell>
          <cell r="FU533">
            <v>17.065595346429742</v>
          </cell>
          <cell r="FV533">
            <v>23.167616893126525</v>
          </cell>
          <cell r="GG533">
            <v>10.260436025732668</v>
          </cell>
          <cell r="GH533">
            <v>13.982143405445317</v>
          </cell>
          <cell r="GI533">
            <v>10.408007395026372</v>
          </cell>
          <cell r="GJ533">
            <v>7.7337520878462023</v>
          </cell>
          <cell r="GK533">
            <v>13.082262702206542</v>
          </cell>
        </row>
        <row r="534">
          <cell r="A534">
            <v>40206</v>
          </cell>
          <cell r="FR534">
            <v>22.333319191919191</v>
          </cell>
          <cell r="FS534">
            <v>22.314663874962239</v>
          </cell>
          <cell r="FT534">
            <v>20.116606119778133</v>
          </cell>
          <cell r="FU534">
            <v>17.065595346429742</v>
          </cell>
          <cell r="FV534">
            <v>23.167616893126525</v>
          </cell>
          <cell r="GG534">
            <v>10.216202049082678</v>
          </cell>
          <cell r="GH534">
            <v>13.982143405445317</v>
          </cell>
          <cell r="GI534">
            <v>10.408007395026372</v>
          </cell>
          <cell r="GJ534">
            <v>7.7337520878462023</v>
          </cell>
          <cell r="GK534">
            <v>13.082262702206542</v>
          </cell>
        </row>
        <row r="535">
          <cell r="A535">
            <v>40207</v>
          </cell>
          <cell r="FR535">
            <v>21.97979292929293</v>
          </cell>
          <cell r="FS535">
            <v>22.314663874962239</v>
          </cell>
          <cell r="FT535">
            <v>20.116606119778133</v>
          </cell>
          <cell r="FU535">
            <v>17.065595346429742</v>
          </cell>
          <cell r="FV535">
            <v>23.167616893126525</v>
          </cell>
          <cell r="GG535">
            <v>10.18302597093162</v>
          </cell>
          <cell r="GH535">
            <v>13.982143405445317</v>
          </cell>
          <cell r="GI535">
            <v>10.408007395026372</v>
          </cell>
          <cell r="GJ535">
            <v>7.7337520878462023</v>
          </cell>
          <cell r="GK535">
            <v>13.082262702206542</v>
          </cell>
        </row>
        <row r="536">
          <cell r="A536">
            <v>40210</v>
          </cell>
          <cell r="FR536">
            <v>22.065642424242423</v>
          </cell>
          <cell r="FS536">
            <v>22.314663874962239</v>
          </cell>
          <cell r="FT536">
            <v>20.116606119778133</v>
          </cell>
          <cell r="FU536">
            <v>17.065595346429742</v>
          </cell>
          <cell r="FV536">
            <v>23.167616893126525</v>
          </cell>
          <cell r="GG536">
            <v>10.127726947819871</v>
          </cell>
          <cell r="GH536">
            <v>13.982143405445317</v>
          </cell>
          <cell r="GI536">
            <v>10.408007395026372</v>
          </cell>
          <cell r="GJ536">
            <v>7.7337520878462023</v>
          </cell>
          <cell r="GK536">
            <v>13.082262702206542</v>
          </cell>
        </row>
        <row r="537">
          <cell r="A537">
            <v>40211</v>
          </cell>
          <cell r="FR537">
            <v>22.363636363636363</v>
          </cell>
          <cell r="FS537">
            <v>22.314663874962239</v>
          </cell>
          <cell r="FT537">
            <v>20.116606119778133</v>
          </cell>
          <cell r="FU537">
            <v>17.065595346429742</v>
          </cell>
          <cell r="FV537">
            <v>23.167616893126525</v>
          </cell>
          <cell r="GG537">
            <v>10.18302597093162</v>
          </cell>
          <cell r="GH537">
            <v>13.982143405445317</v>
          </cell>
          <cell r="GI537">
            <v>10.408007395026372</v>
          </cell>
          <cell r="GJ537">
            <v>7.7337520878462023</v>
          </cell>
          <cell r="GK537">
            <v>13.082262702206542</v>
          </cell>
        </row>
        <row r="538">
          <cell r="A538">
            <v>40212</v>
          </cell>
          <cell r="FR538">
            <v>22.080793939393939</v>
          </cell>
          <cell r="FS538">
            <v>22.314663874962239</v>
          </cell>
          <cell r="FT538">
            <v>20.116606119778133</v>
          </cell>
          <cell r="FU538">
            <v>17.065595346429742</v>
          </cell>
          <cell r="FV538">
            <v>23.167616893126525</v>
          </cell>
          <cell r="GG538">
            <v>10.108372647128903</v>
          </cell>
          <cell r="GH538">
            <v>13.982143405445317</v>
          </cell>
          <cell r="GI538">
            <v>10.408007395026372</v>
          </cell>
          <cell r="GJ538">
            <v>7.7337520878462023</v>
          </cell>
          <cell r="GK538">
            <v>13.082262702206542</v>
          </cell>
        </row>
        <row r="539">
          <cell r="A539">
            <v>40213</v>
          </cell>
          <cell r="FR539">
            <v>21.383837373737375</v>
          </cell>
          <cell r="FS539">
            <v>22.314663874962239</v>
          </cell>
          <cell r="FT539">
            <v>20.116606119778133</v>
          </cell>
          <cell r="FU539">
            <v>17.065595346429742</v>
          </cell>
          <cell r="FV539">
            <v>23.167616893126525</v>
          </cell>
          <cell r="GG539">
            <v>10.039258994519894</v>
          </cell>
          <cell r="GH539">
            <v>13.982143405445317</v>
          </cell>
          <cell r="GI539">
            <v>10.408007395026372</v>
          </cell>
          <cell r="GJ539">
            <v>7.7337520878462023</v>
          </cell>
          <cell r="GK539">
            <v>13.082262702206542</v>
          </cell>
        </row>
        <row r="540">
          <cell r="A540">
            <v>40214</v>
          </cell>
          <cell r="FR540">
            <v>21.020199999999999</v>
          </cell>
          <cell r="FS540">
            <v>22.314663874962239</v>
          </cell>
          <cell r="FT540">
            <v>20.116606119778133</v>
          </cell>
          <cell r="FU540">
            <v>17.065595346429742</v>
          </cell>
          <cell r="FV540">
            <v>23.167616893126525</v>
          </cell>
          <cell r="GG540">
            <v>9.7240743388134376</v>
          </cell>
          <cell r="GH540">
            <v>13.982143405445317</v>
          </cell>
          <cell r="GI540">
            <v>10.408007395026372</v>
          </cell>
          <cell r="GJ540">
            <v>7.7337520878462023</v>
          </cell>
          <cell r="GK540">
            <v>13.082262702206542</v>
          </cell>
        </row>
        <row r="541">
          <cell r="A541">
            <v>40217</v>
          </cell>
          <cell r="FR541">
            <v>20.868675757575758</v>
          </cell>
          <cell r="FS541">
            <v>22.314663874962239</v>
          </cell>
          <cell r="FT541">
            <v>20.116606119778133</v>
          </cell>
          <cell r="FU541">
            <v>17.065595346429742</v>
          </cell>
          <cell r="FV541">
            <v>23.167616893126525</v>
          </cell>
          <cell r="GG541">
            <v>9.8567834167262323</v>
          </cell>
          <cell r="GH541">
            <v>13.982143405445317</v>
          </cell>
          <cell r="GI541">
            <v>10.408007395026372</v>
          </cell>
          <cell r="GJ541">
            <v>7.7337520878462023</v>
          </cell>
          <cell r="GK541">
            <v>13.082262702206542</v>
          </cell>
        </row>
        <row r="542">
          <cell r="A542">
            <v>40218</v>
          </cell>
          <cell r="FR542">
            <v>20.808071717171718</v>
          </cell>
          <cell r="FS542">
            <v>22.314663874962239</v>
          </cell>
          <cell r="FT542">
            <v>20.116606119778133</v>
          </cell>
          <cell r="FU542">
            <v>17.065595346429742</v>
          </cell>
          <cell r="FV542">
            <v>23.167616893126525</v>
          </cell>
          <cell r="GG542">
            <v>9.7517226590421746</v>
          </cell>
          <cell r="GH542">
            <v>13.982143405445317</v>
          </cell>
          <cell r="GI542">
            <v>10.408007395026372</v>
          </cell>
          <cell r="GJ542">
            <v>7.7337520878462023</v>
          </cell>
          <cell r="GK542">
            <v>13.082262702206542</v>
          </cell>
        </row>
        <row r="543">
          <cell r="A543">
            <v>40219</v>
          </cell>
          <cell r="FR543">
            <v>21.070692929292928</v>
          </cell>
          <cell r="FS543">
            <v>22.314663874962239</v>
          </cell>
          <cell r="FT543">
            <v>20.116606119778133</v>
          </cell>
          <cell r="FU543">
            <v>17.065595346429742</v>
          </cell>
          <cell r="FV543">
            <v>23.167616893126525</v>
          </cell>
          <cell r="GG543">
            <v>9.8236073385751723</v>
          </cell>
          <cell r="GH543">
            <v>13.982143405445317</v>
          </cell>
          <cell r="GI543">
            <v>10.408007395026372</v>
          </cell>
          <cell r="GJ543">
            <v>7.7337520878462023</v>
          </cell>
          <cell r="GK543">
            <v>13.082262702206542</v>
          </cell>
        </row>
        <row r="544">
          <cell r="A544">
            <v>40220</v>
          </cell>
          <cell r="FR544">
            <v>21.464646464646464</v>
          </cell>
          <cell r="FS544">
            <v>22.314663874962239</v>
          </cell>
          <cell r="FT544">
            <v>20.116606119778133</v>
          </cell>
          <cell r="FU544">
            <v>17.065595346429742</v>
          </cell>
          <cell r="FV544">
            <v>23.167616893126525</v>
          </cell>
          <cell r="GG544">
            <v>10.000550393137955</v>
          </cell>
          <cell r="GH544">
            <v>13.982143405445317</v>
          </cell>
          <cell r="GI544">
            <v>10.408007395026372</v>
          </cell>
          <cell r="GJ544">
            <v>7.7337520878462023</v>
          </cell>
          <cell r="GK544">
            <v>13.082262702206542</v>
          </cell>
        </row>
        <row r="545">
          <cell r="A545">
            <v>40221</v>
          </cell>
          <cell r="FR545">
            <v>21.565647474747475</v>
          </cell>
          <cell r="FS545">
            <v>22.314663874962239</v>
          </cell>
          <cell r="FT545">
            <v>20.116606119778133</v>
          </cell>
          <cell r="FU545">
            <v>17.065595346429742</v>
          </cell>
          <cell r="FV545">
            <v>23.167616893126525</v>
          </cell>
          <cell r="GG545">
            <v>10.12496306885871</v>
          </cell>
          <cell r="GH545">
            <v>13.982143405445317</v>
          </cell>
          <cell r="GI545">
            <v>10.408007395026372</v>
          </cell>
          <cell r="GJ545">
            <v>7.7337520878462023</v>
          </cell>
          <cell r="GK545">
            <v>13.082262702206542</v>
          </cell>
        </row>
        <row r="546">
          <cell r="A546">
            <v>40224</v>
          </cell>
          <cell r="FR546">
            <v>21.565647474747475</v>
          </cell>
          <cell r="FS546">
            <v>22.314663874962239</v>
          </cell>
          <cell r="FT546">
            <v>20.116606119778133</v>
          </cell>
          <cell r="FU546">
            <v>17.065595346429742</v>
          </cell>
          <cell r="FV546">
            <v>23.167616893126525</v>
          </cell>
          <cell r="GG546">
            <v>10.12496306885871</v>
          </cell>
          <cell r="GH546">
            <v>13.982143405445317</v>
          </cell>
          <cell r="GI546">
            <v>10.408007395026372</v>
          </cell>
          <cell r="GJ546">
            <v>7.7337520878462023</v>
          </cell>
          <cell r="GK546">
            <v>13.082262702206542</v>
          </cell>
        </row>
        <row r="547">
          <cell r="A547">
            <v>40225</v>
          </cell>
          <cell r="FR547">
            <v>21.737363636363636</v>
          </cell>
          <cell r="FS547">
            <v>22.314663874962239</v>
          </cell>
          <cell r="FT547">
            <v>20.116606119778133</v>
          </cell>
          <cell r="FU547">
            <v>17.065595346429742</v>
          </cell>
          <cell r="FV547">
            <v>23.167616893126525</v>
          </cell>
          <cell r="GG547">
            <v>10.089018346437932</v>
          </cell>
          <cell r="GH547">
            <v>13.982143405445317</v>
          </cell>
          <cell r="GI547">
            <v>10.408007395026372</v>
          </cell>
          <cell r="GJ547">
            <v>7.7337520878462023</v>
          </cell>
          <cell r="GK547">
            <v>13.082262702206542</v>
          </cell>
        </row>
        <row r="548">
          <cell r="A548">
            <v>40226</v>
          </cell>
          <cell r="FR548">
            <v>21.717171717171716</v>
          </cell>
          <cell r="FS548">
            <v>22.314663874962239</v>
          </cell>
          <cell r="FT548">
            <v>20.116606119778133</v>
          </cell>
          <cell r="FU548">
            <v>17.065595346429742</v>
          </cell>
          <cell r="FV548">
            <v>23.167616893126525</v>
          </cell>
          <cell r="GG548">
            <v>10.194083869430546</v>
          </cell>
          <cell r="GH548">
            <v>13.982143405445317</v>
          </cell>
          <cell r="GI548">
            <v>10.408007395026372</v>
          </cell>
          <cell r="GJ548">
            <v>7.7337520878462023</v>
          </cell>
          <cell r="GK548">
            <v>13.082262702206542</v>
          </cell>
        </row>
        <row r="549">
          <cell r="A549">
            <v>40227</v>
          </cell>
          <cell r="FR549">
            <v>22.904254255319149</v>
          </cell>
          <cell r="FS549">
            <v>22.314663874962239</v>
          </cell>
          <cell r="FT549">
            <v>20.116606119778133</v>
          </cell>
          <cell r="FU549">
            <v>17.065595346429742</v>
          </cell>
          <cell r="FV549">
            <v>23.167616893126525</v>
          </cell>
          <cell r="GG549">
            <v>8.7430266434847983</v>
          </cell>
          <cell r="GH549">
            <v>13.982143405445317</v>
          </cell>
          <cell r="GI549">
            <v>10.408007395026372</v>
          </cell>
          <cell r="GJ549">
            <v>7.7337520878462023</v>
          </cell>
          <cell r="GK549">
            <v>13.082262702206542</v>
          </cell>
        </row>
        <row r="550">
          <cell r="A550">
            <v>40228</v>
          </cell>
          <cell r="FR550">
            <v>22.904254255319149</v>
          </cell>
          <cell r="FS550">
            <v>22.314663874962239</v>
          </cell>
          <cell r="FT550">
            <v>20.116606119778133</v>
          </cell>
          <cell r="FU550">
            <v>17.065595346429742</v>
          </cell>
          <cell r="FV550">
            <v>23.167616893126525</v>
          </cell>
          <cell r="GG550">
            <v>8.8139114703256425</v>
          </cell>
          <cell r="GH550">
            <v>13.982143405445317</v>
          </cell>
          <cell r="GI550">
            <v>10.408007395026372</v>
          </cell>
          <cell r="GJ550">
            <v>7.7337520878462023</v>
          </cell>
          <cell r="GK550">
            <v>13.082262702206542</v>
          </cell>
        </row>
        <row r="551">
          <cell r="A551">
            <v>40231</v>
          </cell>
          <cell r="FR551">
            <v>23.159563829787235</v>
          </cell>
          <cell r="FS551">
            <v>22.314663874962239</v>
          </cell>
          <cell r="FT551">
            <v>20.116606119778133</v>
          </cell>
          <cell r="FU551">
            <v>17.065595346429742</v>
          </cell>
          <cell r="FV551">
            <v>23.167616893126525</v>
          </cell>
          <cell r="GG551">
            <v>8.9393120624030828</v>
          </cell>
          <cell r="GH551">
            <v>13.982143405445317</v>
          </cell>
          <cell r="GI551">
            <v>10.408007395026372</v>
          </cell>
          <cell r="GJ551">
            <v>7.7337520878462023</v>
          </cell>
          <cell r="GK551">
            <v>13.082262702206542</v>
          </cell>
        </row>
        <row r="552">
          <cell r="A552">
            <v>40232</v>
          </cell>
          <cell r="FR552">
            <v>22.851059574468085</v>
          </cell>
          <cell r="FS552">
            <v>22.314663874962239</v>
          </cell>
          <cell r="FT552">
            <v>20.116606119778133</v>
          </cell>
          <cell r="FU552">
            <v>17.065595346429742</v>
          </cell>
          <cell r="FV552">
            <v>23.167616893126525</v>
          </cell>
          <cell r="GG552">
            <v>8.7811897937127004</v>
          </cell>
          <cell r="GH552">
            <v>13.982143405445317</v>
          </cell>
          <cell r="GI552">
            <v>10.408007395026372</v>
          </cell>
          <cell r="GJ552">
            <v>7.7337520878462023</v>
          </cell>
          <cell r="GK552">
            <v>13.082262702206542</v>
          </cell>
        </row>
        <row r="553">
          <cell r="A553">
            <v>40233</v>
          </cell>
          <cell r="FR553">
            <v>22.925519148936171</v>
          </cell>
          <cell r="FS553">
            <v>22.314663874962239</v>
          </cell>
          <cell r="FT553">
            <v>20.116606119778133</v>
          </cell>
          <cell r="FU553">
            <v>17.065595346429742</v>
          </cell>
          <cell r="FV553">
            <v>23.167616893126525</v>
          </cell>
          <cell r="GG553">
            <v>8.7893708002443507</v>
          </cell>
          <cell r="GH553">
            <v>13.982143405445317</v>
          </cell>
          <cell r="GI553">
            <v>10.408007395026372</v>
          </cell>
          <cell r="GJ553">
            <v>7.7337520878462023</v>
          </cell>
          <cell r="GK553">
            <v>13.082262702206542</v>
          </cell>
        </row>
        <row r="554">
          <cell r="A554">
            <v>40234</v>
          </cell>
          <cell r="FR554">
            <v>23.042541489361703</v>
          </cell>
          <cell r="FS554">
            <v>22.314663874962239</v>
          </cell>
          <cell r="FT554">
            <v>20.116606119778133</v>
          </cell>
          <cell r="FU554">
            <v>17.065595346429742</v>
          </cell>
          <cell r="FV554">
            <v>23.167616893126525</v>
          </cell>
          <cell r="GG554">
            <v>8.7348479864668018</v>
          </cell>
          <cell r="GH554">
            <v>13.982143405445317</v>
          </cell>
          <cell r="GI554">
            <v>10.408007395026372</v>
          </cell>
          <cell r="GJ554">
            <v>7.7337520878462023</v>
          </cell>
          <cell r="GK554">
            <v>13.082262702206542</v>
          </cell>
        </row>
        <row r="555">
          <cell r="A555">
            <v>40235</v>
          </cell>
          <cell r="FR555">
            <v>23.202125531914895</v>
          </cell>
          <cell r="FS555">
            <v>22.314663874962239</v>
          </cell>
          <cell r="FT555">
            <v>20.116606119778133</v>
          </cell>
          <cell r="FU555">
            <v>17.065595346429742</v>
          </cell>
          <cell r="FV555">
            <v>23.167616893126525</v>
          </cell>
          <cell r="GG555">
            <v>8.8248155631784222</v>
          </cell>
          <cell r="GH555">
            <v>13.982143405445317</v>
          </cell>
          <cell r="GI555">
            <v>10.408007395026372</v>
          </cell>
          <cell r="GJ555">
            <v>7.7337520878462023</v>
          </cell>
          <cell r="GK555">
            <v>13.082262702206542</v>
          </cell>
        </row>
        <row r="556">
          <cell r="A556">
            <v>40238</v>
          </cell>
          <cell r="FR556">
            <v>23.372325531914893</v>
          </cell>
          <cell r="FS556">
            <v>22.314663874962239</v>
          </cell>
          <cell r="FT556">
            <v>20.116606119778133</v>
          </cell>
          <cell r="FU556">
            <v>17.065595346429742</v>
          </cell>
          <cell r="FV556">
            <v>23.167616893126525</v>
          </cell>
          <cell r="GG556">
            <v>8.9720266904750723</v>
          </cell>
          <cell r="GH556">
            <v>13.982143405445317</v>
          </cell>
          <cell r="GI556">
            <v>10.408007395026372</v>
          </cell>
          <cell r="GJ556">
            <v>7.7337520878462023</v>
          </cell>
          <cell r="GK556">
            <v>13.082262702206542</v>
          </cell>
        </row>
        <row r="557">
          <cell r="A557">
            <v>40239</v>
          </cell>
          <cell r="FR557">
            <v>23.957436170212766</v>
          </cell>
          <cell r="FS557">
            <v>22.314663874962239</v>
          </cell>
          <cell r="FT557">
            <v>20.116606119778133</v>
          </cell>
          <cell r="FU557">
            <v>17.065595346429742</v>
          </cell>
          <cell r="FV557">
            <v>23.167616893126525</v>
          </cell>
          <cell r="GG557">
            <v>9.1465156712560507</v>
          </cell>
          <cell r="GH557">
            <v>13.982143405445317</v>
          </cell>
          <cell r="GI557">
            <v>10.408007395026372</v>
          </cell>
          <cell r="GJ557">
            <v>7.7337520878462023</v>
          </cell>
          <cell r="GK557">
            <v>13.082262702206542</v>
          </cell>
        </row>
        <row r="558">
          <cell r="A558">
            <v>40240</v>
          </cell>
          <cell r="FR558">
            <v>23.840413829787234</v>
          </cell>
          <cell r="FS558">
            <v>22.314663874962239</v>
          </cell>
          <cell r="FT558">
            <v>20.116606119778133</v>
          </cell>
          <cell r="FU558">
            <v>17.065595346429742</v>
          </cell>
          <cell r="FV558">
            <v>23.167616893126525</v>
          </cell>
          <cell r="GG558">
            <v>9.1083454724871942</v>
          </cell>
          <cell r="GH558">
            <v>13.982143405445317</v>
          </cell>
          <cell r="GI558">
            <v>10.408007395026372</v>
          </cell>
          <cell r="GJ558">
            <v>7.7337520878462023</v>
          </cell>
          <cell r="GK558">
            <v>13.082262702206542</v>
          </cell>
        </row>
        <row r="559">
          <cell r="A559">
            <v>40241</v>
          </cell>
          <cell r="FR559">
            <v>23.659564893617024</v>
          </cell>
          <cell r="FS559">
            <v>22.314663874962239</v>
          </cell>
          <cell r="FT559">
            <v>20.116606119778133</v>
          </cell>
          <cell r="FU559">
            <v>17.065595346429742</v>
          </cell>
          <cell r="FV559">
            <v>23.167616893126525</v>
          </cell>
          <cell r="GG559">
            <v>9.0701752737183394</v>
          </cell>
          <cell r="GH559">
            <v>13.982143405445317</v>
          </cell>
          <cell r="GI559">
            <v>10.408007395026372</v>
          </cell>
          <cell r="GJ559">
            <v>7.7337520878462023</v>
          </cell>
          <cell r="GK559">
            <v>13.082262702206542</v>
          </cell>
        </row>
        <row r="560">
          <cell r="A560">
            <v>40242</v>
          </cell>
          <cell r="FR560">
            <v>23.946803191489362</v>
          </cell>
          <cell r="FS560">
            <v>22.314663874962239</v>
          </cell>
          <cell r="FT560">
            <v>20.116606119778133</v>
          </cell>
          <cell r="FU560">
            <v>17.065595346429742</v>
          </cell>
          <cell r="FV560">
            <v>23.167616893126525</v>
          </cell>
          <cell r="GG560">
            <v>9.0919858089375509</v>
          </cell>
          <cell r="GH560">
            <v>13.982143405445317</v>
          </cell>
          <cell r="GI560">
            <v>10.408007395026372</v>
          </cell>
          <cell r="GJ560">
            <v>7.7337520878462023</v>
          </cell>
          <cell r="GK560">
            <v>13.082262702206542</v>
          </cell>
        </row>
        <row r="561">
          <cell r="A561">
            <v>40245</v>
          </cell>
          <cell r="FR561">
            <v>23.946803191489362</v>
          </cell>
          <cell r="FS561">
            <v>22.314663874962239</v>
          </cell>
          <cell r="FT561">
            <v>20.116606119778133</v>
          </cell>
          <cell r="FU561">
            <v>17.065595346429742</v>
          </cell>
          <cell r="FV561">
            <v>23.167616893126525</v>
          </cell>
          <cell r="GG561">
            <v>9.0810864151120718</v>
          </cell>
          <cell r="GH561">
            <v>13.982143405445317</v>
          </cell>
          <cell r="GI561">
            <v>10.408007395026372</v>
          </cell>
          <cell r="GJ561">
            <v>7.7337520878462023</v>
          </cell>
          <cell r="GK561">
            <v>13.082262702206542</v>
          </cell>
        </row>
        <row r="562">
          <cell r="A562">
            <v>40246</v>
          </cell>
          <cell r="FR562">
            <v>23.776586170212767</v>
          </cell>
          <cell r="FS562">
            <v>22.314663874962239</v>
          </cell>
          <cell r="FT562">
            <v>20.116606119778133</v>
          </cell>
          <cell r="FU562">
            <v>17.065595346429742</v>
          </cell>
          <cell r="FV562">
            <v>23.167616893126525</v>
          </cell>
          <cell r="GG562">
            <v>9.1028969503312815</v>
          </cell>
          <cell r="GH562">
            <v>13.982143405445317</v>
          </cell>
          <cell r="GI562">
            <v>10.408007395026372</v>
          </cell>
          <cell r="GJ562">
            <v>7.7337520878462023</v>
          </cell>
          <cell r="GK562">
            <v>13.082262702206542</v>
          </cell>
        </row>
        <row r="563">
          <cell r="A563">
            <v>40247</v>
          </cell>
          <cell r="FR563">
            <v>24.053176595744681</v>
          </cell>
          <cell r="FS563">
            <v>22.314663874962239</v>
          </cell>
          <cell r="FT563">
            <v>20.116606119778133</v>
          </cell>
          <cell r="FU563">
            <v>17.065595346429742</v>
          </cell>
          <cell r="FV563">
            <v>23.167616893126525</v>
          </cell>
          <cell r="GG563">
            <v>9.1792302993280384</v>
          </cell>
          <cell r="GH563">
            <v>13.982143405445317</v>
          </cell>
          <cell r="GI563">
            <v>10.408007395026372</v>
          </cell>
          <cell r="GJ563">
            <v>7.7337520878462023</v>
          </cell>
          <cell r="GK563">
            <v>13.082262702206542</v>
          </cell>
        </row>
        <row r="564">
          <cell r="A564">
            <v>40248</v>
          </cell>
          <cell r="FR564">
            <v>24.27658829787234</v>
          </cell>
          <cell r="FS564">
            <v>22.314663874962239</v>
          </cell>
          <cell r="FT564">
            <v>20.116606119778133</v>
          </cell>
          <cell r="FU564">
            <v>17.065595346429742</v>
          </cell>
          <cell r="FV564">
            <v>23.167616893126525</v>
          </cell>
          <cell r="GG564">
            <v>9.1383346647244021</v>
          </cell>
          <cell r="GH564">
            <v>13.982143405445317</v>
          </cell>
          <cell r="GI564">
            <v>10.408007395026372</v>
          </cell>
          <cell r="GJ564">
            <v>7.7337520878462023</v>
          </cell>
          <cell r="GK564">
            <v>13.082262702206542</v>
          </cell>
        </row>
        <row r="565">
          <cell r="A565">
            <v>40249</v>
          </cell>
          <cell r="FR565">
            <v>24.095738297872341</v>
          </cell>
          <cell r="FS565">
            <v>22.314663874962239</v>
          </cell>
          <cell r="FT565">
            <v>20.116606119778133</v>
          </cell>
          <cell r="FU565">
            <v>17.065595346429742</v>
          </cell>
          <cell r="FV565">
            <v>23.167616893126525</v>
          </cell>
          <cell r="GG565">
            <v>9.1056200366524127</v>
          </cell>
          <cell r="GH565">
            <v>13.982143405445317</v>
          </cell>
          <cell r="GI565">
            <v>10.408007395026372</v>
          </cell>
          <cell r="GJ565">
            <v>7.7337520878462023</v>
          </cell>
          <cell r="GK565">
            <v>13.082262702206542</v>
          </cell>
        </row>
        <row r="566">
          <cell r="A566">
            <v>40252</v>
          </cell>
          <cell r="FR566">
            <v>24.021262765957449</v>
          </cell>
          <cell r="FS566">
            <v>22.314663874962239</v>
          </cell>
          <cell r="FT566">
            <v>20.116606119778133</v>
          </cell>
          <cell r="FU566">
            <v>17.065595346429742</v>
          </cell>
          <cell r="FV566">
            <v>23.167616893126525</v>
          </cell>
          <cell r="GG566">
            <v>9.0701752737183394</v>
          </cell>
          <cell r="GH566">
            <v>13.982143405445317</v>
          </cell>
          <cell r="GI566">
            <v>10.408007395026372</v>
          </cell>
          <cell r="GJ566">
            <v>7.7337520878462023</v>
          </cell>
          <cell r="GK566">
            <v>13.082262702206542</v>
          </cell>
        </row>
        <row r="567">
          <cell r="A567">
            <v>40253</v>
          </cell>
          <cell r="FR567">
            <v>24.265955319148937</v>
          </cell>
          <cell r="FS567">
            <v>22.314663874962239</v>
          </cell>
          <cell r="FT567">
            <v>20.116606119778133</v>
          </cell>
          <cell r="FU567">
            <v>17.065595346429742</v>
          </cell>
          <cell r="FV567">
            <v>23.167616893126525</v>
          </cell>
          <cell r="GG567">
            <v>9.1519641934119633</v>
          </cell>
          <cell r="GH567">
            <v>13.982143405445317</v>
          </cell>
          <cell r="GI567">
            <v>10.408007395026372</v>
          </cell>
          <cell r="GJ567">
            <v>7.7337520878462023</v>
          </cell>
          <cell r="GK567">
            <v>13.082262702206542</v>
          </cell>
        </row>
        <row r="568">
          <cell r="A568">
            <v>40254</v>
          </cell>
          <cell r="FR568">
            <v>24.414890425531915</v>
          </cell>
          <cell r="FS568">
            <v>22.314663874962239</v>
          </cell>
          <cell r="FT568">
            <v>20.116606119778133</v>
          </cell>
          <cell r="FU568">
            <v>17.065595346429742</v>
          </cell>
          <cell r="FV568">
            <v>23.167616893126525</v>
          </cell>
          <cell r="GG568">
            <v>9.2446572059583669</v>
          </cell>
          <cell r="GH568">
            <v>13.982143405445317</v>
          </cell>
          <cell r="GI568">
            <v>10.408007395026372</v>
          </cell>
          <cell r="GJ568">
            <v>7.7337520878462023</v>
          </cell>
          <cell r="GK568">
            <v>13.082262702206542</v>
          </cell>
        </row>
        <row r="569">
          <cell r="A569">
            <v>40255</v>
          </cell>
          <cell r="FR569">
            <v>24.104166666666668</v>
          </cell>
          <cell r="FS569">
            <v>22.314663874962239</v>
          </cell>
          <cell r="FT569">
            <v>20.116606119778133</v>
          </cell>
          <cell r="FU569">
            <v>17.065595346429742</v>
          </cell>
          <cell r="FV569">
            <v>23.167616893126525</v>
          </cell>
          <cell r="GG569">
            <v>9.2097297172105534</v>
          </cell>
          <cell r="GH569">
            <v>13.982143405445317</v>
          </cell>
          <cell r="GI569">
            <v>10.408007395026372</v>
          </cell>
          <cell r="GJ569">
            <v>7.7337520878462023</v>
          </cell>
          <cell r="GK569">
            <v>13.082262702206542</v>
          </cell>
        </row>
        <row r="570">
          <cell r="A570">
            <v>40256</v>
          </cell>
          <cell r="FR570">
            <v>23.979156250000003</v>
          </cell>
          <cell r="FS570">
            <v>22.314663874962239</v>
          </cell>
          <cell r="FT570">
            <v>20.116606119778133</v>
          </cell>
          <cell r="FU570">
            <v>17.065595346429742</v>
          </cell>
          <cell r="FV570">
            <v>23.167616893126525</v>
          </cell>
          <cell r="GG570">
            <v>9.2634828728258096</v>
          </cell>
          <cell r="GH570">
            <v>13.982143405445317</v>
          </cell>
          <cell r="GI570">
            <v>10.408007395026372</v>
          </cell>
          <cell r="GJ570">
            <v>7.7337520878462023</v>
          </cell>
          <cell r="GK570">
            <v>13.082262702206542</v>
          </cell>
        </row>
        <row r="571">
          <cell r="A571">
            <v>40259</v>
          </cell>
          <cell r="FR571">
            <v>24.083329166666669</v>
          </cell>
          <cell r="FS571">
            <v>22.314663874962239</v>
          </cell>
          <cell r="FT571">
            <v>20.116606119778133</v>
          </cell>
          <cell r="FU571">
            <v>17.065595346429742</v>
          </cell>
          <cell r="FV571">
            <v>23.167616893126525</v>
          </cell>
          <cell r="GG571">
            <v>9.3011047548463317</v>
          </cell>
          <cell r="GH571">
            <v>13.982143405445317</v>
          </cell>
          <cell r="GI571">
            <v>10.408007395026372</v>
          </cell>
          <cell r="GJ571">
            <v>7.7337520878462023</v>
          </cell>
          <cell r="GK571">
            <v>13.082262702206542</v>
          </cell>
        </row>
        <row r="572">
          <cell r="A572">
            <v>40260</v>
          </cell>
          <cell r="FR572">
            <v>24.031242708333334</v>
          </cell>
          <cell r="FS572">
            <v>22.314663874962239</v>
          </cell>
          <cell r="FT572">
            <v>20.116606119778133</v>
          </cell>
          <cell r="FU572">
            <v>17.065595346429742</v>
          </cell>
          <cell r="FV572">
            <v>23.167616893126525</v>
          </cell>
          <cell r="GG572">
            <v>9.2634828728258096</v>
          </cell>
          <cell r="GH572">
            <v>13.982143405445317</v>
          </cell>
          <cell r="GI572">
            <v>10.408007395026372</v>
          </cell>
          <cell r="GJ572">
            <v>7.7337520878462023</v>
          </cell>
          <cell r="GK572">
            <v>13.082262702206542</v>
          </cell>
        </row>
        <row r="573">
          <cell r="A573">
            <v>40261</v>
          </cell>
          <cell r="FR573">
            <v>23.885409375000002</v>
          </cell>
          <cell r="FS573">
            <v>22.314663874962239</v>
          </cell>
          <cell r="FT573">
            <v>20.116606119778133</v>
          </cell>
          <cell r="FU573">
            <v>17.065595346429742</v>
          </cell>
          <cell r="FV573">
            <v>23.167616893126525</v>
          </cell>
          <cell r="GG573">
            <v>9.3871042453157933</v>
          </cell>
          <cell r="GH573">
            <v>13.982143405445317</v>
          </cell>
          <cell r="GI573">
            <v>10.408007395026372</v>
          </cell>
          <cell r="GJ573">
            <v>7.7337520878462023</v>
          </cell>
          <cell r="GK573">
            <v>13.082262702206542</v>
          </cell>
        </row>
        <row r="574">
          <cell r="A574">
            <v>40262</v>
          </cell>
          <cell r="FR574">
            <v>24.104166666666668</v>
          </cell>
          <cell r="FS574">
            <v>22.314663874962239</v>
          </cell>
          <cell r="FT574">
            <v>20.116606119778133</v>
          </cell>
          <cell r="FU574">
            <v>17.065595346429742</v>
          </cell>
          <cell r="FV574">
            <v>23.167616893126525</v>
          </cell>
          <cell r="GG574">
            <v>9.5160988489241944</v>
          </cell>
          <cell r="GH574">
            <v>13.982143405445317</v>
          </cell>
          <cell r="GI574">
            <v>10.408007395026372</v>
          </cell>
          <cell r="GJ574">
            <v>7.7337520878462023</v>
          </cell>
          <cell r="GK574">
            <v>13.082262702206542</v>
          </cell>
        </row>
        <row r="575">
          <cell r="A575">
            <v>40263</v>
          </cell>
          <cell r="FR575">
            <v>24.1562375</v>
          </cell>
          <cell r="FS575">
            <v>22.314663874962239</v>
          </cell>
          <cell r="FT575">
            <v>20.116606119778133</v>
          </cell>
          <cell r="FU575">
            <v>17.065595346429742</v>
          </cell>
          <cell r="FV575">
            <v>23.167616893126525</v>
          </cell>
          <cell r="GG575">
            <v>9.4247261273363137</v>
          </cell>
          <cell r="GH575">
            <v>13.982143405445317</v>
          </cell>
          <cell r="GI575">
            <v>10.408007395026372</v>
          </cell>
          <cell r="GJ575">
            <v>7.7337520878462023</v>
          </cell>
          <cell r="GK575">
            <v>13.082262702206542</v>
          </cell>
        </row>
        <row r="576">
          <cell r="A576">
            <v>40266</v>
          </cell>
          <cell r="FR576">
            <v>24.072902083333332</v>
          </cell>
          <cell r="FS576">
            <v>22.314663874962239</v>
          </cell>
          <cell r="FT576">
            <v>20.116606119778133</v>
          </cell>
          <cell r="FU576">
            <v>17.065595346429742</v>
          </cell>
          <cell r="FV576">
            <v>23.167616893126525</v>
          </cell>
          <cell r="GG576">
            <v>9.3467980637839592</v>
          </cell>
          <cell r="GH576">
            <v>13.982143405445317</v>
          </cell>
          <cell r="GI576">
            <v>10.408007395026372</v>
          </cell>
          <cell r="GJ576">
            <v>7.7337520878462023</v>
          </cell>
          <cell r="GK576">
            <v>13.082262702206542</v>
          </cell>
        </row>
        <row r="577">
          <cell r="A577">
            <v>40267</v>
          </cell>
          <cell r="FR577">
            <v>24.083329166666669</v>
          </cell>
          <cell r="FS577">
            <v>22.314663874962239</v>
          </cell>
          <cell r="FT577">
            <v>20.116606119778133</v>
          </cell>
          <cell r="FU577">
            <v>17.065595346429742</v>
          </cell>
          <cell r="FV577">
            <v>23.167616893126525</v>
          </cell>
          <cell r="GG577">
            <v>9.3897908608750029</v>
          </cell>
          <cell r="GH577">
            <v>13.982143405445317</v>
          </cell>
          <cell r="GI577">
            <v>10.408007395026372</v>
          </cell>
          <cell r="GJ577">
            <v>7.7337520878462023</v>
          </cell>
          <cell r="GK577">
            <v>13.082262702206542</v>
          </cell>
        </row>
        <row r="578">
          <cell r="A578">
            <v>40268</v>
          </cell>
          <cell r="FR578">
            <v>23.947907291666667</v>
          </cell>
          <cell r="FS578">
            <v>22.314663874962239</v>
          </cell>
          <cell r="FT578">
            <v>20.116606119778133</v>
          </cell>
          <cell r="FU578">
            <v>17.065595346429742</v>
          </cell>
          <cell r="FV578">
            <v>23.167616893126525</v>
          </cell>
          <cell r="GG578">
            <v>9.2756977094286306</v>
          </cell>
          <cell r="GH578">
            <v>13.982143405445317</v>
          </cell>
          <cell r="GI578">
            <v>10.408007395026372</v>
          </cell>
          <cell r="GJ578">
            <v>7.7337520878462023</v>
          </cell>
          <cell r="GK578">
            <v>13.082262702206542</v>
          </cell>
        </row>
        <row r="579">
          <cell r="A579">
            <v>40269</v>
          </cell>
          <cell r="FR579">
            <v>24.083329166666669</v>
          </cell>
          <cell r="FS579">
            <v>22.314663874962239</v>
          </cell>
          <cell r="FT579">
            <v>20.116606119778133</v>
          </cell>
          <cell r="FU579">
            <v>17.065595346429742</v>
          </cell>
          <cell r="FV579">
            <v>23.167616893126525</v>
          </cell>
          <cell r="GG579">
            <v>9.3133659124070682</v>
          </cell>
          <cell r="GH579">
            <v>13.982143405445317</v>
          </cell>
          <cell r="GI579">
            <v>10.408007395026372</v>
          </cell>
          <cell r="GJ579">
            <v>7.7337520878462023</v>
          </cell>
          <cell r="GK579">
            <v>13.082262702206542</v>
          </cell>
        </row>
        <row r="580">
          <cell r="A580">
            <v>40270</v>
          </cell>
          <cell r="FR580">
            <v>24.083329166666669</v>
          </cell>
          <cell r="FS580">
            <v>22.314663874962239</v>
          </cell>
          <cell r="FT580">
            <v>20.116606119778133</v>
          </cell>
          <cell r="FU580">
            <v>17.065595346429742</v>
          </cell>
          <cell r="FV580">
            <v>23.167616893126525</v>
          </cell>
          <cell r="GG580">
            <v>9.3133659124070682</v>
          </cell>
          <cell r="GH580">
            <v>13.982143405445317</v>
          </cell>
          <cell r="GI580">
            <v>10.408007395026372</v>
          </cell>
          <cell r="GJ580">
            <v>7.7337520878462023</v>
          </cell>
          <cell r="GK580">
            <v>13.082262702206542</v>
          </cell>
        </row>
        <row r="581">
          <cell r="A581">
            <v>40273</v>
          </cell>
          <cell r="FR581">
            <v>24.197912500000001</v>
          </cell>
          <cell r="FS581">
            <v>22.314663874962239</v>
          </cell>
          <cell r="FT581">
            <v>20.116606119778133</v>
          </cell>
          <cell r="FU581">
            <v>17.065595346429742</v>
          </cell>
          <cell r="FV581">
            <v>23.167616893126525</v>
          </cell>
          <cell r="GG581">
            <v>9.3133659124070682</v>
          </cell>
          <cell r="GH581">
            <v>13.982143405445317</v>
          </cell>
          <cell r="GI581">
            <v>10.408007395026372</v>
          </cell>
          <cell r="GJ581">
            <v>7.7337520878462023</v>
          </cell>
          <cell r="GK581">
            <v>13.082262702206542</v>
          </cell>
        </row>
        <row r="582">
          <cell r="A582">
            <v>40274</v>
          </cell>
          <cell r="FR582">
            <v>23.979156250000003</v>
          </cell>
          <cell r="FS582">
            <v>22.314663874962239</v>
          </cell>
          <cell r="FT582">
            <v>20.116606119778133</v>
          </cell>
          <cell r="FU582">
            <v>17.065595346429742</v>
          </cell>
          <cell r="FV582">
            <v>23.167616893126525</v>
          </cell>
          <cell r="GG582">
            <v>9.3994788892234293</v>
          </cell>
          <cell r="GH582">
            <v>13.982143405445317</v>
          </cell>
          <cell r="GI582">
            <v>10.408007395026372</v>
          </cell>
          <cell r="GJ582">
            <v>7.7337520878462023</v>
          </cell>
          <cell r="GK582">
            <v>13.082262702206542</v>
          </cell>
        </row>
        <row r="583">
          <cell r="A583">
            <v>40275</v>
          </cell>
          <cell r="FR583">
            <v>24.093739583333335</v>
          </cell>
          <cell r="FS583">
            <v>22.314663874962239</v>
          </cell>
          <cell r="FT583">
            <v>20.116606119778133</v>
          </cell>
          <cell r="FU583">
            <v>17.065595346429742</v>
          </cell>
          <cell r="FV583">
            <v>23.167616893126525</v>
          </cell>
          <cell r="GG583">
            <v>9.4021655047826389</v>
          </cell>
          <cell r="GH583">
            <v>13.982143405445317</v>
          </cell>
          <cell r="GI583">
            <v>10.408007395026372</v>
          </cell>
          <cell r="GJ583">
            <v>7.7337520878462023</v>
          </cell>
          <cell r="GK583">
            <v>13.082262702206542</v>
          </cell>
        </row>
        <row r="584">
          <cell r="A584">
            <v>40276</v>
          </cell>
          <cell r="FR584">
            <v>24.499989583333335</v>
          </cell>
          <cell r="FS584">
            <v>22.314663874962239</v>
          </cell>
          <cell r="FT584">
            <v>20.116606119778133</v>
          </cell>
          <cell r="FU584">
            <v>17.065595346429742</v>
          </cell>
          <cell r="FV584">
            <v>23.167616893126525</v>
          </cell>
          <cell r="GG584">
            <v>9.6174491048474877</v>
          </cell>
          <cell r="GH584">
            <v>13.982143405445317</v>
          </cell>
          <cell r="GI584">
            <v>10.408007395026372</v>
          </cell>
          <cell r="GJ584">
            <v>7.7337520878462023</v>
          </cell>
          <cell r="GK584">
            <v>13.082262702206542</v>
          </cell>
        </row>
        <row r="585">
          <cell r="A585">
            <v>40277</v>
          </cell>
          <cell r="FR585">
            <v>24.499989583333335</v>
          </cell>
          <cell r="FS585">
            <v>22.314663874962239</v>
          </cell>
          <cell r="FT585">
            <v>20.116606119778133</v>
          </cell>
          <cell r="FU585">
            <v>17.065595346429742</v>
          </cell>
          <cell r="FV585">
            <v>23.167616893126525</v>
          </cell>
          <cell r="GG585">
            <v>9.5017439840655911</v>
          </cell>
          <cell r="GH585">
            <v>13.982143405445317</v>
          </cell>
          <cell r="GI585">
            <v>10.408007395026372</v>
          </cell>
          <cell r="GJ585">
            <v>7.7337520878462023</v>
          </cell>
          <cell r="GK585">
            <v>13.082262702206542</v>
          </cell>
        </row>
        <row r="586">
          <cell r="A586">
            <v>40280</v>
          </cell>
          <cell r="FR586">
            <v>24.552076041666666</v>
          </cell>
          <cell r="FS586">
            <v>22.314663874962239</v>
          </cell>
          <cell r="FT586">
            <v>20.116606119778133</v>
          </cell>
          <cell r="FU586">
            <v>17.065595346429742</v>
          </cell>
          <cell r="FV586">
            <v>23.167616893126525</v>
          </cell>
          <cell r="GG586">
            <v>9.4829006183847895</v>
          </cell>
          <cell r="GH586">
            <v>13.982143405445317</v>
          </cell>
          <cell r="GI586">
            <v>10.408007395026372</v>
          </cell>
          <cell r="GJ586">
            <v>7.7337520878462023</v>
          </cell>
          <cell r="GK586">
            <v>13.082262702206542</v>
          </cell>
        </row>
        <row r="587">
          <cell r="A587">
            <v>40281</v>
          </cell>
          <cell r="FR587">
            <v>24.718745833333333</v>
          </cell>
          <cell r="FS587">
            <v>22.314663874962239</v>
          </cell>
          <cell r="FT587">
            <v>20.116606119778133</v>
          </cell>
          <cell r="FU587">
            <v>17.065595346429742</v>
          </cell>
          <cell r="FV587">
            <v>23.167616893126525</v>
          </cell>
          <cell r="GG587">
            <v>9.4344674247863445</v>
          </cell>
          <cell r="GH587">
            <v>13.982143405445317</v>
          </cell>
          <cell r="GI587">
            <v>10.408007395026372</v>
          </cell>
          <cell r="GJ587">
            <v>7.7337520878462023</v>
          </cell>
          <cell r="GK587">
            <v>13.082262702206542</v>
          </cell>
        </row>
        <row r="588">
          <cell r="A588">
            <v>40282</v>
          </cell>
          <cell r="FR588">
            <v>24.979162500000001</v>
          </cell>
          <cell r="FS588">
            <v>22.314663874962239</v>
          </cell>
          <cell r="FT588">
            <v>20.116606119778133</v>
          </cell>
          <cell r="FU588">
            <v>17.065595346429742</v>
          </cell>
          <cell r="FV588">
            <v>23.167616893126525</v>
          </cell>
          <cell r="GG588">
            <v>9.5636310998911451</v>
          </cell>
          <cell r="GH588">
            <v>13.982143405445317</v>
          </cell>
          <cell r="GI588">
            <v>10.408007395026372</v>
          </cell>
          <cell r="GJ588">
            <v>7.7337520878462023</v>
          </cell>
          <cell r="GK588">
            <v>13.082262702206542</v>
          </cell>
        </row>
        <row r="589">
          <cell r="A589">
            <v>40283</v>
          </cell>
          <cell r="FR589">
            <v>24.55669381443299</v>
          </cell>
          <cell r="FS589">
            <v>22.314663874962239</v>
          </cell>
          <cell r="FT589">
            <v>20.116606119778133</v>
          </cell>
          <cell r="FU589">
            <v>17.065595346429742</v>
          </cell>
          <cell r="FV589">
            <v>23.167616893126525</v>
          </cell>
          <cell r="GG589">
            <v>9.9974578925809023</v>
          </cell>
          <cell r="GH589">
            <v>13.982143405445317</v>
          </cell>
          <cell r="GI589">
            <v>10.408007395026372</v>
          </cell>
          <cell r="GJ589">
            <v>7.7337520878462023</v>
          </cell>
          <cell r="GK589">
            <v>13.082262702206542</v>
          </cell>
        </row>
        <row r="590">
          <cell r="A590">
            <v>40284</v>
          </cell>
          <cell r="FR590">
            <v>24.453593814432988</v>
          </cell>
          <cell r="FS590">
            <v>22.314663874962239</v>
          </cell>
          <cell r="FT590">
            <v>20.116606119778133</v>
          </cell>
          <cell r="FU590">
            <v>17.065595346429742</v>
          </cell>
          <cell r="FV590">
            <v>23.167616893126525</v>
          </cell>
          <cell r="GG590">
            <v>9.935859376882485</v>
          </cell>
          <cell r="GH590">
            <v>13.982143405445317</v>
          </cell>
          <cell r="GI590">
            <v>10.408007395026372</v>
          </cell>
          <cell r="GJ590">
            <v>7.7337520878462023</v>
          </cell>
          <cell r="GK590">
            <v>13.082262702206542</v>
          </cell>
        </row>
        <row r="591">
          <cell r="A591">
            <v>40287</v>
          </cell>
          <cell r="FR591">
            <v>24.494840206185568</v>
          </cell>
          <cell r="FS591">
            <v>22.314663874962239</v>
          </cell>
          <cell r="FT591">
            <v>20.116606119778133</v>
          </cell>
          <cell r="FU591">
            <v>17.065595346429742</v>
          </cell>
          <cell r="FV591">
            <v>23.167616893126525</v>
          </cell>
          <cell r="GG591">
            <v>9.9134550974675317</v>
          </cell>
          <cell r="GH591">
            <v>13.982143405445317</v>
          </cell>
          <cell r="GI591">
            <v>10.408007395026372</v>
          </cell>
          <cell r="GJ591">
            <v>7.7337520878462023</v>
          </cell>
          <cell r="GK591">
            <v>13.082262702206542</v>
          </cell>
        </row>
        <row r="592">
          <cell r="A592">
            <v>40288</v>
          </cell>
          <cell r="FR592">
            <v>24.402060824742268</v>
          </cell>
          <cell r="FS592">
            <v>22.314663874962239</v>
          </cell>
          <cell r="FT592">
            <v>20.116606119778133</v>
          </cell>
          <cell r="FU592">
            <v>17.065595346429742</v>
          </cell>
          <cell r="FV592">
            <v>23.167616893126525</v>
          </cell>
          <cell r="GG592">
            <v>9.9974578925809023</v>
          </cell>
          <cell r="GH592">
            <v>13.982143405445317</v>
          </cell>
          <cell r="GI592">
            <v>10.408007395026372</v>
          </cell>
          <cell r="GJ592">
            <v>7.7337520878462023</v>
          </cell>
          <cell r="GK592">
            <v>13.082262702206542</v>
          </cell>
        </row>
        <row r="593">
          <cell r="A593">
            <v>40289</v>
          </cell>
          <cell r="FR593">
            <v>24.350511340206186</v>
          </cell>
          <cell r="FS593">
            <v>22.314663874962239</v>
          </cell>
          <cell r="FT593">
            <v>20.116606119778133</v>
          </cell>
          <cell r="FU593">
            <v>17.065595346429742</v>
          </cell>
          <cell r="FV593">
            <v>23.167616893126525</v>
          </cell>
          <cell r="GG593">
            <v>10.059044360376857</v>
          </cell>
          <cell r="GH593">
            <v>13.982143405445317</v>
          </cell>
          <cell r="GI593">
            <v>10.408007395026372</v>
          </cell>
          <cell r="GJ593">
            <v>7.7337520878462023</v>
          </cell>
          <cell r="GK593">
            <v>13.082262702206542</v>
          </cell>
        </row>
        <row r="594">
          <cell r="A594">
            <v>40290</v>
          </cell>
          <cell r="FR594">
            <v>23.917522680412372</v>
          </cell>
          <cell r="FS594">
            <v>22.314663874962239</v>
          </cell>
          <cell r="FT594">
            <v>20.116606119778133</v>
          </cell>
          <cell r="FU594">
            <v>17.065595346429742</v>
          </cell>
          <cell r="FV594">
            <v>23.167616893126525</v>
          </cell>
          <cell r="GG594">
            <v>9.9190621912725003</v>
          </cell>
          <cell r="GH594">
            <v>13.982143405445317</v>
          </cell>
          <cell r="GI594">
            <v>10.408007395026372</v>
          </cell>
          <cell r="GJ594">
            <v>7.7337520878462023</v>
          </cell>
          <cell r="GK594">
            <v>13.082262702206542</v>
          </cell>
        </row>
        <row r="595">
          <cell r="A595">
            <v>40291</v>
          </cell>
          <cell r="FR595">
            <v>23.494839175257734</v>
          </cell>
          <cell r="FS595">
            <v>22.314663874962239</v>
          </cell>
          <cell r="FT595">
            <v>20.116606119778133</v>
          </cell>
          <cell r="FU595">
            <v>17.065595346429742</v>
          </cell>
          <cell r="FV595">
            <v>23.167616893126525</v>
          </cell>
          <cell r="GG595">
            <v>9.6754849280740238</v>
          </cell>
          <cell r="GH595">
            <v>13.982143405445317</v>
          </cell>
          <cell r="GI595">
            <v>10.408007395026372</v>
          </cell>
          <cell r="GJ595">
            <v>7.7337520878462023</v>
          </cell>
          <cell r="GK595">
            <v>13.082262702206542</v>
          </cell>
        </row>
        <row r="596">
          <cell r="A596">
            <v>40294</v>
          </cell>
          <cell r="FR596">
            <v>23.309263917525772</v>
          </cell>
          <cell r="FS596">
            <v>22.314663874962239</v>
          </cell>
          <cell r="FT596">
            <v>20.116606119778133</v>
          </cell>
          <cell r="FU596">
            <v>17.065595346429742</v>
          </cell>
          <cell r="FV596">
            <v>23.167616893126525</v>
          </cell>
          <cell r="GG596">
            <v>9.650292764029782</v>
          </cell>
          <cell r="GH596">
            <v>13.982143405445317</v>
          </cell>
          <cell r="GI596">
            <v>10.408007395026372</v>
          </cell>
          <cell r="GJ596">
            <v>7.7337520878462023</v>
          </cell>
          <cell r="GK596">
            <v>13.082262702206542</v>
          </cell>
        </row>
        <row r="597">
          <cell r="A597">
            <v>40295</v>
          </cell>
          <cell r="FR597">
            <v>22.876276288659795</v>
          </cell>
          <cell r="FS597">
            <v>22.314663874962239</v>
          </cell>
          <cell r="FT597">
            <v>20.116606119778133</v>
          </cell>
          <cell r="FU597">
            <v>17.065595346429742</v>
          </cell>
          <cell r="FV597">
            <v>23.167616893126525</v>
          </cell>
          <cell r="GG597">
            <v>9.5522999445796497</v>
          </cell>
          <cell r="GH597">
            <v>13.982143405445317</v>
          </cell>
          <cell r="GI597">
            <v>10.408007395026372</v>
          </cell>
          <cell r="GJ597">
            <v>7.7337520878462023</v>
          </cell>
          <cell r="GK597">
            <v>13.082262702206542</v>
          </cell>
        </row>
        <row r="598">
          <cell r="A598">
            <v>40296</v>
          </cell>
          <cell r="FR598">
            <v>22.979375257731959</v>
          </cell>
          <cell r="FS598">
            <v>22.314663874962239</v>
          </cell>
          <cell r="FT598">
            <v>20.116606119778133</v>
          </cell>
          <cell r="FU598">
            <v>17.065595346429742</v>
          </cell>
          <cell r="FV598">
            <v>23.167616893126525</v>
          </cell>
          <cell r="GG598">
            <v>9.5998891592973674</v>
          </cell>
          <cell r="GH598">
            <v>13.982143405445317</v>
          </cell>
          <cell r="GI598">
            <v>10.408007395026372</v>
          </cell>
          <cell r="GJ598">
            <v>7.7337520878462023</v>
          </cell>
          <cell r="GK598">
            <v>13.082262702206542</v>
          </cell>
        </row>
        <row r="599">
          <cell r="A599">
            <v>40297</v>
          </cell>
          <cell r="FR599">
            <v>23.701021649484538</v>
          </cell>
          <cell r="FS599">
            <v>22.314663874962239</v>
          </cell>
          <cell r="FT599">
            <v>20.116606119778133</v>
          </cell>
          <cell r="FU599">
            <v>17.065595346429742</v>
          </cell>
          <cell r="FV599">
            <v>23.167616893126525</v>
          </cell>
          <cell r="GG599">
            <v>9.793070046504905</v>
          </cell>
          <cell r="GH599">
            <v>13.982143405445317</v>
          </cell>
          <cell r="GI599">
            <v>10.408007395026372</v>
          </cell>
          <cell r="GJ599">
            <v>7.7337520878462023</v>
          </cell>
          <cell r="GK599">
            <v>13.082262702206542</v>
          </cell>
        </row>
        <row r="600">
          <cell r="A600">
            <v>40298</v>
          </cell>
          <cell r="FR600">
            <v>23.556691752577319</v>
          </cell>
          <cell r="FS600">
            <v>22.314663874962239</v>
          </cell>
          <cell r="FT600">
            <v>20.116606119778133</v>
          </cell>
          <cell r="FU600">
            <v>17.065595346429742</v>
          </cell>
          <cell r="FV600">
            <v>23.167616893126525</v>
          </cell>
          <cell r="GG600">
            <v>9.8686706344425446</v>
          </cell>
          <cell r="GH600">
            <v>13.982143405445317</v>
          </cell>
          <cell r="GI600">
            <v>10.408007395026372</v>
          </cell>
          <cell r="GJ600">
            <v>7.7337520878462023</v>
          </cell>
          <cell r="GK600">
            <v>13.082262702206542</v>
          </cell>
        </row>
        <row r="601">
          <cell r="A601">
            <v>40301</v>
          </cell>
          <cell r="FR601">
            <v>23.835047422680415</v>
          </cell>
          <cell r="FS601">
            <v>22.314663874962239</v>
          </cell>
          <cell r="FT601">
            <v>20.116606119778133</v>
          </cell>
          <cell r="FU601">
            <v>17.065595346429742</v>
          </cell>
          <cell r="FV601">
            <v>23.167616893126525</v>
          </cell>
          <cell r="GG601">
            <v>9.9470591070094692</v>
          </cell>
          <cell r="GH601">
            <v>13.982143405445317</v>
          </cell>
          <cell r="GI601">
            <v>10.408007395026372</v>
          </cell>
          <cell r="GJ601">
            <v>7.7337520878462023</v>
          </cell>
          <cell r="GK601">
            <v>13.082262702206542</v>
          </cell>
        </row>
        <row r="602">
          <cell r="A602">
            <v>40302</v>
          </cell>
          <cell r="FR602">
            <v>22.989678350515465</v>
          </cell>
          <cell r="FS602">
            <v>22.314663874962239</v>
          </cell>
          <cell r="FT602">
            <v>20.116606119778133</v>
          </cell>
          <cell r="FU602">
            <v>17.065595346429742</v>
          </cell>
          <cell r="FV602">
            <v>23.167616893126525</v>
          </cell>
          <cell r="GG602">
            <v>9.7146791643574844</v>
          </cell>
          <cell r="GH602">
            <v>13.982143405445317</v>
          </cell>
          <cell r="GI602">
            <v>10.408007395026372</v>
          </cell>
          <cell r="GJ602">
            <v>7.7337520878462023</v>
          </cell>
          <cell r="GK602">
            <v>13.082262702206542</v>
          </cell>
        </row>
        <row r="603">
          <cell r="A603">
            <v>40303</v>
          </cell>
          <cell r="FR603">
            <v>22.95875257731959</v>
          </cell>
          <cell r="FS603">
            <v>22.314663874962239</v>
          </cell>
          <cell r="FT603">
            <v>20.116606119778133</v>
          </cell>
          <cell r="FU603">
            <v>17.065595346429742</v>
          </cell>
          <cell r="FV603">
            <v>23.167616893126525</v>
          </cell>
          <cell r="GG603">
            <v>9.7874750006023952</v>
          </cell>
          <cell r="GH603">
            <v>13.982143405445317</v>
          </cell>
          <cell r="GI603">
            <v>10.408007395026372</v>
          </cell>
          <cell r="GJ603">
            <v>7.7337520878462023</v>
          </cell>
          <cell r="GK603">
            <v>13.082262702206542</v>
          </cell>
        </row>
        <row r="604">
          <cell r="A604">
            <v>40304</v>
          </cell>
          <cell r="FR604">
            <v>22.185556701030929</v>
          </cell>
          <cell r="FS604">
            <v>22.314663874962239</v>
          </cell>
          <cell r="FT604">
            <v>20.116606119778133</v>
          </cell>
          <cell r="FU604">
            <v>17.065595346429742</v>
          </cell>
          <cell r="FV604">
            <v>23.167616893126525</v>
          </cell>
          <cell r="GG604">
            <v>9.8406713091250815</v>
          </cell>
          <cell r="GH604">
            <v>13.982143405445317</v>
          </cell>
          <cell r="GI604">
            <v>10.408007395026372</v>
          </cell>
          <cell r="GJ604">
            <v>7.7337520878462023</v>
          </cell>
          <cell r="GK604">
            <v>13.082262702206542</v>
          </cell>
        </row>
        <row r="605">
          <cell r="A605">
            <v>40305</v>
          </cell>
          <cell r="FR605">
            <v>21.597935051546393</v>
          </cell>
          <cell r="FS605">
            <v>22.314663874962239</v>
          </cell>
          <cell r="FT605">
            <v>20.116606119778133</v>
          </cell>
          <cell r="FU605">
            <v>17.065595346429742</v>
          </cell>
          <cell r="FV605">
            <v>23.167616893126525</v>
          </cell>
          <cell r="GG605">
            <v>9.4543071251295157</v>
          </cell>
          <cell r="GH605">
            <v>13.982143405445317</v>
          </cell>
          <cell r="GI605">
            <v>10.408007395026372</v>
          </cell>
          <cell r="GJ605">
            <v>7.7337520878462023</v>
          </cell>
          <cell r="GK605">
            <v>13.082262702206542</v>
          </cell>
        </row>
        <row r="606">
          <cell r="A606">
            <v>40308</v>
          </cell>
          <cell r="FR606">
            <v>22.51546082474227</v>
          </cell>
          <cell r="FS606">
            <v>22.314663874962239</v>
          </cell>
          <cell r="FT606">
            <v>20.116606119778133</v>
          </cell>
          <cell r="FU606">
            <v>17.065595346429742</v>
          </cell>
          <cell r="FV606">
            <v>23.167616893126525</v>
          </cell>
          <cell r="GG606">
            <v>9.6278884846148287</v>
          </cell>
          <cell r="GH606">
            <v>13.982143405445317</v>
          </cell>
          <cell r="GI606">
            <v>10.408007395026372</v>
          </cell>
          <cell r="GJ606">
            <v>7.7337520878462023</v>
          </cell>
          <cell r="GK606">
            <v>13.082262702206542</v>
          </cell>
        </row>
        <row r="607">
          <cell r="A607">
            <v>40309</v>
          </cell>
          <cell r="FR607">
            <v>22.381435051546394</v>
          </cell>
          <cell r="FS607">
            <v>22.314663874962239</v>
          </cell>
          <cell r="FT607">
            <v>20.116606119778133</v>
          </cell>
          <cell r="FU607">
            <v>17.065595346429742</v>
          </cell>
          <cell r="FV607">
            <v>23.167616893126525</v>
          </cell>
          <cell r="GG607">
            <v>9.7174790968892317</v>
          </cell>
          <cell r="GH607">
            <v>13.982143405445317</v>
          </cell>
          <cell r="GI607">
            <v>10.408007395026372</v>
          </cell>
          <cell r="GJ607">
            <v>7.7337520878462023</v>
          </cell>
          <cell r="GK607">
            <v>13.082262702206542</v>
          </cell>
        </row>
        <row r="608">
          <cell r="A608">
            <v>40310</v>
          </cell>
          <cell r="FR608">
            <v>22.762873195876288</v>
          </cell>
          <cell r="FS608">
            <v>22.314663874962239</v>
          </cell>
          <cell r="FT608">
            <v>20.116606119778133</v>
          </cell>
          <cell r="FU608">
            <v>17.065595346429742</v>
          </cell>
          <cell r="FV608">
            <v>23.167616893126525</v>
          </cell>
          <cell r="GG608">
            <v>9.9302643309799752</v>
          </cell>
          <cell r="GH608">
            <v>13.982143405445317</v>
          </cell>
          <cell r="GI608">
            <v>10.408007395026372</v>
          </cell>
          <cell r="GJ608">
            <v>7.7337520878462023</v>
          </cell>
          <cell r="GK608">
            <v>13.082262702206542</v>
          </cell>
        </row>
        <row r="609">
          <cell r="A609">
            <v>40311</v>
          </cell>
          <cell r="FR609">
            <v>22.402057731958763</v>
          </cell>
          <cell r="FS609">
            <v>22.314663874962239</v>
          </cell>
          <cell r="FT609">
            <v>20.116606119778133</v>
          </cell>
          <cell r="FU609">
            <v>17.065595346429742</v>
          </cell>
          <cell r="FV609">
            <v>23.167616893126525</v>
          </cell>
          <cell r="GG609">
            <v>9.9246572371750066</v>
          </cell>
          <cell r="GH609">
            <v>13.982143405445317</v>
          </cell>
          <cell r="GI609">
            <v>10.408007395026372</v>
          </cell>
          <cell r="GJ609">
            <v>7.7337520878462023</v>
          </cell>
          <cell r="GK609">
            <v>13.082262702206542</v>
          </cell>
        </row>
        <row r="610">
          <cell r="A610">
            <v>40312</v>
          </cell>
          <cell r="FR610">
            <v>22.04122680412371</v>
          </cell>
          <cell r="FS610">
            <v>22.314663874962239</v>
          </cell>
          <cell r="FT610">
            <v>20.116606119778133</v>
          </cell>
          <cell r="FU610">
            <v>17.065595346429742</v>
          </cell>
          <cell r="FV610">
            <v>23.167616893126525</v>
          </cell>
          <cell r="GG610">
            <v>9.7818679067974266</v>
          </cell>
          <cell r="GH610">
            <v>13.982143405445317</v>
          </cell>
          <cell r="GI610">
            <v>10.408007395026372</v>
          </cell>
          <cell r="GJ610">
            <v>7.7337520878462023</v>
          </cell>
          <cell r="GK610">
            <v>13.082262702206542</v>
          </cell>
        </row>
        <row r="611">
          <cell r="A611">
            <v>40315</v>
          </cell>
          <cell r="FR611">
            <v>22.13400618556701</v>
          </cell>
          <cell r="FS611">
            <v>22.314663874962239</v>
          </cell>
          <cell r="FT611">
            <v>20.116606119778133</v>
          </cell>
          <cell r="FU611">
            <v>17.065595346429742</v>
          </cell>
          <cell r="FV611">
            <v>23.167616893126525</v>
          </cell>
          <cell r="GG611">
            <v>9.7510734681092028</v>
          </cell>
          <cell r="GH611">
            <v>13.982143405445317</v>
          </cell>
          <cell r="GI611">
            <v>10.408007395026372</v>
          </cell>
          <cell r="GJ611">
            <v>7.7337520878462023</v>
          </cell>
          <cell r="GK611">
            <v>13.082262702206542</v>
          </cell>
        </row>
        <row r="612">
          <cell r="A612">
            <v>40316</v>
          </cell>
          <cell r="FR612">
            <v>21.556689690721651</v>
          </cell>
          <cell r="FS612">
            <v>22.314663874962239</v>
          </cell>
          <cell r="FT612">
            <v>20.116606119778133</v>
          </cell>
          <cell r="FU612">
            <v>17.065595346429742</v>
          </cell>
          <cell r="FV612">
            <v>23.167616893126525</v>
          </cell>
          <cell r="GG612">
            <v>9.7118720030842631</v>
          </cell>
          <cell r="GH612">
            <v>13.982143405445317</v>
          </cell>
          <cell r="GI612">
            <v>10.408007395026372</v>
          </cell>
          <cell r="GJ612">
            <v>7.7337520878462023</v>
          </cell>
          <cell r="GK612">
            <v>13.082262702206542</v>
          </cell>
        </row>
        <row r="613">
          <cell r="A613">
            <v>40317</v>
          </cell>
          <cell r="FR613">
            <v>21.989677319587628</v>
          </cell>
          <cell r="FS613">
            <v>22.314663874962239</v>
          </cell>
          <cell r="FT613">
            <v>20.116606119778133</v>
          </cell>
          <cell r="FU613">
            <v>17.065595346429742</v>
          </cell>
          <cell r="FV613">
            <v>23.167616893126525</v>
          </cell>
          <cell r="GG613">
            <v>9.8406713091250815</v>
          </cell>
          <cell r="GH613">
            <v>13.982143405445317</v>
          </cell>
          <cell r="GI613">
            <v>10.408007395026372</v>
          </cell>
          <cell r="GJ613">
            <v>7.7337520878462023</v>
          </cell>
          <cell r="GK613">
            <v>13.082262702206542</v>
          </cell>
        </row>
        <row r="614">
          <cell r="A614">
            <v>40318</v>
          </cell>
          <cell r="FR614">
            <v>20.999986734693877</v>
          </cell>
          <cell r="FS614">
            <v>22.314663874962239</v>
          </cell>
          <cell r="FT614">
            <v>20.116606119778133</v>
          </cell>
          <cell r="FU614">
            <v>17.065595346429742</v>
          </cell>
          <cell r="FV614">
            <v>23.167616893126525</v>
          </cell>
          <cell r="GG614">
            <v>9.3168912115836413</v>
          </cell>
          <cell r="GH614">
            <v>13.982143405445317</v>
          </cell>
          <cell r="GI614">
            <v>10.408007395026372</v>
          </cell>
          <cell r="GJ614">
            <v>7.7337520878462023</v>
          </cell>
          <cell r="GK614">
            <v>13.082262702206542</v>
          </cell>
        </row>
        <row r="615">
          <cell r="A615">
            <v>40319</v>
          </cell>
          <cell r="FR615">
            <v>20.928566326530614</v>
          </cell>
          <cell r="FS615">
            <v>22.314663874962239</v>
          </cell>
          <cell r="FT615">
            <v>20.116606119778133</v>
          </cell>
          <cell r="FU615">
            <v>17.065595346429742</v>
          </cell>
          <cell r="FV615">
            <v>23.167616893126525</v>
          </cell>
          <cell r="GG615">
            <v>9.2277556695593805</v>
          </cell>
          <cell r="GH615">
            <v>13.982143405445317</v>
          </cell>
          <cell r="GI615">
            <v>10.408007395026372</v>
          </cell>
          <cell r="GJ615">
            <v>7.7337520878462023</v>
          </cell>
          <cell r="GK615">
            <v>13.082262702206542</v>
          </cell>
        </row>
        <row r="616">
          <cell r="A616">
            <v>40322</v>
          </cell>
          <cell r="FR616">
            <v>20.795908163265306</v>
          </cell>
          <cell r="FS616">
            <v>22.314663874962239</v>
          </cell>
          <cell r="FT616">
            <v>20.116606119778133</v>
          </cell>
          <cell r="FU616">
            <v>17.065595346429742</v>
          </cell>
          <cell r="FV616">
            <v>23.167616893126525</v>
          </cell>
          <cell r="GG616">
            <v>9.4015510380208092</v>
          </cell>
          <cell r="GH616">
            <v>13.982143405445317</v>
          </cell>
          <cell r="GI616">
            <v>10.408007395026372</v>
          </cell>
          <cell r="GJ616">
            <v>7.7337520878462023</v>
          </cell>
          <cell r="GK616">
            <v>13.082262702206542</v>
          </cell>
        </row>
        <row r="617">
          <cell r="A617">
            <v>40323</v>
          </cell>
          <cell r="FR617">
            <v>20.785710204081635</v>
          </cell>
          <cell r="FS617">
            <v>22.314663874962239</v>
          </cell>
          <cell r="FT617">
            <v>20.116606119778133</v>
          </cell>
          <cell r="FU617">
            <v>17.065595346429742</v>
          </cell>
          <cell r="FV617">
            <v>23.167616893126525</v>
          </cell>
          <cell r="GG617">
            <v>9.2733302967828557</v>
          </cell>
          <cell r="GH617">
            <v>13.982143405445317</v>
          </cell>
          <cell r="GI617">
            <v>10.408007395026372</v>
          </cell>
          <cell r="GJ617">
            <v>7.7337520878462023</v>
          </cell>
          <cell r="GK617">
            <v>13.082262702206542</v>
          </cell>
        </row>
        <row r="618">
          <cell r="A618">
            <v>40324</v>
          </cell>
          <cell r="FR618">
            <v>20.49999693877551</v>
          </cell>
          <cell r="FS618">
            <v>22.314663874962239</v>
          </cell>
          <cell r="FT618">
            <v>20.116606119778133</v>
          </cell>
          <cell r="FU618">
            <v>17.065595346429742</v>
          </cell>
          <cell r="FV618">
            <v>23.167616893126525</v>
          </cell>
          <cell r="GG618">
            <v>9.4684566332646121</v>
          </cell>
          <cell r="GH618">
            <v>13.982143405445317</v>
          </cell>
          <cell r="GI618">
            <v>10.408007395026372</v>
          </cell>
          <cell r="GJ618">
            <v>7.7337520878462023</v>
          </cell>
          <cell r="GK618">
            <v>13.082262702206542</v>
          </cell>
        </row>
        <row r="619">
          <cell r="A619">
            <v>40325</v>
          </cell>
          <cell r="FR619">
            <v>21.551016326530615</v>
          </cell>
          <cell r="FS619">
            <v>22.314663874962239</v>
          </cell>
          <cell r="FT619">
            <v>20.116606119778133</v>
          </cell>
          <cell r="FU619">
            <v>17.065595346429742</v>
          </cell>
          <cell r="FV619">
            <v>23.167616893126525</v>
          </cell>
          <cell r="GG619">
            <v>9.5715898739032461</v>
          </cell>
          <cell r="GH619">
            <v>13.982143405445317</v>
          </cell>
          <cell r="GI619">
            <v>10.408007395026372</v>
          </cell>
          <cell r="GJ619">
            <v>7.7337520878462023</v>
          </cell>
          <cell r="GK619">
            <v>13.082262702206542</v>
          </cell>
        </row>
        <row r="620">
          <cell r="A620">
            <v>40326</v>
          </cell>
          <cell r="FR620">
            <v>21.510190816326531</v>
          </cell>
          <cell r="FS620">
            <v>22.314663874962239</v>
          </cell>
          <cell r="FT620">
            <v>20.116606119778133</v>
          </cell>
          <cell r="FU620">
            <v>17.065595346429742</v>
          </cell>
          <cell r="FV620">
            <v>23.167616893126525</v>
          </cell>
          <cell r="GG620">
            <v>9.5827348132521468</v>
          </cell>
          <cell r="GH620">
            <v>13.982143405445317</v>
          </cell>
          <cell r="GI620">
            <v>10.408007395026372</v>
          </cell>
          <cell r="GJ620">
            <v>7.7337520878462023</v>
          </cell>
          <cell r="GK620">
            <v>13.082262702206542</v>
          </cell>
        </row>
        <row r="621">
          <cell r="A621">
            <v>40329</v>
          </cell>
          <cell r="FR621">
            <v>21.510190816326531</v>
          </cell>
          <cell r="FS621">
            <v>22.314663874962239</v>
          </cell>
          <cell r="FT621">
            <v>20.116606119778133</v>
          </cell>
          <cell r="FU621">
            <v>17.065595346429742</v>
          </cell>
          <cell r="FV621">
            <v>23.167616893126525</v>
          </cell>
          <cell r="GG621">
            <v>9.5827348132521468</v>
          </cell>
          <cell r="GH621">
            <v>13.982143405445317</v>
          </cell>
          <cell r="GI621">
            <v>10.408007395026372</v>
          </cell>
          <cell r="GJ621">
            <v>7.7337520878462023</v>
          </cell>
          <cell r="GK621">
            <v>13.082262702206542</v>
          </cell>
        </row>
        <row r="622">
          <cell r="A622">
            <v>40330</v>
          </cell>
          <cell r="FR622">
            <v>21.163256122448981</v>
          </cell>
          <cell r="FS622">
            <v>22.314663874962239</v>
          </cell>
          <cell r="FT622">
            <v>20.116606119778133</v>
          </cell>
          <cell r="FU622">
            <v>17.065595346429742</v>
          </cell>
          <cell r="FV622">
            <v>23.167616893126525</v>
          </cell>
          <cell r="GG622">
            <v>9.7221052883923864</v>
          </cell>
          <cell r="GH622">
            <v>13.982143405445317</v>
          </cell>
          <cell r="GI622">
            <v>10.408007395026372</v>
          </cell>
          <cell r="GJ622">
            <v>7.7337520878462023</v>
          </cell>
          <cell r="GK622">
            <v>13.082262702206542</v>
          </cell>
        </row>
        <row r="623">
          <cell r="A623">
            <v>40331</v>
          </cell>
          <cell r="FR623">
            <v>21.938775510204081</v>
          </cell>
          <cell r="FS623">
            <v>22.314663874962239</v>
          </cell>
          <cell r="FT623">
            <v>20.116606119778133</v>
          </cell>
          <cell r="FU623">
            <v>17.065595346429742</v>
          </cell>
          <cell r="FV623">
            <v>23.167616893126525</v>
          </cell>
          <cell r="GG623">
            <v>9.8140935896821215</v>
          </cell>
          <cell r="GH623">
            <v>13.982143405445317</v>
          </cell>
          <cell r="GI623">
            <v>10.408007395026372</v>
          </cell>
          <cell r="GJ623">
            <v>7.7337520878462023</v>
          </cell>
          <cell r="GK623">
            <v>13.082262702206542</v>
          </cell>
        </row>
        <row r="624">
          <cell r="A624">
            <v>40332</v>
          </cell>
          <cell r="FR624">
            <v>21.959173469387757</v>
          </cell>
          <cell r="FS624">
            <v>22.314663874962239</v>
          </cell>
          <cell r="FT624">
            <v>20.116606119778133</v>
          </cell>
          <cell r="FU624">
            <v>17.065595346429742</v>
          </cell>
          <cell r="FV624">
            <v>23.167616893126525</v>
          </cell>
          <cell r="GG624">
            <v>9.9701850697607508</v>
          </cell>
          <cell r="GH624">
            <v>13.982143405445317</v>
          </cell>
          <cell r="GI624">
            <v>10.408007395026372</v>
          </cell>
          <cell r="GJ624">
            <v>7.7337520878462023</v>
          </cell>
          <cell r="GK624">
            <v>13.082262702206542</v>
          </cell>
        </row>
        <row r="625">
          <cell r="A625">
            <v>40333</v>
          </cell>
          <cell r="FR625">
            <v>21.285699999999999</v>
          </cell>
          <cell r="FS625">
            <v>22.314663874962239</v>
          </cell>
          <cell r="FT625">
            <v>20.116606119778133</v>
          </cell>
          <cell r="FU625">
            <v>17.065595346429742</v>
          </cell>
          <cell r="FV625">
            <v>23.167616893126525</v>
          </cell>
          <cell r="GG625">
            <v>9.8782015630244047</v>
          </cell>
          <cell r="GH625">
            <v>13.982143405445317</v>
          </cell>
          <cell r="GI625">
            <v>10.408007395026372</v>
          </cell>
          <cell r="GJ625">
            <v>7.7337520878462023</v>
          </cell>
          <cell r="GK625">
            <v>13.082262702206542</v>
          </cell>
        </row>
        <row r="626">
          <cell r="A626">
            <v>40336</v>
          </cell>
          <cell r="FR626">
            <v>21.122445918367347</v>
          </cell>
          <cell r="FS626">
            <v>22.314663874962239</v>
          </cell>
          <cell r="FT626">
            <v>20.116606119778133</v>
          </cell>
          <cell r="FU626">
            <v>17.065595346429742</v>
          </cell>
          <cell r="FV626">
            <v>23.167616893126525</v>
          </cell>
          <cell r="GG626">
            <v>9.9562520976171065</v>
          </cell>
          <cell r="GH626">
            <v>13.982143405445317</v>
          </cell>
          <cell r="GI626">
            <v>10.408007395026372</v>
          </cell>
          <cell r="GJ626">
            <v>7.7337520878462023</v>
          </cell>
          <cell r="GK626">
            <v>13.082262702206542</v>
          </cell>
        </row>
        <row r="627">
          <cell r="A627">
            <v>40337</v>
          </cell>
          <cell r="FR627">
            <v>20.938765306122448</v>
          </cell>
          <cell r="FS627">
            <v>22.314663874962239</v>
          </cell>
          <cell r="FT627">
            <v>20.116606119778133</v>
          </cell>
          <cell r="FU627">
            <v>17.065595346429742</v>
          </cell>
          <cell r="FV627">
            <v>23.167616893126525</v>
          </cell>
          <cell r="GG627">
            <v>9.7193268447044172</v>
          </cell>
          <cell r="GH627">
            <v>13.982143405445317</v>
          </cell>
          <cell r="GI627">
            <v>10.408007395026372</v>
          </cell>
          <cell r="GJ627">
            <v>7.7337520878462023</v>
          </cell>
          <cell r="GK627">
            <v>13.082262702206542</v>
          </cell>
        </row>
        <row r="628">
          <cell r="A628">
            <v>40338</v>
          </cell>
          <cell r="FR628">
            <v>21.224477551020406</v>
          </cell>
          <cell r="FS628">
            <v>22.314663874962239</v>
          </cell>
          <cell r="FT628">
            <v>20.116606119778133</v>
          </cell>
          <cell r="FU628">
            <v>17.065595346429742</v>
          </cell>
          <cell r="FV628">
            <v>23.167616893126525</v>
          </cell>
          <cell r="GG628">
            <v>9.9367430598839714</v>
          </cell>
          <cell r="GH628">
            <v>13.982143405445317</v>
          </cell>
          <cell r="GI628">
            <v>10.408007395026372</v>
          </cell>
          <cell r="GJ628">
            <v>7.7337520878462023</v>
          </cell>
          <cell r="GK628">
            <v>13.082262702206542</v>
          </cell>
        </row>
        <row r="629">
          <cell r="A629">
            <v>40339</v>
          </cell>
          <cell r="FR629">
            <v>21.704071428571428</v>
          </cell>
          <cell r="FS629">
            <v>22.314663874962239</v>
          </cell>
          <cell r="FT629">
            <v>20.116606119778133</v>
          </cell>
          <cell r="FU629">
            <v>17.065595346429742</v>
          </cell>
          <cell r="FV629">
            <v>23.167616893126525</v>
          </cell>
          <cell r="GG629">
            <v>9.9562520976171065</v>
          </cell>
          <cell r="GH629">
            <v>13.982143405445317</v>
          </cell>
          <cell r="GI629">
            <v>10.408007395026372</v>
          </cell>
          <cell r="GJ629">
            <v>7.7337520878462023</v>
          </cell>
          <cell r="GK629">
            <v>13.082262702206542</v>
          </cell>
        </row>
        <row r="630">
          <cell r="A630">
            <v>40340</v>
          </cell>
          <cell r="FR630">
            <v>21.969386734693877</v>
          </cell>
          <cell r="FS630">
            <v>22.314663874962239</v>
          </cell>
          <cell r="FT630">
            <v>20.116606119778133</v>
          </cell>
          <cell r="FU630">
            <v>17.065595346429742</v>
          </cell>
          <cell r="FV630">
            <v>23.167616893126525</v>
          </cell>
          <cell r="GG630">
            <v>9.9367430598839714</v>
          </cell>
          <cell r="GH630">
            <v>13.982143405445317</v>
          </cell>
          <cell r="GI630">
            <v>10.408007395026372</v>
          </cell>
          <cell r="GJ630">
            <v>7.7337520878462023</v>
          </cell>
          <cell r="GK630">
            <v>13.082262702206542</v>
          </cell>
        </row>
        <row r="631">
          <cell r="A631">
            <v>40343</v>
          </cell>
          <cell r="FR631">
            <v>21.244890816326532</v>
          </cell>
          <cell r="FS631">
            <v>22.314663874962239</v>
          </cell>
          <cell r="FT631">
            <v>20.116606119778133</v>
          </cell>
          <cell r="FU631">
            <v>17.065595346429742</v>
          </cell>
          <cell r="FV631">
            <v>23.167616893126525</v>
          </cell>
          <cell r="GG631">
            <v>9.7694970513496671</v>
          </cell>
          <cell r="GH631">
            <v>13.982143405445317</v>
          </cell>
          <cell r="GI631">
            <v>10.408007395026372</v>
          </cell>
          <cell r="GJ631">
            <v>7.7337520878462023</v>
          </cell>
          <cell r="GK631">
            <v>13.082262702206542</v>
          </cell>
        </row>
        <row r="632">
          <cell r="A632">
            <v>40344</v>
          </cell>
          <cell r="FR632">
            <v>21.72448367346939</v>
          </cell>
          <cell r="FS632">
            <v>22.314663874962239</v>
          </cell>
          <cell r="FT632">
            <v>20.116606119778133</v>
          </cell>
          <cell r="FU632">
            <v>17.065595346429742</v>
          </cell>
          <cell r="FV632">
            <v>23.167616893126525</v>
          </cell>
          <cell r="GG632">
            <v>9.7025962506592514</v>
          </cell>
          <cell r="GH632">
            <v>13.982143405445317</v>
          </cell>
          <cell r="GI632">
            <v>10.408007395026372</v>
          </cell>
          <cell r="GJ632">
            <v>7.7337520878462023</v>
          </cell>
          <cell r="GK632">
            <v>13.082262702206542</v>
          </cell>
        </row>
        <row r="633">
          <cell r="A633">
            <v>40345</v>
          </cell>
          <cell r="FR633">
            <v>21.26530306122449</v>
          </cell>
          <cell r="FS633">
            <v>22.314663874962239</v>
          </cell>
          <cell r="FT633">
            <v>20.116606119778133</v>
          </cell>
          <cell r="FU633">
            <v>17.065595346429742</v>
          </cell>
          <cell r="FV633">
            <v>23.167616893126525</v>
          </cell>
          <cell r="GG633">
            <v>9.5827348132521468</v>
          </cell>
          <cell r="GH633">
            <v>13.982143405445317</v>
          </cell>
          <cell r="GI633">
            <v>10.408007395026372</v>
          </cell>
          <cell r="GJ633">
            <v>7.7337520878462023</v>
          </cell>
          <cell r="GK633">
            <v>13.082262702206542</v>
          </cell>
        </row>
        <row r="634">
          <cell r="A634">
            <v>40346</v>
          </cell>
          <cell r="FR634">
            <v>21.050502020202021</v>
          </cell>
          <cell r="FS634">
            <v>22.314663874962239</v>
          </cell>
          <cell r="FT634">
            <v>20.116606119778133</v>
          </cell>
          <cell r="FU634">
            <v>17.065595346429742</v>
          </cell>
          <cell r="FV634">
            <v>23.167616893126525</v>
          </cell>
          <cell r="GG634">
            <v>9.4939278212717202</v>
          </cell>
          <cell r="GH634">
            <v>13.982143405445317</v>
          </cell>
          <cell r="GI634">
            <v>10.408007395026372</v>
          </cell>
          <cell r="GJ634">
            <v>7.7337520878462023</v>
          </cell>
          <cell r="GK634">
            <v>13.082262702206542</v>
          </cell>
        </row>
        <row r="635">
          <cell r="A635">
            <v>40347</v>
          </cell>
          <cell r="FR635">
            <v>20.757563636363635</v>
          </cell>
          <cell r="FS635">
            <v>22.314663874962239</v>
          </cell>
          <cell r="FT635">
            <v>20.116606119778133</v>
          </cell>
          <cell r="FU635">
            <v>17.065595346429742</v>
          </cell>
          <cell r="FV635">
            <v>23.167616893126525</v>
          </cell>
          <cell r="GG635">
            <v>9.3940113614664895</v>
          </cell>
          <cell r="GH635">
            <v>13.982143405445317</v>
          </cell>
          <cell r="GI635">
            <v>10.408007395026372</v>
          </cell>
          <cell r="GJ635">
            <v>7.7337520878462023</v>
          </cell>
          <cell r="GK635">
            <v>13.082262702206542</v>
          </cell>
        </row>
        <row r="636">
          <cell r="A636">
            <v>40350</v>
          </cell>
          <cell r="FR636">
            <v>20.909087878787879</v>
          </cell>
          <cell r="FS636">
            <v>22.314663874962239</v>
          </cell>
          <cell r="FT636">
            <v>20.116606119778133</v>
          </cell>
          <cell r="FU636">
            <v>17.065595346429742</v>
          </cell>
          <cell r="FV636">
            <v>23.167616893126525</v>
          </cell>
          <cell r="GG636">
            <v>9.5327763987015466</v>
          </cell>
          <cell r="GH636">
            <v>13.982143405445317</v>
          </cell>
          <cell r="GI636">
            <v>10.408007395026372</v>
          </cell>
          <cell r="GJ636">
            <v>7.7337520878462023</v>
          </cell>
          <cell r="GK636">
            <v>13.082262702206542</v>
          </cell>
        </row>
        <row r="637">
          <cell r="A637">
            <v>40351</v>
          </cell>
          <cell r="FR637">
            <v>20.838373737373736</v>
          </cell>
          <cell r="FS637">
            <v>22.314663874962239</v>
          </cell>
          <cell r="FT637">
            <v>20.116606119778133</v>
          </cell>
          <cell r="FU637">
            <v>17.065595346429742</v>
          </cell>
          <cell r="FV637">
            <v>23.167616893126525</v>
          </cell>
          <cell r="GG637">
            <v>9.5771887531029218</v>
          </cell>
          <cell r="GH637">
            <v>13.982143405445317</v>
          </cell>
          <cell r="GI637">
            <v>10.408007395026372</v>
          </cell>
          <cell r="GJ637">
            <v>7.7337520878462023</v>
          </cell>
          <cell r="GK637">
            <v>13.082262702206542</v>
          </cell>
        </row>
        <row r="638">
          <cell r="A638">
            <v>40352</v>
          </cell>
          <cell r="FR638">
            <v>20.747468686868686</v>
          </cell>
          <cell r="FS638">
            <v>22.314663874962239</v>
          </cell>
          <cell r="FT638">
            <v>20.116606119778133</v>
          </cell>
          <cell r="FU638">
            <v>17.065595346429742</v>
          </cell>
          <cell r="FV638">
            <v>23.167616893126525</v>
          </cell>
          <cell r="GG638">
            <v>9.4273248042772586</v>
          </cell>
          <cell r="GH638">
            <v>13.982143405445317</v>
          </cell>
          <cell r="GI638">
            <v>10.408007395026372</v>
          </cell>
          <cell r="GJ638">
            <v>7.7337520878462023</v>
          </cell>
          <cell r="GK638">
            <v>13.082262702206542</v>
          </cell>
        </row>
        <row r="639">
          <cell r="A639">
            <v>40353</v>
          </cell>
          <cell r="FR639">
            <v>20.464641414141415</v>
          </cell>
          <cell r="FS639">
            <v>22.314663874962239</v>
          </cell>
          <cell r="FT639">
            <v>20.116606119778133</v>
          </cell>
          <cell r="FU639">
            <v>17.065595346429742</v>
          </cell>
          <cell r="FV639">
            <v>23.167616893126525</v>
          </cell>
          <cell r="GG639">
            <v>9.2941068359747945</v>
          </cell>
          <cell r="GH639">
            <v>13.982143405445317</v>
          </cell>
          <cell r="GI639">
            <v>10.408007395026372</v>
          </cell>
          <cell r="GJ639">
            <v>7.7337520878462023</v>
          </cell>
          <cell r="GK639">
            <v>13.082262702206542</v>
          </cell>
        </row>
        <row r="640">
          <cell r="A640">
            <v>40354</v>
          </cell>
          <cell r="FR640">
            <v>20.272720202020203</v>
          </cell>
          <cell r="FS640">
            <v>22.314663874962239</v>
          </cell>
          <cell r="FT640">
            <v>20.116606119778133</v>
          </cell>
          <cell r="FU640">
            <v>17.065595346429742</v>
          </cell>
          <cell r="FV640">
            <v>23.167616893126525</v>
          </cell>
          <cell r="GG640">
            <v>9.2274966583922104</v>
          </cell>
          <cell r="GH640">
            <v>13.982143405445317</v>
          </cell>
          <cell r="GI640">
            <v>10.408007395026372</v>
          </cell>
          <cell r="GJ640">
            <v>7.7337520878462023</v>
          </cell>
          <cell r="GK640">
            <v>13.082262702206542</v>
          </cell>
        </row>
        <row r="641">
          <cell r="A641">
            <v>40357</v>
          </cell>
          <cell r="FR641">
            <v>20.22221212121212</v>
          </cell>
          <cell r="FS641">
            <v>22.314663874962239</v>
          </cell>
          <cell r="FT641">
            <v>20.116606119778133</v>
          </cell>
          <cell r="FU641">
            <v>17.065595346429742</v>
          </cell>
          <cell r="FV641">
            <v>23.167616893126525</v>
          </cell>
          <cell r="GG641">
            <v>9.230265419133092</v>
          </cell>
          <cell r="GH641">
            <v>13.982143405445317</v>
          </cell>
          <cell r="GI641">
            <v>10.408007395026372</v>
          </cell>
          <cell r="GJ641">
            <v>7.7337520878462023</v>
          </cell>
          <cell r="GK641">
            <v>13.082262702206542</v>
          </cell>
        </row>
        <row r="642">
          <cell r="A642">
            <v>40358</v>
          </cell>
          <cell r="FR642">
            <v>19.606049494949495</v>
          </cell>
          <cell r="FS642">
            <v>22.314663874962239</v>
          </cell>
          <cell r="FT642">
            <v>20.116606119778133</v>
          </cell>
          <cell r="FU642">
            <v>17.065595346429742</v>
          </cell>
          <cell r="FV642">
            <v>23.167616893126525</v>
          </cell>
          <cell r="GG642">
            <v>8.9499641970593853</v>
          </cell>
          <cell r="GH642">
            <v>13.982143405445317</v>
          </cell>
          <cell r="GI642">
            <v>10.408007395026372</v>
          </cell>
          <cell r="GJ642">
            <v>7.7337520878462023</v>
          </cell>
          <cell r="GK642">
            <v>13.082262702206542</v>
          </cell>
        </row>
        <row r="643">
          <cell r="A643">
            <v>40359</v>
          </cell>
          <cell r="FR643">
            <v>19.414127272727271</v>
          </cell>
          <cell r="FS643">
            <v>22.314663874962239</v>
          </cell>
          <cell r="FT643">
            <v>20.116606119778133</v>
          </cell>
          <cell r="FU643">
            <v>17.065595346429742</v>
          </cell>
          <cell r="FV643">
            <v>23.167616893126525</v>
          </cell>
          <cell r="GG643">
            <v>8.9527377315256835</v>
          </cell>
          <cell r="GH643">
            <v>13.982143405445317</v>
          </cell>
          <cell r="GI643">
            <v>10.408007395026372</v>
          </cell>
          <cell r="GJ643">
            <v>7.7337520878462023</v>
          </cell>
          <cell r="GK643">
            <v>13.082262702206542</v>
          </cell>
        </row>
        <row r="644">
          <cell r="A644">
            <v>40360</v>
          </cell>
          <cell r="FR644">
            <v>19.393936363636364</v>
          </cell>
          <cell r="FS644">
            <v>22.314663874962239</v>
          </cell>
          <cell r="FT644">
            <v>20.116606119778133</v>
          </cell>
          <cell r="FU644">
            <v>17.065595346429742</v>
          </cell>
          <cell r="FV644">
            <v>23.167616893126525</v>
          </cell>
          <cell r="GG644">
            <v>8.6502267519572289</v>
          </cell>
          <cell r="GH644">
            <v>13.982143405445317</v>
          </cell>
          <cell r="GI644">
            <v>10.408007395026372</v>
          </cell>
          <cell r="GJ644">
            <v>7.7337520878462023</v>
          </cell>
          <cell r="GK644">
            <v>13.082262702206542</v>
          </cell>
        </row>
        <row r="645">
          <cell r="A645">
            <v>40361</v>
          </cell>
          <cell r="FR645">
            <v>19.575747474747473</v>
          </cell>
          <cell r="FS645">
            <v>22.314663874962239</v>
          </cell>
          <cell r="FT645">
            <v>20.116606119778133</v>
          </cell>
          <cell r="FU645">
            <v>17.065595346429742</v>
          </cell>
          <cell r="FV645">
            <v>23.167616893126525</v>
          </cell>
          <cell r="GG645">
            <v>8.6058215581439761</v>
          </cell>
          <cell r="GH645">
            <v>13.982143405445317</v>
          </cell>
          <cell r="GI645">
            <v>10.408007395026372</v>
          </cell>
          <cell r="GJ645">
            <v>7.7337520878462023</v>
          </cell>
          <cell r="GK645">
            <v>13.082262702206542</v>
          </cell>
        </row>
        <row r="646">
          <cell r="A646">
            <v>40364</v>
          </cell>
          <cell r="FR646">
            <v>19.575747474747473</v>
          </cell>
          <cell r="FS646">
            <v>22.314663874962239</v>
          </cell>
          <cell r="FT646">
            <v>20.116606119778133</v>
          </cell>
          <cell r="FU646">
            <v>17.065595346429742</v>
          </cell>
          <cell r="FV646">
            <v>23.167616893126525</v>
          </cell>
          <cell r="GG646">
            <v>8.6058215581439761</v>
          </cell>
          <cell r="GH646">
            <v>13.982143405445317</v>
          </cell>
          <cell r="GI646">
            <v>10.408007395026372</v>
          </cell>
          <cell r="GJ646">
            <v>7.7337520878462023</v>
          </cell>
          <cell r="GK646">
            <v>13.082262702206542</v>
          </cell>
        </row>
        <row r="647">
          <cell r="A647">
            <v>40365</v>
          </cell>
          <cell r="FR647">
            <v>19.686859595959596</v>
          </cell>
          <cell r="FS647">
            <v>22.314663874962239</v>
          </cell>
          <cell r="FT647">
            <v>20.116606119778133</v>
          </cell>
          <cell r="FU647">
            <v>17.065595346429742</v>
          </cell>
          <cell r="FV647">
            <v>23.167616893126525</v>
          </cell>
          <cell r="GG647">
            <v>8.6835330341798738</v>
          </cell>
          <cell r="GH647">
            <v>13.982143405445317</v>
          </cell>
          <cell r="GI647">
            <v>10.408007395026372</v>
          </cell>
          <cell r="GJ647">
            <v>7.7337520878462023</v>
          </cell>
          <cell r="GK647">
            <v>13.082262702206542</v>
          </cell>
        </row>
        <row r="648">
          <cell r="A648">
            <v>40366</v>
          </cell>
          <cell r="FR648">
            <v>19.323222222222221</v>
          </cell>
          <cell r="FS648">
            <v>22.314663874962239</v>
          </cell>
          <cell r="FT648">
            <v>20.116606119778133</v>
          </cell>
          <cell r="FU648">
            <v>17.065595346429742</v>
          </cell>
          <cell r="FV648">
            <v>23.167616893126525</v>
          </cell>
          <cell r="GG648">
            <v>8.5530886003437079</v>
          </cell>
          <cell r="GH648">
            <v>13.982143405445317</v>
          </cell>
          <cell r="GI648">
            <v>10.408007395026372</v>
          </cell>
          <cell r="GJ648">
            <v>7.7337520878462023</v>
          </cell>
          <cell r="GK648">
            <v>13.082262702206542</v>
          </cell>
        </row>
        <row r="649">
          <cell r="A649">
            <v>40367</v>
          </cell>
          <cell r="FR649">
            <v>19.868685858585859</v>
          </cell>
          <cell r="FS649">
            <v>22.314663874962239</v>
          </cell>
          <cell r="FT649">
            <v>20.116606119778133</v>
          </cell>
          <cell r="FU649">
            <v>17.065595346429742</v>
          </cell>
          <cell r="FV649">
            <v>23.167616893126525</v>
          </cell>
          <cell r="GG649">
            <v>8.7445889822417424</v>
          </cell>
          <cell r="GH649">
            <v>13.982143405445317</v>
          </cell>
          <cell r="GI649">
            <v>10.408007395026372</v>
          </cell>
          <cell r="GJ649">
            <v>7.7337520878462023</v>
          </cell>
          <cell r="GK649">
            <v>13.082262702206542</v>
          </cell>
        </row>
        <row r="650">
          <cell r="A650">
            <v>40368</v>
          </cell>
          <cell r="FR650">
            <v>20.363625252525253</v>
          </cell>
          <cell r="FS650">
            <v>22.314663874962239</v>
          </cell>
          <cell r="FT650">
            <v>20.116606119778133</v>
          </cell>
          <cell r="FU650">
            <v>17.065595346429742</v>
          </cell>
          <cell r="FV650">
            <v>23.167616893126525</v>
          </cell>
          <cell r="GG650">
            <v>9.0221166698491508</v>
          </cell>
          <cell r="GH650">
            <v>13.982143405445317</v>
          </cell>
          <cell r="GI650">
            <v>10.408007395026372</v>
          </cell>
          <cell r="GJ650">
            <v>7.7337520878462023</v>
          </cell>
          <cell r="GK650">
            <v>13.082262702206542</v>
          </cell>
        </row>
        <row r="651">
          <cell r="A651">
            <v>40371</v>
          </cell>
          <cell r="FR651">
            <v>20.212116161616162</v>
          </cell>
          <cell r="FS651">
            <v>22.314663874962239</v>
          </cell>
          <cell r="FT651">
            <v>20.116606119778133</v>
          </cell>
          <cell r="FU651">
            <v>17.065595346429742</v>
          </cell>
          <cell r="FV651">
            <v>23.167616893126525</v>
          </cell>
          <cell r="GG651">
            <v>8.9166626885621536</v>
          </cell>
          <cell r="GH651">
            <v>13.982143405445317</v>
          </cell>
          <cell r="GI651">
            <v>10.408007395026372</v>
          </cell>
          <cell r="GJ651">
            <v>7.7337520878462023</v>
          </cell>
          <cell r="GK651">
            <v>13.082262702206542</v>
          </cell>
        </row>
        <row r="652">
          <cell r="A652">
            <v>40372</v>
          </cell>
          <cell r="FR652">
            <v>20.575753535353535</v>
          </cell>
          <cell r="FS652">
            <v>22.314663874962239</v>
          </cell>
          <cell r="FT652">
            <v>20.116606119778133</v>
          </cell>
          <cell r="FU652">
            <v>17.065595346429742</v>
          </cell>
          <cell r="FV652">
            <v>23.167616893126525</v>
          </cell>
          <cell r="GG652">
            <v>9.0415457322894799</v>
          </cell>
          <cell r="GH652">
            <v>13.982143405445317</v>
          </cell>
          <cell r="GI652">
            <v>10.408007395026372</v>
          </cell>
          <cell r="GJ652">
            <v>7.7337520878462023</v>
          </cell>
          <cell r="GK652">
            <v>13.082262702206542</v>
          </cell>
        </row>
        <row r="653">
          <cell r="A653">
            <v>40373</v>
          </cell>
          <cell r="FR653">
            <v>20.787865656565657</v>
          </cell>
          <cell r="FS653">
            <v>22.314663874962239</v>
          </cell>
          <cell r="FT653">
            <v>20.116606119778133</v>
          </cell>
          <cell r="FU653">
            <v>17.065595346429742</v>
          </cell>
          <cell r="FV653">
            <v>23.167616893126525</v>
          </cell>
          <cell r="GG653">
            <v>9.0665266373878186</v>
          </cell>
          <cell r="GH653">
            <v>13.982143405445317</v>
          </cell>
          <cell r="GI653">
            <v>10.408007395026372</v>
          </cell>
          <cell r="GJ653">
            <v>7.7337520878462023</v>
          </cell>
          <cell r="GK653">
            <v>13.082262702206542</v>
          </cell>
        </row>
        <row r="654">
          <cell r="A654">
            <v>40374</v>
          </cell>
          <cell r="FR654">
            <v>20.619996</v>
          </cell>
          <cell r="FS654">
            <v>22.314663874962239</v>
          </cell>
          <cell r="FT654">
            <v>20.116606119778133</v>
          </cell>
          <cell r="FU654">
            <v>17.065595346429742</v>
          </cell>
          <cell r="FV654">
            <v>23.167616893126525</v>
          </cell>
          <cell r="GG654">
            <v>8.8615044457056378</v>
          </cell>
          <cell r="GH654">
            <v>13.982143405445317</v>
          </cell>
          <cell r="GI654">
            <v>10.408007395026372</v>
          </cell>
          <cell r="GJ654">
            <v>7.7337520878462023</v>
          </cell>
          <cell r="GK654">
            <v>13.082262702206542</v>
          </cell>
        </row>
        <row r="655">
          <cell r="A655">
            <v>40375</v>
          </cell>
          <cell r="FR655">
            <v>19.919999000000001</v>
          </cell>
          <cell r="FS655">
            <v>22.314663874962239</v>
          </cell>
          <cell r="FT655">
            <v>20.116606119778133</v>
          </cell>
          <cell r="FU655">
            <v>17.065595346429742</v>
          </cell>
          <cell r="FV655">
            <v>23.167616893126525</v>
          </cell>
          <cell r="GG655">
            <v>8.5260475785092691</v>
          </cell>
          <cell r="GH655">
            <v>13.982143405445317</v>
          </cell>
          <cell r="GI655">
            <v>10.408007395026372</v>
          </cell>
          <cell r="GJ655">
            <v>7.7337520878462023</v>
          </cell>
          <cell r="GK655">
            <v>13.082262702206542</v>
          </cell>
        </row>
        <row r="656">
          <cell r="A656">
            <v>40378</v>
          </cell>
          <cell r="FR656">
            <v>20.109985999999999</v>
          </cell>
          <cell r="FS656">
            <v>22.314663874962239</v>
          </cell>
          <cell r="FT656">
            <v>20.116606119778133</v>
          </cell>
          <cell r="FU656">
            <v>17.065595346429742</v>
          </cell>
          <cell r="FV656">
            <v>23.167616893126525</v>
          </cell>
          <cell r="GG656">
            <v>8.5975359440030275</v>
          </cell>
          <cell r="GH656">
            <v>13.982143405445317</v>
          </cell>
          <cell r="GI656">
            <v>10.408007395026372</v>
          </cell>
          <cell r="GJ656">
            <v>7.7337520878462023</v>
          </cell>
          <cell r="GK656">
            <v>13.082262702206542</v>
          </cell>
        </row>
        <row r="657">
          <cell r="A657">
            <v>40379</v>
          </cell>
          <cell r="FR657">
            <v>19.929993</v>
          </cell>
          <cell r="FS657">
            <v>22.314663874962239</v>
          </cell>
          <cell r="FT657">
            <v>20.116606119778133</v>
          </cell>
          <cell r="FU657">
            <v>17.065595346429742</v>
          </cell>
          <cell r="FV657">
            <v>23.167616893126525</v>
          </cell>
          <cell r="GG657">
            <v>8.4930547673098751</v>
          </cell>
          <cell r="GH657">
            <v>13.982143405445317</v>
          </cell>
          <cell r="GI657">
            <v>10.408007395026372</v>
          </cell>
          <cell r="GJ657">
            <v>7.7337520878462023</v>
          </cell>
          <cell r="GK657">
            <v>13.082262702206542</v>
          </cell>
        </row>
        <row r="658">
          <cell r="A658">
            <v>40380</v>
          </cell>
          <cell r="FR658">
            <v>19.399994</v>
          </cell>
          <cell r="FS658">
            <v>22.314663874962239</v>
          </cell>
          <cell r="FT658">
            <v>20.116606119778133</v>
          </cell>
          <cell r="FU658">
            <v>17.065595346429742</v>
          </cell>
          <cell r="FV658">
            <v>23.167616893126525</v>
          </cell>
          <cell r="GG658">
            <v>8.542543984108967</v>
          </cell>
          <cell r="GH658">
            <v>13.982143405445317</v>
          </cell>
          <cell r="GI658">
            <v>10.408007395026372</v>
          </cell>
          <cell r="GJ658">
            <v>7.7337520878462023</v>
          </cell>
          <cell r="GK658">
            <v>13.082262702206542</v>
          </cell>
        </row>
        <row r="659">
          <cell r="A659">
            <v>40381</v>
          </cell>
          <cell r="FR659">
            <v>19.669999000000001</v>
          </cell>
          <cell r="FS659">
            <v>22.314663874962239</v>
          </cell>
          <cell r="FT659">
            <v>20.116606119778133</v>
          </cell>
          <cell r="FU659">
            <v>17.065595346429742</v>
          </cell>
          <cell r="FV659">
            <v>23.167616893126525</v>
          </cell>
          <cell r="GG659">
            <v>8.5260475785092691</v>
          </cell>
          <cell r="GH659">
            <v>13.982143405445317</v>
          </cell>
          <cell r="GI659">
            <v>10.408007395026372</v>
          </cell>
          <cell r="GJ659">
            <v>7.7337520878462023</v>
          </cell>
          <cell r="GK659">
            <v>13.082262702206542</v>
          </cell>
        </row>
        <row r="660">
          <cell r="A660">
            <v>40382</v>
          </cell>
          <cell r="FR660">
            <v>19.029999</v>
          </cell>
          <cell r="FS660">
            <v>22.314663874962239</v>
          </cell>
          <cell r="FT660">
            <v>20.116606119778133</v>
          </cell>
          <cell r="FU660">
            <v>17.065595346429742</v>
          </cell>
          <cell r="FV660">
            <v>23.167616893126525</v>
          </cell>
          <cell r="GG660">
            <v>8.3170804956488844</v>
          </cell>
          <cell r="GH660">
            <v>13.982143405445317</v>
          </cell>
          <cell r="GI660">
            <v>10.408007395026372</v>
          </cell>
          <cell r="GJ660">
            <v>7.7337520878462023</v>
          </cell>
          <cell r="GK660">
            <v>13.082262702206542</v>
          </cell>
        </row>
        <row r="661">
          <cell r="A661">
            <v>40385</v>
          </cell>
          <cell r="FR661">
            <v>18.629989999999999</v>
          </cell>
          <cell r="FS661">
            <v>22.314663874962239</v>
          </cell>
          <cell r="FT661">
            <v>20.116606119778133</v>
          </cell>
          <cell r="FU661">
            <v>17.065595346429742</v>
          </cell>
          <cell r="FV661">
            <v>23.167616893126525</v>
          </cell>
          <cell r="GG661">
            <v>8.0393657775255392</v>
          </cell>
          <cell r="GH661">
            <v>13.982143405445317</v>
          </cell>
          <cell r="GI661">
            <v>10.408007395026372</v>
          </cell>
          <cell r="GJ661">
            <v>7.7337520878462023</v>
          </cell>
          <cell r="GK661">
            <v>13.082262702206542</v>
          </cell>
        </row>
        <row r="662">
          <cell r="A662">
            <v>40386</v>
          </cell>
          <cell r="FR662">
            <v>18.669999000000001</v>
          </cell>
          <cell r="FS662">
            <v>22.314663874962239</v>
          </cell>
          <cell r="FT662">
            <v>20.116606119778133</v>
          </cell>
          <cell r="FU662">
            <v>17.065595346429742</v>
          </cell>
          <cell r="FV662">
            <v>23.167616893126525</v>
          </cell>
          <cell r="GG662">
            <v>7.9953722096102915</v>
          </cell>
          <cell r="GH662">
            <v>13.982143405445317</v>
          </cell>
          <cell r="GI662">
            <v>10.408007395026372</v>
          </cell>
          <cell r="GJ662">
            <v>7.7337520878462023</v>
          </cell>
          <cell r="GK662">
            <v>13.082262702206542</v>
          </cell>
        </row>
        <row r="663">
          <cell r="A663">
            <v>40387</v>
          </cell>
          <cell r="FR663">
            <v>18.259995</v>
          </cell>
          <cell r="FS663">
            <v>22.314663874962239</v>
          </cell>
          <cell r="FT663">
            <v>20.116606119778133</v>
          </cell>
          <cell r="FU663">
            <v>17.065595346429742</v>
          </cell>
          <cell r="FV663">
            <v>23.167616893126525</v>
          </cell>
          <cell r="GG663">
            <v>7.9046325198637915</v>
          </cell>
          <cell r="GH663">
            <v>13.982143405445317</v>
          </cell>
          <cell r="GI663">
            <v>10.408007395026372</v>
          </cell>
          <cell r="GJ663">
            <v>7.7337520878462023</v>
          </cell>
          <cell r="GK663">
            <v>13.082262702206542</v>
          </cell>
        </row>
        <row r="664">
          <cell r="A664">
            <v>40388</v>
          </cell>
          <cell r="FR664">
            <v>18.26999</v>
          </cell>
          <cell r="FS664">
            <v>22.314663874962239</v>
          </cell>
          <cell r="FT664">
            <v>20.116606119778133</v>
          </cell>
          <cell r="FU664">
            <v>17.065595346429742</v>
          </cell>
          <cell r="FV664">
            <v>23.167616893126525</v>
          </cell>
          <cell r="GG664">
            <v>7.7781521944759744</v>
          </cell>
          <cell r="GH664">
            <v>13.982143405445317</v>
          </cell>
          <cell r="GI664">
            <v>10.408007395026372</v>
          </cell>
          <cell r="GJ664">
            <v>7.7337520878462023</v>
          </cell>
          <cell r="GK664">
            <v>13.082262702206542</v>
          </cell>
        </row>
        <row r="665">
          <cell r="A665">
            <v>40389</v>
          </cell>
          <cell r="FR665">
            <v>18.719985999999999</v>
          </cell>
          <cell r="FS665">
            <v>22.314663874962239</v>
          </cell>
          <cell r="FT665">
            <v>20.116606119778133</v>
          </cell>
          <cell r="FU665">
            <v>17.065595346429742</v>
          </cell>
          <cell r="FV665">
            <v>23.167616893126525</v>
          </cell>
          <cell r="GG665">
            <v>7.9623793984108966</v>
          </cell>
          <cell r="GH665">
            <v>13.982143405445317</v>
          </cell>
          <cell r="GI665">
            <v>10.408007395026372</v>
          </cell>
          <cell r="GJ665">
            <v>7.7337520878462023</v>
          </cell>
          <cell r="GK665">
            <v>13.082262702206542</v>
          </cell>
        </row>
        <row r="666">
          <cell r="A666">
            <v>40392</v>
          </cell>
          <cell r="FR666">
            <v>18.819993</v>
          </cell>
          <cell r="FS666">
            <v>22.314663874962239</v>
          </cell>
          <cell r="FT666">
            <v>20.116606119778133</v>
          </cell>
          <cell r="FU666">
            <v>17.065595346429742</v>
          </cell>
          <cell r="FV666">
            <v>23.167616893126525</v>
          </cell>
          <cell r="GG666">
            <v>7.9816236284525166</v>
          </cell>
          <cell r="GH666">
            <v>13.982143405445317</v>
          </cell>
          <cell r="GI666">
            <v>10.408007395026372</v>
          </cell>
          <cell r="GJ666">
            <v>7.7337520878462023</v>
          </cell>
          <cell r="GK666">
            <v>13.082262702206542</v>
          </cell>
        </row>
        <row r="667">
          <cell r="A667">
            <v>40393</v>
          </cell>
          <cell r="FR667">
            <v>18.869996</v>
          </cell>
          <cell r="FS667">
            <v>22.314663874962239</v>
          </cell>
          <cell r="FT667">
            <v>20.116606119778133</v>
          </cell>
          <cell r="FU667">
            <v>17.065595346429742</v>
          </cell>
          <cell r="FV667">
            <v>23.167616893126525</v>
          </cell>
          <cell r="GG667">
            <v>7.9871263715474843</v>
          </cell>
          <cell r="GH667">
            <v>13.982143405445317</v>
          </cell>
          <cell r="GI667">
            <v>10.408007395026372</v>
          </cell>
          <cell r="GJ667">
            <v>7.7337520878462023</v>
          </cell>
          <cell r="GK667">
            <v>13.082262702206542</v>
          </cell>
        </row>
        <row r="668">
          <cell r="A668">
            <v>40394</v>
          </cell>
          <cell r="FR668">
            <v>19</v>
          </cell>
          <cell r="FS668">
            <v>22.314663874962239</v>
          </cell>
          <cell r="FT668">
            <v>20.116606119778133</v>
          </cell>
          <cell r="FU668">
            <v>17.065595346429742</v>
          </cell>
          <cell r="FV668">
            <v>23.167616893126525</v>
          </cell>
          <cell r="GG668">
            <v>8.0476163450624298</v>
          </cell>
          <cell r="GH668">
            <v>13.982143405445317</v>
          </cell>
          <cell r="GI668">
            <v>10.408007395026372</v>
          </cell>
          <cell r="GJ668">
            <v>7.7337520878462023</v>
          </cell>
          <cell r="GK668">
            <v>13.082262702206542</v>
          </cell>
        </row>
        <row r="669">
          <cell r="A669">
            <v>40395</v>
          </cell>
          <cell r="FR669">
            <v>19.329986999999999</v>
          </cell>
          <cell r="FS669">
            <v>22.314663874962239</v>
          </cell>
          <cell r="FT669">
            <v>20.116606119778133</v>
          </cell>
          <cell r="FU669">
            <v>17.065595346429742</v>
          </cell>
          <cell r="FV669">
            <v>23.167616893126525</v>
          </cell>
          <cell r="GG669">
            <v>8.2263408059023835</v>
          </cell>
          <cell r="GH669">
            <v>13.982143405445317</v>
          </cell>
          <cell r="GI669">
            <v>10.408007395026372</v>
          </cell>
          <cell r="GJ669">
            <v>7.7337520878462023</v>
          </cell>
          <cell r="GK669">
            <v>13.082262702206542</v>
          </cell>
        </row>
        <row r="670">
          <cell r="A670">
            <v>40396</v>
          </cell>
          <cell r="FR670">
            <v>19.679993</v>
          </cell>
          <cell r="FS670">
            <v>22.314663874962239</v>
          </cell>
          <cell r="FT670">
            <v>20.116606119778133</v>
          </cell>
          <cell r="FU670">
            <v>17.065595346429742</v>
          </cell>
          <cell r="FV670">
            <v>23.167616893126525</v>
          </cell>
          <cell r="GG670">
            <v>8.2400870223231184</v>
          </cell>
          <cell r="GH670">
            <v>13.982143405445317</v>
          </cell>
          <cell r="GI670">
            <v>10.408007395026372</v>
          </cell>
          <cell r="GJ670">
            <v>7.7337520878462023</v>
          </cell>
          <cell r="GK670">
            <v>13.082262702206542</v>
          </cell>
        </row>
        <row r="671">
          <cell r="A671">
            <v>40399</v>
          </cell>
          <cell r="FR671">
            <v>19.539994</v>
          </cell>
          <cell r="FS671">
            <v>22.314663874962239</v>
          </cell>
          <cell r="FT671">
            <v>20.116606119778133</v>
          </cell>
          <cell r="FU671">
            <v>17.065595346429742</v>
          </cell>
          <cell r="FV671">
            <v>23.167616893126525</v>
          </cell>
          <cell r="GG671">
            <v>8.2373391978811963</v>
          </cell>
          <cell r="GH671">
            <v>13.982143405445317</v>
          </cell>
          <cell r="GI671">
            <v>10.408007395026372</v>
          </cell>
          <cell r="GJ671">
            <v>7.7337520878462023</v>
          </cell>
          <cell r="GK671">
            <v>13.082262702206542</v>
          </cell>
        </row>
        <row r="672">
          <cell r="A672">
            <v>40400</v>
          </cell>
          <cell r="FR672">
            <v>18.599990999999999</v>
          </cell>
          <cell r="FS672">
            <v>22.314663874962239</v>
          </cell>
          <cell r="FT672">
            <v>20.116606119778133</v>
          </cell>
          <cell r="FU672">
            <v>17.065595346429742</v>
          </cell>
          <cell r="FV672">
            <v>23.167616893126525</v>
          </cell>
          <cell r="GG672">
            <v>7.8523954786227774</v>
          </cell>
          <cell r="GH672">
            <v>13.982143405445317</v>
          </cell>
          <cell r="GI672">
            <v>10.408007395026372</v>
          </cell>
          <cell r="GJ672">
            <v>7.7337520878462023</v>
          </cell>
          <cell r="GK672">
            <v>13.082262702206542</v>
          </cell>
        </row>
        <row r="673">
          <cell r="A673">
            <v>40401</v>
          </cell>
          <cell r="FR673">
            <v>18.079986999999999</v>
          </cell>
          <cell r="FS673">
            <v>22.314663874962239</v>
          </cell>
          <cell r="FT673">
            <v>20.116606119778133</v>
          </cell>
          <cell r="FU673">
            <v>17.065595346429742</v>
          </cell>
          <cell r="FV673">
            <v>23.167616893126525</v>
          </cell>
          <cell r="GG673">
            <v>7.8056493567915251</v>
          </cell>
          <cell r="GH673">
            <v>13.982143405445317</v>
          </cell>
          <cell r="GI673">
            <v>10.408007395026372</v>
          </cell>
          <cell r="GJ673">
            <v>7.7337520878462023</v>
          </cell>
          <cell r="GK673">
            <v>13.082262702206542</v>
          </cell>
        </row>
        <row r="674">
          <cell r="A674">
            <v>40402</v>
          </cell>
          <cell r="FR674">
            <v>18.14</v>
          </cell>
          <cell r="FS674">
            <v>22.314663874962239</v>
          </cell>
          <cell r="FT674">
            <v>20.116606119778133</v>
          </cell>
          <cell r="FU674">
            <v>17.065595346429742</v>
          </cell>
          <cell r="FV674">
            <v>23.167616893126525</v>
          </cell>
          <cell r="GG674">
            <v>7.926631668558457</v>
          </cell>
          <cell r="GH674">
            <v>13.982143405445317</v>
          </cell>
          <cell r="GI674">
            <v>10.408007395026372</v>
          </cell>
          <cell r="GJ674">
            <v>7.7337520878462023</v>
          </cell>
          <cell r="GK674">
            <v>13.082262702206542</v>
          </cell>
        </row>
        <row r="675">
          <cell r="A675">
            <v>40403</v>
          </cell>
          <cell r="FR675">
            <v>18.149994</v>
          </cell>
          <cell r="FS675">
            <v>22.314663874962239</v>
          </cell>
          <cell r="FT675">
            <v>20.116606119778133</v>
          </cell>
          <cell r="FU675">
            <v>17.065595346429742</v>
          </cell>
          <cell r="FV675">
            <v>23.167616893126525</v>
          </cell>
          <cell r="GG675">
            <v>7.9156332765796442</v>
          </cell>
          <cell r="GH675">
            <v>13.982143405445317</v>
          </cell>
          <cell r="GI675">
            <v>10.408007395026372</v>
          </cell>
          <cell r="GJ675">
            <v>7.7337520878462023</v>
          </cell>
          <cell r="GK675">
            <v>13.082262702206542</v>
          </cell>
        </row>
        <row r="676">
          <cell r="A676">
            <v>40406</v>
          </cell>
          <cell r="FR676">
            <v>18.049987999999999</v>
          </cell>
          <cell r="FS676">
            <v>22.314663874962239</v>
          </cell>
          <cell r="FT676">
            <v>20.116606119778133</v>
          </cell>
          <cell r="FU676">
            <v>17.065595346429742</v>
          </cell>
          <cell r="FV676">
            <v>23.167616893126525</v>
          </cell>
          <cell r="GG676">
            <v>7.8716397086643966</v>
          </cell>
          <cell r="GH676">
            <v>13.982143405445317</v>
          </cell>
          <cell r="GI676">
            <v>10.408007395026372</v>
          </cell>
          <cell r="GJ676">
            <v>7.7337520878462023</v>
          </cell>
          <cell r="GK676">
            <v>13.082262702206542</v>
          </cell>
        </row>
        <row r="677">
          <cell r="A677">
            <v>40407</v>
          </cell>
          <cell r="FR677">
            <v>17.919999000000001</v>
          </cell>
          <cell r="FS677">
            <v>22.314663874962239</v>
          </cell>
          <cell r="FT677">
            <v>20.116606119778133</v>
          </cell>
          <cell r="FU677">
            <v>17.065595346429742</v>
          </cell>
          <cell r="FV677">
            <v>23.167616893126525</v>
          </cell>
          <cell r="GG677">
            <v>7.8276485054861897</v>
          </cell>
          <cell r="GH677">
            <v>13.982143405445317</v>
          </cell>
          <cell r="GI677">
            <v>10.408007395026372</v>
          </cell>
          <cell r="GJ677">
            <v>7.7337520878462023</v>
          </cell>
          <cell r="GK677">
            <v>13.082262702206542</v>
          </cell>
        </row>
        <row r="678">
          <cell r="A678">
            <v>40408</v>
          </cell>
          <cell r="FR678">
            <v>18.259995</v>
          </cell>
          <cell r="FS678">
            <v>22.314663874962239</v>
          </cell>
          <cell r="FT678">
            <v>20.116606119778133</v>
          </cell>
          <cell r="FU678">
            <v>17.065595346429742</v>
          </cell>
          <cell r="FV678">
            <v>23.167616893126525</v>
          </cell>
          <cell r="GG678">
            <v>7.9101352629587591</v>
          </cell>
          <cell r="GH678">
            <v>13.982143405445317</v>
          </cell>
          <cell r="GI678">
            <v>10.408007395026372</v>
          </cell>
          <cell r="GJ678">
            <v>7.7337520878462023</v>
          </cell>
          <cell r="GK678">
            <v>13.082262702206542</v>
          </cell>
        </row>
        <row r="679">
          <cell r="A679">
            <v>40409</v>
          </cell>
          <cell r="FR679">
            <v>17.879989999999999</v>
          </cell>
          <cell r="FS679">
            <v>22.314663874962239</v>
          </cell>
          <cell r="FT679">
            <v>20.116606119778133</v>
          </cell>
          <cell r="FU679">
            <v>17.065595346429742</v>
          </cell>
          <cell r="FV679">
            <v>23.167616893126525</v>
          </cell>
          <cell r="GG679">
            <v>8.0005141325536062</v>
          </cell>
          <cell r="GH679">
            <v>13.982143405445317</v>
          </cell>
          <cell r="GI679">
            <v>10.408007395026372</v>
          </cell>
          <cell r="GJ679">
            <v>7.7337520878462023</v>
          </cell>
          <cell r="GK679">
            <v>13.082262702206542</v>
          </cell>
        </row>
        <row r="680">
          <cell r="A680">
            <v>40410</v>
          </cell>
          <cell r="FR680">
            <v>17.979996</v>
          </cell>
          <cell r="FS680">
            <v>22.314663874962239</v>
          </cell>
          <cell r="FT680">
            <v>20.116606119778133</v>
          </cell>
          <cell r="FU680">
            <v>17.065595346429742</v>
          </cell>
          <cell r="FV680">
            <v>23.167616893126525</v>
          </cell>
          <cell r="GG680">
            <v>8.0628484405458085</v>
          </cell>
          <cell r="GH680">
            <v>13.982143405445317</v>
          </cell>
          <cell r="GI680">
            <v>10.408007395026372</v>
          </cell>
          <cell r="GJ680">
            <v>7.7337520878462023</v>
          </cell>
          <cell r="GK680">
            <v>13.082262702206542</v>
          </cell>
        </row>
        <row r="681">
          <cell r="A681">
            <v>40413</v>
          </cell>
          <cell r="FR681">
            <v>17.849990999999999</v>
          </cell>
          <cell r="FS681">
            <v>22.314663874962239</v>
          </cell>
          <cell r="FT681">
            <v>20.116606119778133</v>
          </cell>
          <cell r="FU681">
            <v>17.065595346429742</v>
          </cell>
          <cell r="FV681">
            <v>23.167616893126525</v>
          </cell>
          <cell r="GG681">
            <v>8.1166764132553606</v>
          </cell>
          <cell r="GH681">
            <v>13.982143405445317</v>
          </cell>
          <cell r="GI681">
            <v>10.408007395026372</v>
          </cell>
          <cell r="GJ681">
            <v>7.7337520878462023</v>
          </cell>
          <cell r="GK681">
            <v>13.082262702206542</v>
          </cell>
        </row>
        <row r="682">
          <cell r="A682">
            <v>40414</v>
          </cell>
          <cell r="FR682">
            <v>17.659988999999999</v>
          </cell>
          <cell r="FS682">
            <v>22.314663874962239</v>
          </cell>
          <cell r="FT682">
            <v>20.116606119778133</v>
          </cell>
          <cell r="FU682">
            <v>17.065595346429742</v>
          </cell>
          <cell r="FV682">
            <v>23.167616893126525</v>
          </cell>
          <cell r="GG682">
            <v>8.0316788499025353</v>
          </cell>
          <cell r="GH682">
            <v>13.982143405445317</v>
          </cell>
          <cell r="GI682">
            <v>10.408007395026372</v>
          </cell>
          <cell r="GJ682">
            <v>7.7337520878462023</v>
          </cell>
          <cell r="GK682">
            <v>13.082262702206542</v>
          </cell>
        </row>
        <row r="683">
          <cell r="A683">
            <v>40415</v>
          </cell>
          <cell r="FR683">
            <v>17.829986999999999</v>
          </cell>
          <cell r="FS683">
            <v>22.314663874962239</v>
          </cell>
          <cell r="FT683">
            <v>20.116606119778133</v>
          </cell>
          <cell r="FU683">
            <v>17.065595346429742</v>
          </cell>
          <cell r="FV683">
            <v>23.167616893126525</v>
          </cell>
          <cell r="GG683">
            <v>8.0770151072124765</v>
          </cell>
          <cell r="GH683">
            <v>13.982143405445317</v>
          </cell>
          <cell r="GI683">
            <v>10.408007395026372</v>
          </cell>
          <cell r="GJ683">
            <v>7.7337520878462023</v>
          </cell>
          <cell r="GK683">
            <v>13.082262702206542</v>
          </cell>
        </row>
        <row r="684">
          <cell r="A684">
            <v>40416</v>
          </cell>
          <cell r="FR684">
            <v>17.789994</v>
          </cell>
          <cell r="FS684">
            <v>22.314663874962239</v>
          </cell>
          <cell r="FT684">
            <v>20.116606119778133</v>
          </cell>
          <cell r="FU684">
            <v>17.065595346429742</v>
          </cell>
          <cell r="FV684">
            <v>23.167616893126525</v>
          </cell>
          <cell r="GG684">
            <v>8.074176413255362</v>
          </cell>
          <cell r="GH684">
            <v>13.982143405445317</v>
          </cell>
          <cell r="GI684">
            <v>10.408007395026372</v>
          </cell>
          <cell r="GJ684">
            <v>7.7337520878462023</v>
          </cell>
          <cell r="GK684">
            <v>13.082262702206542</v>
          </cell>
        </row>
        <row r="685">
          <cell r="A685">
            <v>40417</v>
          </cell>
          <cell r="FR685">
            <v>17.989991</v>
          </cell>
          <cell r="FS685">
            <v>22.314663874962239</v>
          </cell>
          <cell r="FT685">
            <v>20.116606119778133</v>
          </cell>
          <cell r="FU685">
            <v>17.065595346429742</v>
          </cell>
          <cell r="FV685">
            <v>23.167616893126525</v>
          </cell>
          <cell r="GG685">
            <v>8.1110112085769988</v>
          </cell>
          <cell r="GH685">
            <v>13.982143405445317</v>
          </cell>
          <cell r="GI685">
            <v>10.408007395026372</v>
          </cell>
          <cell r="GJ685">
            <v>7.7337520878462023</v>
          </cell>
          <cell r="GK685">
            <v>13.082262702206542</v>
          </cell>
        </row>
        <row r="686">
          <cell r="A686">
            <v>40420</v>
          </cell>
          <cell r="FR686">
            <v>17.89</v>
          </cell>
          <cell r="FS686">
            <v>22.314663874962239</v>
          </cell>
          <cell r="FT686">
            <v>20.116606119778133</v>
          </cell>
          <cell r="FU686">
            <v>17.065595346429742</v>
          </cell>
          <cell r="FV686">
            <v>23.167616893126525</v>
          </cell>
          <cell r="GG686">
            <v>8.2243396686159862</v>
          </cell>
          <cell r="GH686">
            <v>13.982143405445317</v>
          </cell>
          <cell r="GI686">
            <v>10.408007395026372</v>
          </cell>
          <cell r="GJ686">
            <v>7.7337520878462023</v>
          </cell>
          <cell r="GK686">
            <v>13.082262702206542</v>
          </cell>
        </row>
        <row r="687">
          <cell r="A687">
            <v>40421</v>
          </cell>
          <cell r="FR687">
            <v>17.819993</v>
          </cell>
          <cell r="FS687">
            <v>22.314663874962239</v>
          </cell>
          <cell r="FT687">
            <v>20.116606119778133</v>
          </cell>
          <cell r="FU687">
            <v>17.065595346429742</v>
          </cell>
          <cell r="FV687">
            <v>23.167616893126525</v>
          </cell>
          <cell r="GG687">
            <v>8.176176900584796</v>
          </cell>
          <cell r="GH687">
            <v>13.982143405445317</v>
          </cell>
          <cell r="GI687">
            <v>10.408007395026372</v>
          </cell>
          <cell r="GJ687">
            <v>7.7337520878462023</v>
          </cell>
          <cell r="GK687">
            <v>13.082262702206542</v>
          </cell>
        </row>
        <row r="688">
          <cell r="A688">
            <v>40422</v>
          </cell>
          <cell r="FR688">
            <v>18.309998</v>
          </cell>
          <cell r="FS688">
            <v>22.314663874962239</v>
          </cell>
          <cell r="FT688">
            <v>20.116606119778133</v>
          </cell>
          <cell r="FU688">
            <v>17.065595346429742</v>
          </cell>
          <cell r="FV688">
            <v>23.167616893126525</v>
          </cell>
          <cell r="GG688">
            <v>8.2640058479532179</v>
          </cell>
          <cell r="GH688">
            <v>13.982143405445317</v>
          </cell>
          <cell r="GI688">
            <v>10.408007395026372</v>
          </cell>
          <cell r="GJ688">
            <v>7.7337520878462023</v>
          </cell>
          <cell r="GK688">
            <v>13.082262702206542</v>
          </cell>
        </row>
        <row r="689">
          <cell r="A689">
            <v>40423</v>
          </cell>
          <cell r="FR689">
            <v>18.439988</v>
          </cell>
          <cell r="FS689">
            <v>22.314663874962239</v>
          </cell>
          <cell r="FT689">
            <v>20.116606119778133</v>
          </cell>
          <cell r="FU689">
            <v>17.065595346429742</v>
          </cell>
          <cell r="FV689">
            <v>23.167616893126525</v>
          </cell>
          <cell r="GG689">
            <v>8.2640058479532179</v>
          </cell>
          <cell r="GH689">
            <v>13.982143405445317</v>
          </cell>
          <cell r="GI689">
            <v>10.408007395026372</v>
          </cell>
          <cell r="GJ689">
            <v>7.7337520878462023</v>
          </cell>
          <cell r="GK689">
            <v>13.082262702206542</v>
          </cell>
        </row>
        <row r="690">
          <cell r="A690">
            <v>40424</v>
          </cell>
          <cell r="FR690">
            <v>18.809998</v>
          </cell>
          <cell r="FS690">
            <v>22.314663874962239</v>
          </cell>
          <cell r="FT690">
            <v>20.116606119778133</v>
          </cell>
          <cell r="FU690">
            <v>17.065595346429742</v>
          </cell>
          <cell r="FV690">
            <v>23.167616893126525</v>
          </cell>
          <cell r="GG690">
            <v>8.3178386939571158</v>
          </cell>
          <cell r="GH690">
            <v>13.982143405445317</v>
          </cell>
          <cell r="GI690">
            <v>10.408007395026372</v>
          </cell>
          <cell r="GJ690">
            <v>7.7337520878462023</v>
          </cell>
          <cell r="GK690">
            <v>13.082262702206542</v>
          </cell>
        </row>
        <row r="691">
          <cell r="A691">
            <v>40427</v>
          </cell>
          <cell r="FR691">
            <v>18.809998</v>
          </cell>
          <cell r="FS691">
            <v>22.314663874962239</v>
          </cell>
          <cell r="FT691">
            <v>20.116606119778133</v>
          </cell>
          <cell r="FU691">
            <v>17.065595346429742</v>
          </cell>
          <cell r="FV691">
            <v>23.167616893126525</v>
          </cell>
          <cell r="GG691">
            <v>8.3178386939571158</v>
          </cell>
          <cell r="GH691">
            <v>13.982143405445317</v>
          </cell>
          <cell r="GI691">
            <v>10.408007395026372</v>
          </cell>
          <cell r="GJ691">
            <v>7.7337520878462023</v>
          </cell>
          <cell r="GK691">
            <v>13.082262702206542</v>
          </cell>
        </row>
        <row r="692">
          <cell r="A692">
            <v>40428</v>
          </cell>
          <cell r="FR692">
            <v>18.5</v>
          </cell>
          <cell r="FS692">
            <v>22.314663874962239</v>
          </cell>
          <cell r="FT692">
            <v>20.116606119778133</v>
          </cell>
          <cell r="FU692">
            <v>17.065595346429742</v>
          </cell>
          <cell r="FV692">
            <v>23.167616893126525</v>
          </cell>
          <cell r="GG692">
            <v>8.4283357699805066</v>
          </cell>
          <cell r="GH692">
            <v>13.982143405445317</v>
          </cell>
          <cell r="GI692">
            <v>10.408007395026372</v>
          </cell>
          <cell r="GJ692">
            <v>7.7337520878462023</v>
          </cell>
          <cell r="GK692">
            <v>13.082262702206542</v>
          </cell>
        </row>
        <row r="693">
          <cell r="A693">
            <v>40429</v>
          </cell>
          <cell r="FR693">
            <v>18.669999000000001</v>
          </cell>
          <cell r="FS693">
            <v>22.314663874962239</v>
          </cell>
          <cell r="FT693">
            <v>20.116606119778133</v>
          </cell>
          <cell r="FU693">
            <v>17.065595346429742</v>
          </cell>
          <cell r="FV693">
            <v>23.167616893126525</v>
          </cell>
          <cell r="GG693">
            <v>8.4368323586744651</v>
          </cell>
          <cell r="GH693">
            <v>13.982143405445317</v>
          </cell>
          <cell r="GI693">
            <v>10.408007395026372</v>
          </cell>
          <cell r="GJ693">
            <v>7.7337520878462023</v>
          </cell>
          <cell r="GK693">
            <v>13.082262702206542</v>
          </cell>
        </row>
        <row r="694">
          <cell r="A694">
            <v>40430</v>
          </cell>
          <cell r="FR694">
            <v>18.849990999999999</v>
          </cell>
          <cell r="FS694">
            <v>22.314663874962239</v>
          </cell>
          <cell r="FT694">
            <v>20.116606119778133</v>
          </cell>
          <cell r="FU694">
            <v>17.065595346429742</v>
          </cell>
          <cell r="FV694">
            <v>23.167616893126525</v>
          </cell>
          <cell r="GG694">
            <v>8.5303289473684227</v>
          </cell>
          <cell r="GH694">
            <v>13.982143405445317</v>
          </cell>
          <cell r="GI694">
            <v>10.408007395026372</v>
          </cell>
          <cell r="GJ694">
            <v>7.7337520878462023</v>
          </cell>
          <cell r="GK694">
            <v>13.082262702206542</v>
          </cell>
        </row>
        <row r="695">
          <cell r="A695">
            <v>40431</v>
          </cell>
          <cell r="FR695">
            <v>18.89</v>
          </cell>
          <cell r="FS695">
            <v>22.314663874962239</v>
          </cell>
          <cell r="FT695">
            <v>20.116606119778133</v>
          </cell>
          <cell r="FU695">
            <v>17.065595346429742</v>
          </cell>
          <cell r="FV695">
            <v>23.167616893126525</v>
          </cell>
          <cell r="GG695">
            <v>8.5133333333333336</v>
          </cell>
          <cell r="GH695">
            <v>13.982143405445317</v>
          </cell>
          <cell r="GI695">
            <v>10.408007395026372</v>
          </cell>
          <cell r="GJ695">
            <v>7.7337520878462023</v>
          </cell>
          <cell r="GK695">
            <v>13.082262702206542</v>
          </cell>
        </row>
        <row r="696">
          <cell r="A696">
            <v>40434</v>
          </cell>
          <cell r="FR696">
            <v>19.119996</v>
          </cell>
          <cell r="FS696">
            <v>22.314663874962239</v>
          </cell>
          <cell r="FT696">
            <v>20.116606119778133</v>
          </cell>
          <cell r="FU696">
            <v>17.065595346429742</v>
          </cell>
          <cell r="FV696">
            <v>23.167616893126525</v>
          </cell>
          <cell r="GG696">
            <v>8.5529995126705654</v>
          </cell>
          <cell r="GH696">
            <v>13.982143405445317</v>
          </cell>
          <cell r="GI696">
            <v>10.408007395026372</v>
          </cell>
          <cell r="GJ696">
            <v>7.7337520878462023</v>
          </cell>
          <cell r="GK696">
            <v>13.082262702206542</v>
          </cell>
        </row>
        <row r="697">
          <cell r="A697">
            <v>40435</v>
          </cell>
          <cell r="FR697">
            <v>19.129989999999999</v>
          </cell>
          <cell r="FS697">
            <v>22.314663874962239</v>
          </cell>
          <cell r="FT697">
            <v>20.116606119778133</v>
          </cell>
          <cell r="FU697">
            <v>17.065595346429742</v>
          </cell>
          <cell r="FV697">
            <v>23.167616893126525</v>
          </cell>
          <cell r="GG697">
            <v>8.4595004873294357</v>
          </cell>
          <cell r="GH697">
            <v>13.982143405445317</v>
          </cell>
          <cell r="GI697">
            <v>10.408007395026372</v>
          </cell>
          <cell r="GJ697">
            <v>7.7337520878462023</v>
          </cell>
          <cell r="GK697">
            <v>13.082262702206542</v>
          </cell>
        </row>
        <row r="698">
          <cell r="A698">
            <v>40436</v>
          </cell>
          <cell r="FR698">
            <v>19.159988999999999</v>
          </cell>
          <cell r="FS698">
            <v>22.314663874962239</v>
          </cell>
          <cell r="FT698">
            <v>20.116606119778133</v>
          </cell>
          <cell r="FU698">
            <v>17.065595346429742</v>
          </cell>
          <cell r="FV698">
            <v>23.167616893126525</v>
          </cell>
          <cell r="GG698">
            <v>8.4368323586744651</v>
          </cell>
          <cell r="GH698">
            <v>13.982143405445317</v>
          </cell>
          <cell r="GI698">
            <v>10.408007395026372</v>
          </cell>
          <cell r="GJ698">
            <v>7.7337520878462023</v>
          </cell>
          <cell r="GK698">
            <v>13.082262702206542</v>
          </cell>
        </row>
        <row r="699">
          <cell r="A699">
            <v>40437</v>
          </cell>
          <cell r="FR699">
            <v>18.666660784313724</v>
          </cell>
          <cell r="FS699">
            <v>22.314663874962239</v>
          </cell>
          <cell r="FT699">
            <v>20.116606119778133</v>
          </cell>
          <cell r="FU699">
            <v>17.065595346429742</v>
          </cell>
          <cell r="FV699">
            <v>23.167616893126525</v>
          </cell>
          <cell r="GG699">
            <v>8.2734943530714951</v>
          </cell>
          <cell r="GH699">
            <v>13.982143405445317</v>
          </cell>
          <cell r="GI699">
            <v>10.408007395026372</v>
          </cell>
          <cell r="GJ699">
            <v>7.7337520878462023</v>
          </cell>
          <cell r="GK699">
            <v>13.082262702206542</v>
          </cell>
        </row>
        <row r="700">
          <cell r="A700">
            <v>40438</v>
          </cell>
          <cell r="FR700">
            <v>18.431360784313725</v>
          </cell>
          <cell r="FS700">
            <v>22.314663874962239</v>
          </cell>
          <cell r="FT700">
            <v>20.116606119778133</v>
          </cell>
          <cell r="FU700">
            <v>17.065595346429742</v>
          </cell>
          <cell r="FV700">
            <v>23.167616893126525</v>
          </cell>
          <cell r="GG700">
            <v>8.2370915308112806</v>
          </cell>
          <cell r="GH700">
            <v>13.982143405445317</v>
          </cell>
          <cell r="GI700">
            <v>10.408007395026372</v>
          </cell>
          <cell r="GJ700">
            <v>7.7337520878462023</v>
          </cell>
          <cell r="GK700">
            <v>13.082262702206542</v>
          </cell>
        </row>
        <row r="701">
          <cell r="A701">
            <v>40441</v>
          </cell>
          <cell r="FR701">
            <v>18.392151960784314</v>
          </cell>
          <cell r="FS701">
            <v>22.314663874962239</v>
          </cell>
          <cell r="FT701">
            <v>20.116606119778133</v>
          </cell>
          <cell r="FU701">
            <v>17.065595346429742</v>
          </cell>
          <cell r="FV701">
            <v>23.167616893126525</v>
          </cell>
          <cell r="GG701">
            <v>8.1670912900040946</v>
          </cell>
          <cell r="GH701">
            <v>13.982143405445317</v>
          </cell>
          <cell r="GI701">
            <v>10.408007395026372</v>
          </cell>
          <cell r="GJ701">
            <v>7.7337520878462023</v>
          </cell>
          <cell r="GK701">
            <v>13.082262702206542</v>
          </cell>
        </row>
        <row r="702">
          <cell r="A702">
            <v>40442</v>
          </cell>
          <cell r="FR702">
            <v>18.156852941176471</v>
          </cell>
          <cell r="FS702">
            <v>22.314663874962239</v>
          </cell>
          <cell r="FT702">
            <v>20.116606119778133</v>
          </cell>
          <cell r="FU702">
            <v>17.065595346429742</v>
          </cell>
          <cell r="FV702">
            <v>23.167616893126525</v>
          </cell>
          <cell r="GG702">
            <v>8.0382931586678552</v>
          </cell>
          <cell r="GH702">
            <v>13.982143405445317</v>
          </cell>
          <cell r="GI702">
            <v>10.408007395026372</v>
          </cell>
          <cell r="GJ702">
            <v>7.7337520878462023</v>
          </cell>
          <cell r="GK702">
            <v>13.082262702206542</v>
          </cell>
        </row>
        <row r="703">
          <cell r="A703">
            <v>40443</v>
          </cell>
          <cell r="FR703">
            <v>18.107829411764705</v>
          </cell>
          <cell r="FS703">
            <v>22.314663874962239</v>
          </cell>
          <cell r="FT703">
            <v>20.116606119778133</v>
          </cell>
          <cell r="FU703">
            <v>17.065595346429742</v>
          </cell>
          <cell r="FV703">
            <v>23.167616893126525</v>
          </cell>
          <cell r="GG703">
            <v>7.8618922628651244</v>
          </cell>
          <cell r="GH703">
            <v>13.982143405445317</v>
          </cell>
          <cell r="GI703">
            <v>10.408007395026372</v>
          </cell>
          <cell r="GJ703">
            <v>7.7337520878462023</v>
          </cell>
          <cell r="GK703">
            <v>13.082262702206542</v>
          </cell>
        </row>
        <row r="704">
          <cell r="A704">
            <v>40444</v>
          </cell>
          <cell r="FR704">
            <v>17.715679411764707</v>
          </cell>
          <cell r="FS704">
            <v>22.314663874962239</v>
          </cell>
          <cell r="FT704">
            <v>20.116606119778133</v>
          </cell>
          <cell r="FU704">
            <v>17.065595346429742</v>
          </cell>
          <cell r="FV704">
            <v>23.167616893126525</v>
          </cell>
          <cell r="GG704">
            <v>7.8450935535916395</v>
          </cell>
          <cell r="GH704">
            <v>13.982143405445317</v>
          </cell>
          <cell r="GI704">
            <v>10.408007395026372</v>
          </cell>
          <cell r="GJ704">
            <v>7.7337520878462023</v>
          </cell>
          <cell r="GK704">
            <v>13.082262702206542</v>
          </cell>
        </row>
        <row r="705">
          <cell r="A705">
            <v>40445</v>
          </cell>
          <cell r="FR705">
            <v>17.725477450980392</v>
          </cell>
          <cell r="FS705">
            <v>22.314663874962239</v>
          </cell>
          <cell r="FT705">
            <v>20.116606119778133</v>
          </cell>
          <cell r="FU705">
            <v>17.065595346429742</v>
          </cell>
          <cell r="FV705">
            <v>23.167616893126525</v>
          </cell>
          <cell r="GG705">
            <v>7.7106918390444781</v>
          </cell>
          <cell r="GH705">
            <v>13.982143405445317</v>
          </cell>
          <cell r="GI705">
            <v>10.408007395026372</v>
          </cell>
          <cell r="GJ705">
            <v>7.7337520878462023</v>
          </cell>
          <cell r="GK705">
            <v>13.082262702206542</v>
          </cell>
        </row>
        <row r="706">
          <cell r="A706">
            <v>40448</v>
          </cell>
          <cell r="FR706">
            <v>17.568626470588235</v>
          </cell>
          <cell r="FS706">
            <v>22.314663874962239</v>
          </cell>
          <cell r="FT706">
            <v>20.116606119778133</v>
          </cell>
          <cell r="FU706">
            <v>17.065595346429742</v>
          </cell>
          <cell r="FV706">
            <v>23.167616893126525</v>
          </cell>
          <cell r="GG706">
            <v>7.5958918294121904</v>
          </cell>
          <cell r="GH706">
            <v>13.982143405445317</v>
          </cell>
          <cell r="GI706">
            <v>10.408007395026372</v>
          </cell>
          <cell r="GJ706">
            <v>7.7337520878462023</v>
          </cell>
          <cell r="GK706">
            <v>13.082262702206542</v>
          </cell>
        </row>
        <row r="707">
          <cell r="A707">
            <v>40449</v>
          </cell>
          <cell r="FR707">
            <v>17.872545098039215</v>
          </cell>
          <cell r="FS707">
            <v>22.314663874962239</v>
          </cell>
          <cell r="FT707">
            <v>20.116606119778133</v>
          </cell>
          <cell r="FU707">
            <v>17.065595346429742</v>
          </cell>
          <cell r="FV707">
            <v>23.167616893126525</v>
          </cell>
          <cell r="GG707">
            <v>7.6294892479591603</v>
          </cell>
          <cell r="GH707">
            <v>13.982143405445317</v>
          </cell>
          <cell r="GI707">
            <v>10.408007395026372</v>
          </cell>
          <cell r="GJ707">
            <v>7.7337520878462023</v>
          </cell>
          <cell r="GK707">
            <v>13.082262702206542</v>
          </cell>
        </row>
        <row r="708">
          <cell r="A708">
            <v>40450</v>
          </cell>
          <cell r="FR708">
            <v>17.7745</v>
          </cell>
          <cell r="FS708">
            <v>22.314663874962239</v>
          </cell>
          <cell r="FT708">
            <v>20.116606119778133</v>
          </cell>
          <cell r="FU708">
            <v>17.065595346429742</v>
          </cell>
          <cell r="FV708">
            <v>23.167616893126525</v>
          </cell>
          <cell r="GG708">
            <v>7.5622895947215074</v>
          </cell>
          <cell r="GH708">
            <v>13.982143405445317</v>
          </cell>
          <cell r="GI708">
            <v>10.408007395026372</v>
          </cell>
          <cell r="GJ708">
            <v>7.7337520878462023</v>
          </cell>
          <cell r="GK708">
            <v>13.082262702206542</v>
          </cell>
        </row>
        <row r="709">
          <cell r="A709">
            <v>40451</v>
          </cell>
          <cell r="FR709">
            <v>17.392148039215687</v>
          </cell>
          <cell r="FS709">
            <v>22.314663874962239</v>
          </cell>
          <cell r="FT709">
            <v>20.116606119778133</v>
          </cell>
          <cell r="FU709">
            <v>17.065595346429742</v>
          </cell>
          <cell r="FV709">
            <v>23.167616893126525</v>
          </cell>
          <cell r="GG709">
            <v>7.4983745514966165</v>
          </cell>
          <cell r="GH709">
            <v>13.982143405445317</v>
          </cell>
          <cell r="GI709">
            <v>10.408007395026372</v>
          </cell>
          <cell r="GJ709">
            <v>7.7337520878462023</v>
          </cell>
          <cell r="GK709">
            <v>13.082262702206542</v>
          </cell>
        </row>
        <row r="710">
          <cell r="A710">
            <v>40452</v>
          </cell>
          <cell r="FR710">
            <v>17.53921568627451</v>
          </cell>
          <cell r="FS710">
            <v>22.314663874962239</v>
          </cell>
          <cell r="FT710">
            <v>20.116606119778133</v>
          </cell>
          <cell r="FU710">
            <v>17.065595346429742</v>
          </cell>
          <cell r="FV710">
            <v>23.167616893126525</v>
          </cell>
          <cell r="GG710">
            <v>7.3862402774098781</v>
          </cell>
          <cell r="GH710">
            <v>13.982143405445317</v>
          </cell>
          <cell r="GI710">
            <v>10.408007395026372</v>
          </cell>
          <cell r="GJ710">
            <v>7.7337520878462023</v>
          </cell>
          <cell r="GK710">
            <v>13.082262702206542</v>
          </cell>
        </row>
        <row r="711">
          <cell r="A711">
            <v>40455</v>
          </cell>
          <cell r="FR711">
            <v>17.117639215686275</v>
          </cell>
          <cell r="FS711">
            <v>22.314663874962239</v>
          </cell>
          <cell r="FT711">
            <v>20.116606119778133</v>
          </cell>
          <cell r="FU711">
            <v>17.065595346429742</v>
          </cell>
          <cell r="FV711">
            <v>23.167616893126525</v>
          </cell>
          <cell r="GG711">
            <v>7.2404628314108894</v>
          </cell>
          <cell r="GH711">
            <v>13.982143405445317</v>
          </cell>
          <cell r="GI711">
            <v>10.408007395026372</v>
          </cell>
          <cell r="GJ711">
            <v>7.7337520878462023</v>
          </cell>
          <cell r="GK711">
            <v>13.082262702206542</v>
          </cell>
        </row>
        <row r="712">
          <cell r="A712">
            <v>40456</v>
          </cell>
          <cell r="FR712">
            <v>17.431371568627451</v>
          </cell>
          <cell r="FS712">
            <v>22.314663874962239</v>
          </cell>
          <cell r="FT712">
            <v>20.116606119778133</v>
          </cell>
          <cell r="FU712">
            <v>17.065595346429742</v>
          </cell>
          <cell r="FV712">
            <v>23.167616893126525</v>
          </cell>
          <cell r="GG712">
            <v>7.3525995135694853</v>
          </cell>
          <cell r="GH712">
            <v>13.982143405445317</v>
          </cell>
          <cell r="GI712">
            <v>10.408007395026372</v>
          </cell>
          <cell r="GJ712">
            <v>7.7337520878462023</v>
          </cell>
          <cell r="GK712">
            <v>13.082262702206542</v>
          </cell>
        </row>
        <row r="713">
          <cell r="A713">
            <v>40457</v>
          </cell>
          <cell r="FR713">
            <v>16.774496078431373</v>
          </cell>
          <cell r="FS713">
            <v>22.314663874962239</v>
          </cell>
          <cell r="FT713">
            <v>20.116606119778133</v>
          </cell>
          <cell r="FU713">
            <v>17.065595346429742</v>
          </cell>
          <cell r="FV713">
            <v>23.167616893126525</v>
          </cell>
          <cell r="GG713">
            <v>7.0442290557950251</v>
          </cell>
          <cell r="GH713">
            <v>13.982143405445317</v>
          </cell>
          <cell r="GI713">
            <v>10.408007395026372</v>
          </cell>
          <cell r="GJ713">
            <v>7.7337520878462023</v>
          </cell>
          <cell r="GK713">
            <v>13.082262702206542</v>
          </cell>
        </row>
        <row r="714">
          <cell r="A714">
            <v>40458</v>
          </cell>
          <cell r="FR714">
            <v>16.686264705882351</v>
          </cell>
          <cell r="FS714">
            <v>22.314663874962239</v>
          </cell>
          <cell r="FT714">
            <v>20.116606119778133</v>
          </cell>
          <cell r="FU714">
            <v>17.065595346429742</v>
          </cell>
          <cell r="FV714">
            <v>23.167616893126525</v>
          </cell>
          <cell r="GG714">
            <v>6.9881619187516559</v>
          </cell>
          <cell r="GH714">
            <v>13.982143405445317</v>
          </cell>
          <cell r="GI714">
            <v>10.408007395026372</v>
          </cell>
          <cell r="GJ714">
            <v>7.7337520878462023</v>
          </cell>
          <cell r="GK714">
            <v>13.082262702206542</v>
          </cell>
        </row>
        <row r="715">
          <cell r="A715">
            <v>40459</v>
          </cell>
          <cell r="FR715">
            <v>16.794107843137255</v>
          </cell>
          <cell r="FS715">
            <v>22.314663874962239</v>
          </cell>
          <cell r="FT715">
            <v>20.116606119778133</v>
          </cell>
          <cell r="FU715">
            <v>17.065595346429742</v>
          </cell>
          <cell r="FV715">
            <v>23.167616893126525</v>
          </cell>
          <cell r="GG715">
            <v>7.0386206564403881</v>
          </cell>
          <cell r="GH715">
            <v>13.982143405445317</v>
          </cell>
          <cell r="GI715">
            <v>10.408007395026372</v>
          </cell>
          <cell r="GJ715">
            <v>7.7337520878462023</v>
          </cell>
          <cell r="GK715">
            <v>13.082262702206542</v>
          </cell>
        </row>
        <row r="716">
          <cell r="A716">
            <v>40462</v>
          </cell>
          <cell r="FR716">
            <v>16.980385294117646</v>
          </cell>
          <cell r="FS716">
            <v>22.314663874962239</v>
          </cell>
          <cell r="FT716">
            <v>20.116606119778133</v>
          </cell>
          <cell r="FU716">
            <v>17.065595346429742</v>
          </cell>
          <cell r="FV716">
            <v>23.167616893126525</v>
          </cell>
          <cell r="GG716">
            <v>7.0862788065595881</v>
          </cell>
          <cell r="GH716">
            <v>13.982143405445317</v>
          </cell>
          <cell r="GI716">
            <v>10.408007395026372</v>
          </cell>
          <cell r="GJ716">
            <v>7.7337520878462023</v>
          </cell>
          <cell r="GK716">
            <v>13.082262702206542</v>
          </cell>
        </row>
        <row r="717">
          <cell r="A717">
            <v>40463</v>
          </cell>
          <cell r="FR717">
            <v>17.372535294117647</v>
          </cell>
          <cell r="FS717">
            <v>22.314663874962239</v>
          </cell>
          <cell r="FT717">
            <v>20.116606119778133</v>
          </cell>
          <cell r="FU717">
            <v>17.065595346429742</v>
          </cell>
          <cell r="FV717">
            <v>23.167616893126525</v>
          </cell>
          <cell r="GG717">
            <v>7.1787921111565973</v>
          </cell>
          <cell r="GH717">
            <v>13.982143405445317</v>
          </cell>
          <cell r="GI717">
            <v>10.408007395026372</v>
          </cell>
          <cell r="GJ717">
            <v>7.7337520878462023</v>
          </cell>
          <cell r="GK717">
            <v>13.082262702206542</v>
          </cell>
        </row>
        <row r="718">
          <cell r="A718">
            <v>40464</v>
          </cell>
          <cell r="FR718">
            <v>18.382352941176471</v>
          </cell>
          <cell r="FS718">
            <v>22.314663874962239</v>
          </cell>
          <cell r="FT718">
            <v>20.116606119778133</v>
          </cell>
          <cell r="FU718">
            <v>17.065595346429742</v>
          </cell>
          <cell r="FV718">
            <v>23.167616893126525</v>
          </cell>
          <cell r="GG718">
            <v>7.6273316155754092</v>
          </cell>
          <cell r="GH718">
            <v>13.982143405445317</v>
          </cell>
          <cell r="GI718">
            <v>10.408007395026372</v>
          </cell>
          <cell r="GJ718">
            <v>7.7337520878462023</v>
          </cell>
          <cell r="GK718">
            <v>13.082262702206542</v>
          </cell>
        </row>
        <row r="719">
          <cell r="A719">
            <v>40465</v>
          </cell>
          <cell r="FR719">
            <v>17.91261844660194</v>
          </cell>
          <cell r="FS719">
            <v>22.314663874962239</v>
          </cell>
          <cell r="FT719">
            <v>20.116606119778133</v>
          </cell>
          <cell r="FU719">
            <v>17.065595346429742</v>
          </cell>
          <cell r="FV719">
            <v>23.167616893126525</v>
          </cell>
          <cell r="GG719">
            <v>7.3009963810687593</v>
          </cell>
          <cell r="GH719">
            <v>13.982143405445317</v>
          </cell>
          <cell r="GI719">
            <v>10.408007395026372</v>
          </cell>
          <cell r="GJ719">
            <v>7.7337520878462023</v>
          </cell>
          <cell r="GK719">
            <v>13.082262702206542</v>
          </cell>
        </row>
        <row r="720">
          <cell r="A720">
            <v>40466</v>
          </cell>
          <cell r="FR720">
            <v>17.844650485436894</v>
          </cell>
          <cell r="FS720">
            <v>22.314663874962239</v>
          </cell>
          <cell r="FT720">
            <v>20.116606119778133</v>
          </cell>
          <cell r="FU720">
            <v>17.065595346429742</v>
          </cell>
          <cell r="FV720">
            <v>23.167616893126525</v>
          </cell>
          <cell r="GG720">
            <v>7.2626944588052824</v>
          </cell>
          <cell r="GH720">
            <v>13.982143405445317</v>
          </cell>
          <cell r="GI720">
            <v>10.408007395026372</v>
          </cell>
          <cell r="GJ720">
            <v>7.7337520878462023</v>
          </cell>
          <cell r="GK720">
            <v>13.082262702206542</v>
          </cell>
        </row>
        <row r="721">
          <cell r="A721">
            <v>40469</v>
          </cell>
          <cell r="FR721">
            <v>17.766978640776699</v>
          </cell>
          <cell r="FS721">
            <v>22.314663874962239</v>
          </cell>
          <cell r="FT721">
            <v>20.116606119778133</v>
          </cell>
          <cell r="FU721">
            <v>17.065595346429742</v>
          </cell>
          <cell r="FV721">
            <v>23.167616893126525</v>
          </cell>
          <cell r="GG721">
            <v>7.3037340790524974</v>
          </cell>
          <cell r="GH721">
            <v>13.982143405445317</v>
          </cell>
          <cell r="GI721">
            <v>10.408007395026372</v>
          </cell>
          <cell r="GJ721">
            <v>7.7337520878462023</v>
          </cell>
          <cell r="GK721">
            <v>13.082262702206542</v>
          </cell>
        </row>
        <row r="722">
          <cell r="A722">
            <v>40470</v>
          </cell>
          <cell r="FR722">
            <v>17.611650485436893</v>
          </cell>
          <cell r="FS722">
            <v>22.314663874962239</v>
          </cell>
          <cell r="FT722">
            <v>20.116606119778133</v>
          </cell>
          <cell r="FU722">
            <v>17.065595346429742</v>
          </cell>
          <cell r="FV722">
            <v>23.167616893126525</v>
          </cell>
          <cell r="GG722">
            <v>7.3994830098228128</v>
          </cell>
          <cell r="GH722">
            <v>13.982143405445317</v>
          </cell>
          <cell r="GI722">
            <v>10.408007395026372</v>
          </cell>
          <cell r="GJ722">
            <v>7.7337520878462023</v>
          </cell>
          <cell r="GK722">
            <v>13.082262702206542</v>
          </cell>
        </row>
        <row r="723">
          <cell r="A723">
            <v>40471</v>
          </cell>
          <cell r="FR723">
            <v>17.980572815533979</v>
          </cell>
          <cell r="FS723">
            <v>22.314663874962239</v>
          </cell>
          <cell r="FT723">
            <v>20.116606119778133</v>
          </cell>
          <cell r="FU723">
            <v>17.065595346429742</v>
          </cell>
          <cell r="FV723">
            <v>23.167616893126525</v>
          </cell>
          <cell r="GG723">
            <v>7.388539267753913</v>
          </cell>
          <cell r="GH723">
            <v>13.982143405445317</v>
          </cell>
          <cell r="GI723">
            <v>10.408007395026372</v>
          </cell>
          <cell r="GJ723">
            <v>7.7337520878462023</v>
          </cell>
          <cell r="GK723">
            <v>13.082262702206542</v>
          </cell>
        </row>
        <row r="724">
          <cell r="A724">
            <v>40472</v>
          </cell>
          <cell r="FR724">
            <v>18.16504077669903</v>
          </cell>
          <cell r="FS724">
            <v>22.314663874962239</v>
          </cell>
          <cell r="FT724">
            <v>20.116606119778133</v>
          </cell>
          <cell r="FU724">
            <v>17.065595346429742</v>
          </cell>
          <cell r="FV724">
            <v>23.167616893126525</v>
          </cell>
          <cell r="GG724">
            <v>7.4377802321755881</v>
          </cell>
          <cell r="GH724">
            <v>13.982143405445317</v>
          </cell>
          <cell r="GI724">
            <v>10.408007395026372</v>
          </cell>
          <cell r="GJ724">
            <v>7.7337520878462023</v>
          </cell>
          <cell r="GK724">
            <v>13.082262702206542</v>
          </cell>
        </row>
        <row r="725">
          <cell r="A725">
            <v>40473</v>
          </cell>
          <cell r="FR725">
            <v>17.980572815533979</v>
          </cell>
          <cell r="FS725">
            <v>22.314663874962239</v>
          </cell>
          <cell r="FT725">
            <v>20.116606119778133</v>
          </cell>
          <cell r="FU725">
            <v>17.065595346429742</v>
          </cell>
          <cell r="FV725">
            <v>23.167616893126525</v>
          </cell>
          <cell r="GG725">
            <v>7.421368144005263</v>
          </cell>
          <cell r="GH725">
            <v>13.982143405445317</v>
          </cell>
          <cell r="GI725">
            <v>10.408007395026372</v>
          </cell>
          <cell r="GJ725">
            <v>7.7337520878462023</v>
          </cell>
          <cell r="GK725">
            <v>13.082262702206542</v>
          </cell>
        </row>
        <row r="726">
          <cell r="A726">
            <v>40476</v>
          </cell>
          <cell r="FR726">
            <v>18.16504077669903</v>
          </cell>
          <cell r="FS726">
            <v>22.314663874962239</v>
          </cell>
          <cell r="FT726">
            <v>20.116606119778133</v>
          </cell>
          <cell r="FU726">
            <v>17.065595346429742</v>
          </cell>
          <cell r="FV726">
            <v>23.167616893126525</v>
          </cell>
          <cell r="GG726">
            <v>7.4514593222728767</v>
          </cell>
          <cell r="GH726">
            <v>13.982143405445317</v>
          </cell>
          <cell r="GI726">
            <v>10.408007395026372</v>
          </cell>
          <cell r="GJ726">
            <v>7.7337520878462023</v>
          </cell>
          <cell r="GK726">
            <v>13.082262702206542</v>
          </cell>
        </row>
        <row r="727">
          <cell r="A727">
            <v>40477</v>
          </cell>
          <cell r="FR727">
            <v>18.291259223300969</v>
          </cell>
          <cell r="FS727">
            <v>22.314663874962239</v>
          </cell>
          <cell r="FT727">
            <v>20.116606119778133</v>
          </cell>
          <cell r="FU727">
            <v>17.065595346429742</v>
          </cell>
          <cell r="FV727">
            <v>23.167616893126525</v>
          </cell>
          <cell r="GG727">
            <v>7.5390045589133807</v>
          </cell>
          <cell r="GH727">
            <v>13.982143405445317</v>
          </cell>
          <cell r="GI727">
            <v>10.408007395026372</v>
          </cell>
          <cell r="GJ727">
            <v>7.7337520878462023</v>
          </cell>
          <cell r="GK727">
            <v>13.082262702206542</v>
          </cell>
        </row>
        <row r="728">
          <cell r="A728">
            <v>40478</v>
          </cell>
          <cell r="FR728">
            <v>18.116494174757282</v>
          </cell>
          <cell r="FS728">
            <v>22.314663874962239</v>
          </cell>
          <cell r="FT728">
            <v>20.116606119778133</v>
          </cell>
          <cell r="FU728">
            <v>17.065595346429742</v>
          </cell>
          <cell r="FV728">
            <v>23.167616893126525</v>
          </cell>
          <cell r="GG728">
            <v>7.4979696385768673</v>
          </cell>
          <cell r="GH728">
            <v>13.982143405445317</v>
          </cell>
          <cell r="GI728">
            <v>10.408007395026372</v>
          </cell>
          <cell r="GJ728">
            <v>7.7337520878462023</v>
          </cell>
          <cell r="GK728">
            <v>13.082262702206542</v>
          </cell>
        </row>
        <row r="729">
          <cell r="A729">
            <v>40479</v>
          </cell>
          <cell r="FR729">
            <v>18.504852427184467</v>
          </cell>
          <cell r="FS729">
            <v>22.314663874962239</v>
          </cell>
          <cell r="FT729">
            <v>20.116606119778133</v>
          </cell>
          <cell r="FU729">
            <v>17.065595346429742</v>
          </cell>
          <cell r="FV729">
            <v>23.167616893126525</v>
          </cell>
          <cell r="GG729">
            <v>7.5581519951120928</v>
          </cell>
          <cell r="GH729">
            <v>13.982143405445317</v>
          </cell>
          <cell r="GI729">
            <v>10.408007395026372</v>
          </cell>
          <cell r="GJ729">
            <v>7.7337520878462023</v>
          </cell>
          <cell r="GK729">
            <v>13.082262702206542</v>
          </cell>
        </row>
        <row r="730">
          <cell r="A730">
            <v>40480</v>
          </cell>
          <cell r="FR730">
            <v>18.271837864077671</v>
          </cell>
          <cell r="FS730">
            <v>22.314663874962239</v>
          </cell>
          <cell r="FT730">
            <v>20.116606119778133</v>
          </cell>
          <cell r="FU730">
            <v>17.065595346429742</v>
          </cell>
          <cell r="FV730">
            <v>23.167616893126525</v>
          </cell>
          <cell r="GG730">
            <v>7.5636273910795699</v>
          </cell>
          <cell r="GH730">
            <v>13.982143405445317</v>
          </cell>
          <cell r="GI730">
            <v>10.408007395026372</v>
          </cell>
          <cell r="GJ730">
            <v>7.7337520878462023</v>
          </cell>
          <cell r="GK730">
            <v>13.082262702206542</v>
          </cell>
        </row>
        <row r="731">
          <cell r="A731">
            <v>40483</v>
          </cell>
          <cell r="FR731">
            <v>18.359212621359223</v>
          </cell>
          <cell r="FS731">
            <v>22.314663874962239</v>
          </cell>
          <cell r="FT731">
            <v>20.116606119778133</v>
          </cell>
          <cell r="FU731">
            <v>17.065595346429742</v>
          </cell>
          <cell r="FV731">
            <v>23.167616893126525</v>
          </cell>
          <cell r="GG731">
            <v>7.5718310852093813</v>
          </cell>
          <cell r="GH731">
            <v>13.982143405445317</v>
          </cell>
          <cell r="GI731">
            <v>10.408007395026372</v>
          </cell>
          <cell r="GJ731">
            <v>7.7337520878462023</v>
          </cell>
          <cell r="GK731">
            <v>13.082262702206542</v>
          </cell>
        </row>
        <row r="732">
          <cell r="A732">
            <v>40484</v>
          </cell>
          <cell r="FR732">
            <v>18.553384466019416</v>
          </cell>
          <cell r="FS732">
            <v>22.314663874962239</v>
          </cell>
          <cell r="FT732">
            <v>20.116606119778133</v>
          </cell>
          <cell r="FU732">
            <v>17.065595346429742</v>
          </cell>
          <cell r="FV732">
            <v>23.167616893126525</v>
          </cell>
          <cell r="GG732">
            <v>7.5526836490106684</v>
          </cell>
          <cell r="GH732">
            <v>13.982143405445317</v>
          </cell>
          <cell r="GI732">
            <v>10.408007395026372</v>
          </cell>
          <cell r="GJ732">
            <v>7.7337520878462023</v>
          </cell>
          <cell r="GK732">
            <v>13.082262702206542</v>
          </cell>
        </row>
        <row r="733">
          <cell r="A733">
            <v>40485</v>
          </cell>
          <cell r="FR733">
            <v>18.38833786407767</v>
          </cell>
          <cell r="FS733">
            <v>22.314663874962239</v>
          </cell>
          <cell r="FT733">
            <v>20.116606119778133</v>
          </cell>
          <cell r="FU733">
            <v>17.065595346429742</v>
          </cell>
          <cell r="FV733">
            <v>23.167616893126525</v>
          </cell>
          <cell r="GG733">
            <v>7.476082154439065</v>
          </cell>
          <cell r="GH733">
            <v>13.982143405445317</v>
          </cell>
          <cell r="GI733">
            <v>10.408007395026372</v>
          </cell>
          <cell r="GJ733">
            <v>7.7337520878462023</v>
          </cell>
          <cell r="GK733">
            <v>13.082262702206542</v>
          </cell>
        </row>
        <row r="734">
          <cell r="A734">
            <v>40486</v>
          </cell>
          <cell r="FR734">
            <v>18.291259223300969</v>
          </cell>
          <cell r="FS734">
            <v>22.314663874962239</v>
          </cell>
          <cell r="FT734">
            <v>20.116606119778133</v>
          </cell>
          <cell r="FU734">
            <v>17.065595346429742</v>
          </cell>
          <cell r="FV734">
            <v>23.167616893126525</v>
          </cell>
          <cell r="GG734">
            <v>7.3721224796728864</v>
          </cell>
          <cell r="GH734">
            <v>13.982143405445317</v>
          </cell>
          <cell r="GI734">
            <v>10.408007395026372</v>
          </cell>
          <cell r="GJ734">
            <v>7.7337520878462023</v>
          </cell>
          <cell r="GK734">
            <v>13.082262702206542</v>
          </cell>
        </row>
        <row r="735">
          <cell r="A735">
            <v>40487</v>
          </cell>
          <cell r="FR735">
            <v>18.135915533980583</v>
          </cell>
          <cell r="FS735">
            <v>22.314663874962239</v>
          </cell>
          <cell r="FT735">
            <v>20.116606119778133</v>
          </cell>
          <cell r="FU735">
            <v>17.065595346429742</v>
          </cell>
          <cell r="FV735">
            <v>23.167616893126525</v>
          </cell>
          <cell r="GG735">
            <v>7.3666541335714619</v>
          </cell>
          <cell r="GH735">
            <v>13.982143405445317</v>
          </cell>
          <cell r="GI735">
            <v>10.408007395026372</v>
          </cell>
          <cell r="GJ735">
            <v>7.7337520878462023</v>
          </cell>
          <cell r="GK735">
            <v>13.082262702206542</v>
          </cell>
        </row>
        <row r="736">
          <cell r="A736">
            <v>40490</v>
          </cell>
          <cell r="FR736">
            <v>18.291259223300969</v>
          </cell>
          <cell r="FS736">
            <v>22.314663874962239</v>
          </cell>
          <cell r="FT736">
            <v>20.116606119778133</v>
          </cell>
          <cell r="FU736">
            <v>17.065595346429742</v>
          </cell>
          <cell r="FV736">
            <v>23.167616893126525</v>
          </cell>
          <cell r="GG736">
            <v>7.525323118860741</v>
          </cell>
          <cell r="GH736">
            <v>13.982143405445317</v>
          </cell>
          <cell r="GI736">
            <v>10.408007395026372</v>
          </cell>
          <cell r="GJ736">
            <v>7.7337520878462023</v>
          </cell>
          <cell r="GK736">
            <v>13.082262702206542</v>
          </cell>
        </row>
        <row r="737">
          <cell r="A737">
            <v>40491</v>
          </cell>
          <cell r="FR737">
            <v>18.106790291262136</v>
          </cell>
          <cell r="FS737">
            <v>22.314663874962239</v>
          </cell>
          <cell r="FT737">
            <v>20.116606119778133</v>
          </cell>
          <cell r="FU737">
            <v>17.065595346429742</v>
          </cell>
          <cell r="FV737">
            <v>23.167616893126525</v>
          </cell>
          <cell r="GG737">
            <v>7.5581519951120928</v>
          </cell>
          <cell r="GH737">
            <v>13.982143405445317</v>
          </cell>
          <cell r="GI737">
            <v>10.408007395026372</v>
          </cell>
          <cell r="GJ737">
            <v>7.7337520878462023</v>
          </cell>
          <cell r="GK737">
            <v>13.082262702206542</v>
          </cell>
        </row>
        <row r="738">
          <cell r="A738">
            <v>40492</v>
          </cell>
          <cell r="FR738">
            <v>17.91261844660194</v>
          </cell>
          <cell r="FS738">
            <v>22.314663874962239</v>
          </cell>
          <cell r="FT738">
            <v>20.116606119778133</v>
          </cell>
          <cell r="FU738">
            <v>17.065595346429742</v>
          </cell>
          <cell r="FV738">
            <v>23.167616893126525</v>
          </cell>
          <cell r="GG738">
            <v>7.4596653663580383</v>
          </cell>
          <cell r="GH738">
            <v>13.982143405445317</v>
          </cell>
          <cell r="GI738">
            <v>10.408007395026372</v>
          </cell>
          <cell r="GJ738">
            <v>7.7337520878462023</v>
          </cell>
          <cell r="GK738">
            <v>13.082262702206542</v>
          </cell>
        </row>
        <row r="739">
          <cell r="A739">
            <v>40493</v>
          </cell>
          <cell r="FR739">
            <v>17.825229126213593</v>
          </cell>
          <cell r="FS739">
            <v>22.314663874962239</v>
          </cell>
          <cell r="FT739">
            <v>20.116606119778133</v>
          </cell>
          <cell r="FU739">
            <v>17.065595346429742</v>
          </cell>
          <cell r="FV739">
            <v>23.167616893126525</v>
          </cell>
          <cell r="GG739">
            <v>7.4323118860741646</v>
          </cell>
          <cell r="GH739">
            <v>13.982143405445317</v>
          </cell>
          <cell r="GI739">
            <v>10.408007395026372</v>
          </cell>
          <cell r="GJ739">
            <v>7.7337520878462023</v>
          </cell>
          <cell r="GK739">
            <v>13.082262702206542</v>
          </cell>
        </row>
        <row r="740">
          <cell r="A740">
            <v>40494</v>
          </cell>
          <cell r="FR740">
            <v>17.883494174757281</v>
          </cell>
          <cell r="FS740">
            <v>22.314663874962239</v>
          </cell>
          <cell r="FT740">
            <v>20.116606119778133</v>
          </cell>
          <cell r="FU740">
            <v>17.065595346429742</v>
          </cell>
          <cell r="FV740">
            <v>23.167616893126525</v>
          </cell>
          <cell r="GG740">
            <v>7.4624030643417774</v>
          </cell>
          <cell r="GH740">
            <v>13.982143405445317</v>
          </cell>
          <cell r="GI740">
            <v>10.408007395026372</v>
          </cell>
          <cell r="GJ740">
            <v>7.7337520878462023</v>
          </cell>
          <cell r="GK740">
            <v>13.082262702206542</v>
          </cell>
        </row>
        <row r="741">
          <cell r="A741">
            <v>40497</v>
          </cell>
          <cell r="FR741">
            <v>17.808251456310678</v>
          </cell>
          <cell r="FS741">
            <v>22.314663874962239</v>
          </cell>
          <cell r="FT741">
            <v>20.116606119778133</v>
          </cell>
          <cell r="FU741">
            <v>17.065595346429742</v>
          </cell>
          <cell r="FV741">
            <v>23.167616893126525</v>
          </cell>
          <cell r="GG741">
            <v>7.525323118860741</v>
          </cell>
          <cell r="GH741">
            <v>13.982143405445317</v>
          </cell>
          <cell r="GI741">
            <v>10.408007395026372</v>
          </cell>
          <cell r="GJ741">
            <v>7.7337520878462023</v>
          </cell>
          <cell r="GK741">
            <v>13.082262702206542</v>
          </cell>
        </row>
        <row r="742">
          <cell r="A742">
            <v>40498</v>
          </cell>
          <cell r="FR742">
            <v>17.582510679611648</v>
          </cell>
          <cell r="FS742">
            <v>22.314663874962239</v>
          </cell>
          <cell r="FT742">
            <v>20.116606119778133</v>
          </cell>
          <cell r="FU742">
            <v>17.065595346429742</v>
          </cell>
          <cell r="FV742">
            <v>23.167616893126525</v>
          </cell>
          <cell r="GG742">
            <v>7.4432532781877141</v>
          </cell>
          <cell r="GH742">
            <v>13.982143405445317</v>
          </cell>
          <cell r="GI742">
            <v>10.408007395026372</v>
          </cell>
          <cell r="GJ742">
            <v>7.7337520878462023</v>
          </cell>
          <cell r="GK742">
            <v>13.082262702206542</v>
          </cell>
        </row>
        <row r="743">
          <cell r="A743">
            <v>40499</v>
          </cell>
          <cell r="FR743">
            <v>18.184462135922331</v>
          </cell>
          <cell r="FS743">
            <v>22.314663874962239</v>
          </cell>
          <cell r="FT743">
            <v>20.116606119778133</v>
          </cell>
          <cell r="FU743">
            <v>17.065595346429742</v>
          </cell>
          <cell r="FV743">
            <v>23.167616893126525</v>
          </cell>
          <cell r="GG743">
            <v>7.6511679278093716</v>
          </cell>
          <cell r="GH743">
            <v>13.982143405445317</v>
          </cell>
          <cell r="GI743">
            <v>10.408007395026372</v>
          </cell>
          <cell r="GJ743">
            <v>7.7337520878462023</v>
          </cell>
          <cell r="GK743">
            <v>13.082262702206542</v>
          </cell>
        </row>
        <row r="744">
          <cell r="A744">
            <v>40500</v>
          </cell>
          <cell r="FR744">
            <v>19.409988999999999</v>
          </cell>
          <cell r="FS744">
            <v>22.314663874962239</v>
          </cell>
          <cell r="FT744">
            <v>20.116606119778133</v>
          </cell>
          <cell r="FU744">
            <v>17.065595346429742</v>
          </cell>
          <cell r="FV744">
            <v>23.167616893126525</v>
          </cell>
          <cell r="GG744">
            <v>8.1822711864406781</v>
          </cell>
          <cell r="GH744">
            <v>13.982143405445317</v>
          </cell>
          <cell r="GI744">
            <v>10.408007395026372</v>
          </cell>
          <cell r="GJ744">
            <v>7.7337520878462023</v>
          </cell>
          <cell r="GK744">
            <v>13.082262702206542</v>
          </cell>
        </row>
        <row r="745">
          <cell r="A745">
            <v>40501</v>
          </cell>
          <cell r="FR745">
            <v>19.439988</v>
          </cell>
          <cell r="FS745">
            <v>22.314663874962239</v>
          </cell>
          <cell r="FT745">
            <v>20.116606119778133</v>
          </cell>
          <cell r="FU745">
            <v>17.065595346429742</v>
          </cell>
          <cell r="FV745">
            <v>23.167616893126525</v>
          </cell>
          <cell r="GG745">
            <v>8.0723414043583528</v>
          </cell>
          <cell r="GH745">
            <v>13.982143405445317</v>
          </cell>
          <cell r="GI745">
            <v>10.408007395026372</v>
          </cell>
          <cell r="GJ745">
            <v>7.7337520878462023</v>
          </cell>
          <cell r="GK745">
            <v>13.082262702206542</v>
          </cell>
        </row>
        <row r="746">
          <cell r="A746">
            <v>40504</v>
          </cell>
          <cell r="FR746">
            <v>19.199997</v>
          </cell>
          <cell r="FS746">
            <v>22.314663874962239</v>
          </cell>
          <cell r="FT746">
            <v>20.116606119778133</v>
          </cell>
          <cell r="FU746">
            <v>17.065595346429742</v>
          </cell>
          <cell r="FV746">
            <v>23.167616893126525</v>
          </cell>
          <cell r="GG746">
            <v>8.0244261501210659</v>
          </cell>
          <cell r="GH746">
            <v>13.982143405445317</v>
          </cell>
          <cell r="GI746">
            <v>10.408007395026372</v>
          </cell>
          <cell r="GJ746">
            <v>7.7337520878462023</v>
          </cell>
          <cell r="GK746">
            <v>13.082262702206542</v>
          </cell>
        </row>
        <row r="747">
          <cell r="A747">
            <v>40505</v>
          </cell>
          <cell r="FR747">
            <v>18.76999</v>
          </cell>
          <cell r="FS747">
            <v>22.314663874962239</v>
          </cell>
          <cell r="FT747">
            <v>20.116606119778133</v>
          </cell>
          <cell r="FU747">
            <v>17.065595346429742</v>
          </cell>
          <cell r="FV747">
            <v>23.167616893126525</v>
          </cell>
          <cell r="GG747">
            <v>8.0385157384987895</v>
          </cell>
          <cell r="GH747">
            <v>13.982143405445317</v>
          </cell>
          <cell r="GI747">
            <v>10.408007395026372</v>
          </cell>
          <cell r="GJ747">
            <v>7.7337520878462023</v>
          </cell>
          <cell r="GK747">
            <v>13.082262702206542</v>
          </cell>
        </row>
        <row r="748">
          <cell r="A748">
            <v>40506</v>
          </cell>
          <cell r="FR748">
            <v>19.069993</v>
          </cell>
          <cell r="FS748">
            <v>22.314663874962239</v>
          </cell>
          <cell r="FT748">
            <v>20.116606119778133</v>
          </cell>
          <cell r="FU748">
            <v>17.065595346429742</v>
          </cell>
          <cell r="FV748">
            <v>23.167616893126525</v>
          </cell>
          <cell r="GG748">
            <v>8.193547215496368</v>
          </cell>
          <cell r="GH748">
            <v>13.982143405445317</v>
          </cell>
          <cell r="GI748">
            <v>10.408007395026372</v>
          </cell>
          <cell r="GJ748">
            <v>7.7337520878462023</v>
          </cell>
          <cell r="GK748">
            <v>13.082262702206542</v>
          </cell>
        </row>
        <row r="749">
          <cell r="A749">
            <v>40507</v>
          </cell>
          <cell r="FR749">
            <v>19.069993</v>
          </cell>
          <cell r="FS749">
            <v>22.314663874962239</v>
          </cell>
          <cell r="FT749">
            <v>20.116606119778133</v>
          </cell>
          <cell r="FU749">
            <v>17.065595346429742</v>
          </cell>
          <cell r="FV749">
            <v>23.167616893126525</v>
          </cell>
          <cell r="GG749">
            <v>8.193547215496368</v>
          </cell>
          <cell r="GH749">
            <v>13.982143405445317</v>
          </cell>
          <cell r="GI749">
            <v>10.408007395026372</v>
          </cell>
          <cell r="GJ749">
            <v>7.7337520878462023</v>
          </cell>
          <cell r="GK749">
            <v>13.082262702206542</v>
          </cell>
        </row>
        <row r="750">
          <cell r="A750">
            <v>40508</v>
          </cell>
          <cell r="FR750">
            <v>18.919999000000001</v>
          </cell>
          <cell r="FS750">
            <v>22.314663874962239</v>
          </cell>
          <cell r="FT750">
            <v>20.116606119778133</v>
          </cell>
          <cell r="FU750">
            <v>17.065595346429742</v>
          </cell>
          <cell r="FV750">
            <v>23.167616893126525</v>
          </cell>
          <cell r="GG750">
            <v>8.2076416464891047</v>
          </cell>
          <cell r="GH750">
            <v>13.982143405445317</v>
          </cell>
          <cell r="GI750">
            <v>10.408007395026372</v>
          </cell>
          <cell r="GJ750">
            <v>7.7337520878462023</v>
          </cell>
          <cell r="GK750">
            <v>13.082262702206542</v>
          </cell>
        </row>
        <row r="751">
          <cell r="A751">
            <v>40511</v>
          </cell>
          <cell r="FR751">
            <v>18.709992</v>
          </cell>
          <cell r="FS751">
            <v>22.314663874962239</v>
          </cell>
          <cell r="FT751">
            <v>20.116606119778133</v>
          </cell>
          <cell r="FU751">
            <v>17.065595346429742</v>
          </cell>
          <cell r="FV751">
            <v>23.167616893126525</v>
          </cell>
          <cell r="GG751">
            <v>8.0977118644067794</v>
          </cell>
          <cell r="GH751">
            <v>13.982143405445317</v>
          </cell>
          <cell r="GI751">
            <v>10.408007395026372</v>
          </cell>
          <cell r="GJ751">
            <v>7.7337520878462023</v>
          </cell>
          <cell r="GK751">
            <v>13.082262702206542</v>
          </cell>
        </row>
        <row r="752">
          <cell r="A752">
            <v>40512</v>
          </cell>
          <cell r="FR752">
            <v>18.287490999999999</v>
          </cell>
          <cell r="FS752">
            <v>22.314663874962239</v>
          </cell>
          <cell r="FT752">
            <v>20.116606119778133</v>
          </cell>
          <cell r="FU752">
            <v>17.065595346429742</v>
          </cell>
          <cell r="FV752">
            <v>23.167616893126525</v>
          </cell>
          <cell r="GG752">
            <v>8.0638861985472161</v>
          </cell>
          <cell r="GH752">
            <v>13.982143405445317</v>
          </cell>
          <cell r="GI752">
            <v>10.408007395026372</v>
          </cell>
          <cell r="GJ752">
            <v>7.7337520878462023</v>
          </cell>
          <cell r="GK752">
            <v>13.082262702206542</v>
          </cell>
        </row>
        <row r="753">
          <cell r="A753">
            <v>40513</v>
          </cell>
          <cell r="FR753">
            <v>18.599990999999999</v>
          </cell>
          <cell r="FS753">
            <v>22.314663874962239</v>
          </cell>
          <cell r="FT753">
            <v>20.116606119778133</v>
          </cell>
          <cell r="FU753">
            <v>17.065595346429742</v>
          </cell>
          <cell r="FV753">
            <v>23.167616893126525</v>
          </cell>
          <cell r="GG753">
            <v>8.1879128329297828</v>
          </cell>
          <cell r="GH753">
            <v>13.982143405445317</v>
          </cell>
          <cell r="GI753">
            <v>10.408007395026372</v>
          </cell>
          <cell r="GJ753">
            <v>7.7337520878462023</v>
          </cell>
          <cell r="GK753">
            <v>13.082262702206542</v>
          </cell>
        </row>
        <row r="754">
          <cell r="A754">
            <v>40514</v>
          </cell>
          <cell r="FR754">
            <v>18.609985999999999</v>
          </cell>
          <cell r="FS754">
            <v>22.314663874962239</v>
          </cell>
          <cell r="FT754">
            <v>20.116606119778133</v>
          </cell>
          <cell r="FU754">
            <v>17.065595346429742</v>
          </cell>
          <cell r="FV754">
            <v>23.167616893126525</v>
          </cell>
          <cell r="GG754">
            <v>8.0977118644067794</v>
          </cell>
          <cell r="GH754">
            <v>13.982143405445317</v>
          </cell>
          <cell r="GI754">
            <v>10.408007395026372</v>
          </cell>
          <cell r="GJ754">
            <v>7.7337520878462023</v>
          </cell>
          <cell r="GK754">
            <v>13.082262702206542</v>
          </cell>
        </row>
        <row r="755">
          <cell r="A755">
            <v>40515</v>
          </cell>
          <cell r="FR755">
            <v>19.079986999999999</v>
          </cell>
          <cell r="FS755">
            <v>22.314663874962239</v>
          </cell>
          <cell r="FT755">
            <v>20.116606119778133</v>
          </cell>
          <cell r="FU755">
            <v>17.065595346429742</v>
          </cell>
          <cell r="FV755">
            <v>23.167616893126525</v>
          </cell>
          <cell r="GG755">
            <v>8.1315375302663444</v>
          </cell>
          <cell r="GH755">
            <v>13.982143405445317</v>
          </cell>
          <cell r="GI755">
            <v>10.408007395026372</v>
          </cell>
          <cell r="GJ755">
            <v>7.7337520878462023</v>
          </cell>
          <cell r="GK755">
            <v>13.082262702206542</v>
          </cell>
        </row>
        <row r="756">
          <cell r="A756">
            <v>40518</v>
          </cell>
          <cell r="FR756">
            <v>18.779999</v>
          </cell>
          <cell r="FS756">
            <v>22.314663874962239</v>
          </cell>
          <cell r="FT756">
            <v>20.116606119778133</v>
          </cell>
          <cell r="FU756">
            <v>17.065595346429742</v>
          </cell>
          <cell r="FV756">
            <v>23.167616893126525</v>
          </cell>
          <cell r="GG756">
            <v>8.1005326876513308</v>
          </cell>
          <cell r="GH756">
            <v>13.982143405445317</v>
          </cell>
          <cell r="GI756">
            <v>10.408007395026372</v>
          </cell>
          <cell r="GJ756">
            <v>7.7337520878462023</v>
          </cell>
          <cell r="GK756">
            <v>13.082262702206542</v>
          </cell>
        </row>
        <row r="757">
          <cell r="A757">
            <v>40519</v>
          </cell>
          <cell r="FR757">
            <v>19.029999</v>
          </cell>
          <cell r="FS757">
            <v>22.314663874962239</v>
          </cell>
          <cell r="FT757">
            <v>20.116606119778133</v>
          </cell>
          <cell r="FU757">
            <v>17.065595346429742</v>
          </cell>
          <cell r="FV757">
            <v>23.167616893126525</v>
          </cell>
          <cell r="GG757">
            <v>8.193547215496368</v>
          </cell>
          <cell r="GH757">
            <v>13.982143405445317</v>
          </cell>
          <cell r="GI757">
            <v>10.408007395026372</v>
          </cell>
          <cell r="GJ757">
            <v>7.7337520878462023</v>
          </cell>
          <cell r="GK757">
            <v>13.082262702206542</v>
          </cell>
        </row>
        <row r="758">
          <cell r="A758">
            <v>40520</v>
          </cell>
          <cell r="FR758">
            <v>19.39</v>
          </cell>
          <cell r="FS758">
            <v>22.314663874962239</v>
          </cell>
          <cell r="FT758">
            <v>20.116606119778133</v>
          </cell>
          <cell r="FU758">
            <v>17.065595346429742</v>
          </cell>
          <cell r="FV758">
            <v>23.167616893126525</v>
          </cell>
          <cell r="GG758">
            <v>8.4049612590799043</v>
          </cell>
          <cell r="GH758">
            <v>13.982143405445317</v>
          </cell>
          <cell r="GI758">
            <v>10.408007395026372</v>
          </cell>
          <cell r="GJ758">
            <v>7.7337520878462023</v>
          </cell>
          <cell r="GK758">
            <v>13.082262702206542</v>
          </cell>
        </row>
        <row r="759">
          <cell r="A759">
            <v>40521</v>
          </cell>
          <cell r="FR759">
            <v>19.399994</v>
          </cell>
          <cell r="FS759">
            <v>22.314663874962239</v>
          </cell>
          <cell r="FT759">
            <v>20.116606119778133</v>
          </cell>
          <cell r="FU759">
            <v>17.065595346429742</v>
          </cell>
          <cell r="FV759">
            <v>23.167616893126525</v>
          </cell>
          <cell r="GG759">
            <v>8.3457651331719127</v>
          </cell>
          <cell r="GH759">
            <v>13.982143405445317</v>
          </cell>
          <cell r="GI759">
            <v>10.408007395026372</v>
          </cell>
          <cell r="GJ759">
            <v>7.7337520878462023</v>
          </cell>
          <cell r="GK759">
            <v>13.082262702206542</v>
          </cell>
        </row>
        <row r="760">
          <cell r="A760">
            <v>40522</v>
          </cell>
          <cell r="FR760">
            <v>19.599990999999999</v>
          </cell>
          <cell r="FS760">
            <v>22.314663874962239</v>
          </cell>
          <cell r="FT760">
            <v>20.116606119778133</v>
          </cell>
          <cell r="FU760">
            <v>17.065595346429742</v>
          </cell>
          <cell r="FV760">
            <v>23.167616893126525</v>
          </cell>
          <cell r="GG760">
            <v>8.4726125907990308</v>
          </cell>
          <cell r="GH760">
            <v>13.982143405445317</v>
          </cell>
          <cell r="GI760">
            <v>10.408007395026372</v>
          </cell>
          <cell r="GJ760">
            <v>7.7337520878462023</v>
          </cell>
          <cell r="GK760">
            <v>13.082262702206542</v>
          </cell>
        </row>
        <row r="761">
          <cell r="A761">
            <v>40525</v>
          </cell>
          <cell r="FR761">
            <v>19.529999</v>
          </cell>
          <cell r="FS761">
            <v>22.314663874962239</v>
          </cell>
          <cell r="FT761">
            <v>20.116606119778133</v>
          </cell>
          <cell r="FU761">
            <v>17.065595346429742</v>
          </cell>
          <cell r="FV761">
            <v>23.167616893126525</v>
          </cell>
          <cell r="GG761">
            <v>8.3288498789346246</v>
          </cell>
          <cell r="GH761">
            <v>13.982143405445317</v>
          </cell>
          <cell r="GI761">
            <v>10.408007395026372</v>
          </cell>
          <cell r="GJ761">
            <v>7.7337520878462023</v>
          </cell>
          <cell r="GK761">
            <v>13.082262702206542</v>
          </cell>
        </row>
        <row r="762">
          <cell r="A762">
            <v>40526</v>
          </cell>
          <cell r="FR762">
            <v>19.919999000000001</v>
          </cell>
          <cell r="FS762">
            <v>22.314663874962239</v>
          </cell>
          <cell r="FT762">
            <v>20.116606119778133</v>
          </cell>
          <cell r="FU762">
            <v>17.065595346429742</v>
          </cell>
          <cell r="FV762">
            <v>23.167616893126525</v>
          </cell>
          <cell r="GG762">
            <v>8.5205278450363195</v>
          </cell>
          <cell r="GH762">
            <v>13.982143405445317</v>
          </cell>
          <cell r="GI762">
            <v>10.408007395026372</v>
          </cell>
          <cell r="GJ762">
            <v>7.7337520878462023</v>
          </cell>
          <cell r="GK762">
            <v>13.082262702206542</v>
          </cell>
        </row>
        <row r="763">
          <cell r="A763">
            <v>40527</v>
          </cell>
          <cell r="FR763">
            <v>19.76999</v>
          </cell>
          <cell r="FS763">
            <v>22.314663874962239</v>
          </cell>
          <cell r="FT763">
            <v>20.116606119778133</v>
          </cell>
          <cell r="FU763">
            <v>17.065595346429742</v>
          </cell>
          <cell r="FV763">
            <v>23.167616893126525</v>
          </cell>
          <cell r="GG763">
            <v>8.5543510895883781</v>
          </cell>
          <cell r="GH763">
            <v>13.982143405445317</v>
          </cell>
          <cell r="GI763">
            <v>10.408007395026372</v>
          </cell>
          <cell r="GJ763">
            <v>7.7337520878462023</v>
          </cell>
          <cell r="GK763">
            <v>13.082262702206542</v>
          </cell>
        </row>
        <row r="764">
          <cell r="A764">
            <v>40528</v>
          </cell>
          <cell r="FR764">
            <v>19.619996</v>
          </cell>
          <cell r="FS764">
            <v>22.314663874962239</v>
          </cell>
          <cell r="FT764">
            <v>20.116606119778133</v>
          </cell>
          <cell r="FU764">
            <v>17.065595346429742</v>
          </cell>
          <cell r="FV764">
            <v>23.167616893126525</v>
          </cell>
          <cell r="GG764">
            <v>8.527405918535381</v>
          </cell>
          <cell r="GH764">
            <v>13.982143405445317</v>
          </cell>
          <cell r="GI764">
            <v>10.408007395026372</v>
          </cell>
          <cell r="GJ764">
            <v>7.7337520878462023</v>
          </cell>
          <cell r="GK764">
            <v>13.082262702206542</v>
          </cell>
        </row>
        <row r="765">
          <cell r="A765">
            <v>40529</v>
          </cell>
          <cell r="FR765">
            <v>19.429993</v>
          </cell>
          <cell r="FS765">
            <v>22.314663874962239</v>
          </cell>
          <cell r="FT765">
            <v>20.116606119778133</v>
          </cell>
          <cell r="FU765">
            <v>17.065595346429742</v>
          </cell>
          <cell r="FV765">
            <v>23.167616893126525</v>
          </cell>
          <cell r="GG765">
            <v>8.4766576258052027</v>
          </cell>
          <cell r="GH765">
            <v>13.982143405445317</v>
          </cell>
          <cell r="GI765">
            <v>10.408007395026372</v>
          </cell>
          <cell r="GJ765">
            <v>7.7337520878462023</v>
          </cell>
          <cell r="GK765">
            <v>13.082262702206542</v>
          </cell>
        </row>
        <row r="766">
          <cell r="A766">
            <v>40532</v>
          </cell>
          <cell r="FR766">
            <v>19.399994</v>
          </cell>
          <cell r="FS766">
            <v>22.314663874962239</v>
          </cell>
          <cell r="FT766">
            <v>20.116606119778133</v>
          </cell>
          <cell r="FU766">
            <v>17.065595346429742</v>
          </cell>
          <cell r="FV766">
            <v>23.167616893126525</v>
          </cell>
          <cell r="GG766">
            <v>8.4541047125490394</v>
          </cell>
          <cell r="GH766">
            <v>13.982143405445317</v>
          </cell>
          <cell r="GI766">
            <v>10.408007395026372</v>
          </cell>
          <cell r="GJ766">
            <v>7.7337520878462023</v>
          </cell>
          <cell r="GK766">
            <v>13.082262702206542</v>
          </cell>
        </row>
        <row r="767">
          <cell r="A767">
            <v>40533</v>
          </cell>
          <cell r="FR767">
            <v>19.189988</v>
          </cell>
          <cell r="FS767">
            <v>22.314663874962239</v>
          </cell>
          <cell r="FT767">
            <v>20.116606119778133</v>
          </cell>
          <cell r="FU767">
            <v>17.065595346429742</v>
          </cell>
          <cell r="FV767">
            <v>23.167616893126525</v>
          </cell>
          <cell r="GG767">
            <v>8.4005400300285746</v>
          </cell>
          <cell r="GH767">
            <v>13.982143405445317</v>
          </cell>
          <cell r="GI767">
            <v>10.408007395026372</v>
          </cell>
          <cell r="GJ767">
            <v>7.7337520878462023</v>
          </cell>
          <cell r="GK767">
            <v>13.082262702206542</v>
          </cell>
        </row>
        <row r="768">
          <cell r="A768">
            <v>40534</v>
          </cell>
          <cell r="FR768">
            <v>19.439988</v>
          </cell>
          <cell r="FS768">
            <v>22.314663874962239</v>
          </cell>
          <cell r="FT768">
            <v>20.116606119778133</v>
          </cell>
          <cell r="FU768">
            <v>17.065595346429742</v>
          </cell>
          <cell r="FV768">
            <v>23.167616893126525</v>
          </cell>
          <cell r="GG768">
            <v>8.4625659902164969</v>
          </cell>
          <cell r="GH768">
            <v>13.982143405445317</v>
          </cell>
          <cell r="GI768">
            <v>10.408007395026372</v>
          </cell>
          <cell r="GJ768">
            <v>7.7337520878462023</v>
          </cell>
          <cell r="GK768">
            <v>13.082262702206542</v>
          </cell>
        </row>
        <row r="769">
          <cell r="A769">
            <v>40535</v>
          </cell>
          <cell r="FR769">
            <v>19.26999</v>
          </cell>
          <cell r="FS769">
            <v>22.314663874962239</v>
          </cell>
          <cell r="FT769">
            <v>20.116606119778133</v>
          </cell>
          <cell r="FU769">
            <v>17.065595346429742</v>
          </cell>
          <cell r="FV769">
            <v>23.167616893126525</v>
          </cell>
          <cell r="GG769">
            <v>8.4174601637041704</v>
          </cell>
          <cell r="GH769">
            <v>13.982143405445317</v>
          </cell>
          <cell r="GI769">
            <v>10.408007395026372</v>
          </cell>
          <cell r="GJ769">
            <v>7.7337520878462023</v>
          </cell>
          <cell r="GK769">
            <v>13.082262702206542</v>
          </cell>
        </row>
        <row r="770">
          <cell r="A770">
            <v>40536</v>
          </cell>
          <cell r="FR770">
            <v>19.26999</v>
          </cell>
          <cell r="FS770">
            <v>22.314663874962239</v>
          </cell>
          <cell r="FT770">
            <v>20.116606119778133</v>
          </cell>
          <cell r="FU770">
            <v>17.065595346429742</v>
          </cell>
          <cell r="FV770">
            <v>23.167616893126525</v>
          </cell>
          <cell r="GG770">
            <v>8.4174601637041704</v>
          </cell>
          <cell r="GH770">
            <v>13.982143405445317</v>
          </cell>
          <cell r="GI770">
            <v>10.408007395026372</v>
          </cell>
          <cell r="GJ770">
            <v>7.7337520878462023</v>
          </cell>
          <cell r="GK770">
            <v>13.082262702206542</v>
          </cell>
        </row>
        <row r="771">
          <cell r="A771">
            <v>40539</v>
          </cell>
          <cell r="FR771">
            <v>19.279999</v>
          </cell>
          <cell r="FS771">
            <v>22.314663874962239</v>
          </cell>
          <cell r="FT771">
            <v>20.116606119778133</v>
          </cell>
          <cell r="FU771">
            <v>17.065595346429742</v>
          </cell>
          <cell r="FV771">
            <v>23.167616893126525</v>
          </cell>
          <cell r="GG771">
            <v>8.4230929432847379</v>
          </cell>
          <cell r="GH771">
            <v>13.982143405445317</v>
          </cell>
          <cell r="GI771">
            <v>10.408007395026372</v>
          </cell>
          <cell r="GJ771">
            <v>7.7337520878462023</v>
          </cell>
          <cell r="GK771">
            <v>13.082262702206542</v>
          </cell>
        </row>
        <row r="772">
          <cell r="A772">
            <v>40540</v>
          </cell>
          <cell r="FR772">
            <v>19.489991</v>
          </cell>
          <cell r="FS772">
            <v>22.314663874962239</v>
          </cell>
          <cell r="FT772">
            <v>20.116606119778133</v>
          </cell>
          <cell r="FU772">
            <v>17.065595346429742</v>
          </cell>
          <cell r="FV772">
            <v>23.167616893126525</v>
          </cell>
          <cell r="GG772">
            <v>8.4766576258052027</v>
          </cell>
          <cell r="GH772">
            <v>13.982143405445317</v>
          </cell>
          <cell r="GI772">
            <v>10.408007395026372</v>
          </cell>
          <cell r="GJ772">
            <v>7.7337520878462023</v>
          </cell>
          <cell r="GK772">
            <v>13.082262702206542</v>
          </cell>
        </row>
        <row r="773">
          <cell r="A773">
            <v>40541</v>
          </cell>
          <cell r="FR773">
            <v>19.469985999999999</v>
          </cell>
          <cell r="FS773">
            <v>22.314663874962239</v>
          </cell>
          <cell r="FT773">
            <v>20.116606119778133</v>
          </cell>
          <cell r="FU773">
            <v>17.065595346429742</v>
          </cell>
          <cell r="FV773">
            <v>23.167616893126525</v>
          </cell>
          <cell r="GG773">
            <v>8.448469511309149</v>
          </cell>
          <cell r="GH773">
            <v>13.982143405445317</v>
          </cell>
          <cell r="GI773">
            <v>10.408007395026372</v>
          </cell>
          <cell r="GJ773">
            <v>7.7337520878462023</v>
          </cell>
          <cell r="GK773">
            <v>13.082262702206542</v>
          </cell>
        </row>
        <row r="774">
          <cell r="A774">
            <v>40542</v>
          </cell>
          <cell r="FR774">
            <v>19.449997</v>
          </cell>
          <cell r="FS774">
            <v>22.314663874962239</v>
          </cell>
          <cell r="FT774">
            <v>20.116606119778133</v>
          </cell>
          <cell r="FU774">
            <v>17.065595346429742</v>
          </cell>
          <cell r="FV774">
            <v>23.167616893126525</v>
          </cell>
          <cell r="GG774">
            <v>8.448469511309149</v>
          </cell>
          <cell r="GH774">
            <v>13.982143405445317</v>
          </cell>
          <cell r="GI774">
            <v>10.408007395026372</v>
          </cell>
          <cell r="GJ774">
            <v>7.7337520878462023</v>
          </cell>
          <cell r="GK774">
            <v>13.082262702206542</v>
          </cell>
        </row>
        <row r="775">
          <cell r="A775">
            <v>40543</v>
          </cell>
          <cell r="FR775">
            <v>19.549987999999999</v>
          </cell>
          <cell r="FS775">
            <v>22.314663874962239</v>
          </cell>
          <cell r="FT775">
            <v>20.116606119778133</v>
          </cell>
          <cell r="FU775">
            <v>17.065595346429742</v>
          </cell>
          <cell r="FV775">
            <v>23.167616893126525</v>
          </cell>
          <cell r="GG775">
            <v>8.448469511309149</v>
          </cell>
          <cell r="GH775">
            <v>13.982143405445317</v>
          </cell>
          <cell r="GI775">
            <v>10.408007395026372</v>
          </cell>
          <cell r="GJ775">
            <v>7.7337520878462023</v>
          </cell>
          <cell r="GK775">
            <v>13.082262702206542</v>
          </cell>
        </row>
        <row r="776">
          <cell r="A776">
            <v>40546</v>
          </cell>
          <cell r="FR776">
            <v>19.849990999999999</v>
          </cell>
          <cell r="FS776">
            <v>22.314663874962239</v>
          </cell>
          <cell r="FT776">
            <v>20.116606119778133</v>
          </cell>
          <cell r="FU776">
            <v>17.065595346429742</v>
          </cell>
          <cell r="FV776">
            <v>23.167616893126525</v>
          </cell>
          <cell r="GG776">
            <v>8.5245846854264542</v>
          </cell>
          <cell r="GH776">
            <v>13.982143405445317</v>
          </cell>
          <cell r="GI776">
            <v>10.408007395026372</v>
          </cell>
          <cell r="GJ776">
            <v>7.7337520878462023</v>
          </cell>
          <cell r="GK776">
            <v>13.082262702206542</v>
          </cell>
        </row>
        <row r="777">
          <cell r="A777">
            <v>40547</v>
          </cell>
          <cell r="FR777">
            <v>19.799987999999999</v>
          </cell>
          <cell r="FS777">
            <v>22.314663874962239</v>
          </cell>
          <cell r="FT777">
            <v>20.116606119778133</v>
          </cell>
          <cell r="FU777">
            <v>17.065595346429742</v>
          </cell>
          <cell r="FV777">
            <v>23.167616893126525</v>
          </cell>
          <cell r="GG777">
            <v>8.4851189034726602</v>
          </cell>
          <cell r="GH777">
            <v>13.982143405445317</v>
          </cell>
          <cell r="GI777">
            <v>10.408007395026372</v>
          </cell>
          <cell r="GJ777">
            <v>7.7337520878462023</v>
          </cell>
          <cell r="GK777">
            <v>13.082262702206542</v>
          </cell>
        </row>
        <row r="778">
          <cell r="A778">
            <v>40548</v>
          </cell>
          <cell r="FR778">
            <v>19.779999</v>
          </cell>
          <cell r="FS778">
            <v>22.314663874962239</v>
          </cell>
          <cell r="FT778">
            <v>20.116606119778133</v>
          </cell>
          <cell r="FU778">
            <v>17.065595346429742</v>
          </cell>
          <cell r="FV778">
            <v>23.167616893126525</v>
          </cell>
          <cell r="GG778">
            <v>8.6176199932193533</v>
          </cell>
          <cell r="GH778">
            <v>13.982143405445317</v>
          </cell>
          <cell r="GI778">
            <v>10.408007395026372</v>
          </cell>
          <cell r="GJ778">
            <v>7.7337520878462023</v>
          </cell>
          <cell r="GK778">
            <v>13.082262702206542</v>
          </cell>
        </row>
        <row r="779">
          <cell r="A779">
            <v>40549</v>
          </cell>
          <cell r="FR779">
            <v>19.699997</v>
          </cell>
          <cell r="FS779">
            <v>22.314663874962239</v>
          </cell>
          <cell r="FT779">
            <v>20.116606119778133</v>
          </cell>
          <cell r="FU779">
            <v>17.065595346429742</v>
          </cell>
          <cell r="FV779">
            <v>23.167616893126525</v>
          </cell>
          <cell r="GG779">
            <v>8.6232551944592437</v>
          </cell>
          <cell r="GH779">
            <v>13.982143405445317</v>
          </cell>
          <cell r="GI779">
            <v>10.408007395026372</v>
          </cell>
          <cell r="GJ779">
            <v>7.7337520878462023</v>
          </cell>
          <cell r="GK779">
            <v>13.082262702206542</v>
          </cell>
        </row>
        <row r="780">
          <cell r="A780">
            <v>40550</v>
          </cell>
          <cell r="FR780">
            <v>19.319993</v>
          </cell>
          <cell r="FS780">
            <v>22.314663874962239</v>
          </cell>
          <cell r="FT780">
            <v>20.116606119778133</v>
          </cell>
          <cell r="FU780">
            <v>17.065595346429742</v>
          </cell>
          <cell r="FV780">
            <v>23.167616893126525</v>
          </cell>
          <cell r="GG780">
            <v>8.580970601055844</v>
          </cell>
          <cell r="GH780">
            <v>13.982143405445317</v>
          </cell>
          <cell r="GI780">
            <v>10.408007395026372</v>
          </cell>
          <cell r="GJ780">
            <v>7.7337520878462023</v>
          </cell>
          <cell r="GK780">
            <v>13.082262702206542</v>
          </cell>
        </row>
        <row r="781">
          <cell r="A781">
            <v>40553</v>
          </cell>
          <cell r="FR781">
            <v>19.239991</v>
          </cell>
          <cell r="FS781">
            <v>22.314663874962239</v>
          </cell>
          <cell r="FT781">
            <v>20.116606119778133</v>
          </cell>
          <cell r="FU781">
            <v>17.065595346429742</v>
          </cell>
          <cell r="FV781">
            <v>23.167616893126525</v>
          </cell>
          <cell r="GG781">
            <v>8.5048530052792177</v>
          </cell>
          <cell r="GH781">
            <v>13.982143405445317</v>
          </cell>
          <cell r="GI781">
            <v>10.408007395026372</v>
          </cell>
          <cell r="GJ781">
            <v>7.7337520878462023</v>
          </cell>
          <cell r="GK781">
            <v>13.082262702206542</v>
          </cell>
        </row>
        <row r="782">
          <cell r="A782">
            <v>40554</v>
          </cell>
          <cell r="FR782">
            <v>19.5</v>
          </cell>
          <cell r="FS782">
            <v>22.314663874962239</v>
          </cell>
          <cell r="FT782">
            <v>20.116606119778133</v>
          </cell>
          <cell r="FU782">
            <v>17.065595346429742</v>
          </cell>
          <cell r="FV782">
            <v>23.167616893126525</v>
          </cell>
          <cell r="GG782">
            <v>8.5330411197752696</v>
          </cell>
          <cell r="GH782">
            <v>13.982143405445317</v>
          </cell>
          <cell r="GI782">
            <v>10.408007395026372</v>
          </cell>
          <cell r="GJ782">
            <v>7.7337520878462023</v>
          </cell>
          <cell r="GK782">
            <v>13.082262702206542</v>
          </cell>
        </row>
        <row r="783">
          <cell r="A783">
            <v>40555</v>
          </cell>
          <cell r="FR783">
            <v>19.619996</v>
          </cell>
          <cell r="FS783">
            <v>22.314663874962239</v>
          </cell>
          <cell r="FT783">
            <v>20.116606119778133</v>
          </cell>
          <cell r="FU783">
            <v>17.065595346429742</v>
          </cell>
          <cell r="FV783">
            <v>23.167616893126525</v>
          </cell>
          <cell r="GG783">
            <v>8.5696929335981018</v>
          </cell>
          <cell r="GH783">
            <v>13.982143405445317</v>
          </cell>
          <cell r="GI783">
            <v>10.408007395026372</v>
          </cell>
          <cell r="GJ783">
            <v>7.7337520878462023</v>
          </cell>
          <cell r="GK783">
            <v>13.082262702206542</v>
          </cell>
        </row>
        <row r="784">
          <cell r="A784">
            <v>40556</v>
          </cell>
          <cell r="FR784">
            <v>19.439988</v>
          </cell>
          <cell r="FS784">
            <v>22.314663874962239</v>
          </cell>
          <cell r="FT784">
            <v>20.116606119778133</v>
          </cell>
          <cell r="FU784">
            <v>17.065595346429742</v>
          </cell>
          <cell r="FV784">
            <v>23.167616893126525</v>
          </cell>
          <cell r="GG784">
            <v>8.3823073570010163</v>
          </cell>
          <cell r="GH784">
            <v>13.982143405445317</v>
          </cell>
          <cell r="GI784">
            <v>10.408007395026372</v>
          </cell>
          <cell r="GJ784">
            <v>7.7337520878462023</v>
          </cell>
          <cell r="GK784">
            <v>13.082262702206542</v>
          </cell>
        </row>
        <row r="785">
          <cell r="A785">
            <v>40557</v>
          </cell>
          <cell r="FR785">
            <v>19.26999</v>
          </cell>
          <cell r="FS785">
            <v>22.314663874962239</v>
          </cell>
          <cell r="FT785">
            <v>20.116606119778133</v>
          </cell>
          <cell r="FU785">
            <v>17.065595346429742</v>
          </cell>
          <cell r="FV785">
            <v>23.167616893126525</v>
          </cell>
          <cell r="GG785">
            <v>8.2496391727611762</v>
          </cell>
          <cell r="GH785">
            <v>13.982143405445317</v>
          </cell>
          <cell r="GI785">
            <v>10.408007395026372</v>
          </cell>
          <cell r="GJ785">
            <v>7.7337520878462023</v>
          </cell>
          <cell r="GK785">
            <v>13.082262702206542</v>
          </cell>
        </row>
        <row r="786">
          <cell r="A786">
            <v>40560</v>
          </cell>
          <cell r="FR786">
            <v>19.26999</v>
          </cell>
          <cell r="FS786">
            <v>22.314663874962239</v>
          </cell>
          <cell r="FT786">
            <v>20.116606119778133</v>
          </cell>
          <cell r="FU786">
            <v>17.065595346429742</v>
          </cell>
          <cell r="FV786">
            <v>23.167616893126525</v>
          </cell>
          <cell r="GG786">
            <v>8.2496391727611762</v>
          </cell>
          <cell r="GH786">
            <v>13.982143405445317</v>
          </cell>
          <cell r="GI786">
            <v>10.408007395026372</v>
          </cell>
          <cell r="GJ786">
            <v>7.7337520878462023</v>
          </cell>
          <cell r="GK786">
            <v>13.082262702206542</v>
          </cell>
        </row>
        <row r="787">
          <cell r="A787">
            <v>40561</v>
          </cell>
          <cell r="FR787">
            <v>19.239991</v>
          </cell>
          <cell r="FS787">
            <v>22.314663874962239</v>
          </cell>
          <cell r="FT787">
            <v>20.116606119778133</v>
          </cell>
          <cell r="FU787">
            <v>17.065595346429742</v>
          </cell>
          <cell r="FV787">
            <v>23.167616893126525</v>
          </cell>
          <cell r="GG787">
            <v>8.2214195766939504</v>
          </cell>
          <cell r="GH787">
            <v>13.982143405445317</v>
          </cell>
          <cell r="GI787">
            <v>10.408007395026372</v>
          </cell>
          <cell r="GJ787">
            <v>7.7337520878462023</v>
          </cell>
          <cell r="GK787">
            <v>13.082262702206542</v>
          </cell>
        </row>
        <row r="788">
          <cell r="A788">
            <v>40562</v>
          </cell>
          <cell r="FR788">
            <v>18.829986999999999</v>
          </cell>
          <cell r="FS788">
            <v>22.314663874962239</v>
          </cell>
          <cell r="FT788">
            <v>20.116606119778133</v>
          </cell>
          <cell r="FU788">
            <v>17.065595346429742</v>
          </cell>
          <cell r="FV788">
            <v>23.167616893126525</v>
          </cell>
          <cell r="GG788">
            <v>8.0802901147866528</v>
          </cell>
          <cell r="GH788">
            <v>13.982143405445317</v>
          </cell>
          <cell r="GI788">
            <v>10.408007395026372</v>
          </cell>
          <cell r="GJ788">
            <v>7.7337520878462023</v>
          </cell>
          <cell r="GK788">
            <v>13.082262702206542</v>
          </cell>
        </row>
        <row r="789">
          <cell r="A789">
            <v>40563</v>
          </cell>
          <cell r="FR789">
            <v>18.643551485148514</v>
          </cell>
          <cell r="FS789">
            <v>22.314663874962239</v>
          </cell>
          <cell r="FT789">
            <v>20.116606119778133</v>
          </cell>
          <cell r="FU789">
            <v>17.065595346429742</v>
          </cell>
          <cell r="FV789">
            <v>23.167616893126525</v>
          </cell>
          <cell r="GG789">
            <v>7.8949438874398794</v>
          </cell>
          <cell r="GH789">
            <v>13.982143405445317</v>
          </cell>
          <cell r="GI789">
            <v>10.408007395026372</v>
          </cell>
          <cell r="GJ789">
            <v>7.7337520878462023</v>
          </cell>
          <cell r="GK789">
            <v>13.082262702206542</v>
          </cell>
        </row>
        <row r="790">
          <cell r="A790">
            <v>40564</v>
          </cell>
          <cell r="FR790">
            <v>18.376235643564357</v>
          </cell>
          <cell r="FS790">
            <v>22.314663874962239</v>
          </cell>
          <cell r="FT790">
            <v>20.116606119778133</v>
          </cell>
          <cell r="FU790">
            <v>17.065595346429742</v>
          </cell>
          <cell r="FV790">
            <v>23.167616893126525</v>
          </cell>
          <cell r="GG790">
            <v>7.7722260773850822</v>
          </cell>
          <cell r="GH790">
            <v>13.982143405445317</v>
          </cell>
          <cell r="GI790">
            <v>10.408007395026372</v>
          </cell>
          <cell r="GJ790">
            <v>7.7337520878462023</v>
          </cell>
          <cell r="GK790">
            <v>13.082262702206542</v>
          </cell>
        </row>
        <row r="791">
          <cell r="A791">
            <v>40567</v>
          </cell>
          <cell r="FR791">
            <v>18.584148514851485</v>
          </cell>
          <cell r="FS791">
            <v>22.314663874962239</v>
          </cell>
          <cell r="FT791">
            <v>20.116606119778133</v>
          </cell>
          <cell r="FU791">
            <v>17.065595346429742</v>
          </cell>
          <cell r="FV791">
            <v>23.167616893126525</v>
          </cell>
          <cell r="GG791">
            <v>7.8586848843052328</v>
          </cell>
          <cell r="GH791">
            <v>13.982143405445317</v>
          </cell>
          <cell r="GI791">
            <v>10.408007395026372</v>
          </cell>
          <cell r="GJ791">
            <v>7.7337520878462023</v>
          </cell>
          <cell r="GK791">
            <v>13.082262702206542</v>
          </cell>
        </row>
        <row r="792">
          <cell r="A792">
            <v>40568</v>
          </cell>
          <cell r="FR792">
            <v>18.584148514851485</v>
          </cell>
          <cell r="FS792">
            <v>22.314663874962239</v>
          </cell>
          <cell r="FT792">
            <v>20.116606119778133</v>
          </cell>
          <cell r="FU792">
            <v>17.065595346429742</v>
          </cell>
          <cell r="FV792">
            <v>23.167616893126525</v>
          </cell>
          <cell r="GG792">
            <v>7.7527027350386444</v>
          </cell>
          <cell r="GH792">
            <v>13.982143405445317</v>
          </cell>
          <cell r="GI792">
            <v>10.408007395026372</v>
          </cell>
          <cell r="GJ792">
            <v>7.7337520878462023</v>
          </cell>
          <cell r="GK792">
            <v>13.082262702206542</v>
          </cell>
        </row>
        <row r="793">
          <cell r="A793">
            <v>40569</v>
          </cell>
          <cell r="FR793">
            <v>18.594058415841584</v>
          </cell>
          <cell r="FS793">
            <v>22.314663874962239</v>
          </cell>
          <cell r="FT793">
            <v>20.116606119778133</v>
          </cell>
          <cell r="FU793">
            <v>17.065595346429742</v>
          </cell>
          <cell r="FV793">
            <v>23.167616893126525</v>
          </cell>
          <cell r="GG793">
            <v>7.8056902203823784</v>
          </cell>
          <cell r="GH793">
            <v>13.982143405445317</v>
          </cell>
          <cell r="GI793">
            <v>10.408007395026372</v>
          </cell>
          <cell r="GJ793">
            <v>7.7337520878462023</v>
          </cell>
          <cell r="GK793">
            <v>13.082262702206542</v>
          </cell>
        </row>
        <row r="794">
          <cell r="A794">
            <v>40570</v>
          </cell>
          <cell r="FR794">
            <v>18.534639603960393</v>
          </cell>
          <cell r="FS794">
            <v>22.314663874962239</v>
          </cell>
          <cell r="FT794">
            <v>20.116606119778133</v>
          </cell>
          <cell r="FU794">
            <v>17.065595346429742</v>
          </cell>
          <cell r="FV794">
            <v>23.167616893126525</v>
          </cell>
          <cell r="GG794">
            <v>7.74433490464454</v>
          </cell>
          <cell r="GH794">
            <v>13.982143405445317</v>
          </cell>
          <cell r="GI794">
            <v>10.408007395026372</v>
          </cell>
          <cell r="GJ794">
            <v>7.7337520878462023</v>
          </cell>
          <cell r="GK794">
            <v>13.082262702206542</v>
          </cell>
        </row>
        <row r="795">
          <cell r="A795">
            <v>40571</v>
          </cell>
          <cell r="FR795">
            <v>17.950485148514851</v>
          </cell>
          <cell r="FS795">
            <v>22.314663874962239</v>
          </cell>
          <cell r="FT795">
            <v>20.116606119778133</v>
          </cell>
          <cell r="FU795">
            <v>17.065595346429742</v>
          </cell>
          <cell r="FV795">
            <v>23.167616893126525</v>
          </cell>
          <cell r="GG795">
            <v>7.5909358474312647</v>
          </cell>
          <cell r="GH795">
            <v>13.982143405445317</v>
          </cell>
          <cell r="GI795">
            <v>10.408007395026372</v>
          </cell>
          <cell r="GJ795">
            <v>7.7337520878462023</v>
          </cell>
          <cell r="GK795">
            <v>13.082262702206542</v>
          </cell>
        </row>
        <row r="796">
          <cell r="A796">
            <v>40574</v>
          </cell>
          <cell r="FR796">
            <v>18.267323762376236</v>
          </cell>
          <cell r="FS796">
            <v>22.314663874962239</v>
          </cell>
          <cell r="FT796">
            <v>20.116606119778133</v>
          </cell>
          <cell r="FU796">
            <v>17.065595346429742</v>
          </cell>
          <cell r="FV796">
            <v>23.167616893126525</v>
          </cell>
          <cell r="GG796">
            <v>7.6048838266612426</v>
          </cell>
          <cell r="GH796">
            <v>13.982143405445317</v>
          </cell>
          <cell r="GI796">
            <v>10.408007395026372</v>
          </cell>
          <cell r="GJ796">
            <v>7.7337520878462023</v>
          </cell>
          <cell r="GK796">
            <v>13.082262702206542</v>
          </cell>
        </row>
        <row r="797">
          <cell r="A797">
            <v>40575</v>
          </cell>
          <cell r="FR797">
            <v>18.326727722772276</v>
          </cell>
          <cell r="FS797">
            <v>22.314663874962239</v>
          </cell>
          <cell r="FT797">
            <v>20.116606119778133</v>
          </cell>
          <cell r="FU797">
            <v>17.065595346429742</v>
          </cell>
          <cell r="FV797">
            <v>23.167616893126525</v>
          </cell>
          <cell r="GG797">
            <v>7.6550836304467467</v>
          </cell>
          <cell r="GH797">
            <v>13.982143405445317</v>
          </cell>
          <cell r="GI797">
            <v>10.408007395026372</v>
          </cell>
          <cell r="GJ797">
            <v>7.7337520878462023</v>
          </cell>
          <cell r="GK797">
            <v>13.082262702206542</v>
          </cell>
        </row>
        <row r="798">
          <cell r="A798">
            <v>40576</v>
          </cell>
          <cell r="FR798">
            <v>17.970291089108912</v>
          </cell>
          <cell r="FS798">
            <v>22.314663874962239</v>
          </cell>
          <cell r="FT798">
            <v>20.116606119778133</v>
          </cell>
          <cell r="FU798">
            <v>17.065595346429742</v>
          </cell>
          <cell r="FV798">
            <v>23.167616893126525</v>
          </cell>
          <cell r="GG798">
            <v>7.4905338470005498</v>
          </cell>
          <cell r="GH798">
            <v>13.982143405445317</v>
          </cell>
          <cell r="GI798">
            <v>10.408007395026372</v>
          </cell>
          <cell r="GJ798">
            <v>7.7337520878462023</v>
          </cell>
          <cell r="GK798">
            <v>13.082262702206542</v>
          </cell>
        </row>
        <row r="799">
          <cell r="A799">
            <v>40577</v>
          </cell>
          <cell r="FR799">
            <v>18.316831683168317</v>
          </cell>
          <cell r="FS799">
            <v>22.314663874962239</v>
          </cell>
          <cell r="FT799">
            <v>20.116606119778133</v>
          </cell>
          <cell r="FU799">
            <v>17.065595346429742</v>
          </cell>
          <cell r="FV799">
            <v>23.167616893126525</v>
          </cell>
          <cell r="GG799">
            <v>7.74433490464454</v>
          </cell>
          <cell r="GH799">
            <v>13.982143405445317</v>
          </cell>
          <cell r="GI799">
            <v>10.408007395026372</v>
          </cell>
          <cell r="GJ799">
            <v>7.7337520878462023</v>
          </cell>
          <cell r="GK799">
            <v>13.082262702206542</v>
          </cell>
        </row>
        <row r="800">
          <cell r="A800">
            <v>40578</v>
          </cell>
          <cell r="FR800">
            <v>18.297025742574256</v>
          </cell>
          <cell r="FS800">
            <v>22.314663874962239</v>
          </cell>
          <cell r="FT800">
            <v>20.116606119778133</v>
          </cell>
          <cell r="FU800">
            <v>17.065595346429742</v>
          </cell>
          <cell r="FV800">
            <v>23.167616893126525</v>
          </cell>
          <cell r="GG800">
            <v>7.6969227824172668</v>
          </cell>
          <cell r="GH800">
            <v>13.982143405445317</v>
          </cell>
          <cell r="GI800">
            <v>10.408007395026372</v>
          </cell>
          <cell r="GJ800">
            <v>7.7337520878462023</v>
          </cell>
          <cell r="GK800">
            <v>13.082262702206542</v>
          </cell>
        </row>
        <row r="801">
          <cell r="A801">
            <v>40581</v>
          </cell>
          <cell r="FR801">
            <v>18.435639603960396</v>
          </cell>
          <cell r="FS801">
            <v>22.314663874962239</v>
          </cell>
          <cell r="FT801">
            <v>20.116606119778133</v>
          </cell>
          <cell r="FU801">
            <v>17.065595346429742</v>
          </cell>
          <cell r="FV801">
            <v>23.167616893126525</v>
          </cell>
          <cell r="GG801">
            <v>7.7722260773850822</v>
          </cell>
          <cell r="GH801">
            <v>13.982143405445317</v>
          </cell>
          <cell r="GI801">
            <v>10.408007395026372</v>
          </cell>
          <cell r="GJ801">
            <v>7.7337520878462023</v>
          </cell>
          <cell r="GK801">
            <v>13.082262702206542</v>
          </cell>
        </row>
        <row r="802">
          <cell r="A802">
            <v>40582</v>
          </cell>
          <cell r="FR802">
            <v>18.477713861386139</v>
          </cell>
          <cell r="FS802">
            <v>22.314663874962239</v>
          </cell>
          <cell r="FT802">
            <v>20.116606119778133</v>
          </cell>
          <cell r="FU802">
            <v>17.065595346429742</v>
          </cell>
          <cell r="FV802">
            <v>23.167616893126525</v>
          </cell>
          <cell r="GG802">
            <v>7.74433490464454</v>
          </cell>
          <cell r="GH802">
            <v>13.982143405445317</v>
          </cell>
          <cell r="GI802">
            <v>10.408007395026372</v>
          </cell>
          <cell r="GJ802">
            <v>7.7337520878462023</v>
          </cell>
          <cell r="GK802">
            <v>13.082262702206542</v>
          </cell>
        </row>
        <row r="803">
          <cell r="A803">
            <v>40583</v>
          </cell>
          <cell r="FR803">
            <v>18.524744554455445</v>
          </cell>
          <cell r="FS803">
            <v>22.314663874962239</v>
          </cell>
          <cell r="FT803">
            <v>20.116606119778133</v>
          </cell>
          <cell r="FU803">
            <v>17.065595346429742</v>
          </cell>
          <cell r="FV803">
            <v>23.167616893126525</v>
          </cell>
          <cell r="GG803">
            <v>7.730386925414563</v>
          </cell>
          <cell r="GH803">
            <v>13.982143405445317</v>
          </cell>
          <cell r="GI803">
            <v>10.408007395026372</v>
          </cell>
          <cell r="GJ803">
            <v>7.7337520878462023</v>
          </cell>
          <cell r="GK803">
            <v>13.082262702206542</v>
          </cell>
        </row>
        <row r="804">
          <cell r="A804">
            <v>40584</v>
          </cell>
          <cell r="FR804">
            <v>18.653462376237623</v>
          </cell>
          <cell r="FS804">
            <v>22.314663874962239</v>
          </cell>
          <cell r="FT804">
            <v>20.116606119778133</v>
          </cell>
          <cell r="FU804">
            <v>17.065595346429742</v>
          </cell>
          <cell r="FV804">
            <v>23.167616893126525</v>
          </cell>
          <cell r="GG804">
            <v>7.8224258811705871</v>
          </cell>
          <cell r="GH804">
            <v>13.982143405445317</v>
          </cell>
          <cell r="GI804">
            <v>10.408007395026372</v>
          </cell>
          <cell r="GJ804">
            <v>7.7337520878462023</v>
          </cell>
          <cell r="GK804">
            <v>13.082262702206542</v>
          </cell>
        </row>
        <row r="805">
          <cell r="A805">
            <v>40585</v>
          </cell>
          <cell r="FR805">
            <v>19.019794059405939</v>
          </cell>
          <cell r="FS805">
            <v>22.314663874962239</v>
          </cell>
          <cell r="FT805">
            <v>20.116606119778133</v>
          </cell>
          <cell r="FU805">
            <v>17.065595346429742</v>
          </cell>
          <cell r="FV805">
            <v>23.167616893126525</v>
          </cell>
          <cell r="GG805">
            <v>8.0260271350290733</v>
          </cell>
          <cell r="GH805">
            <v>13.982143405445317</v>
          </cell>
          <cell r="GI805">
            <v>10.408007395026372</v>
          </cell>
          <cell r="GJ805">
            <v>7.7337520878462023</v>
          </cell>
          <cell r="GK805">
            <v>13.082262702206542</v>
          </cell>
        </row>
        <row r="806">
          <cell r="A806">
            <v>40588</v>
          </cell>
          <cell r="FR806">
            <v>19.158406930693069</v>
          </cell>
          <cell r="FS806">
            <v>22.314663874962239</v>
          </cell>
          <cell r="FT806">
            <v>20.116606119778133</v>
          </cell>
          <cell r="FU806">
            <v>17.065595346429742</v>
          </cell>
          <cell r="FV806">
            <v>23.167616893126525</v>
          </cell>
          <cell r="GG806">
            <v>8.0790217989519277</v>
          </cell>
          <cell r="GH806">
            <v>13.982143405445317</v>
          </cell>
          <cell r="GI806">
            <v>10.408007395026372</v>
          </cell>
          <cell r="GJ806">
            <v>7.7337520878462023</v>
          </cell>
          <cell r="GK806">
            <v>13.082262702206542</v>
          </cell>
        </row>
        <row r="807">
          <cell r="A807">
            <v>40589</v>
          </cell>
          <cell r="FR807">
            <v>19.574247524752476</v>
          </cell>
          <cell r="FS807">
            <v>22.314663874962239</v>
          </cell>
          <cell r="FT807">
            <v>20.116606119778133</v>
          </cell>
          <cell r="FU807">
            <v>17.065595346429742</v>
          </cell>
          <cell r="FV807">
            <v>23.167616893126525</v>
          </cell>
          <cell r="GG807">
            <v>8.3188724845062332</v>
          </cell>
          <cell r="GH807">
            <v>13.982143405445317</v>
          </cell>
          <cell r="GI807">
            <v>10.408007395026372</v>
          </cell>
          <cell r="GJ807">
            <v>7.7337520878462023</v>
          </cell>
          <cell r="GK807">
            <v>13.082262702206542</v>
          </cell>
        </row>
        <row r="808">
          <cell r="A808">
            <v>40590</v>
          </cell>
          <cell r="FR808">
            <v>19.465335643564355</v>
          </cell>
          <cell r="FS808">
            <v>22.314663874962239</v>
          </cell>
          <cell r="FT808">
            <v>20.116606119778133</v>
          </cell>
          <cell r="FU808">
            <v>17.065595346429742</v>
          </cell>
          <cell r="FV808">
            <v>23.167616893126525</v>
          </cell>
          <cell r="GG808">
            <v>8.2547318800698708</v>
          </cell>
          <cell r="GH808">
            <v>13.982143405445317</v>
          </cell>
          <cell r="GI808">
            <v>10.408007395026372</v>
          </cell>
          <cell r="GJ808">
            <v>7.7337520878462023</v>
          </cell>
          <cell r="GK808">
            <v>13.082262702206542</v>
          </cell>
        </row>
        <row r="809">
          <cell r="A809">
            <v>40591</v>
          </cell>
          <cell r="FR809">
            <v>20.202020202020201</v>
          </cell>
          <cell r="FS809">
            <v>22.314663874962239</v>
          </cell>
          <cell r="FT809">
            <v>20.116606119778133</v>
          </cell>
          <cell r="FU809">
            <v>17.065595346429742</v>
          </cell>
          <cell r="FV809">
            <v>23.167616893126525</v>
          </cell>
          <cell r="GG809">
            <v>8.1707269632871373</v>
          </cell>
          <cell r="GH809">
            <v>13.982143405445317</v>
          </cell>
          <cell r="GI809">
            <v>10.408007395026372</v>
          </cell>
          <cell r="GJ809">
            <v>7.7337520878462023</v>
          </cell>
          <cell r="GK809">
            <v>13.082262702206542</v>
          </cell>
        </row>
        <row r="810">
          <cell r="A810">
            <v>40592</v>
          </cell>
          <cell r="FR810">
            <v>20.626261616161617</v>
          </cell>
          <cell r="FS810">
            <v>22.314663874962239</v>
          </cell>
          <cell r="FT810">
            <v>20.116606119778133</v>
          </cell>
          <cell r="FU810">
            <v>17.065595346429742</v>
          </cell>
          <cell r="FV810">
            <v>23.167616893126525</v>
          </cell>
          <cell r="GG810">
            <v>8.2897520058351564</v>
          </cell>
          <cell r="GH810">
            <v>13.982143405445317</v>
          </cell>
          <cell r="GI810">
            <v>10.408007395026372</v>
          </cell>
          <cell r="GJ810">
            <v>7.7337520878462023</v>
          </cell>
          <cell r="GK810">
            <v>13.082262702206542</v>
          </cell>
        </row>
        <row r="811">
          <cell r="A811">
            <v>40595</v>
          </cell>
          <cell r="FR811">
            <v>20.626261616161617</v>
          </cell>
          <cell r="FS811">
            <v>22.314663874962239</v>
          </cell>
          <cell r="FT811">
            <v>20.116606119778133</v>
          </cell>
          <cell r="FU811">
            <v>17.065595346429742</v>
          </cell>
          <cell r="FV811">
            <v>23.167616893126525</v>
          </cell>
          <cell r="GG811">
            <v>8.2897520058351564</v>
          </cell>
          <cell r="GH811">
            <v>13.982143405445317</v>
          </cell>
          <cell r="GI811">
            <v>10.408007395026372</v>
          </cell>
          <cell r="GJ811">
            <v>7.7337520878462023</v>
          </cell>
          <cell r="GK811">
            <v>13.082262702206542</v>
          </cell>
        </row>
        <row r="812">
          <cell r="A812">
            <v>40596</v>
          </cell>
          <cell r="FR812">
            <v>20.606054545454544</v>
          </cell>
          <cell r="FS812">
            <v>22.314663874962239</v>
          </cell>
          <cell r="FT812">
            <v>20.116606119778133</v>
          </cell>
          <cell r="FU812">
            <v>17.065595346429742</v>
          </cell>
          <cell r="FV812">
            <v>23.167616893126525</v>
          </cell>
          <cell r="GG812">
            <v>8.3549331388281054</v>
          </cell>
          <cell r="GH812">
            <v>13.982143405445317</v>
          </cell>
          <cell r="GI812">
            <v>10.408007395026372</v>
          </cell>
          <cell r="GJ812">
            <v>7.7337520878462023</v>
          </cell>
          <cell r="GK812">
            <v>13.082262702206542</v>
          </cell>
        </row>
        <row r="813">
          <cell r="A813">
            <v>40597</v>
          </cell>
          <cell r="FR813">
            <v>20.707070707070706</v>
          </cell>
          <cell r="FS813">
            <v>22.314663874962239</v>
          </cell>
          <cell r="FT813">
            <v>20.116606119778133</v>
          </cell>
          <cell r="FU813">
            <v>17.065595346429742</v>
          </cell>
          <cell r="FV813">
            <v>23.167616893126525</v>
          </cell>
          <cell r="GG813">
            <v>8.2472477510333082</v>
          </cell>
          <cell r="GH813">
            <v>13.982143405445317</v>
          </cell>
          <cell r="GI813">
            <v>10.408007395026372</v>
          </cell>
          <cell r="GJ813">
            <v>7.7337520878462023</v>
          </cell>
          <cell r="GK813">
            <v>13.082262702206542</v>
          </cell>
        </row>
        <row r="814">
          <cell r="A814">
            <v>40598</v>
          </cell>
          <cell r="FR814">
            <v>20.808071717171718</v>
          </cell>
          <cell r="FS814">
            <v>22.314663874962239</v>
          </cell>
          <cell r="FT814">
            <v>20.116606119778133</v>
          </cell>
          <cell r="FU814">
            <v>17.065595346429742</v>
          </cell>
          <cell r="FV814">
            <v>23.167616893126525</v>
          </cell>
          <cell r="GG814">
            <v>8.2699149039630448</v>
          </cell>
          <cell r="GH814">
            <v>13.982143405445317</v>
          </cell>
          <cell r="GI814">
            <v>10.408007395026372</v>
          </cell>
          <cell r="GJ814">
            <v>7.7337520878462023</v>
          </cell>
          <cell r="GK814">
            <v>13.082262702206542</v>
          </cell>
        </row>
        <row r="815">
          <cell r="A815">
            <v>40599</v>
          </cell>
          <cell r="FR815">
            <v>20.858579797979797</v>
          </cell>
          <cell r="FS815">
            <v>22.314663874962239</v>
          </cell>
          <cell r="FT815">
            <v>20.116606119778133</v>
          </cell>
          <cell r="FU815">
            <v>17.065595346429742</v>
          </cell>
          <cell r="FV815">
            <v>23.167616893126525</v>
          </cell>
          <cell r="GG815">
            <v>8.3946049112569892</v>
          </cell>
          <cell r="GH815">
            <v>13.982143405445317</v>
          </cell>
          <cell r="GI815">
            <v>10.408007395026372</v>
          </cell>
          <cell r="GJ815">
            <v>7.7337520878462023</v>
          </cell>
          <cell r="GK815">
            <v>13.082262702206542</v>
          </cell>
        </row>
        <row r="816">
          <cell r="A816">
            <v>40602</v>
          </cell>
          <cell r="FR816">
            <v>20.838373737373736</v>
          </cell>
          <cell r="FS816">
            <v>22.314663874962239</v>
          </cell>
          <cell r="FT816">
            <v>20.116606119778133</v>
          </cell>
          <cell r="FU816">
            <v>17.065595346429742</v>
          </cell>
          <cell r="FV816">
            <v>23.167616893126525</v>
          </cell>
          <cell r="GG816">
            <v>8.2954218332117673</v>
          </cell>
          <cell r="GH816">
            <v>13.982143405445317</v>
          </cell>
          <cell r="GI816">
            <v>10.408007395026372</v>
          </cell>
          <cell r="GJ816">
            <v>7.7337520878462023</v>
          </cell>
          <cell r="GK816">
            <v>13.082262702206542</v>
          </cell>
        </row>
        <row r="817">
          <cell r="A817">
            <v>40603</v>
          </cell>
          <cell r="FR817">
            <v>20.65909090909091</v>
          </cell>
          <cell r="FS817">
            <v>22.314663874962239</v>
          </cell>
          <cell r="FT817">
            <v>20.116606119778133</v>
          </cell>
          <cell r="FU817">
            <v>17.065595346429742</v>
          </cell>
          <cell r="FV817">
            <v>23.167616893126525</v>
          </cell>
          <cell r="GG817">
            <v>8.2670848529054215</v>
          </cell>
          <cell r="GH817">
            <v>13.982143405445317</v>
          </cell>
          <cell r="GI817">
            <v>10.408007395026372</v>
          </cell>
          <cell r="GJ817">
            <v>7.7337520878462023</v>
          </cell>
          <cell r="GK817">
            <v>13.082262702206542</v>
          </cell>
        </row>
        <row r="818">
          <cell r="A818">
            <v>40604</v>
          </cell>
          <cell r="FR818">
            <v>20.757563636363635</v>
          </cell>
          <cell r="FS818">
            <v>22.314663874962239</v>
          </cell>
          <cell r="FT818">
            <v>20.116606119778133</v>
          </cell>
          <cell r="FU818">
            <v>17.065595346429742</v>
          </cell>
          <cell r="FV818">
            <v>23.167616893126525</v>
          </cell>
          <cell r="GG818">
            <v>8.2330756139071237</v>
          </cell>
          <cell r="GH818">
            <v>13.982143405445317</v>
          </cell>
          <cell r="GI818">
            <v>10.408007395026372</v>
          </cell>
          <cell r="GJ818">
            <v>7.7337520878462023</v>
          </cell>
          <cell r="GK818">
            <v>13.082262702206542</v>
          </cell>
        </row>
        <row r="819">
          <cell r="A819">
            <v>40605</v>
          </cell>
          <cell r="FR819">
            <v>20.989897979797981</v>
          </cell>
          <cell r="FS819">
            <v>22.314663874962239</v>
          </cell>
          <cell r="FT819">
            <v>20.116606119778133</v>
          </cell>
          <cell r="FU819">
            <v>17.065595346429742</v>
          </cell>
          <cell r="FV819">
            <v>23.167616893126525</v>
          </cell>
          <cell r="GG819">
            <v>8.329426209579383</v>
          </cell>
          <cell r="GH819">
            <v>13.982143405445317</v>
          </cell>
          <cell r="GI819">
            <v>10.408007395026372</v>
          </cell>
          <cell r="GJ819">
            <v>7.7337520878462023</v>
          </cell>
          <cell r="GK819">
            <v>13.082262702206542</v>
          </cell>
        </row>
        <row r="820">
          <cell r="A820">
            <v>40606</v>
          </cell>
          <cell r="FR820">
            <v>21.050502020202021</v>
          </cell>
          <cell r="FS820">
            <v>22.314663874962239</v>
          </cell>
          <cell r="FT820">
            <v>20.116606119778133</v>
          </cell>
          <cell r="FU820">
            <v>17.065595346429742</v>
          </cell>
          <cell r="FV820">
            <v>23.167616893126525</v>
          </cell>
          <cell r="GG820">
            <v>8.2274057865305128</v>
          </cell>
          <cell r="GH820">
            <v>13.982143405445317</v>
          </cell>
          <cell r="GI820">
            <v>10.408007395026372</v>
          </cell>
          <cell r="GJ820">
            <v>7.7337520878462023</v>
          </cell>
          <cell r="GK820">
            <v>13.082262702206542</v>
          </cell>
        </row>
        <row r="821">
          <cell r="A821">
            <v>40609</v>
          </cell>
          <cell r="FR821">
            <v>20.939389898989898</v>
          </cell>
          <cell r="FS821">
            <v>22.314663874962239</v>
          </cell>
          <cell r="FT821">
            <v>20.116606119778133</v>
          </cell>
          <cell r="FU821">
            <v>17.065595346429742</v>
          </cell>
          <cell r="FV821">
            <v>23.167616893126525</v>
          </cell>
          <cell r="GG821">
            <v>8.2019037199124725</v>
          </cell>
          <cell r="GH821">
            <v>13.982143405445317</v>
          </cell>
          <cell r="GI821">
            <v>10.408007395026372</v>
          </cell>
          <cell r="GJ821">
            <v>7.7337520878462023</v>
          </cell>
          <cell r="GK821">
            <v>13.082262702206542</v>
          </cell>
        </row>
        <row r="822">
          <cell r="A822">
            <v>40610</v>
          </cell>
          <cell r="FR822">
            <v>21.020199999999999</v>
          </cell>
          <cell r="FS822">
            <v>22.314663874962239</v>
          </cell>
          <cell r="FT822">
            <v>20.116606119778133</v>
          </cell>
          <cell r="FU822">
            <v>17.065595346429742</v>
          </cell>
          <cell r="FV822">
            <v>23.167616893126525</v>
          </cell>
          <cell r="GG822">
            <v>8.3407585703865799</v>
          </cell>
          <cell r="GH822">
            <v>13.982143405445317</v>
          </cell>
          <cell r="GI822">
            <v>10.408007395026372</v>
          </cell>
          <cell r="GJ822">
            <v>7.7337520878462023</v>
          </cell>
          <cell r="GK822">
            <v>13.082262702206542</v>
          </cell>
        </row>
        <row r="823">
          <cell r="A823">
            <v>40611</v>
          </cell>
          <cell r="FR823">
            <v>20.959595959595958</v>
          </cell>
          <cell r="FS823">
            <v>22.314663874962239</v>
          </cell>
          <cell r="FT823">
            <v>20.116606119778133</v>
          </cell>
          <cell r="FU823">
            <v>17.065595346429742</v>
          </cell>
          <cell r="FV823">
            <v>23.167616893126525</v>
          </cell>
          <cell r="GG823">
            <v>8.2727473863360075</v>
          </cell>
          <cell r="GH823">
            <v>13.982143405445317</v>
          </cell>
          <cell r="GI823">
            <v>10.408007395026372</v>
          </cell>
          <cell r="GJ823">
            <v>7.7337520878462023</v>
          </cell>
          <cell r="GK823">
            <v>13.082262702206542</v>
          </cell>
        </row>
        <row r="824">
          <cell r="A824">
            <v>40612</v>
          </cell>
          <cell r="FR824">
            <v>20.565642424242423</v>
          </cell>
          <cell r="FS824">
            <v>22.314663874962239</v>
          </cell>
          <cell r="FT824">
            <v>20.116606119778133</v>
          </cell>
          <cell r="FU824">
            <v>17.065595346429742</v>
          </cell>
          <cell r="FV824">
            <v>23.167616893126525</v>
          </cell>
          <cell r="GG824">
            <v>8.1792292730367127</v>
          </cell>
          <cell r="GH824">
            <v>13.982143405445317</v>
          </cell>
          <cell r="GI824">
            <v>10.408007395026372</v>
          </cell>
          <cell r="GJ824">
            <v>7.7337520878462023</v>
          </cell>
          <cell r="GK824">
            <v>13.082262702206542</v>
          </cell>
        </row>
        <row r="825">
          <cell r="A825">
            <v>40613</v>
          </cell>
          <cell r="FR825">
            <v>20.505038383838382</v>
          </cell>
          <cell r="FS825">
            <v>22.314663874962239</v>
          </cell>
          <cell r="FT825">
            <v>20.116606119778133</v>
          </cell>
          <cell r="FU825">
            <v>17.065595346429742</v>
          </cell>
          <cell r="FV825">
            <v>23.167616893126525</v>
          </cell>
          <cell r="GG825">
            <v>8.1367250182348645</v>
          </cell>
          <cell r="GH825">
            <v>13.982143405445317</v>
          </cell>
          <cell r="GI825">
            <v>10.408007395026372</v>
          </cell>
          <cell r="GJ825">
            <v>7.7337520878462023</v>
          </cell>
          <cell r="GK825">
            <v>13.082262702206542</v>
          </cell>
        </row>
        <row r="826">
          <cell r="A826">
            <v>40616</v>
          </cell>
          <cell r="FR826">
            <v>20.151512121212122</v>
          </cell>
          <cell r="FS826">
            <v>22.314663874962239</v>
          </cell>
          <cell r="FT826">
            <v>20.116606119778133</v>
          </cell>
          <cell r="FU826">
            <v>17.065595346429742</v>
          </cell>
          <cell r="FV826">
            <v>23.167616893126525</v>
          </cell>
          <cell r="GG826">
            <v>7.9326841721371268</v>
          </cell>
          <cell r="GH826">
            <v>13.982143405445317</v>
          </cell>
          <cell r="GI826">
            <v>10.408007395026372</v>
          </cell>
          <cell r="GJ826">
            <v>7.7337520878462023</v>
          </cell>
          <cell r="GK826">
            <v>13.082262702206542</v>
          </cell>
        </row>
        <row r="827">
          <cell r="A827">
            <v>40617</v>
          </cell>
          <cell r="FR827">
            <v>19.949494949494948</v>
          </cell>
          <cell r="FS827">
            <v>22.314663874962239</v>
          </cell>
          <cell r="FT827">
            <v>20.116606119778133</v>
          </cell>
          <cell r="FU827">
            <v>17.065595346429742</v>
          </cell>
          <cell r="FV827">
            <v>23.167616893126525</v>
          </cell>
          <cell r="GG827">
            <v>7.785327011913445</v>
          </cell>
          <cell r="GH827">
            <v>13.982143405445317</v>
          </cell>
          <cell r="GI827">
            <v>10.408007395026372</v>
          </cell>
          <cell r="GJ827">
            <v>7.7337520878462023</v>
          </cell>
          <cell r="GK827">
            <v>13.082262702206542</v>
          </cell>
        </row>
        <row r="828">
          <cell r="A828">
            <v>40618</v>
          </cell>
          <cell r="FR828">
            <v>19.444444444444443</v>
          </cell>
          <cell r="FS828">
            <v>22.314663874962239</v>
          </cell>
          <cell r="FT828">
            <v>20.116606119778133</v>
          </cell>
          <cell r="FU828">
            <v>17.065595346429742</v>
          </cell>
          <cell r="FV828">
            <v>23.167616893126525</v>
          </cell>
          <cell r="GG828">
            <v>7.7088135181132982</v>
          </cell>
          <cell r="GH828">
            <v>13.982143405445317</v>
          </cell>
          <cell r="GI828">
            <v>10.408007395026372</v>
          </cell>
          <cell r="GJ828">
            <v>7.7337520878462023</v>
          </cell>
          <cell r="GK828">
            <v>13.082262702206542</v>
          </cell>
        </row>
        <row r="829">
          <cell r="A829">
            <v>40619</v>
          </cell>
          <cell r="FR829">
            <v>19.299987999999999</v>
          </cell>
          <cell r="FS829">
            <v>22.314663874962239</v>
          </cell>
          <cell r="FT829">
            <v>20.116606119778133</v>
          </cell>
          <cell r="FU829">
            <v>17.065595346429742</v>
          </cell>
          <cell r="FV829">
            <v>23.167616893126525</v>
          </cell>
          <cell r="GG829">
            <v>7.6728880490345714</v>
          </cell>
          <cell r="GH829">
            <v>13.982143405445317</v>
          </cell>
          <cell r="GI829">
            <v>10.408007395026372</v>
          </cell>
          <cell r="GJ829">
            <v>7.7337520878462023</v>
          </cell>
          <cell r="GK829">
            <v>13.082262702206542</v>
          </cell>
        </row>
        <row r="830">
          <cell r="A830">
            <v>40620</v>
          </cell>
          <cell r="FR830">
            <v>19.489991</v>
          </cell>
          <cell r="FS830">
            <v>22.314663874962239</v>
          </cell>
          <cell r="FT830">
            <v>20.116606119778133</v>
          </cell>
          <cell r="FU830">
            <v>17.065595346429742</v>
          </cell>
          <cell r="FV830">
            <v>23.167616893126525</v>
          </cell>
          <cell r="GG830">
            <v>7.6079414686144826</v>
          </cell>
          <cell r="GH830">
            <v>13.982143405445317</v>
          </cell>
          <cell r="GI830">
            <v>10.408007395026372</v>
          </cell>
          <cell r="GJ830">
            <v>7.7337520878462023</v>
          </cell>
          <cell r="GK830">
            <v>13.082262702206542</v>
          </cell>
        </row>
        <row r="831">
          <cell r="A831">
            <v>40623</v>
          </cell>
          <cell r="FR831">
            <v>19.599990999999999</v>
          </cell>
          <cell r="FS831">
            <v>22.314663874962239</v>
          </cell>
          <cell r="FT831">
            <v>20.116606119778133</v>
          </cell>
          <cell r="FU831">
            <v>17.065595346429742</v>
          </cell>
          <cell r="FV831">
            <v>23.167616893126525</v>
          </cell>
          <cell r="GG831">
            <v>7.658766383215835</v>
          </cell>
          <cell r="GH831">
            <v>13.982143405445317</v>
          </cell>
          <cell r="GI831">
            <v>10.408007395026372</v>
          </cell>
          <cell r="GJ831">
            <v>7.7337520878462023</v>
          </cell>
          <cell r="GK831">
            <v>13.082262702206542</v>
          </cell>
        </row>
        <row r="832">
          <cell r="A832">
            <v>40624</v>
          </cell>
          <cell r="FR832">
            <v>19.472488999999999</v>
          </cell>
          <cell r="FS832">
            <v>22.314663874962239</v>
          </cell>
          <cell r="FT832">
            <v>20.116606119778133</v>
          </cell>
          <cell r="FU832">
            <v>17.065595346429742</v>
          </cell>
          <cell r="FV832">
            <v>23.167616893126525</v>
          </cell>
          <cell r="GG832">
            <v>7.6164134990430501</v>
          </cell>
          <cell r="GH832">
            <v>13.982143405445317</v>
          </cell>
          <cell r="GI832">
            <v>10.408007395026372</v>
          </cell>
          <cell r="GJ832">
            <v>7.7337520878462023</v>
          </cell>
          <cell r="GK832">
            <v>13.082262702206542</v>
          </cell>
        </row>
        <row r="833">
          <cell r="A833">
            <v>40625</v>
          </cell>
          <cell r="FR833">
            <v>19.479996</v>
          </cell>
          <cell r="FS833">
            <v>22.314663874962239</v>
          </cell>
          <cell r="FT833">
            <v>20.116606119778133</v>
          </cell>
          <cell r="FU833">
            <v>17.065595346429742</v>
          </cell>
          <cell r="FV833">
            <v>23.167616893126525</v>
          </cell>
          <cell r="GG833">
            <v>7.6333575599001868</v>
          </cell>
          <cell r="GH833">
            <v>13.982143405445317</v>
          </cell>
          <cell r="GI833">
            <v>10.408007395026372</v>
          </cell>
          <cell r="GJ833">
            <v>7.7337520878462023</v>
          </cell>
          <cell r="GK833">
            <v>13.082262702206542</v>
          </cell>
        </row>
        <row r="834">
          <cell r="A834">
            <v>40626</v>
          </cell>
          <cell r="FR834">
            <v>19.649994</v>
          </cell>
          <cell r="FS834">
            <v>22.314663874962239</v>
          </cell>
          <cell r="FT834">
            <v>20.116606119778133</v>
          </cell>
          <cell r="FU834">
            <v>17.065595346429742</v>
          </cell>
          <cell r="FV834">
            <v>23.167616893126525</v>
          </cell>
          <cell r="GG834">
            <v>7.6192358940814504</v>
          </cell>
          <cell r="GH834">
            <v>13.982143405445317</v>
          </cell>
          <cell r="GI834">
            <v>10.408007395026372</v>
          </cell>
          <cell r="GJ834">
            <v>7.7337520878462023</v>
          </cell>
          <cell r="GK834">
            <v>13.082262702206542</v>
          </cell>
        </row>
        <row r="835">
          <cell r="A835">
            <v>40627</v>
          </cell>
          <cell r="FR835">
            <v>19.689988</v>
          </cell>
          <cell r="FS835">
            <v>22.314663874962239</v>
          </cell>
          <cell r="FT835">
            <v>20.116606119778133</v>
          </cell>
          <cell r="FU835">
            <v>17.065595346429742</v>
          </cell>
          <cell r="FV835">
            <v>23.167616893126525</v>
          </cell>
          <cell r="GG835">
            <v>7.7321849940644913</v>
          </cell>
          <cell r="GH835">
            <v>13.982143405445317</v>
          </cell>
          <cell r="GI835">
            <v>10.408007395026372</v>
          </cell>
          <cell r="GJ835">
            <v>7.7337520878462023</v>
          </cell>
          <cell r="GK835">
            <v>13.082262702206542</v>
          </cell>
        </row>
        <row r="836">
          <cell r="A836">
            <v>40630</v>
          </cell>
          <cell r="FR836">
            <v>19.479996</v>
          </cell>
          <cell r="FS836">
            <v>22.314663874962239</v>
          </cell>
          <cell r="FT836">
            <v>20.116606119778133</v>
          </cell>
          <cell r="FU836">
            <v>17.065595346429742</v>
          </cell>
          <cell r="FV836">
            <v>23.167616893126525</v>
          </cell>
          <cell r="GG836">
            <v>7.7011265353586742</v>
          </cell>
          <cell r="GH836">
            <v>13.982143405445317</v>
          </cell>
          <cell r="GI836">
            <v>10.408007395026372</v>
          </cell>
          <cell r="GJ836">
            <v>7.7337520878462023</v>
          </cell>
          <cell r="GK836">
            <v>13.082262702206542</v>
          </cell>
        </row>
        <row r="837">
          <cell r="A837">
            <v>40631</v>
          </cell>
          <cell r="FR837">
            <v>19.64</v>
          </cell>
          <cell r="FS837">
            <v>22.314663874962239</v>
          </cell>
          <cell r="FT837">
            <v>20.116606119778133</v>
          </cell>
          <cell r="FU837">
            <v>17.065595346429742</v>
          </cell>
          <cell r="FV837">
            <v>23.167616893126525</v>
          </cell>
          <cell r="GG837">
            <v>7.7011265353586742</v>
          </cell>
          <cell r="GH837">
            <v>13.982143405445317</v>
          </cell>
          <cell r="GI837">
            <v>10.408007395026372</v>
          </cell>
          <cell r="GJ837">
            <v>7.7337520878462023</v>
          </cell>
          <cell r="GK837">
            <v>13.082262702206542</v>
          </cell>
        </row>
        <row r="838">
          <cell r="A838">
            <v>40632</v>
          </cell>
          <cell r="FR838">
            <v>20.259995</v>
          </cell>
          <cell r="FS838">
            <v>22.314663874962239</v>
          </cell>
          <cell r="FT838">
            <v>20.116606119778133</v>
          </cell>
          <cell r="FU838">
            <v>17.065595346429742</v>
          </cell>
          <cell r="FV838">
            <v>23.167616893126525</v>
          </cell>
          <cell r="GG838">
            <v>7.8027836325314341</v>
          </cell>
          <cell r="GH838">
            <v>13.982143405445317</v>
          </cell>
          <cell r="GI838">
            <v>10.408007395026372</v>
          </cell>
          <cell r="GJ838">
            <v>7.7337520878462023</v>
          </cell>
          <cell r="GK838">
            <v>13.082262702206542</v>
          </cell>
        </row>
        <row r="839">
          <cell r="A839">
            <v>40633</v>
          </cell>
          <cell r="FR839">
            <v>20.049987999999999</v>
          </cell>
          <cell r="FS839">
            <v>22.314663874962239</v>
          </cell>
          <cell r="FT839">
            <v>20.116606119778133</v>
          </cell>
          <cell r="FU839">
            <v>17.065595346429742</v>
          </cell>
          <cell r="FV839">
            <v>23.167616893126525</v>
          </cell>
          <cell r="GG839">
            <v>7.8338420912372504</v>
          </cell>
          <cell r="GH839">
            <v>13.982143405445317</v>
          </cell>
          <cell r="GI839">
            <v>10.408007395026372</v>
          </cell>
          <cell r="GJ839">
            <v>7.7337520878462023</v>
          </cell>
          <cell r="GK839">
            <v>13.082262702206542</v>
          </cell>
        </row>
        <row r="840">
          <cell r="A840">
            <v>40634</v>
          </cell>
          <cell r="FR840">
            <v>20.309998</v>
          </cell>
          <cell r="FS840">
            <v>22.314663874962239</v>
          </cell>
          <cell r="FT840">
            <v>20.116606119778133</v>
          </cell>
          <cell r="FU840">
            <v>17.065595346429742</v>
          </cell>
          <cell r="FV840">
            <v>23.167616893126525</v>
          </cell>
          <cell r="GG840">
            <v>7.9383215834484098</v>
          </cell>
          <cell r="GH840">
            <v>13.982143405445317</v>
          </cell>
          <cell r="GI840">
            <v>10.408007395026372</v>
          </cell>
          <cell r="GJ840">
            <v>7.7337520878462023</v>
          </cell>
          <cell r="GK840">
            <v>13.082262702206542</v>
          </cell>
        </row>
        <row r="841">
          <cell r="A841">
            <v>40637</v>
          </cell>
          <cell r="FR841">
            <v>20.399994</v>
          </cell>
          <cell r="FS841">
            <v>22.314663874962239</v>
          </cell>
          <cell r="FT841">
            <v>20.116606119778133</v>
          </cell>
          <cell r="FU841">
            <v>17.065595346429742</v>
          </cell>
          <cell r="FV841">
            <v>23.167616893126525</v>
          </cell>
          <cell r="GG841">
            <v>7.97503210020108</v>
          </cell>
          <cell r="GH841">
            <v>13.982143405445317</v>
          </cell>
          <cell r="GI841">
            <v>10.408007395026372</v>
          </cell>
          <cell r="GJ841">
            <v>7.7337520878462023</v>
          </cell>
          <cell r="GK841">
            <v>13.082262702206542</v>
          </cell>
        </row>
        <row r="842">
          <cell r="A842">
            <v>40638</v>
          </cell>
          <cell r="FR842">
            <v>20.179993</v>
          </cell>
          <cell r="FS842">
            <v>22.314663874962239</v>
          </cell>
          <cell r="FT842">
            <v>20.116606119778133</v>
          </cell>
          <cell r="FU842">
            <v>17.065595346429742</v>
          </cell>
          <cell r="FV842">
            <v>23.167616893126525</v>
          </cell>
          <cell r="GG842">
            <v>7.9213775225912739</v>
          </cell>
          <cell r="GH842">
            <v>13.982143405445317</v>
          </cell>
          <cell r="GI842">
            <v>10.408007395026372</v>
          </cell>
          <cell r="GJ842">
            <v>7.7337520878462023</v>
          </cell>
          <cell r="GK842">
            <v>13.082262702206542</v>
          </cell>
        </row>
        <row r="843">
          <cell r="A843">
            <v>40639</v>
          </cell>
          <cell r="FR843">
            <v>20.259995</v>
          </cell>
          <cell r="FS843">
            <v>22.314663874962239</v>
          </cell>
          <cell r="FT843">
            <v>20.116606119778133</v>
          </cell>
          <cell r="FU843">
            <v>17.065595346429742</v>
          </cell>
          <cell r="FV843">
            <v>23.167616893126525</v>
          </cell>
          <cell r="GG843">
            <v>7.8366644862756498</v>
          </cell>
          <cell r="GH843">
            <v>13.982143405445317</v>
          </cell>
          <cell r="GI843">
            <v>10.408007395026372</v>
          </cell>
          <cell r="GJ843">
            <v>7.7337520878462023</v>
          </cell>
          <cell r="GK843">
            <v>13.082262702206542</v>
          </cell>
        </row>
        <row r="844">
          <cell r="A844">
            <v>40640</v>
          </cell>
          <cell r="FR844">
            <v>20.129989999999999</v>
          </cell>
          <cell r="FS844">
            <v>22.314663874962239</v>
          </cell>
          <cell r="FT844">
            <v>20.116606119778133</v>
          </cell>
          <cell r="FU844">
            <v>17.065595346429742</v>
          </cell>
          <cell r="FV844">
            <v>23.167616893126525</v>
          </cell>
          <cell r="GG844">
            <v>7.8536085471327857</v>
          </cell>
          <cell r="GH844">
            <v>13.982143405445317</v>
          </cell>
          <cell r="GI844">
            <v>10.408007395026372</v>
          </cell>
          <cell r="GJ844">
            <v>7.7337520878462023</v>
          </cell>
          <cell r="GK844">
            <v>13.082262702206542</v>
          </cell>
        </row>
        <row r="845">
          <cell r="A845">
            <v>40641</v>
          </cell>
          <cell r="FR845">
            <v>20.149994</v>
          </cell>
          <cell r="FS845">
            <v>22.314663874962239</v>
          </cell>
          <cell r="FT845">
            <v>20.116606119778133</v>
          </cell>
          <cell r="FU845">
            <v>17.065595346429742</v>
          </cell>
          <cell r="FV845">
            <v>23.167616893126525</v>
          </cell>
          <cell r="GG845">
            <v>7.7576010853501955</v>
          </cell>
          <cell r="GH845">
            <v>13.982143405445317</v>
          </cell>
          <cell r="GI845">
            <v>10.408007395026372</v>
          </cell>
          <cell r="GJ845">
            <v>7.7337520878462023</v>
          </cell>
          <cell r="GK845">
            <v>13.082262702206542</v>
          </cell>
        </row>
        <row r="846">
          <cell r="A846">
            <v>40644</v>
          </cell>
          <cell r="FR846">
            <v>20.129989999999999</v>
          </cell>
          <cell r="FS846">
            <v>22.314663874962239</v>
          </cell>
          <cell r="FT846">
            <v>20.116606119778133</v>
          </cell>
          <cell r="FU846">
            <v>17.065595346429742</v>
          </cell>
          <cell r="FV846">
            <v>23.167616893126525</v>
          </cell>
          <cell r="GG846">
            <v>7.7321849940644913</v>
          </cell>
          <cell r="GH846">
            <v>13.982143405445317</v>
          </cell>
          <cell r="GI846">
            <v>10.408007395026372</v>
          </cell>
          <cell r="GJ846">
            <v>7.7337520878462023</v>
          </cell>
          <cell r="GK846">
            <v>13.082262702206542</v>
          </cell>
        </row>
        <row r="847">
          <cell r="A847">
            <v>40645</v>
          </cell>
          <cell r="FR847">
            <v>19.779999</v>
          </cell>
          <cell r="FS847">
            <v>22.314663874962239</v>
          </cell>
          <cell r="FT847">
            <v>20.116606119778133</v>
          </cell>
          <cell r="FU847">
            <v>17.065595346429742</v>
          </cell>
          <cell r="FV847">
            <v>23.167616893126525</v>
          </cell>
          <cell r="GG847">
            <v>7.5787605688397894</v>
          </cell>
          <cell r="GH847">
            <v>13.982143405445317</v>
          </cell>
          <cell r="GI847">
            <v>10.408007395026372</v>
          </cell>
          <cell r="GJ847">
            <v>7.7337520878462023</v>
          </cell>
          <cell r="GK847">
            <v>13.082262702206542</v>
          </cell>
        </row>
        <row r="848">
          <cell r="A848">
            <v>40646</v>
          </cell>
          <cell r="FR848">
            <v>19.819993</v>
          </cell>
          <cell r="FS848">
            <v>22.314663874962239</v>
          </cell>
          <cell r="FT848">
            <v>20.116606119778133</v>
          </cell>
          <cell r="FU848">
            <v>17.065595346429742</v>
          </cell>
          <cell r="FV848">
            <v>23.167616893126525</v>
          </cell>
          <cell r="GG848">
            <v>7.6240545582285533</v>
          </cell>
          <cell r="GH848">
            <v>13.982143405445317</v>
          </cell>
          <cell r="GI848">
            <v>10.408007395026372</v>
          </cell>
          <cell r="GJ848">
            <v>7.7337520878462023</v>
          </cell>
          <cell r="GK848">
            <v>13.082262702206542</v>
          </cell>
        </row>
        <row r="849">
          <cell r="A849">
            <v>40647</v>
          </cell>
          <cell r="FR849">
            <v>19.801980198019802</v>
          </cell>
          <cell r="FS849">
            <v>22.314663874962239</v>
          </cell>
          <cell r="FT849">
            <v>20.116606119778133</v>
          </cell>
          <cell r="FU849">
            <v>17.065595346429742</v>
          </cell>
          <cell r="FV849">
            <v>23.167616893126525</v>
          </cell>
          <cell r="GG849">
            <v>7.6292737835875082</v>
          </cell>
          <cell r="GH849">
            <v>13.982143405445317</v>
          </cell>
          <cell r="GI849">
            <v>10.408007395026372</v>
          </cell>
          <cell r="GJ849">
            <v>7.7337520878462023</v>
          </cell>
          <cell r="GK849">
            <v>13.082262702206542</v>
          </cell>
        </row>
        <row r="850">
          <cell r="A850">
            <v>40648</v>
          </cell>
          <cell r="FR850">
            <v>20.168312871287128</v>
          </cell>
          <cell r="FS850">
            <v>22.314663874962239</v>
          </cell>
          <cell r="FT850">
            <v>20.116606119778133</v>
          </cell>
          <cell r="FU850">
            <v>17.065595346429742</v>
          </cell>
          <cell r="FV850">
            <v>23.167616893126525</v>
          </cell>
          <cell r="GG850">
            <v>7.8979714354877748</v>
          </cell>
          <cell r="GH850">
            <v>13.982143405445317</v>
          </cell>
          <cell r="GI850">
            <v>10.408007395026372</v>
          </cell>
          <cell r="GJ850">
            <v>7.7337520878462023</v>
          </cell>
          <cell r="GK850">
            <v>13.082262702206542</v>
          </cell>
        </row>
        <row r="851">
          <cell r="A851">
            <v>40651</v>
          </cell>
          <cell r="FR851">
            <v>19.782174257425741</v>
          </cell>
          <cell r="FS851">
            <v>22.314663874962239</v>
          </cell>
          <cell r="FT851">
            <v>20.116606119778133</v>
          </cell>
          <cell r="FU851">
            <v>17.065595346429742</v>
          </cell>
          <cell r="FV851">
            <v>23.167616893126525</v>
          </cell>
          <cell r="GG851">
            <v>7.7678697651900261</v>
          </cell>
          <cell r="GH851">
            <v>13.982143405445317</v>
          </cell>
          <cell r="GI851">
            <v>10.408007395026372</v>
          </cell>
          <cell r="GJ851">
            <v>7.7337520878462023</v>
          </cell>
          <cell r="GK851">
            <v>13.082262702206542</v>
          </cell>
        </row>
        <row r="852">
          <cell r="A852">
            <v>40652</v>
          </cell>
          <cell r="FR852">
            <v>19.821772277227723</v>
          </cell>
          <cell r="FS852">
            <v>22.314663874962239</v>
          </cell>
          <cell r="FT852">
            <v>20.116606119778133</v>
          </cell>
          <cell r="FU852">
            <v>17.065595346429742</v>
          </cell>
          <cell r="FV852">
            <v>23.167616893126525</v>
          </cell>
          <cell r="GG852">
            <v>7.7141297506656974</v>
          </cell>
          <cell r="GH852">
            <v>13.982143405445317</v>
          </cell>
          <cell r="GI852">
            <v>10.408007395026372</v>
          </cell>
          <cell r="GJ852">
            <v>7.7337520878462023</v>
          </cell>
          <cell r="GK852">
            <v>13.082262702206542</v>
          </cell>
        </row>
        <row r="853">
          <cell r="A853">
            <v>40653</v>
          </cell>
          <cell r="FR853">
            <v>20.326731683168315</v>
          </cell>
          <cell r="FS853">
            <v>22.314663874962239</v>
          </cell>
          <cell r="FT853">
            <v>20.116606119778133</v>
          </cell>
          <cell r="FU853">
            <v>17.065595346429742</v>
          </cell>
          <cell r="FV853">
            <v>23.167616893126525</v>
          </cell>
          <cell r="GG853">
            <v>7.8300944081336237</v>
          </cell>
          <cell r="GH853">
            <v>13.982143405445317</v>
          </cell>
          <cell r="GI853">
            <v>10.408007395026372</v>
          </cell>
          <cell r="GJ853">
            <v>7.7337520878462023</v>
          </cell>
          <cell r="GK853">
            <v>13.082262702206542</v>
          </cell>
        </row>
        <row r="854">
          <cell r="A854">
            <v>40654</v>
          </cell>
          <cell r="FR854">
            <v>20.425732673267326</v>
          </cell>
          <cell r="FS854">
            <v>22.314663874962239</v>
          </cell>
          <cell r="FT854">
            <v>20.116606119778133</v>
          </cell>
          <cell r="FU854">
            <v>17.065595346429742</v>
          </cell>
          <cell r="FV854">
            <v>23.167616893126525</v>
          </cell>
          <cell r="GG854">
            <v>7.7791793754538849</v>
          </cell>
          <cell r="GH854">
            <v>13.982143405445317</v>
          </cell>
          <cell r="GI854">
            <v>10.408007395026372</v>
          </cell>
          <cell r="GJ854">
            <v>7.7337520878462023</v>
          </cell>
          <cell r="GK854">
            <v>13.082262702206542</v>
          </cell>
        </row>
        <row r="855">
          <cell r="A855">
            <v>40655</v>
          </cell>
          <cell r="FR855">
            <v>20.425732673267326</v>
          </cell>
          <cell r="FS855">
            <v>22.314663874962239</v>
          </cell>
          <cell r="FT855">
            <v>20.116606119778133</v>
          </cell>
          <cell r="FU855">
            <v>17.065595346429742</v>
          </cell>
          <cell r="FV855">
            <v>23.167616893126525</v>
          </cell>
          <cell r="GG855">
            <v>7.7791793754538849</v>
          </cell>
          <cell r="GH855">
            <v>13.982143405445317</v>
          </cell>
          <cell r="GI855">
            <v>10.408007395026372</v>
          </cell>
          <cell r="GJ855">
            <v>7.7337520878462023</v>
          </cell>
          <cell r="GK855">
            <v>13.082262702206542</v>
          </cell>
        </row>
        <row r="856">
          <cell r="A856">
            <v>40658</v>
          </cell>
          <cell r="FR856">
            <v>20.366329702970297</v>
          </cell>
          <cell r="FS856">
            <v>22.314663874962239</v>
          </cell>
          <cell r="FT856">
            <v>20.116606119778133</v>
          </cell>
          <cell r="FU856">
            <v>17.065595346429742</v>
          </cell>
          <cell r="FV856">
            <v>23.167616893126525</v>
          </cell>
          <cell r="GG856">
            <v>7.7791793754538849</v>
          </cell>
          <cell r="GH856">
            <v>13.982143405445317</v>
          </cell>
          <cell r="GI856">
            <v>10.408007395026372</v>
          </cell>
          <cell r="GJ856">
            <v>7.7337520878462023</v>
          </cell>
          <cell r="GK856">
            <v>13.082262702206542</v>
          </cell>
        </row>
        <row r="857">
          <cell r="A857">
            <v>40659</v>
          </cell>
          <cell r="FR857">
            <v>20.673257425742573</v>
          </cell>
          <cell r="FS857">
            <v>22.314663874962239</v>
          </cell>
          <cell r="FT857">
            <v>20.116606119778133</v>
          </cell>
          <cell r="FU857">
            <v>17.065595346429742</v>
          </cell>
          <cell r="FV857">
            <v>23.167616893126525</v>
          </cell>
          <cell r="GG857">
            <v>7.8725199709513429</v>
          </cell>
          <cell r="GH857">
            <v>13.982143405445317</v>
          </cell>
          <cell r="GI857">
            <v>10.408007395026372</v>
          </cell>
          <cell r="GJ857">
            <v>7.7337520878462023</v>
          </cell>
          <cell r="GK857">
            <v>13.082262702206542</v>
          </cell>
        </row>
        <row r="858">
          <cell r="A858">
            <v>40660</v>
          </cell>
          <cell r="FR858">
            <v>20.772273267326732</v>
          </cell>
          <cell r="FS858">
            <v>22.314663874962239</v>
          </cell>
          <cell r="FT858">
            <v>20.116606119778133</v>
          </cell>
          <cell r="FU858">
            <v>17.065595346429742</v>
          </cell>
          <cell r="FV858">
            <v>23.167616893126525</v>
          </cell>
          <cell r="GG858">
            <v>7.7706947470346162</v>
          </cell>
          <cell r="GH858">
            <v>13.982143405445317</v>
          </cell>
          <cell r="GI858">
            <v>10.408007395026372</v>
          </cell>
          <cell r="GJ858">
            <v>7.7337520878462023</v>
          </cell>
          <cell r="GK858">
            <v>13.082262702206542</v>
          </cell>
        </row>
        <row r="859">
          <cell r="A859">
            <v>40661</v>
          </cell>
          <cell r="FR859">
            <v>21.346532673267326</v>
          </cell>
          <cell r="FS859">
            <v>22.314663874962239</v>
          </cell>
          <cell r="FT859">
            <v>20.116606119778133</v>
          </cell>
          <cell r="FU859">
            <v>17.065595346429742</v>
          </cell>
          <cell r="FV859">
            <v>23.167616893126525</v>
          </cell>
          <cell r="GG859">
            <v>8.0252529653836842</v>
          </cell>
          <cell r="GH859">
            <v>13.982143405445317</v>
          </cell>
          <cell r="GI859">
            <v>10.408007395026372</v>
          </cell>
          <cell r="GJ859">
            <v>7.7337520878462023</v>
          </cell>
          <cell r="GK859">
            <v>13.082262702206542</v>
          </cell>
        </row>
        <row r="860">
          <cell r="A860">
            <v>40662</v>
          </cell>
          <cell r="FR860">
            <v>21.158411881188119</v>
          </cell>
          <cell r="FS860">
            <v>22.314663874962239</v>
          </cell>
          <cell r="FT860">
            <v>20.116606119778133</v>
          </cell>
          <cell r="FU860">
            <v>17.065595346429742</v>
          </cell>
          <cell r="FV860">
            <v>23.167616893126525</v>
          </cell>
          <cell r="GG860">
            <v>7.9969692568385371</v>
          </cell>
          <cell r="GH860">
            <v>13.982143405445317</v>
          </cell>
          <cell r="GI860">
            <v>10.408007395026372</v>
          </cell>
          <cell r="GJ860">
            <v>7.7337520878462023</v>
          </cell>
          <cell r="GK860">
            <v>13.082262702206542</v>
          </cell>
        </row>
        <row r="861">
          <cell r="A861">
            <v>40665</v>
          </cell>
          <cell r="FR861">
            <v>21.267322772277229</v>
          </cell>
          <cell r="FS861">
            <v>22.314663874962239</v>
          </cell>
          <cell r="FT861">
            <v>20.116606119778133</v>
          </cell>
          <cell r="FU861">
            <v>17.065595346429742</v>
          </cell>
          <cell r="FV861">
            <v>23.167616893126525</v>
          </cell>
          <cell r="GG861">
            <v>8.0591938997821355</v>
          </cell>
          <cell r="GH861">
            <v>13.982143405445317</v>
          </cell>
          <cell r="GI861">
            <v>10.408007395026372</v>
          </cell>
          <cell r="GJ861">
            <v>7.7337520878462023</v>
          </cell>
          <cell r="GK861">
            <v>13.082262702206542</v>
          </cell>
        </row>
        <row r="862">
          <cell r="A862">
            <v>40666</v>
          </cell>
          <cell r="FR862">
            <v>21.455444554455447</v>
          </cell>
          <cell r="FS862">
            <v>22.314663874962239</v>
          </cell>
          <cell r="FT862">
            <v>20.116606119778133</v>
          </cell>
          <cell r="FU862">
            <v>17.065595346429742</v>
          </cell>
          <cell r="FV862">
            <v>23.167616893126525</v>
          </cell>
          <cell r="GG862">
            <v>8.081817961752602</v>
          </cell>
          <cell r="GH862">
            <v>13.982143405445317</v>
          </cell>
          <cell r="GI862">
            <v>10.408007395026372</v>
          </cell>
          <cell r="GJ862">
            <v>7.7337520878462023</v>
          </cell>
          <cell r="GK862">
            <v>13.082262702206542</v>
          </cell>
        </row>
        <row r="863">
          <cell r="A863">
            <v>40667</v>
          </cell>
          <cell r="FR863">
            <v>21.811880198019804</v>
          </cell>
          <cell r="FS863">
            <v>22.314663874962239</v>
          </cell>
          <cell r="FT863">
            <v>20.116606119778133</v>
          </cell>
          <cell r="FU863">
            <v>17.065595346429742</v>
          </cell>
          <cell r="FV863">
            <v>23.167616893126525</v>
          </cell>
          <cell r="GG863">
            <v>8.1779835390946491</v>
          </cell>
          <cell r="GH863">
            <v>13.982143405445317</v>
          </cell>
          <cell r="GI863">
            <v>10.408007395026372</v>
          </cell>
          <cell r="GJ863">
            <v>7.7337520878462023</v>
          </cell>
          <cell r="GK863">
            <v>13.082262702206542</v>
          </cell>
        </row>
        <row r="864">
          <cell r="A864">
            <v>40668</v>
          </cell>
          <cell r="FR864">
            <v>21.336621782178216</v>
          </cell>
          <cell r="FS864">
            <v>22.314663874962239</v>
          </cell>
          <cell r="FT864">
            <v>20.116606119778133</v>
          </cell>
          <cell r="FU864">
            <v>17.065595346429742</v>
          </cell>
          <cell r="FV864">
            <v>23.167616893126525</v>
          </cell>
          <cell r="GG864">
            <v>8.2232413459210854</v>
          </cell>
          <cell r="GH864">
            <v>13.982143405445317</v>
          </cell>
          <cell r="GI864">
            <v>10.408007395026372</v>
          </cell>
          <cell r="GJ864">
            <v>7.7337520878462023</v>
          </cell>
          <cell r="GK864">
            <v>13.082262702206542</v>
          </cell>
        </row>
        <row r="865">
          <cell r="A865">
            <v>40669</v>
          </cell>
          <cell r="FR865">
            <v>21.17821782178218</v>
          </cell>
          <cell r="FS865">
            <v>22.314663874962239</v>
          </cell>
          <cell r="FT865">
            <v>20.116606119778133</v>
          </cell>
          <cell r="FU865">
            <v>17.065595346429742</v>
          </cell>
          <cell r="FV865">
            <v>23.167616893126525</v>
          </cell>
          <cell r="GG865">
            <v>8.2854659888646811</v>
          </cell>
          <cell r="GH865">
            <v>13.982143405445317</v>
          </cell>
          <cell r="GI865">
            <v>10.408007395026372</v>
          </cell>
          <cell r="GJ865">
            <v>7.7337520878462023</v>
          </cell>
          <cell r="GK865">
            <v>13.082262702206542</v>
          </cell>
        </row>
        <row r="866">
          <cell r="A866">
            <v>40672</v>
          </cell>
          <cell r="FR866">
            <v>21.148500990099009</v>
          </cell>
          <cell r="FS866">
            <v>22.314663874962239</v>
          </cell>
          <cell r="FT866">
            <v>20.116606119778133</v>
          </cell>
          <cell r="FU866">
            <v>17.065595346429742</v>
          </cell>
          <cell r="FV866">
            <v>23.167616893126525</v>
          </cell>
          <cell r="GG866">
            <v>8.2882909707092711</v>
          </cell>
          <cell r="GH866">
            <v>13.982143405445317</v>
          </cell>
          <cell r="GI866">
            <v>10.408007395026372</v>
          </cell>
          <cell r="GJ866">
            <v>7.7337520878462023</v>
          </cell>
          <cell r="GK866">
            <v>13.082262702206542</v>
          </cell>
        </row>
        <row r="867">
          <cell r="A867">
            <v>40673</v>
          </cell>
          <cell r="FR867">
            <v>21.079201980198018</v>
          </cell>
          <cell r="FS867">
            <v>22.314663874962239</v>
          </cell>
          <cell r="FT867">
            <v>20.116606119778133</v>
          </cell>
          <cell r="FU867">
            <v>17.065595346429742</v>
          </cell>
          <cell r="FV867">
            <v>23.167616893126525</v>
          </cell>
          <cell r="GG867">
            <v>8.1949576373759374</v>
          </cell>
          <cell r="GH867">
            <v>13.982143405445317</v>
          </cell>
          <cell r="GI867">
            <v>10.408007395026372</v>
          </cell>
          <cell r="GJ867">
            <v>7.7337520878462023</v>
          </cell>
          <cell r="GK867">
            <v>13.082262702206542</v>
          </cell>
        </row>
        <row r="868">
          <cell r="A868">
            <v>40674</v>
          </cell>
          <cell r="FR868">
            <v>20.673257425742573</v>
          </cell>
          <cell r="FS868">
            <v>22.314663874962239</v>
          </cell>
          <cell r="FT868">
            <v>20.116606119778133</v>
          </cell>
          <cell r="FU868">
            <v>17.065595346429742</v>
          </cell>
          <cell r="FV868">
            <v>23.167616893126525</v>
          </cell>
          <cell r="GG868">
            <v>8.1808157831033643</v>
          </cell>
          <cell r="GH868">
            <v>13.982143405445317</v>
          </cell>
          <cell r="GI868">
            <v>10.408007395026372</v>
          </cell>
          <cell r="GJ868">
            <v>7.7337520878462023</v>
          </cell>
          <cell r="GK868">
            <v>13.082262702206542</v>
          </cell>
        </row>
        <row r="869">
          <cell r="A869">
            <v>40675</v>
          </cell>
          <cell r="FR869">
            <v>20.683168316831683</v>
          </cell>
          <cell r="FS869">
            <v>22.314663874962239</v>
          </cell>
          <cell r="FT869">
            <v>20.116606119778133</v>
          </cell>
          <cell r="FU869">
            <v>17.065595346429742</v>
          </cell>
          <cell r="FV869">
            <v>23.167616893126525</v>
          </cell>
          <cell r="GG869">
            <v>8.1185911401597668</v>
          </cell>
          <cell r="GH869">
            <v>13.982143405445317</v>
          </cell>
          <cell r="GI869">
            <v>10.408007395026372</v>
          </cell>
          <cell r="GJ869">
            <v>7.7337520878462023</v>
          </cell>
          <cell r="GK869">
            <v>13.082262702206542</v>
          </cell>
        </row>
        <row r="870">
          <cell r="A870">
            <v>40676</v>
          </cell>
          <cell r="FR870">
            <v>20.495046534653465</v>
          </cell>
          <cell r="FS870">
            <v>22.314663874962239</v>
          </cell>
          <cell r="FT870">
            <v>20.116606119778133</v>
          </cell>
          <cell r="FU870">
            <v>17.065595346429742</v>
          </cell>
          <cell r="FV870">
            <v>23.167616893126525</v>
          </cell>
          <cell r="GG870">
            <v>8.1440426046961996</v>
          </cell>
          <cell r="GH870">
            <v>13.982143405445317</v>
          </cell>
          <cell r="GI870">
            <v>10.408007395026372</v>
          </cell>
          <cell r="GJ870">
            <v>7.7337520878462023</v>
          </cell>
          <cell r="GK870">
            <v>13.082262702206542</v>
          </cell>
        </row>
        <row r="871">
          <cell r="A871">
            <v>40679</v>
          </cell>
          <cell r="FR871">
            <v>20.237611881188119</v>
          </cell>
          <cell r="FS871">
            <v>22.314663874962239</v>
          </cell>
          <cell r="FT871">
            <v>20.116606119778133</v>
          </cell>
          <cell r="FU871">
            <v>17.065595346429742</v>
          </cell>
          <cell r="FV871">
            <v>23.167616893126525</v>
          </cell>
          <cell r="GG871">
            <v>8.0535366739288303</v>
          </cell>
          <cell r="GH871">
            <v>13.982143405445317</v>
          </cell>
          <cell r="GI871">
            <v>10.408007395026372</v>
          </cell>
          <cell r="GJ871">
            <v>7.7337520878462023</v>
          </cell>
          <cell r="GK871">
            <v>13.082262702206542</v>
          </cell>
        </row>
        <row r="872">
          <cell r="A872">
            <v>40680</v>
          </cell>
          <cell r="FR872">
            <v>19.930683168316833</v>
          </cell>
          <cell r="FS872">
            <v>22.314663874962239</v>
          </cell>
          <cell r="FT872">
            <v>20.116606119778133</v>
          </cell>
          <cell r="FU872">
            <v>17.065595346429742</v>
          </cell>
          <cell r="FV872">
            <v>23.167616893126525</v>
          </cell>
          <cell r="GG872">
            <v>7.8018058581457268</v>
          </cell>
          <cell r="GH872">
            <v>13.982143405445317</v>
          </cell>
          <cell r="GI872">
            <v>10.408007395026372</v>
          </cell>
          <cell r="GJ872">
            <v>7.7337520878462023</v>
          </cell>
          <cell r="GK872">
            <v>13.082262702206542</v>
          </cell>
        </row>
        <row r="873">
          <cell r="A873">
            <v>40681</v>
          </cell>
          <cell r="FR873">
            <v>19.891086138613861</v>
          </cell>
          <cell r="FS873">
            <v>22.314663874962239</v>
          </cell>
          <cell r="FT873">
            <v>20.116606119778133</v>
          </cell>
          <cell r="FU873">
            <v>17.065595346429742</v>
          </cell>
          <cell r="FV873">
            <v>23.167616893126525</v>
          </cell>
          <cell r="GG873">
            <v>7.8329193899782128</v>
          </cell>
          <cell r="GH873">
            <v>13.982143405445317</v>
          </cell>
          <cell r="GI873">
            <v>10.408007395026372</v>
          </cell>
          <cell r="GJ873">
            <v>7.7337520878462023</v>
          </cell>
          <cell r="GK873">
            <v>13.082262702206542</v>
          </cell>
        </row>
        <row r="874">
          <cell r="A874">
            <v>40682</v>
          </cell>
          <cell r="FR874">
            <v>20.454545454545453</v>
          </cell>
          <cell r="FS874">
            <v>22.314663874962239</v>
          </cell>
          <cell r="FT874">
            <v>20.116606119778133</v>
          </cell>
          <cell r="FU874">
            <v>17.065595346429742</v>
          </cell>
          <cell r="FV874">
            <v>23.167616893126525</v>
          </cell>
          <cell r="GG874">
            <v>8.2587410992575325</v>
          </cell>
          <cell r="GH874">
            <v>13.982143405445317</v>
          </cell>
          <cell r="GI874">
            <v>10.408007395026372</v>
          </cell>
          <cell r="GJ874">
            <v>7.7337520878462023</v>
          </cell>
          <cell r="GK874">
            <v>13.082262702206542</v>
          </cell>
        </row>
        <row r="875">
          <cell r="A875">
            <v>40683</v>
          </cell>
          <cell r="FR875">
            <v>20.25251313131313</v>
          </cell>
          <cell r="FS875">
            <v>22.314663874962239</v>
          </cell>
          <cell r="FT875">
            <v>20.116606119778133</v>
          </cell>
          <cell r="FU875">
            <v>17.065595346429742</v>
          </cell>
          <cell r="FV875">
            <v>23.167616893126525</v>
          </cell>
          <cell r="GG875">
            <v>8.2202518815092613</v>
          </cell>
          <cell r="GH875">
            <v>13.982143405445317</v>
          </cell>
          <cell r="GI875">
            <v>10.408007395026372</v>
          </cell>
          <cell r="GJ875">
            <v>7.7337520878462023</v>
          </cell>
          <cell r="GK875">
            <v>13.082262702206542</v>
          </cell>
        </row>
        <row r="876">
          <cell r="A876">
            <v>40686</v>
          </cell>
          <cell r="FR876">
            <v>19.696969696969695</v>
          </cell>
          <cell r="FS876">
            <v>22.314663874962239</v>
          </cell>
          <cell r="FT876">
            <v>20.116606119778133</v>
          </cell>
          <cell r="FU876">
            <v>17.065595346429742</v>
          </cell>
          <cell r="FV876">
            <v>23.167616893126525</v>
          </cell>
          <cell r="GG876">
            <v>8.0929376884676785</v>
          </cell>
          <cell r="GH876">
            <v>13.982143405445317</v>
          </cell>
          <cell r="GI876">
            <v>10.408007395026372</v>
          </cell>
          <cell r="GJ876">
            <v>7.7337520878462023</v>
          </cell>
          <cell r="GK876">
            <v>13.082262702206542</v>
          </cell>
        </row>
        <row r="877">
          <cell r="A877">
            <v>40687</v>
          </cell>
          <cell r="FR877">
            <v>19.545445454545455</v>
          </cell>
          <cell r="FS877">
            <v>22.314663874962239</v>
          </cell>
          <cell r="FT877">
            <v>20.116606119778133</v>
          </cell>
          <cell r="FU877">
            <v>17.065595346429742</v>
          </cell>
          <cell r="FV877">
            <v>23.167616893126525</v>
          </cell>
          <cell r="GG877">
            <v>7.9685857638800908</v>
          </cell>
          <cell r="GH877">
            <v>13.982143405445317</v>
          </cell>
          <cell r="GI877">
            <v>10.408007395026372</v>
          </cell>
          <cell r="GJ877">
            <v>7.7337520878462023</v>
          </cell>
          <cell r="GK877">
            <v>13.082262702206542</v>
          </cell>
        </row>
        <row r="878">
          <cell r="A878">
            <v>40688</v>
          </cell>
          <cell r="FR878">
            <v>19.515144444444445</v>
          </cell>
          <cell r="FS878">
            <v>22.314663874962239</v>
          </cell>
          <cell r="FT878">
            <v>20.116606119778133</v>
          </cell>
          <cell r="FU878">
            <v>17.065595346429742</v>
          </cell>
          <cell r="FV878">
            <v>23.167616893126525</v>
          </cell>
          <cell r="GG878">
            <v>8.0159541849327205</v>
          </cell>
          <cell r="GH878">
            <v>13.982143405445317</v>
          </cell>
          <cell r="GI878">
            <v>10.408007395026372</v>
          </cell>
          <cell r="GJ878">
            <v>7.7337520878462023</v>
          </cell>
          <cell r="GK878">
            <v>13.082262702206542</v>
          </cell>
        </row>
        <row r="879">
          <cell r="A879">
            <v>40689</v>
          </cell>
          <cell r="FR879">
            <v>19.585858585858588</v>
          </cell>
          <cell r="FS879">
            <v>22.314663874962239</v>
          </cell>
          <cell r="FT879">
            <v>20.116606119778133</v>
          </cell>
          <cell r="FU879">
            <v>17.065595346429742</v>
          </cell>
          <cell r="FV879">
            <v>23.167616893126525</v>
          </cell>
          <cell r="GG879">
            <v>7.9656209614068878</v>
          </cell>
          <cell r="GH879">
            <v>13.982143405445317</v>
          </cell>
          <cell r="GI879">
            <v>10.408007395026372</v>
          </cell>
          <cell r="GJ879">
            <v>7.7337520878462023</v>
          </cell>
          <cell r="GK879">
            <v>13.082262702206542</v>
          </cell>
        </row>
        <row r="880">
          <cell r="A880">
            <v>40690</v>
          </cell>
          <cell r="FR880">
            <v>19.727271717171718</v>
          </cell>
          <cell r="FS880">
            <v>22.314663874962239</v>
          </cell>
          <cell r="FT880">
            <v>20.116606119778133</v>
          </cell>
          <cell r="FU880">
            <v>17.065595346429742</v>
          </cell>
          <cell r="FV880">
            <v>23.167616893126525</v>
          </cell>
          <cell r="GG880">
            <v>7.9034488001419057</v>
          </cell>
          <cell r="GH880">
            <v>13.982143405445317</v>
          </cell>
          <cell r="GI880">
            <v>10.408007395026372</v>
          </cell>
          <cell r="GJ880">
            <v>7.7337520878462023</v>
          </cell>
          <cell r="GK880">
            <v>13.082262702206542</v>
          </cell>
        </row>
        <row r="881">
          <cell r="A881">
            <v>40693</v>
          </cell>
          <cell r="FR881">
            <v>19.727271717171718</v>
          </cell>
          <cell r="FS881">
            <v>22.314663874962239</v>
          </cell>
          <cell r="FT881">
            <v>20.116606119778133</v>
          </cell>
          <cell r="FU881">
            <v>17.065595346429742</v>
          </cell>
          <cell r="FV881">
            <v>23.167616893126525</v>
          </cell>
          <cell r="GG881">
            <v>7.9034488001419057</v>
          </cell>
          <cell r="GH881">
            <v>13.982143405445317</v>
          </cell>
          <cell r="GI881">
            <v>10.408007395026372</v>
          </cell>
          <cell r="GJ881">
            <v>7.7337520878462023</v>
          </cell>
          <cell r="GK881">
            <v>13.082262702206542</v>
          </cell>
        </row>
        <row r="882">
          <cell r="A882">
            <v>40694</v>
          </cell>
          <cell r="FR882">
            <v>19.929288888888887</v>
          </cell>
          <cell r="FS882">
            <v>22.314663874962239</v>
          </cell>
          <cell r="FT882">
            <v>20.116606119778133</v>
          </cell>
          <cell r="FU882">
            <v>17.065595346429742</v>
          </cell>
          <cell r="FV882">
            <v>23.167616893126525</v>
          </cell>
          <cell r="GG882">
            <v>7.9567417581025266</v>
          </cell>
          <cell r="GH882">
            <v>13.982143405445317</v>
          </cell>
          <cell r="GI882">
            <v>10.408007395026372</v>
          </cell>
          <cell r="GJ882">
            <v>7.7337520878462023</v>
          </cell>
          <cell r="GK882">
            <v>13.082262702206542</v>
          </cell>
        </row>
        <row r="883">
          <cell r="A883">
            <v>40695</v>
          </cell>
          <cell r="FR883">
            <v>19.606049494949495</v>
          </cell>
          <cell r="FS883">
            <v>22.314663874962239</v>
          </cell>
          <cell r="FT883">
            <v>20.116606119778133</v>
          </cell>
          <cell r="FU883">
            <v>17.065595346429742</v>
          </cell>
          <cell r="FV883">
            <v>23.167616893126525</v>
          </cell>
          <cell r="GG883">
            <v>7.8945695968375444</v>
          </cell>
          <cell r="GH883">
            <v>13.982143405445317</v>
          </cell>
          <cell r="GI883">
            <v>10.408007395026372</v>
          </cell>
          <cell r="GJ883">
            <v>7.7337520878462023</v>
          </cell>
          <cell r="GK883">
            <v>13.082262702206542</v>
          </cell>
        </row>
        <row r="884">
          <cell r="A884">
            <v>40696</v>
          </cell>
          <cell r="FR884">
            <v>19.525239393939394</v>
          </cell>
          <cell r="FS884">
            <v>22.314663874962239</v>
          </cell>
          <cell r="FT884">
            <v>20.116606119778133</v>
          </cell>
          <cell r="FU884">
            <v>17.065595346429742</v>
          </cell>
          <cell r="FV884">
            <v>23.167616893126525</v>
          </cell>
          <cell r="GG884">
            <v>7.7939031497858755</v>
          </cell>
          <cell r="GH884">
            <v>13.982143405445317</v>
          </cell>
          <cell r="GI884">
            <v>10.408007395026372</v>
          </cell>
          <cell r="GJ884">
            <v>7.7337520878462023</v>
          </cell>
          <cell r="GK884">
            <v>13.082262702206542</v>
          </cell>
        </row>
        <row r="885">
          <cell r="A885">
            <v>40697</v>
          </cell>
          <cell r="FR885">
            <v>19.636351515151514</v>
          </cell>
          <cell r="FS885">
            <v>22.314663874962239</v>
          </cell>
          <cell r="FT885">
            <v>20.116606119778133</v>
          </cell>
          <cell r="FU885">
            <v>17.065595346429742</v>
          </cell>
          <cell r="FV885">
            <v>23.167616893126525</v>
          </cell>
          <cell r="GG885">
            <v>7.7524491295644022</v>
          </cell>
          <cell r="GH885">
            <v>13.982143405445317</v>
          </cell>
          <cell r="GI885">
            <v>10.408007395026372</v>
          </cell>
          <cell r="GJ885">
            <v>7.7337520878462023</v>
          </cell>
          <cell r="GK885">
            <v>13.082262702206542</v>
          </cell>
        </row>
        <row r="886">
          <cell r="A886">
            <v>40700</v>
          </cell>
          <cell r="FR886">
            <v>19.505048484848484</v>
          </cell>
          <cell r="FS886">
            <v>22.314663874962239</v>
          </cell>
          <cell r="FT886">
            <v>20.116606119778133</v>
          </cell>
          <cell r="FU886">
            <v>17.065595346429742</v>
          </cell>
          <cell r="FV886">
            <v>23.167616893126525</v>
          </cell>
          <cell r="GG886">
            <v>7.7228441831589087</v>
          </cell>
          <cell r="GH886">
            <v>13.982143405445317</v>
          </cell>
          <cell r="GI886">
            <v>10.408007395026372</v>
          </cell>
          <cell r="GJ886">
            <v>7.7337520878462023</v>
          </cell>
          <cell r="GK886">
            <v>13.082262702206542</v>
          </cell>
        </row>
        <row r="887">
          <cell r="A887">
            <v>40701</v>
          </cell>
          <cell r="FR887">
            <v>19.565652525252524</v>
          </cell>
          <cell r="FS887">
            <v>22.314663874962239</v>
          </cell>
          <cell r="FT887">
            <v>20.116606119778133</v>
          </cell>
          <cell r="FU887">
            <v>17.065595346429742</v>
          </cell>
          <cell r="FV887">
            <v>23.167616893126525</v>
          </cell>
          <cell r="GG887">
            <v>7.6784329625218559</v>
          </cell>
          <cell r="GH887">
            <v>13.982143405445317</v>
          </cell>
          <cell r="GI887">
            <v>10.408007395026372</v>
          </cell>
          <cell r="GJ887">
            <v>7.7337520878462023</v>
          </cell>
          <cell r="GK887">
            <v>13.082262702206542</v>
          </cell>
        </row>
        <row r="888">
          <cell r="A888">
            <v>40702</v>
          </cell>
          <cell r="FR888">
            <v>19.474746464646465</v>
          </cell>
          <cell r="FS888">
            <v>22.314663874962239</v>
          </cell>
          <cell r="FT888">
            <v>20.116606119778133</v>
          </cell>
          <cell r="FU888">
            <v>17.065595346429742</v>
          </cell>
          <cell r="FV888">
            <v>23.167616893126525</v>
          </cell>
          <cell r="GG888">
            <v>7.6725084256138665</v>
          </cell>
          <cell r="GH888">
            <v>13.982143405445317</v>
          </cell>
          <cell r="GI888">
            <v>10.408007395026372</v>
          </cell>
          <cell r="GJ888">
            <v>7.7337520878462023</v>
          </cell>
          <cell r="GK888">
            <v>13.082262702206542</v>
          </cell>
        </row>
        <row r="889">
          <cell r="A889">
            <v>40703</v>
          </cell>
          <cell r="FR889">
            <v>19.434334343434344</v>
          </cell>
          <cell r="FS889">
            <v>22.314663874962239</v>
          </cell>
          <cell r="FT889">
            <v>20.116606119778133</v>
          </cell>
          <cell r="FU889">
            <v>17.065595346429742</v>
          </cell>
          <cell r="FV889">
            <v>23.167616893126525</v>
          </cell>
          <cell r="GG889">
            <v>7.7554088639991887</v>
          </cell>
          <cell r="GH889">
            <v>13.982143405445317</v>
          </cell>
          <cell r="GI889">
            <v>10.408007395026372</v>
          </cell>
          <cell r="GJ889">
            <v>7.7337520878462023</v>
          </cell>
          <cell r="GK889">
            <v>13.082262702206542</v>
          </cell>
        </row>
        <row r="890">
          <cell r="A890">
            <v>40704</v>
          </cell>
          <cell r="FR890">
            <v>19.040394949494949</v>
          </cell>
          <cell r="FS890">
            <v>22.314663874962239</v>
          </cell>
          <cell r="FT890">
            <v>20.116606119778133</v>
          </cell>
          <cell r="FU890">
            <v>17.065595346429742</v>
          </cell>
          <cell r="FV890">
            <v>23.167616893126525</v>
          </cell>
          <cell r="GG890">
            <v>7.73172338646327</v>
          </cell>
          <cell r="GH890">
            <v>13.982143405445317</v>
          </cell>
          <cell r="GI890">
            <v>10.408007395026372</v>
          </cell>
          <cell r="GJ890">
            <v>7.7337520878462023</v>
          </cell>
          <cell r="GK890">
            <v>13.082262702206542</v>
          </cell>
        </row>
        <row r="891">
          <cell r="A891">
            <v>40707</v>
          </cell>
          <cell r="FR891">
            <v>19.848478787878786</v>
          </cell>
          <cell r="FS891">
            <v>22.314663874962239</v>
          </cell>
          <cell r="FT891">
            <v>20.116606119778133</v>
          </cell>
          <cell r="FU891">
            <v>17.065595346429742</v>
          </cell>
          <cell r="FV891">
            <v>23.167616893126525</v>
          </cell>
          <cell r="GG891">
            <v>7.7820566099891035</v>
          </cell>
          <cell r="GH891">
            <v>13.982143405445317</v>
          </cell>
          <cell r="GI891">
            <v>10.408007395026372</v>
          </cell>
          <cell r="GJ891">
            <v>7.7337520878462023</v>
          </cell>
          <cell r="GK891">
            <v>13.082262702206542</v>
          </cell>
        </row>
        <row r="892">
          <cell r="A892">
            <v>40708</v>
          </cell>
          <cell r="FR892">
            <v>19.898986868686869</v>
          </cell>
          <cell r="FS892">
            <v>22.314663874962239</v>
          </cell>
          <cell r="FT892">
            <v>20.116606119778133</v>
          </cell>
          <cell r="FU892">
            <v>17.065595346429742</v>
          </cell>
          <cell r="FV892">
            <v>23.167616893126525</v>
          </cell>
          <cell r="GG892">
            <v>7.9685857638800908</v>
          </cell>
          <cell r="GH892">
            <v>13.982143405445317</v>
          </cell>
          <cell r="GI892">
            <v>10.408007395026372</v>
          </cell>
          <cell r="GJ892">
            <v>7.7337520878462023</v>
          </cell>
          <cell r="GK892">
            <v>13.082262702206542</v>
          </cell>
        </row>
        <row r="893">
          <cell r="A893">
            <v>40709</v>
          </cell>
          <cell r="FR893">
            <v>19.666652525252523</v>
          </cell>
          <cell r="FS893">
            <v>22.314663874962239</v>
          </cell>
          <cell r="FT893">
            <v>20.116606119778133</v>
          </cell>
          <cell r="FU893">
            <v>17.065595346429742</v>
          </cell>
          <cell r="FV893">
            <v>23.167616893126525</v>
          </cell>
          <cell r="GG893">
            <v>8.042604464941844</v>
          </cell>
          <cell r="GH893">
            <v>13.982143405445317</v>
          </cell>
          <cell r="GI893">
            <v>10.408007395026372</v>
          </cell>
          <cell r="GJ893">
            <v>7.7337520878462023</v>
          </cell>
          <cell r="GK893">
            <v>13.082262702206542</v>
          </cell>
        </row>
        <row r="894">
          <cell r="A894">
            <v>40710</v>
          </cell>
          <cell r="FR894">
            <v>19.159988999999999</v>
          </cell>
          <cell r="FS894">
            <v>22.314663874962239</v>
          </cell>
          <cell r="FT894">
            <v>20.116606119778133</v>
          </cell>
          <cell r="FU894">
            <v>17.065595346429742</v>
          </cell>
          <cell r="FV894">
            <v>23.167616893126525</v>
          </cell>
          <cell r="GG894">
            <v>7.8332957308666114</v>
          </cell>
          <cell r="GH894">
            <v>13.982143405445317</v>
          </cell>
          <cell r="GI894">
            <v>10.408007395026372</v>
          </cell>
          <cell r="GJ894">
            <v>7.7337520878462023</v>
          </cell>
          <cell r="GK894">
            <v>13.082262702206542</v>
          </cell>
        </row>
        <row r="895">
          <cell r="A895">
            <v>40711</v>
          </cell>
          <cell r="FR895">
            <v>19.099990999999999</v>
          </cell>
          <cell r="FS895">
            <v>22.314663874962239</v>
          </cell>
          <cell r="FT895">
            <v>20.116606119778133</v>
          </cell>
          <cell r="FU895">
            <v>17.065595346429742</v>
          </cell>
          <cell r="FV895">
            <v>23.167616893126525</v>
          </cell>
          <cell r="GG895">
            <v>7.7278508936852921</v>
          </cell>
          <cell r="GH895">
            <v>13.982143405445317</v>
          </cell>
          <cell r="GI895">
            <v>10.408007395026372</v>
          </cell>
          <cell r="GJ895">
            <v>7.7337520878462023</v>
          </cell>
          <cell r="GK895">
            <v>13.082262702206542</v>
          </cell>
        </row>
        <row r="896">
          <cell r="A896">
            <v>40714</v>
          </cell>
          <cell r="FR896">
            <v>19.179993</v>
          </cell>
          <cell r="FS896">
            <v>22.314663874962239</v>
          </cell>
          <cell r="FT896">
            <v>20.116606119778133</v>
          </cell>
          <cell r="FU896">
            <v>17.065595346429742</v>
          </cell>
          <cell r="FV896">
            <v>23.167616893126525</v>
          </cell>
          <cell r="GG896">
            <v>7.6985610789401111</v>
          </cell>
          <cell r="GH896">
            <v>13.982143405445317</v>
          </cell>
          <cell r="GI896">
            <v>10.408007395026372</v>
          </cell>
          <cell r="GJ896">
            <v>7.7337520878462023</v>
          </cell>
          <cell r="GK896">
            <v>13.082262702206542</v>
          </cell>
        </row>
        <row r="897">
          <cell r="A897">
            <v>40715</v>
          </cell>
          <cell r="FR897">
            <v>19.239991</v>
          </cell>
          <cell r="FS897">
            <v>22.314663874962239</v>
          </cell>
          <cell r="FT897">
            <v>20.116606119778133</v>
          </cell>
          <cell r="FU897">
            <v>17.065595346429742</v>
          </cell>
          <cell r="FV897">
            <v>23.167616893126525</v>
          </cell>
          <cell r="GG897">
            <v>7.6575543355644129</v>
          </cell>
          <cell r="GH897">
            <v>13.982143405445317</v>
          </cell>
          <cell r="GI897">
            <v>10.408007395026372</v>
          </cell>
          <cell r="GJ897">
            <v>7.7337520878462023</v>
          </cell>
          <cell r="GK897">
            <v>13.082262702206542</v>
          </cell>
        </row>
        <row r="898">
          <cell r="A898">
            <v>40716</v>
          </cell>
          <cell r="FR898">
            <v>19.109985999999999</v>
          </cell>
          <cell r="FS898">
            <v>22.314663874962239</v>
          </cell>
          <cell r="FT898">
            <v>20.116606119778133</v>
          </cell>
          <cell r="FU898">
            <v>17.065595346429742</v>
          </cell>
          <cell r="FV898">
            <v>23.167616893126525</v>
          </cell>
          <cell r="GG898">
            <v>7.5960492341630941</v>
          </cell>
          <cell r="GH898">
            <v>13.982143405445317</v>
          </cell>
          <cell r="GI898">
            <v>10.408007395026372</v>
          </cell>
          <cell r="GJ898">
            <v>7.7337520878462023</v>
          </cell>
          <cell r="GK898">
            <v>13.082262702206542</v>
          </cell>
        </row>
        <row r="899">
          <cell r="A899">
            <v>40717</v>
          </cell>
          <cell r="FR899">
            <v>19.129989999999999</v>
          </cell>
          <cell r="FS899">
            <v>22.314663874962239</v>
          </cell>
          <cell r="FT899">
            <v>20.116606119778133</v>
          </cell>
          <cell r="FU899">
            <v>17.065595346429742</v>
          </cell>
          <cell r="FV899">
            <v>23.167616893126525</v>
          </cell>
          <cell r="GG899">
            <v>7.6839161715675202</v>
          </cell>
          <cell r="GH899">
            <v>13.982143405445317</v>
          </cell>
          <cell r="GI899">
            <v>10.408007395026372</v>
          </cell>
          <cell r="GJ899">
            <v>7.7337520878462023</v>
          </cell>
          <cell r="GK899">
            <v>13.082262702206542</v>
          </cell>
        </row>
        <row r="900">
          <cell r="A900">
            <v>40718</v>
          </cell>
          <cell r="FR900">
            <v>18.779999</v>
          </cell>
          <cell r="FS900">
            <v>22.314663874962239</v>
          </cell>
          <cell r="FT900">
            <v>20.116606119778133</v>
          </cell>
          <cell r="FU900">
            <v>17.065595346429742</v>
          </cell>
          <cell r="FV900">
            <v>23.167616893126525</v>
          </cell>
          <cell r="GG900">
            <v>7.7659246446566899</v>
          </cell>
          <cell r="GH900">
            <v>13.982143405445317</v>
          </cell>
          <cell r="GI900">
            <v>10.408007395026372</v>
          </cell>
          <cell r="GJ900">
            <v>7.7337520878462023</v>
          </cell>
          <cell r="GK900">
            <v>13.082262702206542</v>
          </cell>
        </row>
        <row r="901">
          <cell r="A901">
            <v>40721</v>
          </cell>
          <cell r="FR901">
            <v>18.625</v>
          </cell>
          <cell r="FS901">
            <v>22.314663874962239</v>
          </cell>
          <cell r="FT901">
            <v>20.116606119778133</v>
          </cell>
          <cell r="FU901">
            <v>17.065595346429742</v>
          </cell>
          <cell r="FV901">
            <v>23.167616893126525</v>
          </cell>
          <cell r="GG901">
            <v>7.4935298688927325</v>
          </cell>
          <cell r="GH901">
            <v>13.982143405445317</v>
          </cell>
          <cell r="GI901">
            <v>10.408007395026372</v>
          </cell>
          <cell r="GJ901">
            <v>7.7337520878462023</v>
          </cell>
          <cell r="GK901">
            <v>13.082262702206542</v>
          </cell>
        </row>
        <row r="902">
          <cell r="A902">
            <v>40722</v>
          </cell>
          <cell r="FR902">
            <v>18.849990999999999</v>
          </cell>
          <cell r="FS902">
            <v>22.314663874962239</v>
          </cell>
          <cell r="FT902">
            <v>20.116606119778133</v>
          </cell>
          <cell r="FU902">
            <v>17.065595346429742</v>
          </cell>
          <cell r="FV902">
            <v>23.167616893126525</v>
          </cell>
          <cell r="GG902">
            <v>7.5872577774435328</v>
          </cell>
          <cell r="GH902">
            <v>13.982143405445317</v>
          </cell>
          <cell r="GI902">
            <v>10.408007395026372</v>
          </cell>
          <cell r="GJ902">
            <v>7.7337520878462023</v>
          </cell>
          <cell r="GK902">
            <v>13.082262702206542</v>
          </cell>
        </row>
        <row r="903">
          <cell r="A903">
            <v>40723</v>
          </cell>
          <cell r="FR903">
            <v>18.789994</v>
          </cell>
          <cell r="FS903">
            <v>22.314663874962239</v>
          </cell>
          <cell r="FT903">
            <v>20.116606119778133</v>
          </cell>
          <cell r="FU903">
            <v>17.065595346429742</v>
          </cell>
          <cell r="FV903">
            <v>23.167616893126525</v>
          </cell>
          <cell r="GG903">
            <v>7.4906018901506597</v>
          </cell>
          <cell r="GH903">
            <v>13.982143405445317</v>
          </cell>
          <cell r="GI903">
            <v>10.408007395026372</v>
          </cell>
          <cell r="GJ903">
            <v>7.7337520878462023</v>
          </cell>
          <cell r="GK903">
            <v>13.082262702206542</v>
          </cell>
        </row>
        <row r="904">
          <cell r="A904">
            <v>40724</v>
          </cell>
          <cell r="FR904">
            <v>19.01999</v>
          </cell>
          <cell r="FS904">
            <v>22.314663874962239</v>
          </cell>
          <cell r="FT904">
            <v>20.116606119778133</v>
          </cell>
          <cell r="FU904">
            <v>17.065595346429742</v>
          </cell>
          <cell r="FV904">
            <v>23.167616893126525</v>
          </cell>
          <cell r="GG904">
            <v>7.5667518989245686</v>
          </cell>
          <cell r="GH904">
            <v>13.982143405445317</v>
          </cell>
          <cell r="GI904">
            <v>10.408007395026372</v>
          </cell>
          <cell r="GJ904">
            <v>7.7337520878462023</v>
          </cell>
          <cell r="GK904">
            <v>13.082262702206542</v>
          </cell>
        </row>
        <row r="905">
          <cell r="A905">
            <v>40725</v>
          </cell>
          <cell r="FR905">
            <v>19.069993</v>
          </cell>
          <cell r="FS905">
            <v>22.314663874962239</v>
          </cell>
          <cell r="FT905">
            <v>20.116606119778133</v>
          </cell>
          <cell r="FU905">
            <v>17.065595346429742</v>
          </cell>
          <cell r="FV905">
            <v>23.167616893126525</v>
          </cell>
          <cell r="GG905">
            <v>7.5609009551026549</v>
          </cell>
          <cell r="GH905">
            <v>13.982143405445317</v>
          </cell>
          <cell r="GI905">
            <v>10.408007395026372</v>
          </cell>
          <cell r="GJ905">
            <v>7.7337520878462023</v>
          </cell>
          <cell r="GK905">
            <v>13.082262702206542</v>
          </cell>
        </row>
        <row r="906">
          <cell r="A906">
            <v>40728</v>
          </cell>
          <cell r="FR906">
            <v>19.069993</v>
          </cell>
          <cell r="FS906">
            <v>22.314663874962239</v>
          </cell>
          <cell r="FT906">
            <v>20.116606119778133</v>
          </cell>
          <cell r="FU906">
            <v>17.065595346429742</v>
          </cell>
          <cell r="FV906">
            <v>23.167616893126525</v>
          </cell>
          <cell r="GG906">
            <v>7.5609009551026549</v>
          </cell>
          <cell r="GH906">
            <v>13.982143405445317</v>
          </cell>
          <cell r="GI906">
            <v>10.408007395026372</v>
          </cell>
          <cell r="GJ906">
            <v>7.7337520878462023</v>
          </cell>
          <cell r="GK906">
            <v>13.082262702206542</v>
          </cell>
        </row>
        <row r="907">
          <cell r="A907">
            <v>40729</v>
          </cell>
          <cell r="FR907">
            <v>19.329986999999999</v>
          </cell>
          <cell r="FS907">
            <v>22.314663874962239</v>
          </cell>
          <cell r="FT907">
            <v>20.116606119778133</v>
          </cell>
          <cell r="FU907">
            <v>17.065595346429742</v>
          </cell>
          <cell r="FV907">
            <v>23.167616893126525</v>
          </cell>
          <cell r="GG907">
            <v>7.6663382717906288</v>
          </cell>
          <cell r="GH907">
            <v>13.982143405445317</v>
          </cell>
          <cell r="GI907">
            <v>10.408007395026372</v>
          </cell>
          <cell r="GJ907">
            <v>7.7337520878462023</v>
          </cell>
          <cell r="GK907">
            <v>13.082262702206542</v>
          </cell>
        </row>
        <row r="908">
          <cell r="A908">
            <v>40730</v>
          </cell>
          <cell r="FR908">
            <v>19.359985999999999</v>
          </cell>
          <cell r="FS908">
            <v>22.314663874962239</v>
          </cell>
          <cell r="FT908">
            <v>20.116606119778133</v>
          </cell>
          <cell r="FU908">
            <v>17.065595346429742</v>
          </cell>
          <cell r="FV908">
            <v>23.167616893126525</v>
          </cell>
          <cell r="GG908">
            <v>7.7688576370609903</v>
          </cell>
          <cell r="GH908">
            <v>13.982143405445317</v>
          </cell>
          <cell r="GI908">
            <v>10.408007395026372</v>
          </cell>
          <cell r="GJ908">
            <v>7.7337520878462023</v>
          </cell>
          <cell r="GK908">
            <v>13.082262702206542</v>
          </cell>
        </row>
        <row r="909">
          <cell r="A909">
            <v>40731</v>
          </cell>
          <cell r="FR909">
            <v>19.239991</v>
          </cell>
          <cell r="FS909">
            <v>22.314663874962239</v>
          </cell>
          <cell r="FT909">
            <v>20.116606119778133</v>
          </cell>
          <cell r="FU909">
            <v>17.065595346429742</v>
          </cell>
          <cell r="FV909">
            <v>23.167616893126525</v>
          </cell>
          <cell r="GG909">
            <v>7.6429094281918228</v>
          </cell>
          <cell r="GH909">
            <v>13.982143405445317</v>
          </cell>
          <cell r="GI909">
            <v>10.408007395026372</v>
          </cell>
          <cell r="GJ909">
            <v>7.7337520878462023</v>
          </cell>
          <cell r="GK909">
            <v>13.082262702206542</v>
          </cell>
        </row>
        <row r="910">
          <cell r="A910">
            <v>40732</v>
          </cell>
          <cell r="FR910">
            <v>19.169999000000001</v>
          </cell>
          <cell r="FS910">
            <v>22.314663874962239</v>
          </cell>
          <cell r="FT910">
            <v>20.116606119778133</v>
          </cell>
          <cell r="FU910">
            <v>17.065595346429742</v>
          </cell>
          <cell r="FV910">
            <v>23.167616893126525</v>
          </cell>
          <cell r="GG910">
            <v>7.6985610789401111</v>
          </cell>
          <cell r="GH910">
            <v>13.982143405445317</v>
          </cell>
          <cell r="GI910">
            <v>10.408007395026372</v>
          </cell>
          <cell r="GJ910">
            <v>7.7337520878462023</v>
          </cell>
          <cell r="GK910">
            <v>13.082262702206542</v>
          </cell>
        </row>
        <row r="911">
          <cell r="A911">
            <v>40735</v>
          </cell>
          <cell r="FR911">
            <v>18.479996</v>
          </cell>
          <cell r="FS911">
            <v>22.314663874962239</v>
          </cell>
          <cell r="FT911">
            <v>20.116606119778133</v>
          </cell>
          <cell r="FU911">
            <v>17.065595346429742</v>
          </cell>
          <cell r="FV911">
            <v>23.167616893126525</v>
          </cell>
          <cell r="GG911">
            <v>7.6048331703893099</v>
          </cell>
          <cell r="GH911">
            <v>13.982143405445317</v>
          </cell>
          <cell r="GI911">
            <v>10.408007395026372</v>
          </cell>
          <cell r="GJ911">
            <v>7.7337520878462023</v>
          </cell>
          <cell r="GK911">
            <v>13.082262702206542</v>
          </cell>
        </row>
        <row r="912">
          <cell r="A912">
            <v>40736</v>
          </cell>
          <cell r="FR912">
            <v>18.239991</v>
          </cell>
          <cell r="FS912">
            <v>22.314663874962239</v>
          </cell>
          <cell r="FT912">
            <v>20.116606119778133</v>
          </cell>
          <cell r="FU912">
            <v>17.065595346429742</v>
          </cell>
          <cell r="FV912">
            <v>23.167616893126525</v>
          </cell>
          <cell r="GG912">
            <v>7.4759569827780696</v>
          </cell>
          <cell r="GH912">
            <v>13.982143405445317</v>
          </cell>
          <cell r="GI912">
            <v>10.408007395026372</v>
          </cell>
          <cell r="GJ912">
            <v>7.7337520878462023</v>
          </cell>
          <cell r="GK912">
            <v>13.082262702206542</v>
          </cell>
        </row>
        <row r="913">
          <cell r="A913">
            <v>40737</v>
          </cell>
          <cell r="FR913">
            <v>18.229996</v>
          </cell>
          <cell r="FS913">
            <v>22.314663874962239</v>
          </cell>
          <cell r="FT913">
            <v>20.116606119778133</v>
          </cell>
          <cell r="FU913">
            <v>17.065595346429742</v>
          </cell>
          <cell r="FV913">
            <v>23.167616893126525</v>
          </cell>
          <cell r="GG913">
            <v>7.4115213958035646</v>
          </cell>
          <cell r="GH913">
            <v>13.982143405445317</v>
          </cell>
          <cell r="GI913">
            <v>10.408007395026372</v>
          </cell>
          <cell r="GJ913">
            <v>7.7337520878462023</v>
          </cell>
          <cell r="GK913">
            <v>13.082262702206542</v>
          </cell>
        </row>
        <row r="914">
          <cell r="A914">
            <v>40738</v>
          </cell>
          <cell r="FR914">
            <v>17.892156862745097</v>
          </cell>
          <cell r="FS914">
            <v>22.314663874962239</v>
          </cell>
          <cell r="FT914">
            <v>20.116606119778133</v>
          </cell>
          <cell r="FU914">
            <v>17.065595346429742</v>
          </cell>
          <cell r="FV914">
            <v>23.167616893126525</v>
          </cell>
          <cell r="GG914">
            <v>7.2955226104447588</v>
          </cell>
          <cell r="GH914">
            <v>13.982143405445317</v>
          </cell>
          <cell r="GI914">
            <v>10.408007395026372</v>
          </cell>
          <cell r="GJ914">
            <v>7.7337520878462023</v>
          </cell>
          <cell r="GK914">
            <v>13.082262702206542</v>
          </cell>
        </row>
        <row r="915">
          <cell r="A915">
            <v>40739</v>
          </cell>
          <cell r="FR915">
            <v>17.921567647058822</v>
          </cell>
          <cell r="FS915">
            <v>22.314663874962239</v>
          </cell>
          <cell r="FT915">
            <v>20.116606119778133</v>
          </cell>
          <cell r="FU915">
            <v>17.065595346429742</v>
          </cell>
          <cell r="FV915">
            <v>23.167616893126525</v>
          </cell>
          <cell r="GG915">
            <v>7.2752117013086997</v>
          </cell>
          <cell r="GH915">
            <v>13.982143405445317</v>
          </cell>
          <cell r="GI915">
            <v>10.408007395026372</v>
          </cell>
          <cell r="GJ915">
            <v>7.7337520878462023</v>
          </cell>
          <cell r="GK915">
            <v>13.082262702206542</v>
          </cell>
        </row>
        <row r="916">
          <cell r="A916">
            <v>40742</v>
          </cell>
          <cell r="FR916">
            <v>17.549013725490195</v>
          </cell>
          <cell r="FS916">
            <v>22.314663874962239</v>
          </cell>
          <cell r="FT916">
            <v>20.116606119778133</v>
          </cell>
          <cell r="FU916">
            <v>17.065595346429742</v>
          </cell>
          <cell r="FV916">
            <v>23.167616893126525</v>
          </cell>
          <cell r="GG916">
            <v>7.1910650872879884</v>
          </cell>
          <cell r="GH916">
            <v>13.982143405445317</v>
          </cell>
          <cell r="GI916">
            <v>10.408007395026372</v>
          </cell>
          <cell r="GJ916">
            <v>7.7337520878462023</v>
          </cell>
          <cell r="GK916">
            <v>13.082262702206542</v>
          </cell>
        </row>
        <row r="917">
          <cell r="A917">
            <v>40743</v>
          </cell>
          <cell r="FR917">
            <v>17.715679411764707</v>
          </cell>
          <cell r="FS917">
            <v>22.314663874962239</v>
          </cell>
          <cell r="FT917">
            <v>20.116606119778133</v>
          </cell>
          <cell r="FU917">
            <v>17.065595346429742</v>
          </cell>
          <cell r="FV917">
            <v>23.167616893126525</v>
          </cell>
          <cell r="GG917">
            <v>7.2084779855471952</v>
          </cell>
          <cell r="GH917">
            <v>13.982143405445317</v>
          </cell>
          <cell r="GI917">
            <v>10.408007395026372</v>
          </cell>
          <cell r="GJ917">
            <v>7.7337520878462023</v>
          </cell>
          <cell r="GK917">
            <v>13.082262702206542</v>
          </cell>
        </row>
        <row r="918">
          <cell r="A918">
            <v>40744</v>
          </cell>
          <cell r="FR918">
            <v>17.499991176470587</v>
          </cell>
          <cell r="FS918">
            <v>22.314663874962239</v>
          </cell>
          <cell r="FT918">
            <v>20.116606119778133</v>
          </cell>
          <cell r="FU918">
            <v>17.065595346429742</v>
          </cell>
          <cell r="FV918">
            <v>23.167616893126525</v>
          </cell>
          <cell r="GG918">
            <v>7.1301373264794261</v>
          </cell>
          <cell r="GH918">
            <v>13.982143405445317</v>
          </cell>
          <cell r="GI918">
            <v>10.408007395026372</v>
          </cell>
          <cell r="GJ918">
            <v>7.7337520878462023</v>
          </cell>
          <cell r="GK918">
            <v>13.082262702206542</v>
          </cell>
        </row>
        <row r="919">
          <cell r="A919">
            <v>40745</v>
          </cell>
          <cell r="FR919">
            <v>17.637246078431371</v>
          </cell>
          <cell r="FS919">
            <v>22.314663874962239</v>
          </cell>
          <cell r="FT919">
            <v>20.116606119778133</v>
          </cell>
          <cell r="FU919">
            <v>17.065595346429742</v>
          </cell>
          <cell r="FV919">
            <v>23.167616893126525</v>
          </cell>
          <cell r="GG919">
            <v>7.1301373264794261</v>
          </cell>
          <cell r="GH919">
            <v>13.982143405445317</v>
          </cell>
          <cell r="GI919">
            <v>10.408007395026372</v>
          </cell>
          <cell r="GJ919">
            <v>7.7337520878462023</v>
          </cell>
          <cell r="GK919">
            <v>13.082262702206542</v>
          </cell>
        </row>
        <row r="920">
          <cell r="A920">
            <v>40746</v>
          </cell>
          <cell r="FR920">
            <v>17.529401960784313</v>
          </cell>
          <cell r="FS920">
            <v>22.314663874962239</v>
          </cell>
          <cell r="FT920">
            <v>20.116606119778133</v>
          </cell>
          <cell r="FU920">
            <v>17.065595346429742</v>
          </cell>
          <cell r="FV920">
            <v>23.167616893126525</v>
          </cell>
          <cell r="GG920">
            <v>7.1069209565670866</v>
          </cell>
          <cell r="GH920">
            <v>13.982143405445317</v>
          </cell>
          <cell r="GI920">
            <v>10.408007395026372</v>
          </cell>
          <cell r="GJ920">
            <v>7.7337520878462023</v>
          </cell>
          <cell r="GK920">
            <v>13.082262702206542</v>
          </cell>
        </row>
        <row r="921">
          <cell r="A921">
            <v>40749</v>
          </cell>
          <cell r="FR921">
            <v>17.205870588235292</v>
          </cell>
          <cell r="FS921">
            <v>22.314663874962239</v>
          </cell>
          <cell r="FT921">
            <v>20.116606119778133</v>
          </cell>
          <cell r="FU921">
            <v>17.065595346429742</v>
          </cell>
          <cell r="FV921">
            <v>23.167616893126525</v>
          </cell>
          <cell r="GG921">
            <v>7.089515508207306</v>
          </cell>
          <cell r="GH921">
            <v>13.982143405445317</v>
          </cell>
          <cell r="GI921">
            <v>10.408007395026372</v>
          </cell>
          <cell r="GJ921">
            <v>7.7337520878462023</v>
          </cell>
          <cell r="GK921">
            <v>13.082262702206542</v>
          </cell>
        </row>
        <row r="922">
          <cell r="A922">
            <v>40750</v>
          </cell>
          <cell r="FR922">
            <v>16.95097450980392</v>
          </cell>
          <cell r="FS922">
            <v>22.314663874962239</v>
          </cell>
          <cell r="FT922">
            <v>20.116606119778133</v>
          </cell>
          <cell r="FU922">
            <v>17.065595346429742</v>
          </cell>
          <cell r="FV922">
            <v>23.167616893126525</v>
          </cell>
          <cell r="GG922">
            <v>6.7123221336511962</v>
          </cell>
          <cell r="GH922">
            <v>13.982143405445317</v>
          </cell>
          <cell r="GI922">
            <v>10.408007395026372</v>
          </cell>
          <cell r="GJ922">
            <v>7.7337520878462023</v>
          </cell>
          <cell r="GK922">
            <v>13.082262702206542</v>
          </cell>
        </row>
        <row r="923">
          <cell r="A923">
            <v>40751</v>
          </cell>
          <cell r="FR923">
            <v>16.794107843137255</v>
          </cell>
          <cell r="FS923">
            <v>22.314663874962239</v>
          </cell>
          <cell r="FT923">
            <v>20.116606119778133</v>
          </cell>
          <cell r="FU923">
            <v>17.065595346429742</v>
          </cell>
          <cell r="FV923">
            <v>23.167616893126525</v>
          </cell>
          <cell r="GG923">
            <v>6.7819513769897437</v>
          </cell>
          <cell r="GH923">
            <v>13.982143405445317</v>
          </cell>
          <cell r="GI923">
            <v>10.408007395026372</v>
          </cell>
          <cell r="GJ923">
            <v>7.7337520878462023</v>
          </cell>
          <cell r="GK923">
            <v>13.082262702206542</v>
          </cell>
        </row>
        <row r="924">
          <cell r="A924">
            <v>40752</v>
          </cell>
          <cell r="FR924">
            <v>16.666666666666668</v>
          </cell>
          <cell r="FS924">
            <v>22.314663874962239</v>
          </cell>
          <cell r="FT924">
            <v>20.116606119778133</v>
          </cell>
          <cell r="FU924">
            <v>17.065595346429742</v>
          </cell>
          <cell r="FV924">
            <v>23.167616893126525</v>
          </cell>
          <cell r="GG924">
            <v>6.7819513769897437</v>
          </cell>
          <cell r="GH924">
            <v>13.982143405445317</v>
          </cell>
          <cell r="GI924">
            <v>10.408007395026372</v>
          </cell>
          <cell r="GJ924">
            <v>7.7337520878462023</v>
          </cell>
          <cell r="GK924">
            <v>13.082262702206542</v>
          </cell>
        </row>
        <row r="925">
          <cell r="A925">
            <v>40753</v>
          </cell>
          <cell r="FR925">
            <v>16.607831372549018</v>
          </cell>
          <cell r="FS925">
            <v>22.314663874962239</v>
          </cell>
          <cell r="FT925">
            <v>20.116606119778133</v>
          </cell>
          <cell r="FU925">
            <v>17.065595346429742</v>
          </cell>
          <cell r="FV925">
            <v>23.167616893126525</v>
          </cell>
          <cell r="GG925">
            <v>6.6949092353919886</v>
          </cell>
          <cell r="GH925">
            <v>13.982143405445317</v>
          </cell>
          <cell r="GI925">
            <v>10.408007395026372</v>
          </cell>
          <cell r="GJ925">
            <v>7.7337520878462023</v>
          </cell>
          <cell r="GK925">
            <v>13.082262702206542</v>
          </cell>
        </row>
        <row r="926">
          <cell r="A926">
            <v>40756</v>
          </cell>
          <cell r="FR926">
            <v>16.156858823529411</v>
          </cell>
          <cell r="FS926">
            <v>22.314663874962239</v>
          </cell>
          <cell r="FT926">
            <v>20.116606119778133</v>
          </cell>
          <cell r="FU926">
            <v>17.065595346429742</v>
          </cell>
          <cell r="FV926">
            <v>23.167616893126525</v>
          </cell>
          <cell r="GG926">
            <v>6.561439320569173</v>
          </cell>
          <cell r="GH926">
            <v>13.982143405445317</v>
          </cell>
          <cell r="GI926">
            <v>10.408007395026372</v>
          </cell>
          <cell r="GJ926">
            <v>7.7337520878462023</v>
          </cell>
          <cell r="GK926">
            <v>13.082262702206542</v>
          </cell>
        </row>
        <row r="927">
          <cell r="A927">
            <v>40757</v>
          </cell>
          <cell r="FR927">
            <v>15.990194117647059</v>
          </cell>
          <cell r="FS927">
            <v>22.314663874962239</v>
          </cell>
          <cell r="FT927">
            <v>20.116606119778133</v>
          </cell>
          <cell r="FU927">
            <v>17.065595346429742</v>
          </cell>
          <cell r="FV927">
            <v>23.167616893126525</v>
          </cell>
          <cell r="GG927">
            <v>6.5585388263925104</v>
          </cell>
          <cell r="GH927">
            <v>13.982143405445317</v>
          </cell>
          <cell r="GI927">
            <v>10.408007395026372</v>
          </cell>
          <cell r="GJ927">
            <v>7.7337520878462023</v>
          </cell>
          <cell r="GK927">
            <v>13.082262702206542</v>
          </cell>
        </row>
        <row r="928">
          <cell r="A928">
            <v>40758</v>
          </cell>
          <cell r="FR928">
            <v>16.03430980392157</v>
          </cell>
          <cell r="FS928">
            <v>22.314663874962239</v>
          </cell>
          <cell r="FT928">
            <v>20.116606119778133</v>
          </cell>
          <cell r="FU928">
            <v>17.065595346429742</v>
          </cell>
          <cell r="FV928">
            <v>23.167616893126525</v>
          </cell>
          <cell r="GG928">
            <v>6.3757456107675878</v>
          </cell>
          <cell r="GH928">
            <v>13.982143405445317</v>
          </cell>
          <cell r="GI928">
            <v>10.408007395026372</v>
          </cell>
          <cell r="GJ928">
            <v>7.7337520878462023</v>
          </cell>
          <cell r="GK928">
            <v>13.082262702206542</v>
          </cell>
        </row>
        <row r="929">
          <cell r="A929">
            <v>40759</v>
          </cell>
          <cell r="FR929">
            <v>14.715686274509803</v>
          </cell>
          <cell r="FS929">
            <v>22.314663874962239</v>
          </cell>
          <cell r="FT929">
            <v>20.116606119778133</v>
          </cell>
          <cell r="FU929">
            <v>17.065595346429742</v>
          </cell>
          <cell r="FV929">
            <v>23.167616893126525</v>
          </cell>
          <cell r="GG929">
            <v>6.1436216444411329</v>
          </cell>
          <cell r="GH929">
            <v>13.982143405445317</v>
          </cell>
          <cell r="GI929">
            <v>10.408007395026372</v>
          </cell>
          <cell r="GJ929">
            <v>7.7337520878462023</v>
          </cell>
          <cell r="GK929">
            <v>13.082262702206542</v>
          </cell>
        </row>
        <row r="930">
          <cell r="A930">
            <v>40760</v>
          </cell>
          <cell r="FR930">
            <v>15.470588235294116</v>
          </cell>
          <cell r="FS930">
            <v>22.314663874962239</v>
          </cell>
          <cell r="FT930">
            <v>20.116606119778133</v>
          </cell>
          <cell r="FU930">
            <v>17.065595346429742</v>
          </cell>
          <cell r="FV930">
            <v>23.167616893126525</v>
          </cell>
          <cell r="GG930">
            <v>6.3351237924954678</v>
          </cell>
          <cell r="GH930">
            <v>13.982143405445317</v>
          </cell>
          <cell r="GI930">
            <v>10.408007395026372</v>
          </cell>
          <cell r="GJ930">
            <v>7.7337520878462023</v>
          </cell>
          <cell r="GK930">
            <v>13.082262702206542</v>
          </cell>
        </row>
        <row r="931">
          <cell r="A931">
            <v>40763</v>
          </cell>
          <cell r="FR931">
            <v>14.549019607843137</v>
          </cell>
          <cell r="FS931">
            <v>22.314663874962239</v>
          </cell>
          <cell r="FT931">
            <v>20.116606119778133</v>
          </cell>
          <cell r="FU931">
            <v>17.065595346429742</v>
          </cell>
          <cell r="FV931">
            <v>23.167616893126525</v>
          </cell>
          <cell r="GG931">
            <v>6.2016538776726513</v>
          </cell>
          <cell r="GH931">
            <v>13.982143405445317</v>
          </cell>
          <cell r="GI931">
            <v>10.408007395026372</v>
          </cell>
          <cell r="GJ931">
            <v>7.7337520878462023</v>
          </cell>
          <cell r="GK931">
            <v>13.082262702206542</v>
          </cell>
        </row>
        <row r="932">
          <cell r="A932">
            <v>40764</v>
          </cell>
          <cell r="FR932">
            <v>14.764705882352942</v>
          </cell>
          <cell r="FS932">
            <v>22.314663874962239</v>
          </cell>
          <cell r="FT932">
            <v>20.116606119778133</v>
          </cell>
          <cell r="FU932">
            <v>17.065595346429742</v>
          </cell>
          <cell r="FV932">
            <v>23.167616893126525</v>
          </cell>
          <cell r="GG932">
            <v>5.8766818147955</v>
          </cell>
          <cell r="GH932">
            <v>13.982143405445317</v>
          </cell>
          <cell r="GI932">
            <v>10.408007395026372</v>
          </cell>
          <cell r="GJ932">
            <v>7.7337520878462023</v>
          </cell>
          <cell r="GK932">
            <v>13.082262702206542</v>
          </cell>
        </row>
        <row r="933">
          <cell r="A933">
            <v>40765</v>
          </cell>
          <cell r="FR933">
            <v>13.735294117647058</v>
          </cell>
          <cell r="FS933">
            <v>22.314663874962239</v>
          </cell>
          <cell r="FT933">
            <v>20.116606119778133</v>
          </cell>
          <cell r="FU933">
            <v>17.065595346429742</v>
          </cell>
          <cell r="FV933">
            <v>23.167616893126525</v>
          </cell>
          <cell r="GG933">
            <v>5.7548188432789491</v>
          </cell>
          <cell r="GH933">
            <v>13.982143405445317</v>
          </cell>
          <cell r="GI933">
            <v>10.408007395026372</v>
          </cell>
          <cell r="GJ933">
            <v>7.7337520878462023</v>
          </cell>
          <cell r="GK933">
            <v>13.082262702206542</v>
          </cell>
        </row>
        <row r="934">
          <cell r="A934">
            <v>40766</v>
          </cell>
          <cell r="FR934">
            <v>14.490196078431371</v>
          </cell>
          <cell r="FS934">
            <v>22.314663874962239</v>
          </cell>
          <cell r="FT934">
            <v>20.116606119778133</v>
          </cell>
          <cell r="FU934">
            <v>17.065595346429742</v>
          </cell>
          <cell r="FV934">
            <v>23.167616893126525</v>
          </cell>
          <cell r="GG934">
            <v>5.7751297524150091</v>
          </cell>
          <cell r="GH934">
            <v>13.982143405445317</v>
          </cell>
          <cell r="GI934">
            <v>10.408007395026372</v>
          </cell>
          <cell r="GJ934">
            <v>7.7337520878462023</v>
          </cell>
          <cell r="GK934">
            <v>13.082262702206542</v>
          </cell>
        </row>
        <row r="935">
          <cell r="A935">
            <v>40767</v>
          </cell>
          <cell r="FR935">
            <v>14.823529411764705</v>
          </cell>
          <cell r="FS935">
            <v>22.314663874962239</v>
          </cell>
          <cell r="FT935">
            <v>20.116606119778133</v>
          </cell>
          <cell r="FU935">
            <v>17.065595346429742</v>
          </cell>
          <cell r="FV935">
            <v>23.167616893126525</v>
          </cell>
          <cell r="GG935">
            <v>6.0362661104075102</v>
          </cell>
          <cell r="GH935">
            <v>13.982143405445317</v>
          </cell>
          <cell r="GI935">
            <v>10.408007395026372</v>
          </cell>
          <cell r="GJ935">
            <v>7.7337520878462023</v>
          </cell>
          <cell r="GK935">
            <v>13.082262702206542</v>
          </cell>
        </row>
        <row r="936">
          <cell r="A936">
            <v>40770</v>
          </cell>
          <cell r="FR936">
            <v>15.480392156862743</v>
          </cell>
          <cell r="FS936">
            <v>22.314663874962239</v>
          </cell>
          <cell r="FT936">
            <v>20.116606119778133</v>
          </cell>
          <cell r="FU936">
            <v>17.065595346429742</v>
          </cell>
          <cell r="FV936">
            <v>23.167616893126525</v>
          </cell>
          <cell r="GG936">
            <v>6.166835531053664</v>
          </cell>
          <cell r="GH936">
            <v>13.982143405445317</v>
          </cell>
          <cell r="GI936">
            <v>10.408007395026372</v>
          </cell>
          <cell r="GJ936">
            <v>7.7337520878462023</v>
          </cell>
          <cell r="GK936">
            <v>13.082262702206542</v>
          </cell>
        </row>
        <row r="937">
          <cell r="A937">
            <v>40771</v>
          </cell>
          <cell r="FR937">
            <v>15.147058823529411</v>
          </cell>
          <cell r="FS937">
            <v>22.314663874962239</v>
          </cell>
          <cell r="FT937">
            <v>20.116606119778133</v>
          </cell>
          <cell r="FU937">
            <v>17.065595346429742</v>
          </cell>
          <cell r="FV937">
            <v>23.167616893126525</v>
          </cell>
          <cell r="GG937">
            <v>6.0913953661625566</v>
          </cell>
          <cell r="GH937">
            <v>13.982143405445317</v>
          </cell>
          <cell r="GI937">
            <v>10.408007395026372</v>
          </cell>
          <cell r="GJ937">
            <v>7.7337520878462023</v>
          </cell>
          <cell r="GK937">
            <v>13.082262702206542</v>
          </cell>
        </row>
        <row r="938">
          <cell r="A938">
            <v>40772</v>
          </cell>
          <cell r="FR938">
            <v>14.921568627450981</v>
          </cell>
          <cell r="FS938">
            <v>22.314663874962239</v>
          </cell>
          <cell r="FT938">
            <v>20.116606119778133</v>
          </cell>
          <cell r="FU938">
            <v>17.065595346429742</v>
          </cell>
          <cell r="FV938">
            <v>23.167616893126525</v>
          </cell>
          <cell r="GG938">
            <v>5.9318110705505473</v>
          </cell>
          <cell r="GH938">
            <v>13.982143405445317</v>
          </cell>
          <cell r="GI938">
            <v>10.408007395026372</v>
          </cell>
          <cell r="GJ938">
            <v>7.7337520878462023</v>
          </cell>
          <cell r="GK938">
            <v>13.082262702206542</v>
          </cell>
        </row>
        <row r="939">
          <cell r="A939">
            <v>40773</v>
          </cell>
          <cell r="FR939">
            <v>14.245098039215685</v>
          </cell>
          <cell r="FS939">
            <v>22.314663874962239</v>
          </cell>
          <cell r="FT939">
            <v>20.116606119778133</v>
          </cell>
          <cell r="FU939">
            <v>17.065595346429742</v>
          </cell>
          <cell r="FV939">
            <v>23.167616893126525</v>
          </cell>
          <cell r="GG939">
            <v>5.85391350290588</v>
          </cell>
          <cell r="GH939">
            <v>13.982143405445317</v>
          </cell>
          <cell r="GI939">
            <v>10.408007395026372</v>
          </cell>
          <cell r="GJ939">
            <v>7.7337520878462023</v>
          </cell>
          <cell r="GK939">
            <v>13.082262702206542</v>
          </cell>
        </row>
        <row r="940">
          <cell r="A940">
            <v>40774</v>
          </cell>
          <cell r="FR940">
            <v>14.156862745098039</v>
          </cell>
          <cell r="FS940">
            <v>22.314663874962239</v>
          </cell>
          <cell r="FT940">
            <v>20.116606119778133</v>
          </cell>
          <cell r="FU940">
            <v>17.065595346429742</v>
          </cell>
          <cell r="FV940">
            <v>23.167616893126525</v>
          </cell>
          <cell r="GG940">
            <v>5.7804236797745743</v>
          </cell>
          <cell r="GH940">
            <v>13.982143405445317</v>
          </cell>
          <cell r="GI940">
            <v>10.408007395026372</v>
          </cell>
          <cell r="GJ940">
            <v>7.7337520878462023</v>
          </cell>
          <cell r="GK940">
            <v>13.082262702206542</v>
          </cell>
        </row>
        <row r="941">
          <cell r="A941">
            <v>40777</v>
          </cell>
          <cell r="FR941">
            <v>14.127450980392156</v>
          </cell>
          <cell r="FS941">
            <v>22.314663874962239</v>
          </cell>
          <cell r="FT941">
            <v>20.116606119778133</v>
          </cell>
          <cell r="FU941">
            <v>17.065595346429742</v>
          </cell>
          <cell r="FV941">
            <v>23.167616893126525</v>
          </cell>
          <cell r="GG941">
            <v>5.7627871285883208</v>
          </cell>
          <cell r="GH941">
            <v>13.982143405445317</v>
          </cell>
          <cell r="GI941">
            <v>10.408007395026372</v>
          </cell>
          <cell r="GJ941">
            <v>7.7337520878462023</v>
          </cell>
          <cell r="GK941">
            <v>13.082262702206542</v>
          </cell>
        </row>
        <row r="942">
          <cell r="A942">
            <v>40778</v>
          </cell>
          <cell r="FR942">
            <v>14.598039215686274</v>
          </cell>
          <cell r="FS942">
            <v>22.314663874962239</v>
          </cell>
          <cell r="FT942">
            <v>20.116606119778133</v>
          </cell>
          <cell r="FU942">
            <v>17.065595346429742</v>
          </cell>
          <cell r="FV942">
            <v>23.167616893126525</v>
          </cell>
          <cell r="GG942">
            <v>5.8627342944121565</v>
          </cell>
          <cell r="GH942">
            <v>13.982143405445317</v>
          </cell>
          <cell r="GI942">
            <v>10.408007395026372</v>
          </cell>
          <cell r="GJ942">
            <v>7.7337520878462023</v>
          </cell>
          <cell r="GK942">
            <v>13.082262702206542</v>
          </cell>
        </row>
        <row r="943">
          <cell r="A943">
            <v>40779</v>
          </cell>
          <cell r="FR943">
            <v>14.980392156862743</v>
          </cell>
          <cell r="FS943">
            <v>22.314663874962239</v>
          </cell>
          <cell r="FT943">
            <v>20.116606119778133</v>
          </cell>
          <cell r="FU943">
            <v>17.065595346429742</v>
          </cell>
          <cell r="FV943">
            <v>23.167616893126525</v>
          </cell>
          <cell r="GG943">
            <v>6.0479306614335675</v>
          </cell>
          <cell r="GH943">
            <v>13.982143405445317</v>
          </cell>
          <cell r="GI943">
            <v>10.408007395026372</v>
          </cell>
          <cell r="GJ943">
            <v>7.7337520878462023</v>
          </cell>
          <cell r="GK943">
            <v>13.082262702206542</v>
          </cell>
        </row>
        <row r="944">
          <cell r="A944">
            <v>40780</v>
          </cell>
          <cell r="FR944">
            <v>14.617647058823529</v>
          </cell>
          <cell r="FS944">
            <v>22.314663874962239</v>
          </cell>
          <cell r="FT944">
            <v>20.116606119778133</v>
          </cell>
          <cell r="FU944">
            <v>17.065595346429742</v>
          </cell>
          <cell r="FV944">
            <v>23.167616893126525</v>
          </cell>
          <cell r="GG944">
            <v>5.942103806576597</v>
          </cell>
          <cell r="GH944">
            <v>13.982143405445317</v>
          </cell>
          <cell r="GI944">
            <v>10.408007395026372</v>
          </cell>
          <cell r="GJ944">
            <v>7.7337520878462023</v>
          </cell>
          <cell r="GK944">
            <v>13.082262702206542</v>
          </cell>
        </row>
        <row r="945">
          <cell r="A945">
            <v>40781</v>
          </cell>
          <cell r="FR945">
            <v>14.823529411764705</v>
          </cell>
          <cell r="FS945">
            <v>22.314663874962239</v>
          </cell>
          <cell r="FT945">
            <v>20.116606119778133</v>
          </cell>
          <cell r="FU945">
            <v>17.065595346429742</v>
          </cell>
          <cell r="FV945">
            <v>23.167616893126525</v>
          </cell>
          <cell r="GG945">
            <v>5.9626814602359923</v>
          </cell>
          <cell r="GH945">
            <v>13.982143405445317</v>
          </cell>
          <cell r="GI945">
            <v>10.408007395026372</v>
          </cell>
          <cell r="GJ945">
            <v>7.7337520878462023</v>
          </cell>
          <cell r="GK945">
            <v>13.082262702206542</v>
          </cell>
        </row>
        <row r="946">
          <cell r="A946">
            <v>40784</v>
          </cell>
          <cell r="FR946">
            <v>15.117647058823529</v>
          </cell>
          <cell r="FS946">
            <v>22.314663874962239</v>
          </cell>
          <cell r="FT946">
            <v>20.116606119778133</v>
          </cell>
          <cell r="FU946">
            <v>17.065595346429742</v>
          </cell>
          <cell r="FV946">
            <v>23.167616893126525</v>
          </cell>
          <cell r="GG946">
            <v>6.0508692479935586</v>
          </cell>
          <cell r="GH946">
            <v>13.982143405445317</v>
          </cell>
          <cell r="GI946">
            <v>10.408007395026372</v>
          </cell>
          <cell r="GJ946">
            <v>7.7337520878462023</v>
          </cell>
          <cell r="GK946">
            <v>13.082262702206542</v>
          </cell>
        </row>
        <row r="947">
          <cell r="A947">
            <v>40785</v>
          </cell>
          <cell r="FR947">
            <v>15.181372549019606</v>
          </cell>
          <cell r="FS947">
            <v>22.314663874962239</v>
          </cell>
          <cell r="FT947">
            <v>20.116606119778133</v>
          </cell>
          <cell r="FU947">
            <v>17.065595346429742</v>
          </cell>
          <cell r="FV947">
            <v>23.167616893126525</v>
          </cell>
          <cell r="GG947">
            <v>6.071446901652954</v>
          </cell>
          <cell r="GH947">
            <v>13.982143405445317</v>
          </cell>
          <cell r="GI947">
            <v>10.408007395026372</v>
          </cell>
          <cell r="GJ947">
            <v>7.7337520878462023</v>
          </cell>
          <cell r="GK947">
            <v>13.082262702206542</v>
          </cell>
        </row>
        <row r="948">
          <cell r="A948">
            <v>40786</v>
          </cell>
          <cell r="FR948">
            <v>15.137254901960784</v>
          </cell>
          <cell r="FS948">
            <v>22.314663874962239</v>
          </cell>
          <cell r="FT948">
            <v>20.116606119778133</v>
          </cell>
          <cell r="FU948">
            <v>17.065595346429742</v>
          </cell>
          <cell r="FV948">
            <v>23.167616893126525</v>
          </cell>
          <cell r="GG948">
            <v>6.1302387601579982</v>
          </cell>
          <cell r="GH948">
            <v>13.982143405445317</v>
          </cell>
          <cell r="GI948">
            <v>10.408007395026372</v>
          </cell>
          <cell r="GJ948">
            <v>7.7337520878462023</v>
          </cell>
          <cell r="GK948">
            <v>13.082262702206542</v>
          </cell>
        </row>
        <row r="949">
          <cell r="A949">
            <v>40787</v>
          </cell>
          <cell r="FR949">
            <v>14.774509803921569</v>
          </cell>
          <cell r="FS949">
            <v>22.314663874962239</v>
          </cell>
          <cell r="FT949">
            <v>20.116606119778133</v>
          </cell>
          <cell r="FU949">
            <v>17.065595346429742</v>
          </cell>
          <cell r="FV949">
            <v>23.167616893126525</v>
          </cell>
          <cell r="GG949">
            <v>6.0538103504667014</v>
          </cell>
          <cell r="GH949">
            <v>13.982143405445317</v>
          </cell>
          <cell r="GI949">
            <v>10.408007395026372</v>
          </cell>
          <cell r="GJ949">
            <v>7.7337520878462023</v>
          </cell>
          <cell r="GK949">
            <v>13.082262702206542</v>
          </cell>
        </row>
        <row r="950">
          <cell r="A950">
            <v>40788</v>
          </cell>
          <cell r="FR950">
            <v>14.46078431372549</v>
          </cell>
          <cell r="FS950">
            <v>22.314663874962239</v>
          </cell>
          <cell r="FT950">
            <v>20.116606119778133</v>
          </cell>
          <cell r="FU950">
            <v>17.065595346429742</v>
          </cell>
          <cell r="FV950">
            <v>23.167616893126525</v>
          </cell>
          <cell r="GG950">
            <v>6.0302915943341633</v>
          </cell>
          <cell r="GH950">
            <v>13.982143405445317</v>
          </cell>
          <cell r="GI950">
            <v>10.408007395026372</v>
          </cell>
          <cell r="GJ950">
            <v>7.7337520878462023</v>
          </cell>
          <cell r="GK950">
            <v>13.082262702206542</v>
          </cell>
        </row>
        <row r="951">
          <cell r="A951">
            <v>40791</v>
          </cell>
          <cell r="FR951">
            <v>14.46078431372549</v>
          </cell>
          <cell r="FS951">
            <v>22.314663874962239</v>
          </cell>
          <cell r="FT951">
            <v>20.116606119778133</v>
          </cell>
          <cell r="FU951">
            <v>17.065595346429742</v>
          </cell>
          <cell r="FV951">
            <v>23.167616893126525</v>
          </cell>
          <cell r="GG951">
            <v>6.0302915943341633</v>
          </cell>
          <cell r="GH951">
            <v>13.982143405445317</v>
          </cell>
          <cell r="GI951">
            <v>10.408007395026372</v>
          </cell>
          <cell r="GJ951">
            <v>7.7337520878462023</v>
          </cell>
          <cell r="GK951">
            <v>13.082262702206542</v>
          </cell>
        </row>
        <row r="952">
          <cell r="A952">
            <v>40792</v>
          </cell>
          <cell r="FR952">
            <v>14.147058823529411</v>
          </cell>
          <cell r="FS952">
            <v>22.314663874962239</v>
          </cell>
          <cell r="FT952">
            <v>20.116606119778133</v>
          </cell>
          <cell r="FU952">
            <v>17.065595346429742</v>
          </cell>
          <cell r="FV952">
            <v>23.167616893126525</v>
          </cell>
          <cell r="GG952">
            <v>5.8833119480715519</v>
          </cell>
          <cell r="GH952">
            <v>13.982143405445317</v>
          </cell>
          <cell r="GI952">
            <v>10.408007395026372</v>
          </cell>
          <cell r="GJ952">
            <v>7.7337520878462023</v>
          </cell>
          <cell r="GK952">
            <v>13.082262702206542</v>
          </cell>
        </row>
        <row r="953">
          <cell r="A953">
            <v>40793</v>
          </cell>
          <cell r="FR953">
            <v>14.588235294117647</v>
          </cell>
          <cell r="FS953">
            <v>22.314663874962239</v>
          </cell>
          <cell r="FT953">
            <v>20.116606119778133</v>
          </cell>
          <cell r="FU953">
            <v>17.065595346429742</v>
          </cell>
          <cell r="FV953">
            <v>23.167616893126525</v>
          </cell>
          <cell r="GG953">
            <v>6.0214733187410365</v>
          </cell>
          <cell r="GH953">
            <v>13.982143405445317</v>
          </cell>
          <cell r="GI953">
            <v>10.408007395026372</v>
          </cell>
          <cell r="GJ953">
            <v>7.7337520878462023</v>
          </cell>
          <cell r="GK953">
            <v>13.082262702206542</v>
          </cell>
        </row>
        <row r="954">
          <cell r="A954">
            <v>40794</v>
          </cell>
          <cell r="FR954">
            <v>14.098039215686274</v>
          </cell>
          <cell r="FS954">
            <v>22.314663874962239</v>
          </cell>
          <cell r="FT954">
            <v>20.116606119778133</v>
          </cell>
          <cell r="FU954">
            <v>17.065595346429742</v>
          </cell>
          <cell r="FV954">
            <v>23.167616893126525</v>
          </cell>
          <cell r="GG954">
            <v>5.9538606687297149</v>
          </cell>
          <cell r="GH954">
            <v>13.982143405445317</v>
          </cell>
          <cell r="GI954">
            <v>10.408007395026372</v>
          </cell>
          <cell r="GJ954">
            <v>7.7337520878462023</v>
          </cell>
          <cell r="GK954">
            <v>13.082262702206542</v>
          </cell>
        </row>
        <row r="955">
          <cell r="A955">
            <v>40795</v>
          </cell>
          <cell r="FR955">
            <v>13.598039215686274</v>
          </cell>
          <cell r="FS955">
            <v>22.314663874962239</v>
          </cell>
          <cell r="FT955">
            <v>20.116606119778133</v>
          </cell>
          <cell r="FU955">
            <v>17.065595346429742</v>
          </cell>
          <cell r="FV955">
            <v>23.167616893126525</v>
          </cell>
          <cell r="GG955">
            <v>5.8392180541927683</v>
          </cell>
          <cell r="GH955">
            <v>13.982143405445317</v>
          </cell>
          <cell r="GI955">
            <v>10.408007395026372</v>
          </cell>
          <cell r="GJ955">
            <v>7.7337520878462023</v>
          </cell>
          <cell r="GK955">
            <v>13.082262702206542</v>
          </cell>
        </row>
        <row r="956">
          <cell r="A956">
            <v>40798</v>
          </cell>
          <cell r="FR956">
            <v>13.549019607843137</v>
          </cell>
          <cell r="FS956">
            <v>22.314663874962239</v>
          </cell>
          <cell r="FT956">
            <v>20.116606119778133</v>
          </cell>
          <cell r="FU956">
            <v>17.065595346429742</v>
          </cell>
          <cell r="FV956">
            <v>23.167616893126525</v>
          </cell>
          <cell r="GG956">
            <v>5.7363297858957898</v>
          </cell>
          <cell r="GH956">
            <v>13.982143405445317</v>
          </cell>
          <cell r="GI956">
            <v>10.408007395026372</v>
          </cell>
          <cell r="GJ956">
            <v>7.7337520878462023</v>
          </cell>
          <cell r="GK956">
            <v>13.082262702206542</v>
          </cell>
        </row>
        <row r="957">
          <cell r="A957">
            <v>40799</v>
          </cell>
          <cell r="FR957">
            <v>13.617647058823529</v>
          </cell>
          <cell r="FS957">
            <v>22.314663874962239</v>
          </cell>
          <cell r="FT957">
            <v>20.116606119778133</v>
          </cell>
          <cell r="FU957">
            <v>17.065595346429742</v>
          </cell>
          <cell r="FV957">
            <v>23.167616893126525</v>
          </cell>
          <cell r="GG957">
            <v>5.7245704078295212</v>
          </cell>
          <cell r="GH957">
            <v>13.982143405445317</v>
          </cell>
          <cell r="GI957">
            <v>10.408007395026372</v>
          </cell>
          <cell r="GJ957">
            <v>7.7337520878462023</v>
          </cell>
          <cell r="GK957">
            <v>13.082262702206542</v>
          </cell>
        </row>
        <row r="958">
          <cell r="A958">
            <v>40800</v>
          </cell>
          <cell r="FR958">
            <v>13.96078431372549</v>
          </cell>
          <cell r="FS958">
            <v>22.314663874962239</v>
          </cell>
          <cell r="FT958">
            <v>20.116606119778133</v>
          </cell>
          <cell r="FU958">
            <v>17.065595346429742</v>
          </cell>
          <cell r="FV958">
            <v>23.167616893126525</v>
          </cell>
          <cell r="GG958">
            <v>5.8098196090270955</v>
          </cell>
          <cell r="GH958">
            <v>13.982143405445317</v>
          </cell>
          <cell r="GI958">
            <v>10.408007395026372</v>
          </cell>
          <cell r="GJ958">
            <v>7.7337520878462023</v>
          </cell>
          <cell r="GK958">
            <v>13.082262702206542</v>
          </cell>
        </row>
        <row r="959">
          <cell r="A959">
            <v>40801</v>
          </cell>
          <cell r="FR959">
            <v>14.494949494949495</v>
          </cell>
          <cell r="FS959">
            <v>22.314663874962239</v>
          </cell>
          <cell r="FT959">
            <v>20.116606119778133</v>
          </cell>
          <cell r="FU959">
            <v>17.065595346429742</v>
          </cell>
          <cell r="FV959">
            <v>23.167616893126525</v>
          </cell>
          <cell r="GG959">
            <v>5.8213984357652171</v>
          </cell>
          <cell r="GH959">
            <v>13.982143405445317</v>
          </cell>
          <cell r="GI959">
            <v>10.408007395026372</v>
          </cell>
          <cell r="GJ959">
            <v>7.7337520878462023</v>
          </cell>
          <cell r="GK959">
            <v>13.082262702206542</v>
          </cell>
        </row>
        <row r="960">
          <cell r="A960">
            <v>40802</v>
          </cell>
          <cell r="FR960">
            <v>14.636363636363637</v>
          </cell>
          <cell r="FS960">
            <v>22.314663874962239</v>
          </cell>
          <cell r="FT960">
            <v>20.116606119778133</v>
          </cell>
          <cell r="FU960">
            <v>17.065595346429742</v>
          </cell>
          <cell r="FV960">
            <v>23.167616893126525</v>
          </cell>
          <cell r="GG960">
            <v>5.8415780513680886</v>
          </cell>
          <cell r="GH960">
            <v>13.982143405445317</v>
          </cell>
          <cell r="GI960">
            <v>10.408007395026372</v>
          </cell>
          <cell r="GJ960">
            <v>7.7337520878462023</v>
          </cell>
          <cell r="GK960">
            <v>13.082262702206542</v>
          </cell>
        </row>
        <row r="961">
          <cell r="A961">
            <v>40805</v>
          </cell>
          <cell r="FR961">
            <v>14.318181818181818</v>
          </cell>
          <cell r="FS961">
            <v>22.314663874962239</v>
          </cell>
          <cell r="FT961">
            <v>20.116606119778133</v>
          </cell>
          <cell r="FU961">
            <v>17.065595346429742</v>
          </cell>
          <cell r="FV961">
            <v>23.167616893126525</v>
          </cell>
          <cell r="GG961">
            <v>5.8300461375243646</v>
          </cell>
          <cell r="GH961">
            <v>13.982143405445317</v>
          </cell>
          <cell r="GI961">
            <v>10.408007395026372</v>
          </cell>
          <cell r="GJ961">
            <v>7.7337520878462023</v>
          </cell>
          <cell r="GK961">
            <v>13.082262702206542</v>
          </cell>
        </row>
        <row r="962">
          <cell r="A962">
            <v>40806</v>
          </cell>
          <cell r="FR962">
            <v>14.292929292929294</v>
          </cell>
          <cell r="FS962">
            <v>22.314663874962239</v>
          </cell>
          <cell r="FT962">
            <v>20.116606119778133</v>
          </cell>
          <cell r="FU962">
            <v>17.065595346429742</v>
          </cell>
          <cell r="FV962">
            <v>23.167616893126525</v>
          </cell>
          <cell r="GG962">
            <v>5.8329303496089411</v>
          </cell>
          <cell r="GH962">
            <v>13.982143405445317</v>
          </cell>
          <cell r="GI962">
            <v>10.408007395026372</v>
          </cell>
          <cell r="GJ962">
            <v>7.7337520878462023</v>
          </cell>
          <cell r="GK962">
            <v>13.082262702206542</v>
          </cell>
        </row>
        <row r="963">
          <cell r="A963">
            <v>40807</v>
          </cell>
          <cell r="FR963">
            <v>14.070707070707071</v>
          </cell>
          <cell r="FS963">
            <v>22.314663874962239</v>
          </cell>
          <cell r="FT963">
            <v>20.116606119778133</v>
          </cell>
          <cell r="FU963">
            <v>17.065595346429742</v>
          </cell>
          <cell r="FV963">
            <v>23.167616893126525</v>
          </cell>
          <cell r="GG963">
            <v>5.855991710049099</v>
          </cell>
          <cell r="GH963">
            <v>13.982143405445317</v>
          </cell>
          <cell r="GI963">
            <v>10.408007395026372</v>
          </cell>
          <cell r="GJ963">
            <v>7.7337520878462023</v>
          </cell>
          <cell r="GK963">
            <v>13.082262702206542</v>
          </cell>
        </row>
        <row r="964">
          <cell r="A964">
            <v>40808</v>
          </cell>
          <cell r="FR964">
            <v>13.404040404040403</v>
          </cell>
          <cell r="FS964">
            <v>22.314663874962239</v>
          </cell>
          <cell r="FT964">
            <v>20.116606119778133</v>
          </cell>
          <cell r="FU964">
            <v>17.065595346429742</v>
          </cell>
          <cell r="FV964">
            <v>23.167616893126525</v>
          </cell>
          <cell r="GG964">
            <v>5.4564407490562781</v>
          </cell>
          <cell r="GH964">
            <v>13.982143405445317</v>
          </cell>
          <cell r="GI964">
            <v>10.408007395026372</v>
          </cell>
          <cell r="GJ964">
            <v>7.7337520878462023</v>
          </cell>
          <cell r="GK964">
            <v>13.082262702206542</v>
          </cell>
        </row>
        <row r="965">
          <cell r="A965">
            <v>40809</v>
          </cell>
          <cell r="FR965">
            <v>13.585858585858585</v>
          </cell>
          <cell r="FS965">
            <v>22.314663874962239</v>
          </cell>
          <cell r="FT965">
            <v>20.116606119778133</v>
          </cell>
          <cell r="FU965">
            <v>17.065595346429742</v>
          </cell>
          <cell r="FV965">
            <v>23.167616893126525</v>
          </cell>
          <cell r="GG965">
            <v>5.5988502627618368</v>
          </cell>
          <cell r="GH965">
            <v>13.982143405445317</v>
          </cell>
          <cell r="GI965">
            <v>10.408007395026372</v>
          </cell>
          <cell r="GJ965">
            <v>7.7337520878462023</v>
          </cell>
          <cell r="GK965">
            <v>13.082262702206542</v>
          </cell>
        </row>
        <row r="966">
          <cell r="A966">
            <v>40812</v>
          </cell>
          <cell r="FR966">
            <v>14.010101010101009</v>
          </cell>
          <cell r="FS966">
            <v>22.314663874962239</v>
          </cell>
          <cell r="FT966">
            <v>20.116606119778133</v>
          </cell>
          <cell r="FU966">
            <v>17.065595346429742</v>
          </cell>
          <cell r="FV966">
            <v>23.167616893126525</v>
          </cell>
          <cell r="GG966">
            <v>5.7205003577508577</v>
          </cell>
          <cell r="GH966">
            <v>13.982143405445317</v>
          </cell>
          <cell r="GI966">
            <v>10.408007395026372</v>
          </cell>
          <cell r="GJ966">
            <v>7.7337520878462023</v>
          </cell>
          <cell r="GK966">
            <v>13.082262702206542</v>
          </cell>
        </row>
        <row r="967">
          <cell r="A967">
            <v>40813</v>
          </cell>
          <cell r="FR967">
            <v>14.383838383838384</v>
          </cell>
          <cell r="FS967">
            <v>22.314663874962239</v>
          </cell>
          <cell r="FT967">
            <v>20.116606119778133</v>
          </cell>
          <cell r="FU967">
            <v>17.065595346429742</v>
          </cell>
          <cell r="FV967">
            <v>23.167616893126525</v>
          </cell>
          <cell r="GG967">
            <v>5.9943648071846241</v>
          </cell>
          <cell r="GH967">
            <v>13.982143405445317</v>
          </cell>
          <cell r="GI967">
            <v>10.408007395026372</v>
          </cell>
          <cell r="GJ967">
            <v>7.7337520878462023</v>
          </cell>
          <cell r="GK967">
            <v>13.082262702206542</v>
          </cell>
        </row>
        <row r="968">
          <cell r="A968">
            <v>40814</v>
          </cell>
          <cell r="FR968">
            <v>14.252525252525253</v>
          </cell>
          <cell r="FS968">
            <v>22.314663874962239</v>
          </cell>
          <cell r="FT968">
            <v>20.116606119778133</v>
          </cell>
          <cell r="FU968">
            <v>17.065595346429742</v>
          </cell>
          <cell r="FV968">
            <v>23.167616893126525</v>
          </cell>
          <cell r="GG968">
            <v>5.9799511485036145</v>
          </cell>
          <cell r="GH968">
            <v>13.982143405445317</v>
          </cell>
          <cell r="GI968">
            <v>10.408007395026372</v>
          </cell>
          <cell r="GJ968">
            <v>7.7337520878462023</v>
          </cell>
          <cell r="GK968">
            <v>13.082262702206542</v>
          </cell>
        </row>
        <row r="969">
          <cell r="A969">
            <v>40815</v>
          </cell>
          <cell r="FR969">
            <v>14.616161616161618</v>
          </cell>
          <cell r="FS969">
            <v>22.314663874962239</v>
          </cell>
          <cell r="FT969">
            <v>20.116606119778133</v>
          </cell>
          <cell r="FU969">
            <v>17.065595346429742</v>
          </cell>
          <cell r="FV969">
            <v>23.167616893126525</v>
          </cell>
          <cell r="GG969">
            <v>6.0203103797093585</v>
          </cell>
          <cell r="GH969">
            <v>13.982143405445317</v>
          </cell>
          <cell r="GI969">
            <v>10.408007395026372</v>
          </cell>
          <cell r="GJ969">
            <v>7.7337520878462023</v>
          </cell>
          <cell r="GK969">
            <v>13.082262702206542</v>
          </cell>
        </row>
        <row r="970">
          <cell r="A970">
            <v>40816</v>
          </cell>
          <cell r="FR970">
            <v>13.969696969696971</v>
          </cell>
          <cell r="FS970">
            <v>22.314663874962239</v>
          </cell>
          <cell r="FT970">
            <v>20.116606119778133</v>
          </cell>
          <cell r="FU970">
            <v>17.065595346429742</v>
          </cell>
          <cell r="FV970">
            <v>23.167616893126525</v>
          </cell>
          <cell r="GG970">
            <v>5.8007574449187045</v>
          </cell>
          <cell r="GH970">
            <v>13.982143405445317</v>
          </cell>
          <cell r="GI970">
            <v>10.408007395026372</v>
          </cell>
          <cell r="GJ970">
            <v>7.7337520878462023</v>
          </cell>
          <cell r="GK970">
            <v>13.082262702206542</v>
          </cell>
        </row>
        <row r="971">
          <cell r="A971">
            <v>40819</v>
          </cell>
          <cell r="FR971">
            <v>13.434343434343436</v>
          </cell>
          <cell r="FS971">
            <v>22.314663874962239</v>
          </cell>
          <cell r="FT971">
            <v>20.116606119778133</v>
          </cell>
          <cell r="FU971">
            <v>17.065595346429742</v>
          </cell>
          <cell r="FV971">
            <v>23.167616893126525</v>
          </cell>
          <cell r="GG971">
            <v>5.7170018010905235</v>
          </cell>
          <cell r="GH971">
            <v>13.982143405445317</v>
          </cell>
          <cell r="GI971">
            <v>10.408007395026372</v>
          </cell>
          <cell r="GJ971">
            <v>7.7337520878462023</v>
          </cell>
          <cell r="GK971">
            <v>13.082262702206542</v>
          </cell>
        </row>
        <row r="972">
          <cell r="A972">
            <v>40820</v>
          </cell>
          <cell r="FR972">
            <v>13.434343434343436</v>
          </cell>
          <cell r="FS972">
            <v>22.314663874962239</v>
          </cell>
          <cell r="FT972">
            <v>20.116606119778133</v>
          </cell>
          <cell r="FU972">
            <v>17.065595346429742</v>
          </cell>
          <cell r="FV972">
            <v>23.167616893126525</v>
          </cell>
          <cell r="GG972">
            <v>5.6332461572623416</v>
          </cell>
          <cell r="GH972">
            <v>13.982143405445317</v>
          </cell>
          <cell r="GI972">
            <v>10.408007395026372</v>
          </cell>
          <cell r="GJ972">
            <v>7.7337520878462023</v>
          </cell>
          <cell r="GK972">
            <v>13.082262702206542</v>
          </cell>
        </row>
        <row r="973">
          <cell r="A973">
            <v>40821</v>
          </cell>
          <cell r="FR973">
            <v>13.242424242424242</v>
          </cell>
          <cell r="FS973">
            <v>22.314663874962239</v>
          </cell>
          <cell r="FT973">
            <v>20.116606119778133</v>
          </cell>
          <cell r="FU973">
            <v>17.065595346429742</v>
          </cell>
          <cell r="FV973">
            <v>23.167616893126525</v>
          </cell>
          <cell r="GG973">
            <v>5.5182971059189265</v>
          </cell>
          <cell r="GH973">
            <v>13.982143405445317</v>
          </cell>
          <cell r="GI973">
            <v>10.408007395026372</v>
          </cell>
          <cell r="GJ973">
            <v>7.7337520878462023</v>
          </cell>
          <cell r="GK973">
            <v>13.082262702206542</v>
          </cell>
        </row>
        <row r="974">
          <cell r="A974">
            <v>40822</v>
          </cell>
          <cell r="FR974">
            <v>13.535353535353536</v>
          </cell>
          <cell r="FS974">
            <v>22.314663874962239</v>
          </cell>
          <cell r="FT974">
            <v>20.116606119778133</v>
          </cell>
          <cell r="FU974">
            <v>17.065595346429742</v>
          </cell>
          <cell r="FV974">
            <v>23.167616893126525</v>
          </cell>
          <cell r="GG974">
            <v>5.5858799437467619</v>
          </cell>
          <cell r="GH974">
            <v>13.982143405445317</v>
          </cell>
          <cell r="GI974">
            <v>10.408007395026372</v>
          </cell>
          <cell r="GJ974">
            <v>7.7337520878462023</v>
          </cell>
          <cell r="GK974">
            <v>13.082262702206542</v>
          </cell>
        </row>
        <row r="975">
          <cell r="A975">
            <v>40823</v>
          </cell>
          <cell r="FR975">
            <v>12.777777777777779</v>
          </cell>
          <cell r="FS975">
            <v>22.314663874962239</v>
          </cell>
          <cell r="FT975">
            <v>20.116606119778133</v>
          </cell>
          <cell r="FU975">
            <v>17.065595346429742</v>
          </cell>
          <cell r="FV975">
            <v>23.167616893126525</v>
          </cell>
          <cell r="GG975">
            <v>5.3646492807974147</v>
          </cell>
          <cell r="GH975">
            <v>13.982143405445317</v>
          </cell>
          <cell r="GI975">
            <v>10.408007395026372</v>
          </cell>
          <cell r="GJ975">
            <v>7.7337520878462023</v>
          </cell>
          <cell r="GK975">
            <v>13.082262702206542</v>
          </cell>
        </row>
        <row r="976">
          <cell r="A976">
            <v>40826</v>
          </cell>
          <cell r="FR976">
            <v>13.232323232323232</v>
          </cell>
          <cell r="FS976">
            <v>22.314663874962239</v>
          </cell>
          <cell r="FT976">
            <v>20.116606119778133</v>
          </cell>
          <cell r="FU976">
            <v>17.065595346429742</v>
          </cell>
          <cell r="FV976">
            <v>23.167616893126525</v>
          </cell>
          <cell r="GG976">
            <v>5.3646492807974147</v>
          </cell>
          <cell r="GH976">
            <v>13.982143405445317</v>
          </cell>
          <cell r="GI976">
            <v>10.408007395026372</v>
          </cell>
          <cell r="GJ976">
            <v>7.7337520878462023</v>
          </cell>
          <cell r="GK976">
            <v>13.082262702206542</v>
          </cell>
        </row>
        <row r="977">
          <cell r="A977">
            <v>40827</v>
          </cell>
          <cell r="FR977">
            <v>13.292929292929292</v>
          </cell>
          <cell r="FS977">
            <v>22.314663874962239</v>
          </cell>
          <cell r="FT977">
            <v>20.116606119778133</v>
          </cell>
          <cell r="FU977">
            <v>17.065595346429742</v>
          </cell>
          <cell r="FV977">
            <v>23.167616893126525</v>
          </cell>
          <cell r="GG977">
            <v>5.4512940712047566</v>
          </cell>
          <cell r="GH977">
            <v>13.982143405445317</v>
          </cell>
          <cell r="GI977">
            <v>10.408007395026372</v>
          </cell>
          <cell r="GJ977">
            <v>7.7337520878462023</v>
          </cell>
          <cell r="GK977">
            <v>13.082262702206542</v>
          </cell>
        </row>
        <row r="978">
          <cell r="A978">
            <v>40828</v>
          </cell>
          <cell r="FR978">
            <v>13.505050505050505</v>
          </cell>
          <cell r="FS978">
            <v>22.314663874962239</v>
          </cell>
          <cell r="FT978">
            <v>20.116606119778133</v>
          </cell>
          <cell r="FU978">
            <v>17.065595346429742</v>
          </cell>
          <cell r="FV978">
            <v>23.167616893126525</v>
          </cell>
          <cell r="GG978">
            <v>5.4761293824480033</v>
          </cell>
          <cell r="GH978">
            <v>13.982143405445317</v>
          </cell>
          <cell r="GI978">
            <v>10.408007395026372</v>
          </cell>
          <cell r="GJ978">
            <v>7.7337520878462023</v>
          </cell>
          <cell r="GK978">
            <v>13.082262702206542</v>
          </cell>
        </row>
        <row r="979">
          <cell r="A979">
            <v>40829</v>
          </cell>
          <cell r="FR979">
            <v>13.333333333333332</v>
          </cell>
          <cell r="FS979">
            <v>22.314663874962239</v>
          </cell>
          <cell r="FT979">
            <v>20.116606119778133</v>
          </cell>
          <cell r="FU979">
            <v>17.065595346429742</v>
          </cell>
          <cell r="FV979">
            <v>23.167616893126525</v>
          </cell>
          <cell r="GG979">
            <v>5.4166341812439862</v>
          </cell>
          <cell r="GH979">
            <v>13.982143405445317</v>
          </cell>
          <cell r="GI979">
            <v>10.408007395026372</v>
          </cell>
          <cell r="GJ979">
            <v>7.7337520878462023</v>
          </cell>
          <cell r="GK979">
            <v>13.082262702206542</v>
          </cell>
        </row>
        <row r="980">
          <cell r="A980">
            <v>40830</v>
          </cell>
          <cell r="FR980">
            <v>13.545454545454545</v>
          </cell>
          <cell r="FS980">
            <v>22.314663874962239</v>
          </cell>
          <cell r="FT980">
            <v>20.116606119778133</v>
          </cell>
          <cell r="FU980">
            <v>17.065595346429742</v>
          </cell>
          <cell r="FV980">
            <v>23.167616893126525</v>
          </cell>
          <cell r="GG980">
            <v>5.4281883003133409</v>
          </cell>
          <cell r="GH980">
            <v>13.982143405445317</v>
          </cell>
          <cell r="GI980">
            <v>10.408007395026372</v>
          </cell>
          <cell r="GJ980">
            <v>7.7337520878462023</v>
          </cell>
          <cell r="GK980">
            <v>13.082262702206542</v>
          </cell>
        </row>
        <row r="981">
          <cell r="A981">
            <v>40833</v>
          </cell>
          <cell r="FR981">
            <v>13.08080808080808</v>
          </cell>
          <cell r="FS981">
            <v>22.314663874962239</v>
          </cell>
          <cell r="FT981">
            <v>20.116606119778133</v>
          </cell>
          <cell r="FU981">
            <v>17.065595346429742</v>
          </cell>
          <cell r="FV981">
            <v>23.167616893126525</v>
          </cell>
          <cell r="GG981">
            <v>5.269339517899879</v>
          </cell>
          <cell r="GH981">
            <v>13.982143405445317</v>
          </cell>
          <cell r="GI981">
            <v>10.408007395026372</v>
          </cell>
          <cell r="GJ981">
            <v>7.7337520878462023</v>
          </cell>
          <cell r="GK981">
            <v>13.082262702206542</v>
          </cell>
        </row>
        <row r="982">
          <cell r="A982">
            <v>40834</v>
          </cell>
          <cell r="FR982">
            <v>12.898989898989898</v>
          </cell>
          <cell r="FS982">
            <v>22.314663874962239</v>
          </cell>
          <cell r="FT982">
            <v>20.116606119778133</v>
          </cell>
          <cell r="FU982">
            <v>17.065595346429742</v>
          </cell>
          <cell r="FV982">
            <v>23.167616893126525</v>
          </cell>
          <cell r="GG982">
            <v>5.2029138190520836</v>
          </cell>
          <cell r="GH982">
            <v>13.982143405445317</v>
          </cell>
          <cell r="GI982">
            <v>10.408007395026372</v>
          </cell>
          <cell r="GJ982">
            <v>7.7337520878462023</v>
          </cell>
          <cell r="GK982">
            <v>13.082262702206542</v>
          </cell>
        </row>
        <row r="983">
          <cell r="A983">
            <v>40835</v>
          </cell>
          <cell r="FR983">
            <v>13.020202020202021</v>
          </cell>
          <cell r="FS983">
            <v>22.314663874962239</v>
          </cell>
          <cell r="FT983">
            <v>20.116606119778133</v>
          </cell>
          <cell r="FU983">
            <v>17.065595346429742</v>
          </cell>
          <cell r="FV983">
            <v>23.167616893126525</v>
          </cell>
          <cell r="GG983">
            <v>5.2346820951864004</v>
          </cell>
          <cell r="GH983">
            <v>13.982143405445317</v>
          </cell>
          <cell r="GI983">
            <v>10.408007395026372</v>
          </cell>
          <cell r="GJ983">
            <v>7.7337520878462023</v>
          </cell>
          <cell r="GK983">
            <v>13.082262702206542</v>
          </cell>
        </row>
        <row r="984">
          <cell r="A984">
            <v>40836</v>
          </cell>
          <cell r="FR984">
            <v>12.95</v>
          </cell>
          <cell r="FS984">
            <v>22.314663874962239</v>
          </cell>
          <cell r="FT984">
            <v>20.116606119778133</v>
          </cell>
          <cell r="FU984">
            <v>17.065595346429742</v>
          </cell>
          <cell r="FV984">
            <v>23.167616893126525</v>
          </cell>
          <cell r="GG984">
            <v>5.1691405291316936</v>
          </cell>
          <cell r="GH984">
            <v>13.982143405445317</v>
          </cell>
          <cell r="GI984">
            <v>10.408007395026372</v>
          </cell>
          <cell r="GJ984">
            <v>7.7337520878462023</v>
          </cell>
          <cell r="GK984">
            <v>13.082262702206542</v>
          </cell>
        </row>
        <row r="985">
          <cell r="A985">
            <v>40837</v>
          </cell>
          <cell r="FR985">
            <v>13.39</v>
          </cell>
          <cell r="FS985">
            <v>22.314663874962239</v>
          </cell>
          <cell r="FT985">
            <v>20.116606119778133</v>
          </cell>
          <cell r="FU985">
            <v>17.065595346429742</v>
          </cell>
          <cell r="FV985">
            <v>23.167616893126525</v>
          </cell>
          <cell r="GG985">
            <v>5.386329946497816</v>
          </cell>
          <cell r="GH985">
            <v>13.982143405445317</v>
          </cell>
          <cell r="GI985">
            <v>10.408007395026372</v>
          </cell>
          <cell r="GJ985">
            <v>7.7337520878462023</v>
          </cell>
          <cell r="GK985">
            <v>13.082262702206542</v>
          </cell>
        </row>
        <row r="986">
          <cell r="A986">
            <v>40840</v>
          </cell>
          <cell r="FR986">
            <v>13.744999999999999</v>
          </cell>
          <cell r="FS986">
            <v>22.314663874962239</v>
          </cell>
          <cell r="FT986">
            <v>20.116606119778133</v>
          </cell>
          <cell r="FU986">
            <v>17.065595346429742</v>
          </cell>
          <cell r="FV986">
            <v>23.167616893126525</v>
          </cell>
          <cell r="GG986">
            <v>5.5276763363274917</v>
          </cell>
          <cell r="GH986">
            <v>13.982143405445317</v>
          </cell>
          <cell r="GI986">
            <v>10.408007395026372</v>
          </cell>
          <cell r="GJ986">
            <v>7.7337520878462023</v>
          </cell>
          <cell r="GK986">
            <v>13.082262702206542</v>
          </cell>
        </row>
        <row r="987">
          <cell r="A987">
            <v>40841</v>
          </cell>
          <cell r="FR987">
            <v>13.51</v>
          </cell>
          <cell r="FS987">
            <v>22.314663874962239</v>
          </cell>
          <cell r="FT987">
            <v>20.116606119778133</v>
          </cell>
          <cell r="FU987">
            <v>17.065595346429742</v>
          </cell>
          <cell r="FV987">
            <v>23.167616893126525</v>
          </cell>
          <cell r="GG987">
            <v>5.532847396063417</v>
          </cell>
          <cell r="GH987">
            <v>13.982143405445317</v>
          </cell>
          <cell r="GI987">
            <v>10.408007395026372</v>
          </cell>
          <cell r="GJ987">
            <v>7.7337520878462023</v>
          </cell>
          <cell r="GK987">
            <v>13.082262702206542</v>
          </cell>
        </row>
        <row r="988">
          <cell r="A988">
            <v>40842</v>
          </cell>
          <cell r="FR988">
            <v>13.74</v>
          </cell>
          <cell r="FS988">
            <v>22.314663874962239</v>
          </cell>
          <cell r="FT988">
            <v>20.116606119778133</v>
          </cell>
          <cell r="FU988">
            <v>17.065595346429742</v>
          </cell>
          <cell r="FV988">
            <v>23.167616893126525</v>
          </cell>
          <cell r="GG988">
            <v>5.4598758160310217</v>
          </cell>
          <cell r="GH988">
            <v>13.982143405445317</v>
          </cell>
          <cell r="GI988">
            <v>10.408007395026372</v>
          </cell>
          <cell r="GJ988">
            <v>7.7337520878462023</v>
          </cell>
          <cell r="GK988">
            <v>13.082262702206542</v>
          </cell>
        </row>
        <row r="989">
          <cell r="A989">
            <v>40843</v>
          </cell>
          <cell r="FR989">
            <v>14.29</v>
          </cell>
          <cell r="FS989">
            <v>22.314663874962239</v>
          </cell>
          <cell r="FT989">
            <v>20.116606119778133</v>
          </cell>
          <cell r="FU989">
            <v>17.065595346429742</v>
          </cell>
          <cell r="FV989">
            <v>23.167616893126525</v>
          </cell>
          <cell r="GG989">
            <v>5.5834118686496836</v>
          </cell>
          <cell r="GH989">
            <v>13.982143405445317</v>
          </cell>
          <cell r="GI989">
            <v>10.408007395026372</v>
          </cell>
          <cell r="GJ989">
            <v>7.7337520878462023</v>
          </cell>
          <cell r="GK989">
            <v>13.082262702206542</v>
          </cell>
        </row>
        <row r="990">
          <cell r="A990">
            <v>40844</v>
          </cell>
          <cell r="FR990">
            <v>14.63</v>
          </cell>
          <cell r="FS990">
            <v>22.314663874962239</v>
          </cell>
          <cell r="FT990">
            <v>20.116606119778133</v>
          </cell>
          <cell r="FU990">
            <v>17.065595346429742</v>
          </cell>
          <cell r="FV990">
            <v>23.167616893126525</v>
          </cell>
          <cell r="GG990">
            <v>5.6954523143376035</v>
          </cell>
          <cell r="GH990">
            <v>13.982143405445317</v>
          </cell>
          <cell r="GI990">
            <v>10.408007395026372</v>
          </cell>
          <cell r="GJ990">
            <v>7.7337520878462023</v>
          </cell>
          <cell r="GK990">
            <v>13.082262702206542</v>
          </cell>
        </row>
        <row r="991">
          <cell r="A991">
            <v>40847</v>
          </cell>
          <cell r="FR991">
            <v>13.78</v>
          </cell>
          <cell r="FS991">
            <v>22.314663874962239</v>
          </cell>
          <cell r="FT991">
            <v>20.116606119778133</v>
          </cell>
          <cell r="FU991">
            <v>17.065595346429742</v>
          </cell>
          <cell r="FV991">
            <v>23.167616893126525</v>
          </cell>
          <cell r="GG991">
            <v>5.6494870662150891</v>
          </cell>
          <cell r="GH991">
            <v>13.982143405445317</v>
          </cell>
          <cell r="GI991">
            <v>10.408007395026372</v>
          </cell>
          <cell r="GJ991">
            <v>7.7337520878462023</v>
          </cell>
          <cell r="GK991">
            <v>13.082262702206542</v>
          </cell>
        </row>
        <row r="992">
          <cell r="A992">
            <v>40848</v>
          </cell>
          <cell r="FR992">
            <v>13.35</v>
          </cell>
          <cell r="FS992">
            <v>22.314663874962239</v>
          </cell>
          <cell r="FT992">
            <v>20.116606119778133</v>
          </cell>
          <cell r="FU992">
            <v>17.065595346429742</v>
          </cell>
          <cell r="FV992">
            <v>23.167616893126525</v>
          </cell>
          <cell r="GG992">
            <v>5.4684950670004415</v>
          </cell>
          <cell r="GH992">
            <v>13.982143405445317</v>
          </cell>
          <cell r="GI992">
            <v>10.408007395026372</v>
          </cell>
          <cell r="GJ992">
            <v>7.7337520878462023</v>
          </cell>
          <cell r="GK992">
            <v>13.082262702206542</v>
          </cell>
        </row>
        <row r="993">
          <cell r="A993">
            <v>40849</v>
          </cell>
          <cell r="FR993">
            <v>12.99</v>
          </cell>
          <cell r="FS993">
            <v>22.314663874962239</v>
          </cell>
          <cell r="FT993">
            <v>20.116606119778133</v>
          </cell>
          <cell r="FU993">
            <v>17.065595346429742</v>
          </cell>
          <cell r="FV993">
            <v>23.167616893126525</v>
          </cell>
          <cell r="GG993">
            <v>5.3713910567908512</v>
          </cell>
          <cell r="GH993">
            <v>13.982143405445317</v>
          </cell>
          <cell r="GI993">
            <v>10.408007395026372</v>
          </cell>
          <cell r="GJ993">
            <v>7.7337520878462023</v>
          </cell>
          <cell r="GK993">
            <v>13.082262702206542</v>
          </cell>
        </row>
        <row r="994">
          <cell r="A994">
            <v>40850</v>
          </cell>
          <cell r="FR994">
            <v>13.8</v>
          </cell>
          <cell r="FS994">
            <v>22.314663874962239</v>
          </cell>
          <cell r="FT994">
            <v>20.116606119778133</v>
          </cell>
          <cell r="FU994">
            <v>17.065595346429742</v>
          </cell>
          <cell r="FV994">
            <v>23.167616893126525</v>
          </cell>
          <cell r="GG994">
            <v>5.5449148382663331</v>
          </cell>
          <cell r="GH994">
            <v>13.982143405445317</v>
          </cell>
          <cell r="GI994">
            <v>10.408007395026372</v>
          </cell>
          <cell r="GJ994">
            <v>7.7337520878462023</v>
          </cell>
          <cell r="GK994">
            <v>13.082262702206542</v>
          </cell>
        </row>
        <row r="995">
          <cell r="A995">
            <v>40851</v>
          </cell>
          <cell r="FR995">
            <v>13.81</v>
          </cell>
          <cell r="FS995">
            <v>22.314663874962239</v>
          </cell>
          <cell r="FT995">
            <v>20.116606119778133</v>
          </cell>
          <cell r="FU995">
            <v>17.065595346429742</v>
          </cell>
          <cell r="FV995">
            <v>23.167616893126525</v>
          </cell>
          <cell r="GG995">
            <v>5.5828351249202379</v>
          </cell>
          <cell r="GH995">
            <v>13.982143405445317</v>
          </cell>
          <cell r="GI995">
            <v>10.408007395026372</v>
          </cell>
          <cell r="GJ995">
            <v>7.7337520878462023</v>
          </cell>
          <cell r="GK995">
            <v>13.082262702206542</v>
          </cell>
        </row>
        <row r="996">
          <cell r="A996">
            <v>40854</v>
          </cell>
          <cell r="FR996">
            <v>13.9</v>
          </cell>
          <cell r="FS996">
            <v>22.314663874962239</v>
          </cell>
          <cell r="FT996">
            <v>20.116606119778133</v>
          </cell>
          <cell r="FU996">
            <v>17.065595346429742</v>
          </cell>
          <cell r="FV996">
            <v>23.167616893126525</v>
          </cell>
          <cell r="GG996">
            <v>5.5655990772100328</v>
          </cell>
          <cell r="GH996">
            <v>13.982143405445317</v>
          </cell>
          <cell r="GI996">
            <v>10.408007395026372</v>
          </cell>
          <cell r="GJ996">
            <v>7.7337520878462023</v>
          </cell>
          <cell r="GK996">
            <v>13.082262702206542</v>
          </cell>
        </row>
        <row r="997">
          <cell r="A997">
            <v>40855</v>
          </cell>
          <cell r="FR997">
            <v>14.66</v>
          </cell>
          <cell r="FS997">
            <v>22.314663874962239</v>
          </cell>
          <cell r="FT997">
            <v>20.116606119778133</v>
          </cell>
          <cell r="FU997">
            <v>17.065595346429742</v>
          </cell>
          <cell r="FV997">
            <v>23.167616893126525</v>
          </cell>
          <cell r="GG997">
            <v>5.8821921170176212</v>
          </cell>
          <cell r="GH997">
            <v>13.982143405445317</v>
          </cell>
          <cell r="GI997">
            <v>10.408007395026372</v>
          </cell>
          <cell r="GJ997">
            <v>7.7337520878462023</v>
          </cell>
          <cell r="GK997">
            <v>13.082262702206542</v>
          </cell>
        </row>
        <row r="998">
          <cell r="A998">
            <v>40856</v>
          </cell>
          <cell r="FR998">
            <v>14.08</v>
          </cell>
          <cell r="FS998">
            <v>22.314663874962239</v>
          </cell>
          <cell r="FT998">
            <v>20.116606119778133</v>
          </cell>
          <cell r="FU998">
            <v>17.065595346429742</v>
          </cell>
          <cell r="FV998">
            <v>23.167616893126525</v>
          </cell>
          <cell r="GG998">
            <v>5.9396505178422423</v>
          </cell>
          <cell r="GH998">
            <v>13.982143405445317</v>
          </cell>
          <cell r="GI998">
            <v>10.408007395026372</v>
          </cell>
          <cell r="GJ998">
            <v>7.7337520878462023</v>
          </cell>
          <cell r="GK998">
            <v>13.082262702206542</v>
          </cell>
        </row>
        <row r="999">
          <cell r="A999">
            <v>40857</v>
          </cell>
          <cell r="FR999">
            <v>14.12</v>
          </cell>
          <cell r="FS999">
            <v>22.314663874962239</v>
          </cell>
          <cell r="FT999">
            <v>20.116606119778133</v>
          </cell>
          <cell r="FU999">
            <v>17.065595346429742</v>
          </cell>
          <cell r="FV999">
            <v>23.167616893126525</v>
          </cell>
          <cell r="GG999">
            <v>5.8046237667501108</v>
          </cell>
          <cell r="GH999">
            <v>13.982143405445317</v>
          </cell>
          <cell r="GI999">
            <v>10.408007395026372</v>
          </cell>
          <cell r="GJ999">
            <v>7.7337520878462023</v>
          </cell>
          <cell r="GK999">
            <v>13.082262702206542</v>
          </cell>
        </row>
        <row r="1000">
          <cell r="A1000">
            <v>40858</v>
          </cell>
          <cell r="FR1000">
            <v>14.52</v>
          </cell>
          <cell r="FS1000">
            <v>22.314663874962239</v>
          </cell>
          <cell r="FT1000">
            <v>20.116606119778133</v>
          </cell>
          <cell r="FU1000">
            <v>17.065595346429742</v>
          </cell>
          <cell r="FV1000">
            <v>23.167616893126525</v>
          </cell>
          <cell r="GG1000">
            <v>5.9281573651401374</v>
          </cell>
          <cell r="GH1000">
            <v>13.982143405445317</v>
          </cell>
          <cell r="GI1000">
            <v>10.408007395026372</v>
          </cell>
          <cell r="GJ1000">
            <v>7.7337520878462023</v>
          </cell>
          <cell r="GK1000">
            <v>13.082262702206542</v>
          </cell>
        </row>
        <row r="1001">
          <cell r="A1001">
            <v>40861</v>
          </cell>
          <cell r="FR1001">
            <v>14.29</v>
          </cell>
          <cell r="FS1001">
            <v>22.314663874962239</v>
          </cell>
          <cell r="FT1001">
            <v>20.116606119778133</v>
          </cell>
          <cell r="FU1001">
            <v>17.065595346429742</v>
          </cell>
          <cell r="FV1001">
            <v>23.167616893126525</v>
          </cell>
          <cell r="GG1001">
            <v>5.8994281647278264</v>
          </cell>
          <cell r="GH1001">
            <v>13.982143405445317</v>
          </cell>
          <cell r="GI1001">
            <v>10.408007395026372</v>
          </cell>
          <cell r="GJ1001">
            <v>7.7337520878462023</v>
          </cell>
          <cell r="GK1001">
            <v>13.082262702206542</v>
          </cell>
        </row>
        <row r="1002">
          <cell r="A1002">
            <v>40862</v>
          </cell>
          <cell r="FR1002">
            <v>14.26</v>
          </cell>
          <cell r="FS1002">
            <v>22.314663874962239</v>
          </cell>
          <cell r="FT1002">
            <v>20.116606119778133</v>
          </cell>
          <cell r="FU1002">
            <v>17.065595346429742</v>
          </cell>
          <cell r="FV1002">
            <v>23.167616893126525</v>
          </cell>
          <cell r="GG1002">
            <v>5.8735728660482014</v>
          </cell>
          <cell r="GH1002">
            <v>13.982143405445317</v>
          </cell>
          <cell r="GI1002">
            <v>10.408007395026372</v>
          </cell>
          <cell r="GJ1002">
            <v>7.7337520878462023</v>
          </cell>
          <cell r="GK1002">
            <v>13.082262702206542</v>
          </cell>
        </row>
        <row r="1003">
          <cell r="A1003">
            <v>40863</v>
          </cell>
          <cell r="FR1003">
            <v>14.07</v>
          </cell>
          <cell r="FS1003">
            <v>22.314663874962239</v>
          </cell>
          <cell r="FT1003">
            <v>20.116606119778133</v>
          </cell>
          <cell r="FU1003">
            <v>17.065595346429742</v>
          </cell>
          <cell r="FV1003">
            <v>23.167616893126525</v>
          </cell>
          <cell r="GG1003">
            <v>5.8965567172237767</v>
          </cell>
          <cell r="GH1003">
            <v>13.982143405445317</v>
          </cell>
          <cell r="GI1003">
            <v>10.408007395026372</v>
          </cell>
          <cell r="GJ1003">
            <v>7.7337520878462023</v>
          </cell>
          <cell r="GK1003">
            <v>13.082262702206542</v>
          </cell>
        </row>
        <row r="1004">
          <cell r="A1004">
            <v>40864</v>
          </cell>
          <cell r="FR1004">
            <v>13.71</v>
          </cell>
          <cell r="FS1004">
            <v>22.314663874962239</v>
          </cell>
          <cell r="FT1004">
            <v>20.116606119778133</v>
          </cell>
          <cell r="FU1004">
            <v>17.065595346429742</v>
          </cell>
          <cell r="FV1004">
            <v>23.167616893126525</v>
          </cell>
          <cell r="GG1004">
            <v>5.7258230275612814</v>
          </cell>
          <cell r="GH1004">
            <v>13.982143405445317</v>
          </cell>
          <cell r="GI1004">
            <v>10.408007395026372</v>
          </cell>
          <cell r="GJ1004">
            <v>7.7337520878462023</v>
          </cell>
          <cell r="GK1004">
            <v>13.082262702206542</v>
          </cell>
        </row>
        <row r="1005">
          <cell r="A1005">
            <v>40865</v>
          </cell>
          <cell r="FR1005">
            <v>13.73</v>
          </cell>
          <cell r="FS1005">
            <v>22.314663874962239</v>
          </cell>
          <cell r="FT1005">
            <v>20.116606119778133</v>
          </cell>
          <cell r="FU1005">
            <v>17.065595346429742</v>
          </cell>
          <cell r="FV1005">
            <v>23.167616893126525</v>
          </cell>
          <cell r="GG1005">
            <v>5.7488456715757383</v>
          </cell>
          <cell r="GH1005">
            <v>13.982143405445317</v>
          </cell>
          <cell r="GI1005">
            <v>10.408007395026372</v>
          </cell>
          <cell r="GJ1005">
            <v>7.7337520878462023</v>
          </cell>
          <cell r="GK1005">
            <v>13.082262702206542</v>
          </cell>
        </row>
        <row r="1006">
          <cell r="A1006">
            <v>40868</v>
          </cell>
          <cell r="FR1006">
            <v>13.49</v>
          </cell>
          <cell r="FS1006">
            <v>22.314663874962239</v>
          </cell>
          <cell r="FT1006">
            <v>20.116606119778133</v>
          </cell>
          <cell r="FU1006">
            <v>17.065595346429742</v>
          </cell>
          <cell r="FV1006">
            <v>23.167616893126525</v>
          </cell>
          <cell r="GG1006">
            <v>5.5819192093034689</v>
          </cell>
          <cell r="GH1006">
            <v>13.982143405445317</v>
          </cell>
          <cell r="GI1006">
            <v>10.408007395026372</v>
          </cell>
          <cell r="GJ1006">
            <v>7.7337520878462023</v>
          </cell>
          <cell r="GK1006">
            <v>13.082262702206542</v>
          </cell>
        </row>
        <row r="1007">
          <cell r="A1007">
            <v>40869</v>
          </cell>
          <cell r="FR1007">
            <v>13.59</v>
          </cell>
          <cell r="FS1007">
            <v>22.314663874962239</v>
          </cell>
          <cell r="FT1007">
            <v>20.116606119778133</v>
          </cell>
          <cell r="FU1007">
            <v>17.065595346429742</v>
          </cell>
          <cell r="FV1007">
            <v>23.167616893126525</v>
          </cell>
          <cell r="GG1007">
            <v>5.6625058392545418</v>
          </cell>
          <cell r="GH1007">
            <v>13.982143405445317</v>
          </cell>
          <cell r="GI1007">
            <v>10.408007395026372</v>
          </cell>
          <cell r="GJ1007">
            <v>7.7337520878462023</v>
          </cell>
          <cell r="GK1007">
            <v>13.082262702206542</v>
          </cell>
        </row>
        <row r="1008">
          <cell r="A1008">
            <v>40870</v>
          </cell>
          <cell r="FR1008">
            <v>13.5</v>
          </cell>
          <cell r="FS1008">
            <v>22.314663874962239</v>
          </cell>
          <cell r="FT1008">
            <v>20.116606119778133</v>
          </cell>
          <cell r="FU1008">
            <v>17.065595346429742</v>
          </cell>
          <cell r="FV1008">
            <v>23.167616893126525</v>
          </cell>
          <cell r="GG1008">
            <v>5.6740171612617711</v>
          </cell>
          <cell r="GH1008">
            <v>13.982143405445317</v>
          </cell>
          <cell r="GI1008">
            <v>10.408007395026372</v>
          </cell>
          <cell r="GJ1008">
            <v>7.7337520878462023</v>
          </cell>
          <cell r="GK1008">
            <v>13.082262702206542</v>
          </cell>
        </row>
        <row r="1009">
          <cell r="A1009">
            <v>40871</v>
          </cell>
          <cell r="FR1009">
            <v>13.5</v>
          </cell>
          <cell r="FS1009">
            <v>22.314663874962239</v>
          </cell>
          <cell r="FT1009">
            <v>20.116606119778133</v>
          </cell>
          <cell r="FU1009">
            <v>17.065595346429742</v>
          </cell>
          <cell r="FV1009">
            <v>23.167616893126525</v>
          </cell>
          <cell r="GG1009">
            <v>5.6740171612617711</v>
          </cell>
          <cell r="GH1009">
            <v>13.982143405445317</v>
          </cell>
          <cell r="GI1009">
            <v>10.408007395026372</v>
          </cell>
          <cell r="GJ1009">
            <v>7.7337520878462023</v>
          </cell>
          <cell r="GK1009">
            <v>13.082262702206542</v>
          </cell>
        </row>
        <row r="1010">
          <cell r="A1010">
            <v>40872</v>
          </cell>
          <cell r="FR1010">
            <v>13.44</v>
          </cell>
          <cell r="FS1010">
            <v>22.314663874962239</v>
          </cell>
          <cell r="FT1010">
            <v>20.116606119778133</v>
          </cell>
          <cell r="FU1010">
            <v>17.065595346429742</v>
          </cell>
          <cell r="FV1010">
            <v>23.167616893126525</v>
          </cell>
          <cell r="GG1010">
            <v>5.702797924913332</v>
          </cell>
          <cell r="GH1010">
            <v>13.982143405445317</v>
          </cell>
          <cell r="GI1010">
            <v>10.408007395026372</v>
          </cell>
          <cell r="GJ1010">
            <v>7.7337520878462023</v>
          </cell>
          <cell r="GK1010">
            <v>13.082262702206542</v>
          </cell>
        </row>
        <row r="1011">
          <cell r="A1011">
            <v>40875</v>
          </cell>
          <cell r="FR1011">
            <v>13.78</v>
          </cell>
          <cell r="FS1011">
            <v>22.314663874962239</v>
          </cell>
          <cell r="FT1011">
            <v>20.116606119778133</v>
          </cell>
          <cell r="FU1011">
            <v>17.065595346429742</v>
          </cell>
          <cell r="FV1011">
            <v>23.167616893126525</v>
          </cell>
          <cell r="GG1011">
            <v>5.8092862586974157</v>
          </cell>
          <cell r="GH1011">
            <v>13.982143405445317</v>
          </cell>
          <cell r="GI1011">
            <v>10.408007395026372</v>
          </cell>
          <cell r="GJ1011">
            <v>7.7337520878462023</v>
          </cell>
          <cell r="GK1011">
            <v>13.082262702206542</v>
          </cell>
        </row>
        <row r="1012">
          <cell r="A1012">
            <v>40876</v>
          </cell>
          <cell r="FR1012">
            <v>14.07</v>
          </cell>
          <cell r="FS1012">
            <v>22.314663874962239</v>
          </cell>
          <cell r="FT1012">
            <v>20.116606119778133</v>
          </cell>
          <cell r="FU1012">
            <v>17.065595346429742</v>
          </cell>
          <cell r="FV1012">
            <v>23.167616893126525</v>
          </cell>
          <cell r="GG1012">
            <v>5.9042608118407784</v>
          </cell>
          <cell r="GH1012">
            <v>13.982143405445317</v>
          </cell>
          <cell r="GI1012">
            <v>10.408007395026372</v>
          </cell>
          <cell r="GJ1012">
            <v>7.7337520878462023</v>
          </cell>
          <cell r="GK1012">
            <v>13.082262702206542</v>
          </cell>
        </row>
        <row r="1013">
          <cell r="A1013">
            <v>40877</v>
          </cell>
          <cell r="FR1013">
            <v>14.91</v>
          </cell>
          <cell r="FS1013">
            <v>22.314663874962239</v>
          </cell>
          <cell r="FT1013">
            <v>20.116606119778133</v>
          </cell>
          <cell r="FU1013">
            <v>17.065595346429742</v>
          </cell>
          <cell r="FV1013">
            <v>23.167616893126525</v>
          </cell>
          <cell r="GG1013">
            <v>6.1747990067120693</v>
          </cell>
          <cell r="GH1013">
            <v>13.982143405445317</v>
          </cell>
          <cell r="GI1013">
            <v>10.408007395026372</v>
          </cell>
          <cell r="GJ1013">
            <v>7.7337520878462023</v>
          </cell>
          <cell r="GK1013">
            <v>13.082262702206542</v>
          </cell>
        </row>
        <row r="1014">
          <cell r="A1014">
            <v>40878</v>
          </cell>
          <cell r="FR1014">
            <v>14.9</v>
          </cell>
          <cell r="FS1014">
            <v>22.314663874962239</v>
          </cell>
          <cell r="FT1014">
            <v>20.116606119778133</v>
          </cell>
          <cell r="FU1014">
            <v>17.065595346429742</v>
          </cell>
          <cell r="FV1014">
            <v>23.167616893126525</v>
          </cell>
          <cell r="GG1014">
            <v>6.1517739040641208</v>
          </cell>
          <cell r="GH1014">
            <v>13.982143405445317</v>
          </cell>
          <cell r="GI1014">
            <v>10.408007395026372</v>
          </cell>
          <cell r="GJ1014">
            <v>7.7337520878462023</v>
          </cell>
          <cell r="GK1014">
            <v>13.082262702206542</v>
          </cell>
        </row>
        <row r="1015">
          <cell r="A1015">
            <v>40879</v>
          </cell>
          <cell r="FR1015">
            <v>14.53</v>
          </cell>
          <cell r="FS1015">
            <v>22.314663874962239</v>
          </cell>
          <cell r="FT1015">
            <v>20.116606119778133</v>
          </cell>
          <cell r="FU1015">
            <v>17.065595346429742</v>
          </cell>
          <cell r="FV1015">
            <v>23.167616893126525</v>
          </cell>
          <cell r="GG1015">
            <v>6.1604086248862879</v>
          </cell>
          <cell r="GH1015">
            <v>13.982143405445317</v>
          </cell>
          <cell r="GI1015">
            <v>10.408007395026372</v>
          </cell>
          <cell r="GJ1015">
            <v>7.7337520878462023</v>
          </cell>
          <cell r="GK1015">
            <v>13.082262702206542</v>
          </cell>
        </row>
        <row r="1016">
          <cell r="A1016">
            <v>40882</v>
          </cell>
          <cell r="FR1016">
            <v>14.98</v>
          </cell>
          <cell r="FS1016">
            <v>22.314663874962239</v>
          </cell>
          <cell r="FT1016">
            <v>20.116606119778133</v>
          </cell>
          <cell r="FU1016">
            <v>17.065595346429742</v>
          </cell>
          <cell r="FV1016">
            <v>23.167616893126525</v>
          </cell>
          <cell r="GG1016">
            <v>6.2640178988518178</v>
          </cell>
          <cell r="GH1016">
            <v>13.982143405445317</v>
          </cell>
          <cell r="GI1016">
            <v>10.408007395026372</v>
          </cell>
          <cell r="GJ1016">
            <v>7.7337520878462023</v>
          </cell>
          <cell r="GK1016">
            <v>13.082262702206542</v>
          </cell>
        </row>
        <row r="1017">
          <cell r="A1017">
            <v>40883</v>
          </cell>
          <cell r="FR1017">
            <v>14.88</v>
          </cell>
          <cell r="FS1017">
            <v>22.314663874962239</v>
          </cell>
          <cell r="FT1017">
            <v>20.116606119778133</v>
          </cell>
          <cell r="FU1017">
            <v>17.065595346429742</v>
          </cell>
          <cell r="FV1017">
            <v>23.167616893126525</v>
          </cell>
          <cell r="GG1017">
            <v>6.2409927962038694</v>
          </cell>
          <cell r="GH1017">
            <v>13.982143405445317</v>
          </cell>
          <cell r="GI1017">
            <v>10.408007395026372</v>
          </cell>
          <cell r="GJ1017">
            <v>7.7337520878462023</v>
          </cell>
          <cell r="GK1017">
            <v>13.082262702206542</v>
          </cell>
        </row>
        <row r="1018">
          <cell r="A1018">
            <v>40884</v>
          </cell>
          <cell r="FR1018">
            <v>14.81</v>
          </cell>
          <cell r="FS1018">
            <v>22.314663874962239</v>
          </cell>
          <cell r="FT1018">
            <v>20.116606119778133</v>
          </cell>
          <cell r="FU1018">
            <v>17.065595346429742</v>
          </cell>
          <cell r="FV1018">
            <v>23.167616893126525</v>
          </cell>
          <cell r="GG1018">
            <v>6.1920659897229111</v>
          </cell>
          <cell r="GH1018">
            <v>13.982143405445317</v>
          </cell>
          <cell r="GI1018">
            <v>10.408007395026372</v>
          </cell>
          <cell r="GJ1018">
            <v>7.7337520878462023</v>
          </cell>
          <cell r="GK1018">
            <v>13.082262702206542</v>
          </cell>
        </row>
        <row r="1019">
          <cell r="A1019">
            <v>40885</v>
          </cell>
          <cell r="FR1019">
            <v>14.19</v>
          </cell>
          <cell r="FS1019">
            <v>22.314663874962239</v>
          </cell>
          <cell r="FT1019">
            <v>20.116606119778133</v>
          </cell>
          <cell r="FU1019">
            <v>17.065595346429742</v>
          </cell>
          <cell r="FV1019">
            <v>23.167616893126525</v>
          </cell>
          <cell r="GG1019">
            <v>6.0481646300985901</v>
          </cell>
          <cell r="GH1019">
            <v>13.982143405445317</v>
          </cell>
          <cell r="GI1019">
            <v>10.408007395026372</v>
          </cell>
          <cell r="GJ1019">
            <v>7.7337520878462023</v>
          </cell>
          <cell r="GK1019">
            <v>13.082262702206542</v>
          </cell>
        </row>
        <row r="1020">
          <cell r="A1020">
            <v>40886</v>
          </cell>
          <cell r="FR1020">
            <v>14.34</v>
          </cell>
          <cell r="FS1020">
            <v>22.314663874962239</v>
          </cell>
          <cell r="FT1020">
            <v>20.116606119778133</v>
          </cell>
          <cell r="FU1020">
            <v>17.065595346429742</v>
          </cell>
          <cell r="FV1020">
            <v>23.167616893126525</v>
          </cell>
          <cell r="GG1020">
            <v>6.0683106729279856</v>
          </cell>
          <cell r="GH1020">
            <v>13.982143405445317</v>
          </cell>
          <cell r="GI1020">
            <v>10.408007395026372</v>
          </cell>
          <cell r="GJ1020">
            <v>7.7337520878462023</v>
          </cell>
          <cell r="GK1020">
            <v>13.082262702206542</v>
          </cell>
        </row>
        <row r="1021">
          <cell r="A1021">
            <v>40889</v>
          </cell>
          <cell r="FR1021">
            <v>14.04</v>
          </cell>
          <cell r="FS1021">
            <v>22.314663874962239</v>
          </cell>
          <cell r="FT1021">
            <v>20.116606119778133</v>
          </cell>
          <cell r="FU1021">
            <v>17.065595346429742</v>
          </cell>
          <cell r="FV1021">
            <v>23.167616893126525</v>
          </cell>
          <cell r="GG1021">
            <v>5.9877240429769136</v>
          </cell>
          <cell r="GH1021">
            <v>13.982143405445317</v>
          </cell>
          <cell r="GI1021">
            <v>10.408007395026372</v>
          </cell>
          <cell r="GJ1021">
            <v>7.7337520878462023</v>
          </cell>
          <cell r="GK1021">
            <v>13.082262702206542</v>
          </cell>
        </row>
        <row r="1022">
          <cell r="A1022">
            <v>40890</v>
          </cell>
          <cell r="FR1022">
            <v>13.95</v>
          </cell>
          <cell r="FS1022">
            <v>22.314663874962239</v>
          </cell>
          <cell r="FT1022">
            <v>20.116606119778133</v>
          </cell>
          <cell r="FU1022">
            <v>17.065595346429742</v>
          </cell>
          <cell r="FV1022">
            <v>23.167616893126525</v>
          </cell>
          <cell r="GG1022">
            <v>5.9992378236176336</v>
          </cell>
          <cell r="GH1022">
            <v>13.982143405445317</v>
          </cell>
          <cell r="GI1022">
            <v>10.408007395026372</v>
          </cell>
          <cell r="GJ1022">
            <v>7.7337520878462023</v>
          </cell>
          <cell r="GK1022">
            <v>13.082262702206542</v>
          </cell>
        </row>
        <row r="1023">
          <cell r="A1023">
            <v>40891</v>
          </cell>
          <cell r="FR1023">
            <v>13.71</v>
          </cell>
          <cell r="FS1023">
            <v>22.314663874962239</v>
          </cell>
          <cell r="FT1023">
            <v>20.116606119778133</v>
          </cell>
          <cell r="FU1023">
            <v>17.065595346429742</v>
          </cell>
          <cell r="FV1023">
            <v>23.167616893126525</v>
          </cell>
          <cell r="GG1023">
            <v>5.9445528974995696</v>
          </cell>
          <cell r="GH1023">
            <v>13.982143405445317</v>
          </cell>
          <cell r="GI1023">
            <v>10.408007395026372</v>
          </cell>
          <cell r="GJ1023">
            <v>7.7337520878462023</v>
          </cell>
          <cell r="GK1023">
            <v>13.082262702206542</v>
          </cell>
        </row>
        <row r="1024">
          <cell r="A1024">
            <v>40892</v>
          </cell>
          <cell r="FR1024">
            <v>13.485148514851485</v>
          </cell>
          <cell r="FS1024">
            <v>22.314663874962239</v>
          </cell>
          <cell r="FT1024">
            <v>20.116606119778133</v>
          </cell>
          <cell r="FU1024">
            <v>17.065595346429742</v>
          </cell>
          <cell r="FV1024">
            <v>23.167616893126525</v>
          </cell>
          <cell r="GG1024">
            <v>5.8709909163967557</v>
          </cell>
          <cell r="GH1024">
            <v>13.982143405445317</v>
          </cell>
          <cell r="GI1024">
            <v>10.408007395026372</v>
          </cell>
          <cell r="GJ1024">
            <v>7.7337520878462023</v>
          </cell>
          <cell r="GK1024">
            <v>13.082262702206542</v>
          </cell>
        </row>
        <row r="1025">
          <cell r="A1025">
            <v>40893</v>
          </cell>
          <cell r="FR1025">
            <v>13.386138613861386</v>
          </cell>
          <cell r="FS1025">
            <v>22.314663874962239</v>
          </cell>
          <cell r="FT1025">
            <v>20.116606119778133</v>
          </cell>
          <cell r="FU1025">
            <v>17.065595346429742</v>
          </cell>
          <cell r="FV1025">
            <v>23.167616893126525</v>
          </cell>
          <cell r="GG1025">
            <v>5.802574093466137</v>
          </cell>
          <cell r="GH1025">
            <v>13.982143405445317</v>
          </cell>
          <cell r="GI1025">
            <v>10.408007395026372</v>
          </cell>
          <cell r="GJ1025">
            <v>7.7337520878462023</v>
          </cell>
          <cell r="GK1025">
            <v>13.082262702206542</v>
          </cell>
        </row>
        <row r="1026">
          <cell r="A1026">
            <v>40896</v>
          </cell>
          <cell r="FR1026">
            <v>13.08910891089109</v>
          </cell>
          <cell r="FS1026">
            <v>22.314663874962239</v>
          </cell>
          <cell r="FT1026">
            <v>20.116606119778133</v>
          </cell>
          <cell r="FU1026">
            <v>17.065595346429742</v>
          </cell>
          <cell r="FV1026">
            <v>23.167616893126525</v>
          </cell>
          <cell r="GG1026">
            <v>5.679991720039939</v>
          </cell>
          <cell r="GH1026">
            <v>13.982143405445317</v>
          </cell>
          <cell r="GI1026">
            <v>10.408007395026372</v>
          </cell>
          <cell r="GJ1026">
            <v>7.7337520878462023</v>
          </cell>
          <cell r="GK1026">
            <v>13.082262702206542</v>
          </cell>
        </row>
        <row r="1027">
          <cell r="A1027">
            <v>40897</v>
          </cell>
          <cell r="FR1027">
            <v>13.435643564356436</v>
          </cell>
          <cell r="FS1027">
            <v>22.314663874962239</v>
          </cell>
          <cell r="FT1027">
            <v>20.116606119778133</v>
          </cell>
          <cell r="FU1027">
            <v>17.065595346429742</v>
          </cell>
          <cell r="FV1027">
            <v>23.167616893126525</v>
          </cell>
          <cell r="GG1027">
            <v>5.785468670092297</v>
          </cell>
          <cell r="GH1027">
            <v>13.982143405445317</v>
          </cell>
          <cell r="GI1027">
            <v>10.408007395026372</v>
          </cell>
          <cell r="GJ1027">
            <v>7.7337520878462023</v>
          </cell>
          <cell r="GK1027">
            <v>13.082262702206542</v>
          </cell>
        </row>
        <row r="1028">
          <cell r="A1028">
            <v>40898</v>
          </cell>
          <cell r="FR1028">
            <v>13.227722772277227</v>
          </cell>
          <cell r="FS1028">
            <v>22.314663874962239</v>
          </cell>
          <cell r="FT1028">
            <v>20.116606119778133</v>
          </cell>
          <cell r="FU1028">
            <v>17.065595346429742</v>
          </cell>
          <cell r="FV1028">
            <v>23.167616893126525</v>
          </cell>
          <cell r="GG1028">
            <v>5.6315296008572195</v>
          </cell>
          <cell r="GH1028">
            <v>13.982143405445317</v>
          </cell>
          <cell r="GI1028">
            <v>10.408007395026372</v>
          </cell>
          <cell r="GJ1028">
            <v>7.7337520878462023</v>
          </cell>
          <cell r="GK1028">
            <v>13.082262702206542</v>
          </cell>
        </row>
        <row r="1029">
          <cell r="A1029">
            <v>40899</v>
          </cell>
          <cell r="FR1029">
            <v>13.564356435643564</v>
          </cell>
          <cell r="FS1029">
            <v>22.314663874962239</v>
          </cell>
          <cell r="FT1029">
            <v>20.116606119778133</v>
          </cell>
          <cell r="FU1029">
            <v>17.065595346429742</v>
          </cell>
          <cell r="FV1029">
            <v>23.167616893126525</v>
          </cell>
          <cell r="GG1029">
            <v>5.802574093466137</v>
          </cell>
          <cell r="GH1029">
            <v>13.982143405445317</v>
          </cell>
          <cell r="GI1029">
            <v>10.408007395026372</v>
          </cell>
          <cell r="GJ1029">
            <v>7.7337520878462023</v>
          </cell>
          <cell r="GK1029">
            <v>13.082262702206542</v>
          </cell>
        </row>
        <row r="1030">
          <cell r="A1030">
            <v>40900</v>
          </cell>
          <cell r="FR1030">
            <v>13.504950495049505</v>
          </cell>
          <cell r="FS1030">
            <v>22.314663874962239</v>
          </cell>
          <cell r="FT1030">
            <v>20.116606119778133</v>
          </cell>
          <cell r="FU1030">
            <v>17.065595346429742</v>
          </cell>
          <cell r="FV1030">
            <v>23.167616893126525</v>
          </cell>
          <cell r="GG1030">
            <v>5.8481844969924266</v>
          </cell>
          <cell r="GH1030">
            <v>13.982143405445317</v>
          </cell>
          <cell r="GI1030">
            <v>10.408007395026372</v>
          </cell>
          <cell r="GJ1030">
            <v>7.7337520878462023</v>
          </cell>
          <cell r="GK1030">
            <v>13.082262702206542</v>
          </cell>
        </row>
        <row r="1031">
          <cell r="A1031">
            <v>40903</v>
          </cell>
          <cell r="FR1031">
            <v>13.504950495049505</v>
          </cell>
          <cell r="FS1031">
            <v>22.314663874962239</v>
          </cell>
          <cell r="FT1031">
            <v>20.116606119778133</v>
          </cell>
          <cell r="FU1031">
            <v>17.065595346429742</v>
          </cell>
          <cell r="FV1031">
            <v>23.167616893126525</v>
          </cell>
          <cell r="GG1031">
            <v>5.8481844969924266</v>
          </cell>
          <cell r="GH1031">
            <v>13.982143405445317</v>
          </cell>
          <cell r="GI1031">
            <v>10.408007395026372</v>
          </cell>
          <cell r="GJ1031">
            <v>7.7337520878462023</v>
          </cell>
          <cell r="GK1031">
            <v>13.082262702206542</v>
          </cell>
        </row>
        <row r="1032">
          <cell r="A1032">
            <v>40904</v>
          </cell>
          <cell r="FR1032">
            <v>13.435643564356436</v>
          </cell>
          <cell r="FS1032">
            <v>22.314663874962239</v>
          </cell>
          <cell r="FT1032">
            <v>20.116606119778133</v>
          </cell>
          <cell r="FU1032">
            <v>17.065595346429742</v>
          </cell>
          <cell r="FV1032">
            <v>23.167616893126525</v>
          </cell>
          <cell r="GG1032">
            <v>5.7569612546574769</v>
          </cell>
          <cell r="GH1032">
            <v>13.982143405445317</v>
          </cell>
          <cell r="GI1032">
            <v>10.408007395026372</v>
          </cell>
          <cell r="GJ1032">
            <v>7.7337520878462023</v>
          </cell>
          <cell r="GK1032">
            <v>13.082262702206542</v>
          </cell>
        </row>
        <row r="1033">
          <cell r="A1033">
            <v>40905</v>
          </cell>
          <cell r="FR1033">
            <v>13.514851485148515</v>
          </cell>
          <cell r="FS1033">
            <v>22.314663874962239</v>
          </cell>
          <cell r="FT1033">
            <v>20.116606119778133</v>
          </cell>
          <cell r="FU1033">
            <v>17.065595346429742</v>
          </cell>
          <cell r="FV1033">
            <v>23.167616893126525</v>
          </cell>
          <cell r="GG1033">
            <v>5.734157270535519</v>
          </cell>
          <cell r="GH1033">
            <v>13.982143405445317</v>
          </cell>
          <cell r="GI1033">
            <v>10.408007395026372</v>
          </cell>
          <cell r="GJ1033">
            <v>7.7337520878462023</v>
          </cell>
          <cell r="GK1033">
            <v>13.082262702206542</v>
          </cell>
        </row>
        <row r="1034">
          <cell r="A1034">
            <v>40906</v>
          </cell>
          <cell r="FR1034">
            <v>13.722772277227723</v>
          </cell>
          <cell r="FS1034">
            <v>22.314663874962239</v>
          </cell>
          <cell r="FT1034">
            <v>20.116606119778133</v>
          </cell>
          <cell r="FU1034">
            <v>17.065595346429742</v>
          </cell>
          <cell r="FV1034">
            <v>23.167616893126525</v>
          </cell>
          <cell r="GG1034">
            <v>5.913752039548986</v>
          </cell>
          <cell r="GH1034">
            <v>13.982143405445317</v>
          </cell>
          <cell r="GI1034">
            <v>10.408007395026372</v>
          </cell>
          <cell r="GJ1034">
            <v>7.7337520878462023</v>
          </cell>
          <cell r="GK1034">
            <v>13.082262702206542</v>
          </cell>
        </row>
        <row r="1035">
          <cell r="A1035">
            <v>40907</v>
          </cell>
          <cell r="FR1035">
            <v>13.673267326732674</v>
          </cell>
          <cell r="FS1035">
            <v>22.314663874962239</v>
          </cell>
          <cell r="FT1035">
            <v>20.116606119778133</v>
          </cell>
          <cell r="FU1035">
            <v>17.065595346429742</v>
          </cell>
          <cell r="FV1035">
            <v>23.167616893126525</v>
          </cell>
          <cell r="GG1035">
            <v>5.9508121666707252</v>
          </cell>
          <cell r="GH1035">
            <v>13.982143405445317</v>
          </cell>
          <cell r="GI1035">
            <v>10.408007395026372</v>
          </cell>
          <cell r="GJ1035">
            <v>7.7337520878462023</v>
          </cell>
          <cell r="GK1035">
            <v>13.082262702206542</v>
          </cell>
        </row>
        <row r="1036">
          <cell r="A1036">
            <v>40910</v>
          </cell>
          <cell r="FR1036">
            <v>13.673267326732674</v>
          </cell>
          <cell r="FS1036">
            <v>22.314663874962239</v>
          </cell>
          <cell r="FT1036">
            <v>20.116606119778133</v>
          </cell>
          <cell r="FU1036">
            <v>17.065595346429742</v>
          </cell>
          <cell r="FV1036">
            <v>23.167616893126525</v>
          </cell>
          <cell r="GG1036">
            <v>5.9508121666707252</v>
          </cell>
          <cell r="GH1036">
            <v>13.982143405445317</v>
          </cell>
          <cell r="GI1036">
            <v>10.408007395026372</v>
          </cell>
          <cell r="GJ1036">
            <v>7.7337520878462023</v>
          </cell>
          <cell r="GK1036">
            <v>13.082262702206542</v>
          </cell>
        </row>
        <row r="1037">
          <cell r="A1037">
            <v>40911</v>
          </cell>
          <cell r="FR1037">
            <v>14.01980198019802</v>
          </cell>
          <cell r="FS1037">
            <v>22.314663874962239</v>
          </cell>
          <cell r="FT1037">
            <v>20.116606119778133</v>
          </cell>
          <cell r="FU1037">
            <v>17.065595346429742</v>
          </cell>
          <cell r="FV1037">
            <v>23.167616893126525</v>
          </cell>
          <cell r="GG1037">
            <v>5.9911380074519647</v>
          </cell>
          <cell r="GH1037">
            <v>13.982143405445317</v>
          </cell>
          <cell r="GI1037">
            <v>10.408007395026372</v>
          </cell>
          <cell r="GJ1037">
            <v>7.7337520878462023</v>
          </cell>
          <cell r="GK1037">
            <v>13.082262702206542</v>
          </cell>
        </row>
        <row r="1038">
          <cell r="A1038">
            <v>40912</v>
          </cell>
          <cell r="FR1038">
            <v>14.366336633663366</v>
          </cell>
          <cell r="FS1038">
            <v>22.314663874962239</v>
          </cell>
          <cell r="FT1038">
            <v>20.116606119778133</v>
          </cell>
          <cell r="FU1038">
            <v>17.065595346429742</v>
          </cell>
          <cell r="FV1038">
            <v>23.167616893126525</v>
          </cell>
          <cell r="GG1038">
            <v>6.2506660497284656</v>
          </cell>
          <cell r="GH1038">
            <v>13.982143405445317</v>
          </cell>
          <cell r="GI1038">
            <v>10.408007395026372</v>
          </cell>
          <cell r="GJ1038">
            <v>7.7337520878462023</v>
          </cell>
          <cell r="GK1038">
            <v>13.082262702206542</v>
          </cell>
        </row>
        <row r="1039">
          <cell r="A1039">
            <v>40913</v>
          </cell>
          <cell r="FR1039">
            <v>14.346534653465346</v>
          </cell>
          <cell r="FS1039">
            <v>22.314663874962239</v>
          </cell>
          <cell r="FT1039">
            <v>20.116606119778133</v>
          </cell>
          <cell r="FU1039">
            <v>17.065595346429742</v>
          </cell>
          <cell r="FV1039">
            <v>23.167616893126525</v>
          </cell>
          <cell r="GG1039">
            <v>6.2592236319801282</v>
          </cell>
          <cell r="GH1039">
            <v>13.982143405445317</v>
          </cell>
          <cell r="GI1039">
            <v>10.408007395026372</v>
          </cell>
          <cell r="GJ1039">
            <v>7.7337520878462023</v>
          </cell>
          <cell r="GK1039">
            <v>13.082262702206542</v>
          </cell>
        </row>
        <row r="1040">
          <cell r="A1040">
            <v>40914</v>
          </cell>
          <cell r="FR1040">
            <v>14.356435643564357</v>
          </cell>
          <cell r="FS1040">
            <v>22.314663874962239</v>
          </cell>
          <cell r="FT1040">
            <v>20.116606119778133</v>
          </cell>
          <cell r="FU1040">
            <v>17.065595346429742</v>
          </cell>
          <cell r="FV1040">
            <v>23.167616893126525</v>
          </cell>
          <cell r="GG1040">
            <v>6.4115164503324165</v>
          </cell>
          <cell r="GH1040">
            <v>13.982143405445317</v>
          </cell>
          <cell r="GI1040">
            <v>10.408007395026372</v>
          </cell>
          <cell r="GJ1040">
            <v>7.7337520878462023</v>
          </cell>
          <cell r="GK1040">
            <v>13.082262702206542</v>
          </cell>
        </row>
        <row r="1041">
          <cell r="A1041">
            <v>40917</v>
          </cell>
          <cell r="FR1041">
            <v>14.455445544554456</v>
          </cell>
          <cell r="FS1041">
            <v>22.314663874962239</v>
          </cell>
          <cell r="FT1041">
            <v>20.116606119778133</v>
          </cell>
          <cell r="FU1041">
            <v>17.065595346429742</v>
          </cell>
          <cell r="FV1041">
            <v>23.167616893126525</v>
          </cell>
          <cell r="GG1041">
            <v>6.3544797019214379</v>
          </cell>
          <cell r="GH1041">
            <v>13.982143405445317</v>
          </cell>
          <cell r="GI1041">
            <v>10.408007395026372</v>
          </cell>
          <cell r="GJ1041">
            <v>7.7337520878462023</v>
          </cell>
          <cell r="GK1041">
            <v>13.082262702206542</v>
          </cell>
        </row>
        <row r="1042">
          <cell r="A1042">
            <v>40918</v>
          </cell>
          <cell r="FR1042">
            <v>14.87128712871287</v>
          </cell>
          <cell r="FS1042">
            <v>22.314663874962239</v>
          </cell>
          <cell r="FT1042">
            <v>20.116606119778133</v>
          </cell>
          <cell r="FU1042">
            <v>17.065595346429742</v>
          </cell>
          <cell r="FV1042">
            <v>23.167616893126525</v>
          </cell>
          <cell r="GG1042">
            <v>6.5255923824367432</v>
          </cell>
          <cell r="GH1042">
            <v>13.982143405445317</v>
          </cell>
          <cell r="GI1042">
            <v>10.408007395026372</v>
          </cell>
          <cell r="GJ1042">
            <v>7.7337520878462023</v>
          </cell>
          <cell r="GK1042">
            <v>13.082262702206542</v>
          </cell>
        </row>
        <row r="1043">
          <cell r="A1043">
            <v>40919</v>
          </cell>
          <cell r="FR1043">
            <v>14.970297029702969</v>
          </cell>
          <cell r="FS1043">
            <v>22.314663874962239</v>
          </cell>
          <cell r="FT1043">
            <v>20.116606119778133</v>
          </cell>
          <cell r="FU1043">
            <v>17.065595346429742</v>
          </cell>
          <cell r="FV1043">
            <v>23.167616893126525</v>
          </cell>
          <cell r="GG1043">
            <v>6.6391008937486298</v>
          </cell>
          <cell r="GH1043">
            <v>13.982143405445317</v>
          </cell>
          <cell r="GI1043">
            <v>10.408007395026372</v>
          </cell>
          <cell r="GJ1043">
            <v>7.7337520878462023</v>
          </cell>
          <cell r="GK1043">
            <v>13.082262702206542</v>
          </cell>
        </row>
        <row r="1044">
          <cell r="A1044">
            <v>40920</v>
          </cell>
          <cell r="FR1044">
            <v>15.029702970297029</v>
          </cell>
          <cell r="FS1044">
            <v>22.314663874962239</v>
          </cell>
          <cell r="FT1044">
            <v>20.116606119778133</v>
          </cell>
          <cell r="FU1044">
            <v>17.065595346429742</v>
          </cell>
          <cell r="FV1044">
            <v>23.167616893126525</v>
          </cell>
          <cell r="GG1044">
            <v>6.5506928378345473</v>
          </cell>
          <cell r="GH1044">
            <v>13.982143405445317</v>
          </cell>
          <cell r="GI1044">
            <v>10.408007395026372</v>
          </cell>
          <cell r="GJ1044">
            <v>7.7337520878462023</v>
          </cell>
          <cell r="GK1044">
            <v>13.082262702206542</v>
          </cell>
        </row>
        <row r="1045">
          <cell r="A1045">
            <v>40921</v>
          </cell>
          <cell r="FR1045">
            <v>14.940594059405941</v>
          </cell>
          <cell r="FS1045">
            <v>22.314663874962239</v>
          </cell>
          <cell r="FT1045">
            <v>20.116606119778133</v>
          </cell>
          <cell r="FU1045">
            <v>17.065595346429742</v>
          </cell>
          <cell r="FV1045">
            <v>23.167616893126525</v>
          </cell>
          <cell r="GG1045">
            <v>6.6134354528407577</v>
          </cell>
          <cell r="GH1045">
            <v>13.982143405445317</v>
          </cell>
          <cell r="GI1045">
            <v>10.408007395026372</v>
          </cell>
          <cell r="GJ1045">
            <v>7.7337520878462023</v>
          </cell>
          <cell r="GK1045">
            <v>13.082262702206542</v>
          </cell>
        </row>
        <row r="1046">
          <cell r="A1046">
            <v>40924</v>
          </cell>
          <cell r="FR1046">
            <v>14.940594059405941</v>
          </cell>
          <cell r="FS1046">
            <v>22.314663874962239</v>
          </cell>
          <cell r="FT1046">
            <v>20.116606119778133</v>
          </cell>
          <cell r="FU1046">
            <v>17.065595346429742</v>
          </cell>
          <cell r="FV1046">
            <v>23.167616893126525</v>
          </cell>
          <cell r="GG1046">
            <v>6.6134354528407577</v>
          </cell>
          <cell r="GH1046">
            <v>13.982143405445317</v>
          </cell>
          <cell r="GI1046">
            <v>10.408007395026372</v>
          </cell>
          <cell r="GJ1046">
            <v>7.7337520878462023</v>
          </cell>
          <cell r="GK1046">
            <v>13.082262702206542</v>
          </cell>
        </row>
        <row r="1047">
          <cell r="A1047">
            <v>40925</v>
          </cell>
          <cell r="FR1047">
            <v>15.009900990099009</v>
          </cell>
          <cell r="FS1047">
            <v>22.314663874962239</v>
          </cell>
          <cell r="FT1047">
            <v>20.116606119778133</v>
          </cell>
          <cell r="FU1047">
            <v>17.065595346429742</v>
          </cell>
          <cell r="FV1047">
            <v>23.167616893126525</v>
          </cell>
          <cell r="GG1047">
            <v>6.6488006234322876</v>
          </cell>
          <cell r="GH1047">
            <v>13.982143405445317</v>
          </cell>
          <cell r="GI1047">
            <v>10.408007395026372</v>
          </cell>
          <cell r="GJ1047">
            <v>7.7337520878462023</v>
          </cell>
          <cell r="GK1047">
            <v>13.082262702206542</v>
          </cell>
        </row>
        <row r="1048">
          <cell r="A1048">
            <v>40926</v>
          </cell>
          <cell r="FR1048">
            <v>15.297029702970296</v>
          </cell>
          <cell r="FS1048">
            <v>22.314663874962239</v>
          </cell>
          <cell r="FT1048">
            <v>20.116606119778133</v>
          </cell>
          <cell r="FU1048">
            <v>17.065595346429742</v>
          </cell>
          <cell r="FV1048">
            <v>23.167616893126525</v>
          </cell>
          <cell r="GG1048">
            <v>6.6339697537929521</v>
          </cell>
          <cell r="GH1048">
            <v>13.982143405445317</v>
          </cell>
          <cell r="GI1048">
            <v>10.408007395026372</v>
          </cell>
          <cell r="GJ1048">
            <v>7.7337520878462023</v>
          </cell>
          <cell r="GK1048">
            <v>13.082262702206542</v>
          </cell>
        </row>
        <row r="1049">
          <cell r="A1049">
            <v>40927</v>
          </cell>
          <cell r="FR1049">
            <v>15.392156862745097</v>
          </cell>
          <cell r="FS1049">
            <v>22.314663874962239</v>
          </cell>
          <cell r="FT1049">
            <v>20.116606119778133</v>
          </cell>
          <cell r="FU1049">
            <v>17.065595346429742</v>
          </cell>
          <cell r="FV1049">
            <v>23.167616893126525</v>
          </cell>
          <cell r="GG1049">
            <v>6.7676284700277121</v>
          </cell>
          <cell r="GH1049">
            <v>13.982143405445317</v>
          </cell>
          <cell r="GI1049">
            <v>10.408007395026372</v>
          </cell>
          <cell r="GJ1049">
            <v>7.7337520878462023</v>
          </cell>
          <cell r="GK1049">
            <v>13.082262702206542</v>
          </cell>
        </row>
        <row r="1050">
          <cell r="A1050">
            <v>40928</v>
          </cell>
          <cell r="FR1050">
            <v>15.117647058823529</v>
          </cell>
          <cell r="FS1050">
            <v>22.314663874962239</v>
          </cell>
          <cell r="FT1050">
            <v>20.116606119778133</v>
          </cell>
          <cell r="FU1050">
            <v>17.065595346429742</v>
          </cell>
          <cell r="FV1050">
            <v>23.167616893126525</v>
          </cell>
          <cell r="GG1050">
            <v>6.6605887500607706</v>
          </cell>
          <cell r="GH1050">
            <v>13.982143405445317</v>
          </cell>
          <cell r="GI1050">
            <v>10.408007395026372</v>
          </cell>
          <cell r="GJ1050">
            <v>7.7337520878462023</v>
          </cell>
          <cell r="GK1050">
            <v>13.082262702206542</v>
          </cell>
        </row>
        <row r="1051">
          <cell r="A1051">
            <v>40931</v>
          </cell>
          <cell r="FR1051">
            <v>15.294117647058822</v>
          </cell>
          <cell r="FS1051">
            <v>22.314663874962239</v>
          </cell>
          <cell r="FT1051">
            <v>20.116606119778133</v>
          </cell>
          <cell r="FU1051">
            <v>17.065595346429742</v>
          </cell>
          <cell r="FV1051">
            <v>23.167616893126525</v>
          </cell>
          <cell r="GG1051">
            <v>6.6423744469833244</v>
          </cell>
          <cell r="GH1051">
            <v>13.982143405445317</v>
          </cell>
          <cell r="GI1051">
            <v>10.408007395026372</v>
          </cell>
          <cell r="GJ1051">
            <v>7.7337520878462023</v>
          </cell>
          <cell r="GK1051">
            <v>13.082262702206542</v>
          </cell>
        </row>
        <row r="1052">
          <cell r="A1052">
            <v>40932</v>
          </cell>
          <cell r="FR1052">
            <v>15.387254901960784</v>
          </cell>
          <cell r="FS1052">
            <v>22.314663874962239</v>
          </cell>
          <cell r="FT1052">
            <v>20.116606119778133</v>
          </cell>
          <cell r="FU1052">
            <v>17.065595346429742</v>
          </cell>
          <cell r="FV1052">
            <v>23.167616893126525</v>
          </cell>
          <cell r="GG1052">
            <v>6.7015849093295738</v>
          </cell>
          <cell r="GH1052">
            <v>13.982143405445317</v>
          </cell>
          <cell r="GI1052">
            <v>10.408007395026372</v>
          </cell>
          <cell r="GJ1052">
            <v>7.7337520878462023</v>
          </cell>
          <cell r="GK1052">
            <v>13.082262702206542</v>
          </cell>
        </row>
        <row r="1053">
          <cell r="A1053">
            <v>40933</v>
          </cell>
          <cell r="FR1053">
            <v>16.431367647058824</v>
          </cell>
          <cell r="FS1053">
            <v>22.314663874962239</v>
          </cell>
          <cell r="FT1053">
            <v>20.116606119778133</v>
          </cell>
          <cell r="FU1053">
            <v>17.065595346429742</v>
          </cell>
          <cell r="FV1053">
            <v>23.167616893126525</v>
          </cell>
          <cell r="GG1053">
            <v>7.0523044387184601</v>
          </cell>
          <cell r="GH1053">
            <v>13.982143405445317</v>
          </cell>
          <cell r="GI1053">
            <v>10.408007395026372</v>
          </cell>
          <cell r="GJ1053">
            <v>7.7337520878462023</v>
          </cell>
          <cell r="GK1053">
            <v>13.082262702206542</v>
          </cell>
        </row>
        <row r="1054">
          <cell r="A1054">
            <v>40934</v>
          </cell>
          <cell r="FR1054">
            <v>16.215680392156862</v>
          </cell>
          <cell r="FS1054">
            <v>22.314663874962239</v>
          </cell>
          <cell r="FT1054">
            <v>20.116606119778133</v>
          </cell>
          <cell r="FU1054">
            <v>17.065595346429742</v>
          </cell>
          <cell r="FV1054">
            <v>23.167616893126525</v>
          </cell>
          <cell r="GG1054">
            <v>7.0506004181049153</v>
          </cell>
          <cell r="GH1054">
            <v>13.982143405445317</v>
          </cell>
          <cell r="GI1054">
            <v>10.408007395026372</v>
          </cell>
          <cell r="GJ1054">
            <v>7.7337520878462023</v>
          </cell>
          <cell r="GK1054">
            <v>13.082262702206542</v>
          </cell>
        </row>
        <row r="1055">
          <cell r="A1055">
            <v>40935</v>
          </cell>
          <cell r="FR1055">
            <v>16.068627450980394</v>
          </cell>
          <cell r="FS1055">
            <v>22.314663874962239</v>
          </cell>
          <cell r="FT1055">
            <v>20.116606119778133</v>
          </cell>
          <cell r="FU1055">
            <v>17.065595346429742</v>
          </cell>
          <cell r="FV1055">
            <v>23.167616893126525</v>
          </cell>
          <cell r="GG1055">
            <v>6.9230614030823086</v>
          </cell>
          <cell r="GH1055">
            <v>13.982143405445317</v>
          </cell>
          <cell r="GI1055">
            <v>10.408007395026372</v>
          </cell>
          <cell r="GJ1055">
            <v>7.7337520878462023</v>
          </cell>
          <cell r="GK1055">
            <v>13.082262702206542</v>
          </cell>
        </row>
        <row r="1056">
          <cell r="A1056">
            <v>40938</v>
          </cell>
          <cell r="FR1056">
            <v>15.999993137254902</v>
          </cell>
          <cell r="FS1056">
            <v>22.314663874962239</v>
          </cell>
          <cell r="FT1056">
            <v>20.116606119778133</v>
          </cell>
          <cell r="FU1056">
            <v>17.065595346429742</v>
          </cell>
          <cell r="FV1056">
            <v>23.167616893126525</v>
          </cell>
          <cell r="GG1056">
            <v>6.8655598230346637</v>
          </cell>
          <cell r="GH1056">
            <v>13.982143405445317</v>
          </cell>
          <cell r="GI1056">
            <v>10.408007395026372</v>
          </cell>
          <cell r="GJ1056">
            <v>7.7337520878462023</v>
          </cell>
          <cell r="GK1056">
            <v>13.082262702206542</v>
          </cell>
        </row>
        <row r="1057">
          <cell r="A1057">
            <v>40939</v>
          </cell>
          <cell r="FR1057">
            <v>15.862738235294117</v>
          </cell>
          <cell r="FS1057">
            <v>22.314663874962239</v>
          </cell>
          <cell r="FT1057">
            <v>20.116606119778133</v>
          </cell>
          <cell r="FU1057">
            <v>17.065595346429742</v>
          </cell>
          <cell r="FV1057">
            <v>23.167616893126525</v>
          </cell>
          <cell r="GG1057">
            <v>6.9372988477806405</v>
          </cell>
          <cell r="GH1057">
            <v>13.982143405445317</v>
          </cell>
          <cell r="GI1057">
            <v>10.408007395026372</v>
          </cell>
          <cell r="GJ1057">
            <v>7.7337520878462023</v>
          </cell>
          <cell r="GK1057">
            <v>13.082262702206542</v>
          </cell>
        </row>
        <row r="1058">
          <cell r="A1058">
            <v>40940</v>
          </cell>
          <cell r="FR1058">
            <v>15.323529411764707</v>
          </cell>
          <cell r="FS1058">
            <v>22.314663874962239</v>
          </cell>
          <cell r="FT1058">
            <v>20.116606119778133</v>
          </cell>
          <cell r="FU1058">
            <v>17.065595346429742</v>
          </cell>
          <cell r="FV1058">
            <v>23.167616893126525</v>
          </cell>
          <cell r="GG1058">
            <v>6.6127643541251393</v>
          </cell>
          <cell r="GH1058">
            <v>13.982143405445317</v>
          </cell>
          <cell r="GI1058">
            <v>10.408007395026372</v>
          </cell>
          <cell r="GJ1058">
            <v>7.7337520878462023</v>
          </cell>
          <cell r="GK1058">
            <v>13.082262702206542</v>
          </cell>
        </row>
        <row r="1059">
          <cell r="A1059">
            <v>40941</v>
          </cell>
          <cell r="FR1059">
            <v>15.637254901960784</v>
          </cell>
          <cell r="FS1059">
            <v>22.314663874962239</v>
          </cell>
          <cell r="FT1059">
            <v>20.116606119778133</v>
          </cell>
          <cell r="FU1059">
            <v>17.065595346429742</v>
          </cell>
          <cell r="FV1059">
            <v>23.167616893126525</v>
          </cell>
          <cell r="GG1059">
            <v>6.7664908357236619</v>
          </cell>
          <cell r="GH1059">
            <v>13.982143405445317</v>
          </cell>
          <cell r="GI1059">
            <v>10.408007395026372</v>
          </cell>
          <cell r="GJ1059">
            <v>7.7337520878462023</v>
          </cell>
          <cell r="GK1059">
            <v>13.082262702206542</v>
          </cell>
        </row>
        <row r="1060">
          <cell r="A1060">
            <v>40942</v>
          </cell>
          <cell r="FR1060">
            <v>15.598039215686274</v>
          </cell>
          <cell r="FS1060">
            <v>22.314663874962239</v>
          </cell>
          <cell r="FT1060">
            <v>20.116606119778133</v>
          </cell>
          <cell r="FU1060">
            <v>17.065595346429742</v>
          </cell>
          <cell r="FV1060">
            <v>23.167616893126525</v>
          </cell>
          <cell r="GG1060">
            <v>6.734039087947882</v>
          </cell>
          <cell r="GH1060">
            <v>13.982143405445317</v>
          </cell>
          <cell r="GI1060">
            <v>10.408007395026372</v>
          </cell>
          <cell r="GJ1060">
            <v>7.7337520878462023</v>
          </cell>
          <cell r="GK1060">
            <v>13.082262702206542</v>
          </cell>
        </row>
        <row r="1061">
          <cell r="A1061">
            <v>40945</v>
          </cell>
          <cell r="FR1061">
            <v>15.549019607843137</v>
          </cell>
          <cell r="FS1061">
            <v>22.314663874962239</v>
          </cell>
          <cell r="FT1061">
            <v>20.116606119778133</v>
          </cell>
          <cell r="FU1061">
            <v>17.065595346429742</v>
          </cell>
          <cell r="FV1061">
            <v>23.167616893126525</v>
          </cell>
          <cell r="GG1061">
            <v>6.7192328260975254</v>
          </cell>
          <cell r="GH1061">
            <v>13.982143405445317</v>
          </cell>
          <cell r="GI1061">
            <v>10.408007395026372</v>
          </cell>
          <cell r="GJ1061">
            <v>7.7337520878462023</v>
          </cell>
          <cell r="GK1061">
            <v>13.082262702206542</v>
          </cell>
        </row>
        <row r="1062">
          <cell r="A1062">
            <v>40946</v>
          </cell>
          <cell r="FR1062">
            <v>15.529411764705882</v>
          </cell>
          <cell r="FS1062">
            <v>22.314663874962239</v>
          </cell>
          <cell r="FT1062">
            <v>20.116606119778133</v>
          </cell>
          <cell r="FU1062">
            <v>17.065595346429742</v>
          </cell>
          <cell r="FV1062">
            <v>23.167616893126525</v>
          </cell>
          <cell r="GG1062">
            <v>6.6087753415333754</v>
          </cell>
          <cell r="GH1062">
            <v>13.982143405445317</v>
          </cell>
          <cell r="GI1062">
            <v>10.408007395026372</v>
          </cell>
          <cell r="GJ1062">
            <v>7.7337520878462023</v>
          </cell>
          <cell r="GK1062">
            <v>13.082262702206542</v>
          </cell>
        </row>
        <row r="1063">
          <cell r="A1063">
            <v>40947</v>
          </cell>
          <cell r="FR1063">
            <v>15.382352941176469</v>
          </cell>
          <cell r="FS1063">
            <v>22.314663874962239</v>
          </cell>
          <cell r="FT1063">
            <v>20.116606119778133</v>
          </cell>
          <cell r="FU1063">
            <v>17.065595346429742</v>
          </cell>
          <cell r="FV1063">
            <v>23.167616893126525</v>
          </cell>
          <cell r="GG1063">
            <v>6.5945451893626332</v>
          </cell>
          <cell r="GH1063">
            <v>13.982143405445317</v>
          </cell>
          <cell r="GI1063">
            <v>10.408007395026372</v>
          </cell>
          <cell r="GJ1063">
            <v>7.7337520878462023</v>
          </cell>
          <cell r="GK1063">
            <v>13.082262702206542</v>
          </cell>
        </row>
        <row r="1064">
          <cell r="A1064">
            <v>40948</v>
          </cell>
          <cell r="FR1064">
            <v>15.274509803921568</v>
          </cell>
          <cell r="FS1064">
            <v>22.314663874962239</v>
          </cell>
          <cell r="FT1064">
            <v>20.116606119778133</v>
          </cell>
          <cell r="FU1064">
            <v>17.065595346429742</v>
          </cell>
          <cell r="FV1064">
            <v>23.167616893126525</v>
          </cell>
          <cell r="GG1064">
            <v>6.5296392629685451</v>
          </cell>
          <cell r="GH1064">
            <v>13.982143405445317</v>
          </cell>
          <cell r="GI1064">
            <v>10.408007395026372</v>
          </cell>
          <cell r="GJ1064">
            <v>7.7337520878462023</v>
          </cell>
          <cell r="GK1064">
            <v>13.082262702206542</v>
          </cell>
        </row>
        <row r="1065">
          <cell r="A1065">
            <v>40949</v>
          </cell>
          <cell r="FR1065">
            <v>14.852941176470589</v>
          </cell>
          <cell r="FS1065">
            <v>22.314663874962239</v>
          </cell>
          <cell r="FT1065">
            <v>20.116606119778133</v>
          </cell>
          <cell r="FU1065">
            <v>17.065595346429742</v>
          </cell>
          <cell r="FV1065">
            <v>23.167616893126525</v>
          </cell>
          <cell r="GG1065">
            <v>6.3981160970392335</v>
          </cell>
          <cell r="GH1065">
            <v>13.982143405445317</v>
          </cell>
          <cell r="GI1065">
            <v>10.408007395026372</v>
          </cell>
          <cell r="GJ1065">
            <v>7.7337520878462023</v>
          </cell>
          <cell r="GK1065">
            <v>13.082262702206542</v>
          </cell>
        </row>
        <row r="1066">
          <cell r="A1066">
            <v>40952</v>
          </cell>
          <cell r="FR1066">
            <v>14.950980392156863</v>
          </cell>
          <cell r="FS1066">
            <v>22.314663874962239</v>
          </cell>
          <cell r="FT1066">
            <v>20.116606119778133</v>
          </cell>
          <cell r="FU1066">
            <v>17.065595346429742</v>
          </cell>
          <cell r="FV1066">
            <v>23.167616893126525</v>
          </cell>
          <cell r="GG1066">
            <v>6.4334192231027272</v>
          </cell>
          <cell r="GH1066">
            <v>13.982143405445317</v>
          </cell>
          <cell r="GI1066">
            <v>10.408007395026372</v>
          </cell>
          <cell r="GJ1066">
            <v>7.7337520878462023</v>
          </cell>
          <cell r="GK1066">
            <v>13.082262702206542</v>
          </cell>
        </row>
        <row r="1067">
          <cell r="A1067">
            <v>40953</v>
          </cell>
          <cell r="FR1067">
            <v>14.931372549019608</v>
          </cell>
          <cell r="FS1067">
            <v>22.314663874962239</v>
          </cell>
          <cell r="FT1067">
            <v>20.116606119778133</v>
          </cell>
          <cell r="FU1067">
            <v>17.065595346429742</v>
          </cell>
          <cell r="FV1067">
            <v>23.167616893126525</v>
          </cell>
          <cell r="GG1067">
            <v>6.436263308862852</v>
          </cell>
          <cell r="GH1067">
            <v>13.982143405445317</v>
          </cell>
          <cell r="GI1067">
            <v>10.408007395026372</v>
          </cell>
          <cell r="GJ1067">
            <v>7.7337520878462023</v>
          </cell>
          <cell r="GK1067">
            <v>13.082262702206542</v>
          </cell>
        </row>
        <row r="1068">
          <cell r="A1068">
            <v>40954</v>
          </cell>
          <cell r="FR1068">
            <v>15.019607843137255</v>
          </cell>
          <cell r="FS1068">
            <v>22.314663874962239</v>
          </cell>
          <cell r="FT1068">
            <v>20.116606119778133</v>
          </cell>
          <cell r="FU1068">
            <v>17.065595346429742</v>
          </cell>
          <cell r="FV1068">
            <v>23.167616893126525</v>
          </cell>
          <cell r="GG1068">
            <v>6.5603869901307794</v>
          </cell>
          <cell r="GH1068">
            <v>13.982143405445317</v>
          </cell>
          <cell r="GI1068">
            <v>10.408007395026372</v>
          </cell>
          <cell r="GJ1068">
            <v>7.7337520878462023</v>
          </cell>
          <cell r="GK1068">
            <v>13.082262702206542</v>
          </cell>
        </row>
        <row r="1069">
          <cell r="A1069">
            <v>40955</v>
          </cell>
          <cell r="FR1069">
            <v>15.323529411764707</v>
          </cell>
          <cell r="FS1069">
            <v>22.314663874962239</v>
          </cell>
          <cell r="FT1069">
            <v>20.116606119778133</v>
          </cell>
          <cell r="FU1069">
            <v>17.065595346429742</v>
          </cell>
          <cell r="FV1069">
            <v>23.167616893126525</v>
          </cell>
          <cell r="GG1069">
            <v>8.1337780233659611</v>
          </cell>
          <cell r="GH1069">
            <v>13.982143405445317</v>
          </cell>
          <cell r="GI1069">
            <v>10.408007395026372</v>
          </cell>
          <cell r="GJ1069">
            <v>7.7337520878462023</v>
          </cell>
          <cell r="GK1069">
            <v>13.082262702206542</v>
          </cell>
        </row>
        <row r="1070">
          <cell r="A1070">
            <v>40956</v>
          </cell>
          <cell r="FR1070">
            <v>15.196078431372548</v>
          </cell>
          <cell r="FS1070">
            <v>22.314663874962239</v>
          </cell>
          <cell r="FT1070">
            <v>20.116606119778133</v>
          </cell>
          <cell r="FU1070">
            <v>17.065595346429742</v>
          </cell>
          <cell r="FV1070">
            <v>23.167616893126525</v>
          </cell>
          <cell r="GG1070">
            <v>8.1571939795810966</v>
          </cell>
          <cell r="GH1070">
            <v>13.982143405445317</v>
          </cell>
          <cell r="GI1070">
            <v>10.408007395026372</v>
          </cell>
          <cell r="GJ1070">
            <v>7.7337520878462023</v>
          </cell>
          <cell r="GK1070">
            <v>13.082262702206542</v>
          </cell>
        </row>
        <row r="1071">
          <cell r="A1071">
            <v>40959</v>
          </cell>
          <cell r="FR1071">
            <v>15.196078431372548</v>
          </cell>
          <cell r="FS1071">
            <v>22.314663874962239</v>
          </cell>
          <cell r="FT1071">
            <v>20.116606119778133</v>
          </cell>
          <cell r="FU1071">
            <v>17.065595346429742</v>
          </cell>
          <cell r="FV1071">
            <v>23.167616893126525</v>
          </cell>
          <cell r="GG1071">
            <v>8.1571939795810966</v>
          </cell>
          <cell r="GH1071">
            <v>13.982143405445317</v>
          </cell>
          <cell r="GI1071">
            <v>10.408007395026372</v>
          </cell>
          <cell r="GJ1071">
            <v>7.7337520878462023</v>
          </cell>
          <cell r="GK1071">
            <v>13.082262702206542</v>
          </cell>
        </row>
        <row r="1072">
          <cell r="A1072">
            <v>40960</v>
          </cell>
          <cell r="FR1072">
            <v>15.235294117647058</v>
          </cell>
          <cell r="FS1072">
            <v>22.314663874962239</v>
          </cell>
          <cell r="FT1072">
            <v>20.116606119778133</v>
          </cell>
          <cell r="FU1072">
            <v>17.065595346429742</v>
          </cell>
          <cell r="FV1072">
            <v>23.167616893126525</v>
          </cell>
          <cell r="GG1072">
            <v>8.1128223344911063</v>
          </cell>
          <cell r="GH1072">
            <v>13.982143405445317</v>
          </cell>
          <cell r="GI1072">
            <v>10.408007395026372</v>
          </cell>
          <cell r="GJ1072">
            <v>7.7337520878462023</v>
          </cell>
          <cell r="GK1072">
            <v>13.082262702206542</v>
          </cell>
        </row>
        <row r="1073">
          <cell r="A1073">
            <v>40961</v>
          </cell>
          <cell r="FR1073">
            <v>15.078431372549019</v>
          </cell>
          <cell r="FS1073">
            <v>22.314663874962239</v>
          </cell>
          <cell r="FT1073">
            <v>20.116606119778133</v>
          </cell>
          <cell r="FU1073">
            <v>17.065595346429742</v>
          </cell>
          <cell r="FV1073">
            <v>23.167616893126525</v>
          </cell>
          <cell r="GG1073">
            <v>7.9716871908220179</v>
          </cell>
          <cell r="GH1073">
            <v>13.982143405445317</v>
          </cell>
          <cell r="GI1073">
            <v>10.408007395026372</v>
          </cell>
          <cell r="GJ1073">
            <v>7.7337520878462023</v>
          </cell>
          <cell r="GK1073">
            <v>13.082262702206542</v>
          </cell>
        </row>
        <row r="1074">
          <cell r="A1074">
            <v>40962</v>
          </cell>
          <cell r="FR1074">
            <v>15.549019607843137</v>
          </cell>
          <cell r="FS1074">
            <v>22.314663874962239</v>
          </cell>
          <cell r="FT1074">
            <v>20.116606119778133</v>
          </cell>
          <cell r="FU1074">
            <v>17.065595346429742</v>
          </cell>
          <cell r="FV1074">
            <v>23.167616893126525</v>
          </cell>
          <cell r="GG1074">
            <v>8.0838569624250081</v>
          </cell>
          <cell r="GH1074">
            <v>13.982143405445317</v>
          </cell>
          <cell r="GI1074">
            <v>10.408007395026372</v>
          </cell>
          <cell r="GJ1074">
            <v>7.7337520878462023</v>
          </cell>
          <cell r="GK1074">
            <v>13.082262702206542</v>
          </cell>
        </row>
        <row r="1075">
          <cell r="A1075">
            <v>40963</v>
          </cell>
          <cell r="FR1075">
            <v>15.705872549019608</v>
          </cell>
          <cell r="FS1075">
            <v>22.314663874962239</v>
          </cell>
          <cell r="FT1075">
            <v>20.116606119778133</v>
          </cell>
          <cell r="FU1075">
            <v>17.065595346429742</v>
          </cell>
          <cell r="FV1075">
            <v>23.167616893126525</v>
          </cell>
          <cell r="GG1075">
            <v>8.1670560993579624</v>
          </cell>
          <cell r="GH1075">
            <v>13.982143405445317</v>
          </cell>
          <cell r="GI1075">
            <v>10.408007395026372</v>
          </cell>
          <cell r="GJ1075">
            <v>7.7337520878462023</v>
          </cell>
          <cell r="GK1075">
            <v>13.082262702206542</v>
          </cell>
        </row>
        <row r="1076">
          <cell r="A1076">
            <v>40966</v>
          </cell>
          <cell r="FR1076">
            <v>15.450980392156863</v>
          </cell>
          <cell r="FS1076">
            <v>22.314663874962239</v>
          </cell>
          <cell r="FT1076">
            <v>20.116606119778133</v>
          </cell>
          <cell r="FU1076">
            <v>17.065595346429742</v>
          </cell>
          <cell r="FV1076">
            <v>23.167616893126525</v>
          </cell>
          <cell r="GG1076">
            <v>8.0801599831596658</v>
          </cell>
          <cell r="GH1076">
            <v>13.982143405445317</v>
          </cell>
          <cell r="GI1076">
            <v>10.408007395026372</v>
          </cell>
          <cell r="GJ1076">
            <v>7.7337520878462023</v>
          </cell>
          <cell r="GK1076">
            <v>13.082262702206542</v>
          </cell>
        </row>
        <row r="1077">
          <cell r="A1077">
            <v>40967</v>
          </cell>
          <cell r="FR1077">
            <v>15.333333333333334</v>
          </cell>
          <cell r="FS1077">
            <v>22.314663874962239</v>
          </cell>
          <cell r="FT1077">
            <v>20.116606119778133</v>
          </cell>
          <cell r="FU1077">
            <v>17.065595346429742</v>
          </cell>
          <cell r="FV1077">
            <v>23.167616893126525</v>
          </cell>
          <cell r="GG1077">
            <v>8.0068177033996424</v>
          </cell>
          <cell r="GH1077">
            <v>13.982143405445317</v>
          </cell>
          <cell r="GI1077">
            <v>10.408007395026372</v>
          </cell>
          <cell r="GJ1077">
            <v>7.7337520878462023</v>
          </cell>
          <cell r="GK1077">
            <v>13.082262702206542</v>
          </cell>
        </row>
        <row r="1078">
          <cell r="A1078">
            <v>40968</v>
          </cell>
          <cell r="FR1078">
            <v>14.980392156862743</v>
          </cell>
          <cell r="FS1078">
            <v>22.314663874962239</v>
          </cell>
          <cell r="FT1078">
            <v>20.116606119778133</v>
          </cell>
          <cell r="FU1078">
            <v>17.065595346429742</v>
          </cell>
          <cell r="FV1078">
            <v>23.167616893126525</v>
          </cell>
          <cell r="GG1078">
            <v>7.9310072623934316</v>
          </cell>
          <cell r="GH1078">
            <v>13.982143405445317</v>
          </cell>
          <cell r="GI1078">
            <v>10.408007395026372</v>
          </cell>
          <cell r="GJ1078">
            <v>7.7337520878462023</v>
          </cell>
          <cell r="GK1078">
            <v>13.082262702206542</v>
          </cell>
        </row>
        <row r="1079">
          <cell r="A1079">
            <v>40969</v>
          </cell>
          <cell r="FR1079">
            <v>15.117647058823529</v>
          </cell>
          <cell r="FS1079">
            <v>22.314663874962239</v>
          </cell>
          <cell r="FT1079">
            <v>20.116606119778133</v>
          </cell>
          <cell r="FU1079">
            <v>17.065595346429742</v>
          </cell>
          <cell r="FV1079">
            <v>23.167616893126525</v>
          </cell>
          <cell r="GG1079">
            <v>7.9094384801599835</v>
          </cell>
          <cell r="GH1079">
            <v>13.982143405445317</v>
          </cell>
          <cell r="GI1079">
            <v>10.408007395026372</v>
          </cell>
          <cell r="GJ1079">
            <v>7.7337520878462023</v>
          </cell>
          <cell r="GK1079">
            <v>13.082262702206542</v>
          </cell>
        </row>
        <row r="1080">
          <cell r="A1080">
            <v>40970</v>
          </cell>
          <cell r="FR1080">
            <v>14.852941176470589</v>
          </cell>
          <cell r="FS1080">
            <v>22.314663874962239</v>
          </cell>
          <cell r="FT1080">
            <v>20.116606119778133</v>
          </cell>
          <cell r="FU1080">
            <v>17.065595346429742</v>
          </cell>
          <cell r="FV1080">
            <v>23.167616893126525</v>
          </cell>
          <cell r="GG1080">
            <v>7.9174560572571302</v>
          </cell>
          <cell r="GH1080">
            <v>13.982143405445317</v>
          </cell>
          <cell r="GI1080">
            <v>10.408007395026372</v>
          </cell>
          <cell r="GJ1080">
            <v>7.7337520878462023</v>
          </cell>
          <cell r="GK1080">
            <v>13.082262702206542</v>
          </cell>
        </row>
        <row r="1081">
          <cell r="A1081">
            <v>40973</v>
          </cell>
          <cell r="FR1081">
            <v>14.784313725490195</v>
          </cell>
          <cell r="FS1081">
            <v>22.314663874962239</v>
          </cell>
          <cell r="FT1081">
            <v>20.116606119778133</v>
          </cell>
          <cell r="FU1081">
            <v>17.065595346429742</v>
          </cell>
          <cell r="FV1081">
            <v>23.167616893126525</v>
          </cell>
          <cell r="GG1081">
            <v>7.8650694663719607</v>
          </cell>
          <cell r="GH1081">
            <v>13.982143405445317</v>
          </cell>
          <cell r="GI1081">
            <v>10.408007395026372</v>
          </cell>
          <cell r="GJ1081">
            <v>7.7337520878462023</v>
          </cell>
          <cell r="GK1081">
            <v>13.082262702206542</v>
          </cell>
        </row>
        <row r="1082">
          <cell r="A1082">
            <v>40974</v>
          </cell>
          <cell r="FR1082">
            <v>14.362745098039216</v>
          </cell>
          <cell r="FS1082">
            <v>22.314663874962239</v>
          </cell>
          <cell r="FT1082">
            <v>20.116606119778133</v>
          </cell>
          <cell r="FU1082">
            <v>17.065595346429742</v>
          </cell>
          <cell r="FV1082">
            <v>23.167616893126525</v>
          </cell>
          <cell r="GG1082">
            <v>7.6678533838543315</v>
          </cell>
          <cell r="GH1082">
            <v>13.982143405445317</v>
          </cell>
          <cell r="GI1082">
            <v>10.408007395026372</v>
          </cell>
          <cell r="GJ1082">
            <v>7.7337520878462023</v>
          </cell>
          <cell r="GK1082">
            <v>13.082262702206542</v>
          </cell>
        </row>
        <row r="1083">
          <cell r="A1083">
            <v>40975</v>
          </cell>
          <cell r="FR1083">
            <v>14.480392156862745</v>
          </cell>
          <cell r="FS1083">
            <v>22.314663874962239</v>
          </cell>
          <cell r="FT1083">
            <v>20.116606119778133</v>
          </cell>
          <cell r="FU1083">
            <v>17.065595346429742</v>
          </cell>
          <cell r="FV1083">
            <v>23.167616893126525</v>
          </cell>
          <cell r="GG1083">
            <v>7.724552678665404</v>
          </cell>
          <cell r="GH1083">
            <v>13.982143405445317</v>
          </cell>
          <cell r="GI1083">
            <v>10.408007395026372</v>
          </cell>
          <cell r="GJ1083">
            <v>7.7337520878462023</v>
          </cell>
          <cell r="GK1083">
            <v>13.082262702206542</v>
          </cell>
        </row>
        <row r="1084">
          <cell r="A1084">
            <v>40976</v>
          </cell>
          <cell r="FR1084">
            <v>14.784313725490195</v>
          </cell>
          <cell r="FS1084">
            <v>22.314663874962239</v>
          </cell>
          <cell r="FT1084">
            <v>20.116606119778133</v>
          </cell>
          <cell r="FU1084">
            <v>17.065595346429742</v>
          </cell>
          <cell r="FV1084">
            <v>23.167616893126525</v>
          </cell>
          <cell r="GG1084">
            <v>7.7911140932533423</v>
          </cell>
          <cell r="GH1084">
            <v>13.982143405445317</v>
          </cell>
          <cell r="GI1084">
            <v>10.408007395026372</v>
          </cell>
          <cell r="GJ1084">
            <v>7.7337520878462023</v>
          </cell>
          <cell r="GK1084">
            <v>13.082262702206542</v>
          </cell>
        </row>
        <row r="1085">
          <cell r="A1085">
            <v>40977</v>
          </cell>
          <cell r="FR1085">
            <v>14.784313725490195</v>
          </cell>
          <cell r="FS1085">
            <v>22.314663874962239</v>
          </cell>
          <cell r="FT1085">
            <v>20.116606119778133</v>
          </cell>
          <cell r="FU1085">
            <v>17.065595346429742</v>
          </cell>
          <cell r="FV1085">
            <v>23.167616893126525</v>
          </cell>
          <cell r="GG1085">
            <v>7.9248526470897804</v>
          </cell>
          <cell r="GH1085">
            <v>13.982143405445317</v>
          </cell>
          <cell r="GI1085">
            <v>10.408007395026372</v>
          </cell>
          <cell r="GJ1085">
            <v>7.7337520878462023</v>
          </cell>
          <cell r="GK1085">
            <v>13.082262702206542</v>
          </cell>
        </row>
        <row r="1086">
          <cell r="A1086">
            <v>40980</v>
          </cell>
          <cell r="FR1086">
            <v>14.656862745098039</v>
          </cell>
          <cell r="FS1086">
            <v>22.314663874962239</v>
          </cell>
          <cell r="FT1086">
            <v>20.116606119778133</v>
          </cell>
          <cell r="FU1086">
            <v>17.065595346429742</v>
          </cell>
          <cell r="FV1086">
            <v>23.167616893126525</v>
          </cell>
          <cell r="GG1086">
            <v>7.8884880538890636</v>
          </cell>
          <cell r="GH1086">
            <v>13.982143405445317</v>
          </cell>
          <cell r="GI1086">
            <v>10.408007395026372</v>
          </cell>
          <cell r="GJ1086">
            <v>7.7337520878462023</v>
          </cell>
          <cell r="GK1086">
            <v>13.082262702206542</v>
          </cell>
        </row>
        <row r="1087">
          <cell r="A1087">
            <v>40981</v>
          </cell>
          <cell r="FR1087">
            <v>14.441176470588236</v>
          </cell>
          <cell r="FS1087">
            <v>22.314663874962239</v>
          </cell>
          <cell r="FT1087">
            <v>20.116606119778133</v>
          </cell>
          <cell r="FU1087">
            <v>17.065595346429742</v>
          </cell>
          <cell r="FV1087">
            <v>23.167616893126525</v>
          </cell>
          <cell r="GG1087">
            <v>7.7270182086096195</v>
          </cell>
          <cell r="GH1087">
            <v>13.982143405445317</v>
          </cell>
          <cell r="GI1087">
            <v>10.408007395026372</v>
          </cell>
          <cell r="GJ1087">
            <v>7.7337520878462023</v>
          </cell>
          <cell r="GK1087">
            <v>13.082262702206542</v>
          </cell>
        </row>
        <row r="1088">
          <cell r="A1088">
            <v>40982</v>
          </cell>
          <cell r="FR1088">
            <v>14.294117647058822</v>
          </cell>
          <cell r="FS1088">
            <v>22.314663874962239</v>
          </cell>
          <cell r="FT1088">
            <v>20.116606119778133</v>
          </cell>
          <cell r="FU1088">
            <v>17.065595346429742</v>
          </cell>
          <cell r="FV1088">
            <v>23.167616893126525</v>
          </cell>
          <cell r="GG1088">
            <v>7.7738553836438271</v>
          </cell>
          <cell r="GH1088">
            <v>13.982143405445317</v>
          </cell>
          <cell r="GI1088">
            <v>10.408007395026372</v>
          </cell>
          <cell r="GJ1088">
            <v>7.7337520878462023</v>
          </cell>
          <cell r="GK1088">
            <v>13.082262702206542</v>
          </cell>
        </row>
        <row r="1089">
          <cell r="A1089">
            <v>40983</v>
          </cell>
          <cell r="FR1089">
            <v>14.784313725490195</v>
          </cell>
          <cell r="FS1089">
            <v>22.314663874962239</v>
          </cell>
          <cell r="FT1089">
            <v>20.116606119778133</v>
          </cell>
          <cell r="FU1089">
            <v>17.065595346429742</v>
          </cell>
          <cell r="FV1089">
            <v>23.167616893126525</v>
          </cell>
          <cell r="GG1089">
            <v>7.9231478997907852</v>
          </cell>
          <cell r="GH1089">
            <v>13.982143405445317</v>
          </cell>
          <cell r="GI1089">
            <v>10.408007395026372</v>
          </cell>
          <cell r="GJ1089">
            <v>7.7337520878462023</v>
          </cell>
          <cell r="GK1089">
            <v>13.082262702206542</v>
          </cell>
        </row>
        <row r="1090">
          <cell r="A1090">
            <v>40984</v>
          </cell>
          <cell r="FR1090">
            <v>14.715686274509803</v>
          </cell>
          <cell r="FS1090">
            <v>22.314663874962239</v>
          </cell>
          <cell r="FT1090">
            <v>20.116606119778133</v>
          </cell>
          <cell r="FU1090">
            <v>17.065595346429742</v>
          </cell>
          <cell r="FV1090">
            <v>23.167616893126525</v>
          </cell>
          <cell r="GG1090">
            <v>8.0048200203851732</v>
          </cell>
          <cell r="GH1090">
            <v>13.982143405445317</v>
          </cell>
          <cell r="GI1090">
            <v>10.408007395026372</v>
          </cell>
          <cell r="GJ1090">
            <v>7.7337520878462023</v>
          </cell>
          <cell r="GK1090">
            <v>13.082262702206542</v>
          </cell>
        </row>
        <row r="1091">
          <cell r="A1091">
            <v>40987</v>
          </cell>
          <cell r="FR1091">
            <v>14.843137254901961</v>
          </cell>
          <cell r="FS1091">
            <v>22.314663874962239</v>
          </cell>
          <cell r="FT1091">
            <v>20.116606119778133</v>
          </cell>
          <cell r="FU1091">
            <v>17.065595346429742</v>
          </cell>
          <cell r="FV1091">
            <v>23.167616893126525</v>
          </cell>
          <cell r="GG1091">
            <v>8.0299501099726402</v>
          </cell>
          <cell r="GH1091">
            <v>13.982143405445317</v>
          </cell>
          <cell r="GI1091">
            <v>10.408007395026372</v>
          </cell>
          <cell r="GJ1091">
            <v>7.7337520878462023</v>
          </cell>
          <cell r="GK1091">
            <v>13.082262702206542</v>
          </cell>
        </row>
        <row r="1092">
          <cell r="A1092">
            <v>40988</v>
          </cell>
          <cell r="FR1092">
            <v>14.647058823529411</v>
          </cell>
          <cell r="FS1092">
            <v>22.314663874962239</v>
          </cell>
          <cell r="FT1092">
            <v>20.116606119778133</v>
          </cell>
          <cell r="FU1092">
            <v>17.065595346429742</v>
          </cell>
          <cell r="FV1092">
            <v>23.167616893126525</v>
          </cell>
          <cell r="GG1092">
            <v>7.9294297516227674</v>
          </cell>
          <cell r="GH1092">
            <v>13.982143405445317</v>
          </cell>
          <cell r="GI1092">
            <v>10.408007395026372</v>
          </cell>
          <cell r="GJ1092">
            <v>7.7337520878462023</v>
          </cell>
          <cell r="GK1092">
            <v>13.082262702206542</v>
          </cell>
        </row>
        <row r="1093">
          <cell r="A1093">
            <v>40989</v>
          </cell>
          <cell r="FR1093">
            <v>14.696078431372548</v>
          </cell>
          <cell r="FS1093">
            <v>22.314663874962239</v>
          </cell>
          <cell r="FT1093">
            <v>20.116606119778133</v>
          </cell>
          <cell r="FU1093">
            <v>17.065595346429742</v>
          </cell>
          <cell r="FV1093">
            <v>23.167616893126525</v>
          </cell>
          <cell r="GG1093">
            <v>8.0060753178477544</v>
          </cell>
          <cell r="GH1093">
            <v>13.982143405445317</v>
          </cell>
          <cell r="GI1093">
            <v>10.408007395026372</v>
          </cell>
          <cell r="GJ1093">
            <v>7.7337520878462023</v>
          </cell>
          <cell r="GK1093">
            <v>13.082262702206542</v>
          </cell>
        </row>
        <row r="1094">
          <cell r="A1094">
            <v>40990</v>
          </cell>
          <cell r="FR1094">
            <v>14.568627450980392</v>
          </cell>
          <cell r="FS1094">
            <v>22.314663874962239</v>
          </cell>
          <cell r="FT1094">
            <v>20.116606119778133</v>
          </cell>
          <cell r="FU1094">
            <v>17.065595346429742</v>
          </cell>
          <cell r="FV1094">
            <v>23.167616893126525</v>
          </cell>
          <cell r="GG1094">
            <v>7.8835684780859401</v>
          </cell>
          <cell r="GH1094">
            <v>13.982143405445317</v>
          </cell>
          <cell r="GI1094">
            <v>10.408007395026372</v>
          </cell>
          <cell r="GJ1094">
            <v>7.7337520878462023</v>
          </cell>
          <cell r="GK1094">
            <v>13.082262702206542</v>
          </cell>
        </row>
        <row r="1095">
          <cell r="A1095">
            <v>40991</v>
          </cell>
          <cell r="FR1095">
            <v>14.705882352941176</v>
          </cell>
          <cell r="FS1095">
            <v>22.314663874962239</v>
          </cell>
          <cell r="FT1095">
            <v>20.116606119778133</v>
          </cell>
          <cell r="FU1095">
            <v>17.065595346429742</v>
          </cell>
          <cell r="FV1095">
            <v>23.167616893126525</v>
          </cell>
          <cell r="GG1095">
            <v>7.905557641757416</v>
          </cell>
          <cell r="GH1095">
            <v>13.982143405445317</v>
          </cell>
          <cell r="GI1095">
            <v>10.408007395026372</v>
          </cell>
          <cell r="GJ1095">
            <v>7.7337520878462023</v>
          </cell>
          <cell r="GK1095">
            <v>13.082262702206542</v>
          </cell>
        </row>
        <row r="1096">
          <cell r="A1096">
            <v>40994</v>
          </cell>
          <cell r="FR1096">
            <v>15.372549019607842</v>
          </cell>
          <cell r="FS1096">
            <v>22.314663874962239</v>
          </cell>
          <cell r="FT1096">
            <v>20.116606119778133</v>
          </cell>
          <cell r="FU1096">
            <v>17.065595346429742</v>
          </cell>
          <cell r="FV1096">
            <v>23.167616893126525</v>
          </cell>
          <cell r="GG1096">
            <v>8.0217826296872481</v>
          </cell>
          <cell r="GH1096">
            <v>13.982143405445317</v>
          </cell>
          <cell r="GI1096">
            <v>10.408007395026372</v>
          </cell>
          <cell r="GJ1096">
            <v>7.7337520878462023</v>
          </cell>
          <cell r="GK1096">
            <v>13.082262702206542</v>
          </cell>
        </row>
        <row r="1097">
          <cell r="A1097">
            <v>40995</v>
          </cell>
          <cell r="FR1097">
            <v>15.205882352941176</v>
          </cell>
          <cell r="FS1097">
            <v>22.314663874962239</v>
          </cell>
          <cell r="FT1097">
            <v>20.116606119778133</v>
          </cell>
          <cell r="FU1097">
            <v>17.065595346429742</v>
          </cell>
          <cell r="FV1097">
            <v>23.167616893126525</v>
          </cell>
          <cell r="GG1097">
            <v>8.1643903224075967</v>
          </cell>
          <cell r="GH1097">
            <v>13.982143405445317</v>
          </cell>
          <cell r="GI1097">
            <v>10.408007395026372</v>
          </cell>
          <cell r="GJ1097">
            <v>7.7337520878462023</v>
          </cell>
          <cell r="GK1097">
            <v>13.082262702206542</v>
          </cell>
        </row>
        <row r="1098">
          <cell r="A1098">
            <v>40996</v>
          </cell>
          <cell r="FR1098">
            <v>15.215686274509803</v>
          </cell>
          <cell r="FS1098">
            <v>22.314663874962239</v>
          </cell>
          <cell r="FT1098">
            <v>20.116606119778133</v>
          </cell>
          <cell r="FU1098">
            <v>17.065595346429742</v>
          </cell>
          <cell r="FV1098">
            <v>23.167616893126525</v>
          </cell>
          <cell r="GG1098">
            <v>8.151198970012338</v>
          </cell>
          <cell r="GH1098">
            <v>13.982143405445317</v>
          </cell>
          <cell r="GI1098">
            <v>10.408007395026372</v>
          </cell>
          <cell r="GJ1098">
            <v>7.7337520878462023</v>
          </cell>
          <cell r="GK1098">
            <v>13.082262702206542</v>
          </cell>
        </row>
        <row r="1099">
          <cell r="A1099">
            <v>40997</v>
          </cell>
          <cell r="FR1099">
            <v>15.147058823529411</v>
          </cell>
          <cell r="FS1099">
            <v>22.314663874962239</v>
          </cell>
          <cell r="FT1099">
            <v>20.116606119778133</v>
          </cell>
          <cell r="FU1099">
            <v>17.065595346429742</v>
          </cell>
          <cell r="FV1099">
            <v>23.167616893126525</v>
          </cell>
          <cell r="GG1099">
            <v>8.0487903009495199</v>
          </cell>
          <cell r="GH1099">
            <v>13.982143405445317</v>
          </cell>
          <cell r="GI1099">
            <v>10.408007395026372</v>
          </cell>
          <cell r="GJ1099">
            <v>7.7337520878462023</v>
          </cell>
          <cell r="GK1099">
            <v>13.082262702206542</v>
          </cell>
        </row>
        <row r="1100">
          <cell r="A1100">
            <v>40998</v>
          </cell>
          <cell r="FR1100">
            <v>15.264705882352942</v>
          </cell>
          <cell r="FS1100">
            <v>22.314663874962239</v>
          </cell>
          <cell r="FT1100">
            <v>20.116606119778133</v>
          </cell>
          <cell r="FU1100">
            <v>17.065595346429742</v>
          </cell>
          <cell r="FV1100">
            <v>23.167616893126525</v>
          </cell>
          <cell r="GG1100">
            <v>8.1731854514242812</v>
          </cell>
          <cell r="GH1100">
            <v>13.982143405445317</v>
          </cell>
          <cell r="GI1100">
            <v>10.408007395026372</v>
          </cell>
          <cell r="GJ1100">
            <v>7.7337520878462023</v>
          </cell>
          <cell r="GK1100">
            <v>13.082262702206542</v>
          </cell>
        </row>
        <row r="1101">
          <cell r="A1101">
            <v>41001</v>
          </cell>
          <cell r="FR1101">
            <v>15.7646931372549</v>
          </cell>
          <cell r="FS1101">
            <v>22.314663874962239</v>
          </cell>
          <cell r="FT1101">
            <v>20.116606119778133</v>
          </cell>
          <cell r="FU1101">
            <v>17.065595346429742</v>
          </cell>
          <cell r="FV1101">
            <v>23.167616893126525</v>
          </cell>
          <cell r="GG1101">
            <v>8.2699345528673351</v>
          </cell>
          <cell r="GH1101">
            <v>13.982143405445317</v>
          </cell>
          <cell r="GI1101">
            <v>10.408007395026372</v>
          </cell>
          <cell r="GJ1101">
            <v>7.7337520878462023</v>
          </cell>
          <cell r="GK1101">
            <v>13.082262702206542</v>
          </cell>
        </row>
        <row r="1102">
          <cell r="A1102">
            <v>41002</v>
          </cell>
          <cell r="FR1102">
            <v>15.696073529411764</v>
          </cell>
          <cell r="FS1102">
            <v>22.314663874962239</v>
          </cell>
          <cell r="FT1102">
            <v>20.116606119778133</v>
          </cell>
          <cell r="FU1102">
            <v>17.065595346429742</v>
          </cell>
          <cell r="FV1102">
            <v>23.167616893126525</v>
          </cell>
          <cell r="GG1102">
            <v>8.443331902794915</v>
          </cell>
          <cell r="GH1102">
            <v>13.982143405445317</v>
          </cell>
          <cell r="GI1102">
            <v>10.408007395026372</v>
          </cell>
          <cell r="GJ1102">
            <v>7.7337520878462023</v>
          </cell>
          <cell r="GK1102">
            <v>13.082262702206542</v>
          </cell>
        </row>
        <row r="1103">
          <cell r="A1103">
            <v>41003</v>
          </cell>
          <cell r="FR1103">
            <v>15.450980392156863</v>
          </cell>
          <cell r="FS1103">
            <v>22.314663874962239</v>
          </cell>
          <cell r="FT1103">
            <v>20.116606119778133</v>
          </cell>
          <cell r="FU1103">
            <v>17.065595346429742</v>
          </cell>
          <cell r="FV1103">
            <v>23.167616893126525</v>
          </cell>
          <cell r="GG1103">
            <v>8.3453221393702055</v>
          </cell>
          <cell r="GH1103">
            <v>13.982143405445317</v>
          </cell>
          <cell r="GI1103">
            <v>10.408007395026372</v>
          </cell>
          <cell r="GJ1103">
            <v>7.7337520878462023</v>
          </cell>
          <cell r="GK1103">
            <v>13.082262702206542</v>
          </cell>
        </row>
        <row r="1104">
          <cell r="A1104">
            <v>41004</v>
          </cell>
          <cell r="FR1104">
            <v>15.137254901960784</v>
          </cell>
          <cell r="FS1104">
            <v>22.314663874962239</v>
          </cell>
          <cell r="FT1104">
            <v>20.116606119778133</v>
          </cell>
          <cell r="FU1104">
            <v>17.065595346429742</v>
          </cell>
          <cell r="FV1104">
            <v>23.167616893126525</v>
          </cell>
          <cell r="GG1104">
            <v>8.322080360495681</v>
          </cell>
          <cell r="GH1104">
            <v>13.982143405445317</v>
          </cell>
          <cell r="GI1104">
            <v>10.408007395026372</v>
          </cell>
          <cell r="GJ1104">
            <v>7.7337520878462023</v>
          </cell>
          <cell r="GK1104">
            <v>13.082262702206542</v>
          </cell>
        </row>
        <row r="1105">
          <cell r="A1105">
            <v>41005</v>
          </cell>
          <cell r="FR1105">
            <v>15.137254901960784</v>
          </cell>
          <cell r="FS1105">
            <v>22.314663874962239</v>
          </cell>
          <cell r="FT1105">
            <v>20.116606119778133</v>
          </cell>
          <cell r="FU1105">
            <v>17.065595346429742</v>
          </cell>
          <cell r="FV1105">
            <v>23.167616893126525</v>
          </cell>
          <cell r="GG1105">
            <v>8.322080360495681</v>
          </cell>
          <cell r="GH1105">
            <v>13.982143405445317</v>
          </cell>
          <cell r="GI1105">
            <v>10.408007395026372</v>
          </cell>
          <cell r="GJ1105">
            <v>7.7337520878462023</v>
          </cell>
          <cell r="GK1105">
            <v>13.082262702206542</v>
          </cell>
        </row>
        <row r="1106">
          <cell r="A1106">
            <v>41008</v>
          </cell>
          <cell r="FR1106">
            <v>14.96078431372549</v>
          </cell>
          <cell r="FS1106">
            <v>22.314663874962239</v>
          </cell>
          <cell r="FT1106">
            <v>20.116606119778133</v>
          </cell>
          <cell r="FU1106">
            <v>17.065595346429742</v>
          </cell>
          <cell r="FV1106">
            <v>23.167616893126525</v>
          </cell>
          <cell r="GG1106">
            <v>8.322080360495681</v>
          </cell>
          <cell r="GH1106">
            <v>13.982143405445317</v>
          </cell>
          <cell r="GI1106">
            <v>10.408007395026372</v>
          </cell>
          <cell r="GJ1106">
            <v>7.7337520878462023</v>
          </cell>
          <cell r="GK1106">
            <v>13.082262702206542</v>
          </cell>
        </row>
        <row r="1107">
          <cell r="A1107">
            <v>41009</v>
          </cell>
          <cell r="FR1107">
            <v>14.53921568627451</v>
          </cell>
          <cell r="FS1107">
            <v>22.314663874962239</v>
          </cell>
          <cell r="FT1107">
            <v>20.116606119778133</v>
          </cell>
          <cell r="FU1107">
            <v>17.065595346429742</v>
          </cell>
          <cell r="FV1107">
            <v>23.167616893126525</v>
          </cell>
          <cell r="GG1107">
            <v>8.0004211147470627</v>
          </cell>
          <cell r="GH1107">
            <v>13.982143405445317</v>
          </cell>
          <cell r="GI1107">
            <v>10.408007395026372</v>
          </cell>
          <cell r="GJ1107">
            <v>7.7337520878462023</v>
          </cell>
          <cell r="GK1107">
            <v>13.082262702206542</v>
          </cell>
        </row>
        <row r="1108">
          <cell r="A1108">
            <v>41010</v>
          </cell>
          <cell r="FR1108">
            <v>14.607843137254902</v>
          </cell>
          <cell r="FS1108">
            <v>22.314663874962239</v>
          </cell>
          <cell r="FT1108">
            <v>20.116606119778133</v>
          </cell>
          <cell r="FU1108">
            <v>17.065595346429742</v>
          </cell>
          <cell r="FV1108">
            <v>23.167616893126525</v>
          </cell>
          <cell r="GG1108">
            <v>8.0023067432004726</v>
          </cell>
          <cell r="GH1108">
            <v>13.982143405445317</v>
          </cell>
          <cell r="GI1108">
            <v>10.408007395026372</v>
          </cell>
          <cell r="GJ1108">
            <v>7.7337520878462023</v>
          </cell>
          <cell r="GK1108">
            <v>13.082262702206542</v>
          </cell>
        </row>
        <row r="1109">
          <cell r="A1109">
            <v>41011</v>
          </cell>
          <cell r="FR1109">
            <v>14.833333333333334</v>
          </cell>
          <cell r="FS1109">
            <v>22.314663874962239</v>
          </cell>
          <cell r="FT1109">
            <v>20.116606119778133</v>
          </cell>
          <cell r="FU1109">
            <v>17.065595346429742</v>
          </cell>
          <cell r="FV1109">
            <v>23.167616893126525</v>
          </cell>
          <cell r="GG1109">
            <v>8.0123571696797402</v>
          </cell>
          <cell r="GH1109">
            <v>13.982143405445317</v>
          </cell>
          <cell r="GI1109">
            <v>10.408007395026372</v>
          </cell>
          <cell r="GJ1109">
            <v>7.7337520878462023</v>
          </cell>
          <cell r="GK1109">
            <v>13.082262702206542</v>
          </cell>
        </row>
        <row r="1110">
          <cell r="A1110">
            <v>41012</v>
          </cell>
          <cell r="FR1110">
            <v>14.705882352941176</v>
          </cell>
          <cell r="FS1110">
            <v>22.314663874962239</v>
          </cell>
          <cell r="FT1110">
            <v>20.116606119778133</v>
          </cell>
          <cell r="FU1110">
            <v>17.065595346429742</v>
          </cell>
          <cell r="FV1110">
            <v>23.167616893126525</v>
          </cell>
          <cell r="GG1110">
            <v>8.1097312375945485</v>
          </cell>
          <cell r="GH1110">
            <v>13.982143405445317</v>
          </cell>
          <cell r="GI1110">
            <v>10.408007395026372</v>
          </cell>
          <cell r="GJ1110">
            <v>7.7337520878462023</v>
          </cell>
          <cell r="GK1110">
            <v>13.082262702206542</v>
          </cell>
        </row>
        <row r="1111">
          <cell r="A1111">
            <v>41015</v>
          </cell>
          <cell r="FR1111">
            <v>14.754901960784315</v>
          </cell>
          <cell r="FS1111">
            <v>22.314663874962239</v>
          </cell>
          <cell r="FT1111">
            <v>20.116606119778133</v>
          </cell>
          <cell r="FU1111">
            <v>17.065595346429742</v>
          </cell>
          <cell r="FV1111">
            <v>23.167616893126525</v>
          </cell>
          <cell r="GG1111">
            <v>8.0550721527815021</v>
          </cell>
          <cell r="GH1111">
            <v>13.982143405445317</v>
          </cell>
          <cell r="GI1111">
            <v>10.408007395026372</v>
          </cell>
          <cell r="GJ1111">
            <v>7.7337520878462023</v>
          </cell>
          <cell r="GK1111">
            <v>13.082262702206542</v>
          </cell>
        </row>
        <row r="1112">
          <cell r="A1112">
            <v>41016</v>
          </cell>
          <cell r="FR1112">
            <v>15.176470588235293</v>
          </cell>
          <cell r="FS1112">
            <v>22.314663874962239</v>
          </cell>
          <cell r="FT1112">
            <v>20.116606119778133</v>
          </cell>
          <cell r="FU1112">
            <v>17.065595346429742</v>
          </cell>
          <cell r="FV1112">
            <v>23.167616893126525</v>
          </cell>
          <cell r="GG1112">
            <v>8.2561128694812513</v>
          </cell>
          <cell r="GH1112">
            <v>13.982143405445317</v>
          </cell>
          <cell r="GI1112">
            <v>10.408007395026372</v>
          </cell>
          <cell r="GJ1112">
            <v>7.7337520878462023</v>
          </cell>
          <cell r="GK1112">
            <v>13.082262702206542</v>
          </cell>
        </row>
        <row r="1113">
          <cell r="A1113">
            <v>41017</v>
          </cell>
          <cell r="FR1113">
            <v>15.30392156862745</v>
          </cell>
          <cell r="FS1113">
            <v>22.314663874962239</v>
          </cell>
          <cell r="FT1113">
            <v>20.116606119778133</v>
          </cell>
          <cell r="FU1113">
            <v>17.065595346429742</v>
          </cell>
          <cell r="FV1113">
            <v>23.167616893126525</v>
          </cell>
          <cell r="GG1113">
            <v>8.3107719542942959</v>
          </cell>
          <cell r="GH1113">
            <v>13.982143405445317</v>
          </cell>
          <cell r="GI1113">
            <v>10.408007395026372</v>
          </cell>
          <cell r="GJ1113">
            <v>7.7337520878462023</v>
          </cell>
          <cell r="GK1113">
            <v>13.082262702206542</v>
          </cell>
        </row>
        <row r="1114">
          <cell r="A1114">
            <v>41018</v>
          </cell>
          <cell r="FR1114">
            <v>15.242718446601941</v>
          </cell>
          <cell r="FS1114">
            <v>22.314663874962239</v>
          </cell>
          <cell r="FT1114">
            <v>20.116606119778133</v>
          </cell>
          <cell r="FU1114">
            <v>17.065595346429742</v>
          </cell>
          <cell r="FV1114">
            <v>23.167616893126525</v>
          </cell>
          <cell r="GG1114">
            <v>8.3068214533240941</v>
          </cell>
          <cell r="GH1114">
            <v>13.982143405445317</v>
          </cell>
          <cell r="GI1114">
            <v>10.408007395026372</v>
          </cell>
          <cell r="GJ1114">
            <v>7.7337520878462023</v>
          </cell>
          <cell r="GK1114">
            <v>13.082262702206542</v>
          </cell>
        </row>
        <row r="1115">
          <cell r="A1115">
            <v>41019</v>
          </cell>
          <cell r="FR1115">
            <v>15.456310679611651</v>
          </cell>
          <cell r="FS1115">
            <v>22.314663874962239</v>
          </cell>
          <cell r="FT1115">
            <v>20.116606119778133</v>
          </cell>
          <cell r="FU1115">
            <v>17.065595346429742</v>
          </cell>
          <cell r="FV1115">
            <v>23.167616893126525</v>
          </cell>
          <cell r="GG1115">
            <v>8.3730020792237561</v>
          </cell>
          <cell r="GH1115">
            <v>13.982143405445317</v>
          </cell>
          <cell r="GI1115">
            <v>10.408007395026372</v>
          </cell>
          <cell r="GJ1115">
            <v>7.7337520878462023</v>
          </cell>
          <cell r="GK1115">
            <v>13.082262702206542</v>
          </cell>
        </row>
        <row r="1116">
          <cell r="A1116">
            <v>41022</v>
          </cell>
          <cell r="FR1116">
            <v>15.126213592233009</v>
          </cell>
          <cell r="FS1116">
            <v>22.314663874962239</v>
          </cell>
          <cell r="FT1116">
            <v>20.116606119778133</v>
          </cell>
          <cell r="FU1116">
            <v>17.065595346429742</v>
          </cell>
          <cell r="FV1116">
            <v>23.167616893126525</v>
          </cell>
          <cell r="GG1116">
            <v>8.2000586447726196</v>
          </cell>
          <cell r="GH1116">
            <v>13.982143405445317</v>
          </cell>
          <cell r="GI1116">
            <v>10.408007395026372</v>
          </cell>
          <cell r="GJ1116">
            <v>7.7337520878462023</v>
          </cell>
          <cell r="GK1116">
            <v>13.082262702206542</v>
          </cell>
        </row>
        <row r="1117">
          <cell r="A1117">
            <v>41023</v>
          </cell>
          <cell r="FR1117">
            <v>15.582512621359221</v>
          </cell>
          <cell r="FS1117">
            <v>22.314663874962239</v>
          </cell>
          <cell r="FT1117">
            <v>20.116606119778133</v>
          </cell>
          <cell r="FU1117">
            <v>17.065595346429742</v>
          </cell>
          <cell r="FV1117">
            <v>23.167616893126525</v>
          </cell>
          <cell r="GG1117">
            <v>8.4079703577331131</v>
          </cell>
          <cell r="GH1117">
            <v>13.982143405445317</v>
          </cell>
          <cell r="GI1117">
            <v>10.408007395026372</v>
          </cell>
          <cell r="GJ1117">
            <v>7.7337520878462023</v>
          </cell>
          <cell r="GK1117">
            <v>13.082262702206542</v>
          </cell>
        </row>
        <row r="1118">
          <cell r="A1118">
            <v>41024</v>
          </cell>
          <cell r="FR1118">
            <v>15.8932</v>
          </cell>
          <cell r="FS1118">
            <v>22.314663874962239</v>
          </cell>
          <cell r="FT1118">
            <v>20.116606119778133</v>
          </cell>
          <cell r="FU1118">
            <v>17.065595346429742</v>
          </cell>
          <cell r="FV1118">
            <v>23.167616893126525</v>
          </cell>
          <cell r="GG1118">
            <v>8.5596897158394203</v>
          </cell>
          <cell r="GH1118">
            <v>13.982143405445317</v>
          </cell>
          <cell r="GI1118">
            <v>10.408007395026372</v>
          </cell>
          <cell r="GJ1118">
            <v>7.7337520878462023</v>
          </cell>
          <cell r="GK1118">
            <v>13.082262702206542</v>
          </cell>
        </row>
        <row r="1119">
          <cell r="A1119">
            <v>41025</v>
          </cell>
          <cell r="FR1119">
            <v>15.961153398058253</v>
          </cell>
          <cell r="FS1119">
            <v>22.314663874962239</v>
          </cell>
          <cell r="FT1119">
            <v>20.116606119778133</v>
          </cell>
          <cell r="FU1119">
            <v>17.065595346429742</v>
          </cell>
          <cell r="FV1119">
            <v>23.167616893126525</v>
          </cell>
          <cell r="GG1119">
            <v>8.6383590126352825</v>
          </cell>
          <cell r="GH1119">
            <v>13.982143405445317</v>
          </cell>
          <cell r="GI1119">
            <v>10.408007395026372</v>
          </cell>
          <cell r="GJ1119">
            <v>7.7337520878462023</v>
          </cell>
          <cell r="GK1119">
            <v>13.082262702206542</v>
          </cell>
        </row>
        <row r="1120">
          <cell r="A1120">
            <v>41026</v>
          </cell>
          <cell r="FR1120">
            <v>16.09707475728155</v>
          </cell>
          <cell r="FS1120">
            <v>22.314663874962239</v>
          </cell>
          <cell r="FT1120">
            <v>20.116606119778133</v>
          </cell>
          <cell r="FU1120">
            <v>17.065595346429742</v>
          </cell>
          <cell r="FV1120">
            <v>23.167616893126525</v>
          </cell>
          <cell r="GG1120">
            <v>8.6252439089406625</v>
          </cell>
          <cell r="GH1120">
            <v>13.982143405445317</v>
          </cell>
          <cell r="GI1120">
            <v>10.408007395026372</v>
          </cell>
          <cell r="GJ1120">
            <v>7.7337520878462023</v>
          </cell>
          <cell r="GK1120">
            <v>13.082262702206542</v>
          </cell>
        </row>
        <row r="1121">
          <cell r="A1121">
            <v>41029</v>
          </cell>
          <cell r="FR1121">
            <v>16.242714563106794</v>
          </cell>
          <cell r="FS1121">
            <v>22.314663874962239</v>
          </cell>
          <cell r="FT1121">
            <v>20.116606119778133</v>
          </cell>
          <cell r="FU1121">
            <v>17.065595346429742</v>
          </cell>
          <cell r="FV1121">
            <v>23.167616893126525</v>
          </cell>
          <cell r="GG1121">
            <v>8.6333635442768024</v>
          </cell>
          <cell r="GH1121">
            <v>13.982143405445317</v>
          </cell>
          <cell r="GI1121">
            <v>10.408007395026372</v>
          </cell>
          <cell r="GJ1121">
            <v>7.7337520878462023</v>
          </cell>
          <cell r="GK1121">
            <v>13.082262702206542</v>
          </cell>
        </row>
        <row r="1122">
          <cell r="A1122">
            <v>41030</v>
          </cell>
          <cell r="FR1122">
            <v>16.339793203883495</v>
          </cell>
          <cell r="FS1122">
            <v>22.314663874962239</v>
          </cell>
          <cell r="FT1122">
            <v>20.116606119778133</v>
          </cell>
          <cell r="FU1122">
            <v>17.065595346429742</v>
          </cell>
          <cell r="FV1122">
            <v>23.167616893126525</v>
          </cell>
          <cell r="GG1122">
            <v>8.6333635442768024</v>
          </cell>
          <cell r="GH1122">
            <v>13.982143405445317</v>
          </cell>
          <cell r="GI1122">
            <v>10.408007395026372</v>
          </cell>
          <cell r="GJ1122">
            <v>7.7337520878462023</v>
          </cell>
          <cell r="GK1122">
            <v>13.082262702206542</v>
          </cell>
        </row>
        <row r="1123">
          <cell r="A1123">
            <v>41031</v>
          </cell>
          <cell r="FR1123">
            <v>16.626213592233011</v>
          </cell>
          <cell r="FS1123">
            <v>22.314663874962239</v>
          </cell>
          <cell r="FT1123">
            <v>20.116606119778133</v>
          </cell>
          <cell r="FU1123">
            <v>17.065595346429742</v>
          </cell>
          <cell r="FV1123">
            <v>23.167616893126525</v>
          </cell>
          <cell r="GG1123">
            <v>8.9236898224662795</v>
          </cell>
          <cell r="GH1123">
            <v>13.982143405445317</v>
          </cell>
          <cell r="GI1123">
            <v>10.408007395026372</v>
          </cell>
          <cell r="GJ1123">
            <v>7.7337520878462023</v>
          </cell>
          <cell r="GK1123">
            <v>13.082262702206542</v>
          </cell>
        </row>
        <row r="1124">
          <cell r="A1124">
            <v>41032</v>
          </cell>
          <cell r="FR1124">
            <v>16.72815145631068</v>
          </cell>
          <cell r="FS1124">
            <v>22.314663874962239</v>
          </cell>
          <cell r="FT1124">
            <v>20.116606119778133</v>
          </cell>
          <cell r="FU1124">
            <v>17.065595346429742</v>
          </cell>
          <cell r="FV1124">
            <v>23.167616893126525</v>
          </cell>
          <cell r="GG1124">
            <v>9.0110998560537396</v>
          </cell>
          <cell r="GH1124">
            <v>13.982143405445317</v>
          </cell>
          <cell r="GI1124">
            <v>10.408007395026372</v>
          </cell>
          <cell r="GJ1124">
            <v>7.7337520878462023</v>
          </cell>
          <cell r="GK1124">
            <v>13.082262702206542</v>
          </cell>
        </row>
        <row r="1125">
          <cell r="A1125">
            <v>41033</v>
          </cell>
          <cell r="FR1125">
            <v>16.25241844660194</v>
          </cell>
          <cell r="FS1125">
            <v>22.314663874962239</v>
          </cell>
          <cell r="FT1125">
            <v>20.116606119778133</v>
          </cell>
          <cell r="FU1125">
            <v>17.065595346429742</v>
          </cell>
          <cell r="FV1125">
            <v>23.167616893126525</v>
          </cell>
          <cell r="GG1125">
            <v>8.8943461107853068</v>
          </cell>
          <cell r="GH1125">
            <v>13.982143405445317</v>
          </cell>
          <cell r="GI1125">
            <v>10.408007395026372</v>
          </cell>
          <cell r="GJ1125">
            <v>7.7337520878462023</v>
          </cell>
          <cell r="GK1125">
            <v>13.082262702206542</v>
          </cell>
        </row>
        <row r="1126">
          <cell r="A1126">
            <v>41036</v>
          </cell>
          <cell r="FR1126">
            <v>16.495136893203885</v>
          </cell>
          <cell r="FS1126">
            <v>22.314663874962239</v>
          </cell>
          <cell r="FT1126">
            <v>20.116606119778133</v>
          </cell>
          <cell r="FU1126">
            <v>17.065595346429742</v>
          </cell>
          <cell r="FV1126">
            <v>23.167616893126525</v>
          </cell>
          <cell r="GG1126">
            <v>8.9605240710134879</v>
          </cell>
          <cell r="GH1126">
            <v>13.982143405445317</v>
          </cell>
          <cell r="GI1126">
            <v>10.408007395026372</v>
          </cell>
          <cell r="GJ1126">
            <v>7.7337520878462023</v>
          </cell>
          <cell r="GK1126">
            <v>13.082262702206542</v>
          </cell>
        </row>
        <row r="1127">
          <cell r="A1127">
            <v>41037</v>
          </cell>
          <cell r="FR1127">
            <v>16.757276699029127</v>
          </cell>
          <cell r="FS1127">
            <v>22.314663874962239</v>
          </cell>
          <cell r="FT1127">
            <v>20.116606119778133</v>
          </cell>
          <cell r="FU1127">
            <v>17.065595346429742</v>
          </cell>
          <cell r="FV1127">
            <v>23.167616893126525</v>
          </cell>
          <cell r="GG1127">
            <v>9.0086021218745014</v>
          </cell>
          <cell r="GH1127">
            <v>13.982143405445317</v>
          </cell>
          <cell r="GI1127">
            <v>10.408007395026372</v>
          </cell>
          <cell r="GJ1127">
            <v>7.7337520878462023</v>
          </cell>
          <cell r="GK1127">
            <v>13.082262702206542</v>
          </cell>
        </row>
        <row r="1128">
          <cell r="A1128">
            <v>41038</v>
          </cell>
          <cell r="FR1128">
            <v>16.466011650485438</v>
          </cell>
          <cell r="FS1128">
            <v>22.314663874962239</v>
          </cell>
          <cell r="FT1128">
            <v>20.116606119778133</v>
          </cell>
          <cell r="FU1128">
            <v>17.065595346429742</v>
          </cell>
          <cell r="FV1128">
            <v>23.167616893126525</v>
          </cell>
          <cell r="GG1128">
            <v>9.0086021218745014</v>
          </cell>
          <cell r="GH1128">
            <v>13.982143405445317</v>
          </cell>
          <cell r="GI1128">
            <v>10.408007395026372</v>
          </cell>
          <cell r="GJ1128">
            <v>7.7337520878462023</v>
          </cell>
          <cell r="GK1128">
            <v>13.082262702206542</v>
          </cell>
        </row>
        <row r="1129">
          <cell r="A1129">
            <v>41039</v>
          </cell>
          <cell r="FR1129">
            <v>16.55338640776699</v>
          </cell>
          <cell r="FS1129">
            <v>22.314663874962239</v>
          </cell>
          <cell r="FT1129">
            <v>20.116606119778133</v>
          </cell>
          <cell r="FU1129">
            <v>17.065595346429742</v>
          </cell>
          <cell r="FV1129">
            <v>23.167616893126525</v>
          </cell>
          <cell r="GG1129">
            <v>9.0560484085941262</v>
          </cell>
          <cell r="GH1129">
            <v>13.982143405445317</v>
          </cell>
          <cell r="GI1129">
            <v>10.408007395026372</v>
          </cell>
          <cell r="GJ1129">
            <v>7.7337520878462023</v>
          </cell>
          <cell r="GK1129">
            <v>13.082262702206542</v>
          </cell>
        </row>
        <row r="1130">
          <cell r="A1130">
            <v>41040</v>
          </cell>
          <cell r="FR1130">
            <v>16.543683495145629</v>
          </cell>
          <cell r="FS1130">
            <v>22.314663874962239</v>
          </cell>
          <cell r="FT1130">
            <v>20.116606119778133</v>
          </cell>
          <cell r="FU1130">
            <v>17.065595346429742</v>
          </cell>
          <cell r="FV1130">
            <v>23.167616893126525</v>
          </cell>
          <cell r="GG1130">
            <v>9.0354480993762341</v>
          </cell>
          <cell r="GH1130">
            <v>13.982143405445317</v>
          </cell>
          <cell r="GI1130">
            <v>10.408007395026372</v>
          </cell>
          <cell r="GJ1130">
            <v>7.7337520878462023</v>
          </cell>
          <cell r="GK1130">
            <v>13.082262702206542</v>
          </cell>
        </row>
        <row r="1131">
          <cell r="A1131">
            <v>41043</v>
          </cell>
          <cell r="FR1131">
            <v>16.456307766990289</v>
          </cell>
          <cell r="FS1131">
            <v>22.314663874962239</v>
          </cell>
          <cell r="FT1131">
            <v>20.116606119778133</v>
          </cell>
          <cell r="FU1131">
            <v>17.065595346429742</v>
          </cell>
          <cell r="FV1131">
            <v>23.167616893126525</v>
          </cell>
          <cell r="GG1131">
            <v>9.0560484085941262</v>
          </cell>
          <cell r="GH1131">
            <v>13.982143405445317</v>
          </cell>
          <cell r="GI1131">
            <v>10.408007395026372</v>
          </cell>
          <cell r="GJ1131">
            <v>7.7337520878462023</v>
          </cell>
          <cell r="GK1131">
            <v>13.082262702206542</v>
          </cell>
        </row>
        <row r="1132">
          <cell r="A1132">
            <v>41044</v>
          </cell>
          <cell r="FR1132">
            <v>16.407761165048544</v>
          </cell>
          <cell r="FS1132">
            <v>22.314663874962239</v>
          </cell>
          <cell r="FT1132">
            <v>20.116606119778133</v>
          </cell>
          <cell r="FU1132">
            <v>17.065595346429742</v>
          </cell>
          <cell r="FV1132">
            <v>23.167616893126525</v>
          </cell>
          <cell r="GG1132">
            <v>9.1159913632243974</v>
          </cell>
          <cell r="GH1132">
            <v>13.982143405445317</v>
          </cell>
          <cell r="GI1132">
            <v>10.408007395026372</v>
          </cell>
          <cell r="GJ1132">
            <v>7.7337520878462023</v>
          </cell>
          <cell r="GK1132">
            <v>13.082262702206542</v>
          </cell>
        </row>
        <row r="1133">
          <cell r="A1133">
            <v>41045</v>
          </cell>
          <cell r="FR1133">
            <v>16.087371844660193</v>
          </cell>
          <cell r="FS1133">
            <v>22.314663874962239</v>
          </cell>
          <cell r="FT1133">
            <v>20.116606119778133</v>
          </cell>
          <cell r="FU1133">
            <v>17.065595346429742</v>
          </cell>
          <cell r="FV1133">
            <v>23.167616893126525</v>
          </cell>
          <cell r="GG1133">
            <v>8.9511622327664355</v>
          </cell>
          <cell r="GH1133">
            <v>13.982143405445317</v>
          </cell>
          <cell r="GI1133">
            <v>10.408007395026372</v>
          </cell>
          <cell r="GJ1133">
            <v>7.7337520878462023</v>
          </cell>
          <cell r="GK1133">
            <v>13.082262702206542</v>
          </cell>
        </row>
        <row r="1134">
          <cell r="A1134">
            <v>41046</v>
          </cell>
          <cell r="FR1134">
            <v>15.714285714285714</v>
          </cell>
          <cell r="FS1134">
            <v>22.314663874962239</v>
          </cell>
          <cell r="FT1134">
            <v>20.116606119778133</v>
          </cell>
          <cell r="FU1134">
            <v>17.065595346429742</v>
          </cell>
          <cell r="FV1134">
            <v>23.167616893126525</v>
          </cell>
          <cell r="GG1134">
            <v>8.6386162323617253</v>
          </cell>
          <cell r="GH1134">
            <v>13.982143405445317</v>
          </cell>
          <cell r="GI1134">
            <v>10.408007395026372</v>
          </cell>
          <cell r="GJ1134">
            <v>7.7337520878462023</v>
          </cell>
          <cell r="GK1134">
            <v>13.082262702206542</v>
          </cell>
        </row>
        <row r="1135">
          <cell r="A1135">
            <v>41047</v>
          </cell>
          <cell r="FR1135">
            <v>15.676182857142857</v>
          </cell>
          <cell r="FS1135">
            <v>22.314663874962239</v>
          </cell>
          <cell r="FT1135">
            <v>20.116606119778133</v>
          </cell>
          <cell r="FU1135">
            <v>17.065595346429742</v>
          </cell>
          <cell r="FV1135">
            <v>23.167616893126525</v>
          </cell>
          <cell r="GG1135">
            <v>8.633190853846946</v>
          </cell>
          <cell r="GH1135">
            <v>13.982143405445317</v>
          </cell>
          <cell r="GI1135">
            <v>10.408007395026372</v>
          </cell>
          <cell r="GJ1135">
            <v>7.7337520878462023</v>
          </cell>
          <cell r="GK1135">
            <v>13.082262702206542</v>
          </cell>
        </row>
        <row r="1136">
          <cell r="A1136">
            <v>41050</v>
          </cell>
          <cell r="FR1136">
            <v>15.952380952380953</v>
          </cell>
          <cell r="FS1136">
            <v>22.314663874962239</v>
          </cell>
          <cell r="FT1136">
            <v>20.116606119778133</v>
          </cell>
          <cell r="FU1136">
            <v>17.065595346429742</v>
          </cell>
          <cell r="FV1136">
            <v>23.167616893126525</v>
          </cell>
          <cell r="GG1136">
            <v>8.6144891337933878</v>
          </cell>
          <cell r="GH1136">
            <v>13.982143405445317</v>
          </cell>
          <cell r="GI1136">
            <v>10.408007395026372</v>
          </cell>
          <cell r="GJ1136">
            <v>7.7337520878462023</v>
          </cell>
          <cell r="GK1136">
            <v>13.082262702206542</v>
          </cell>
        </row>
        <row r="1137">
          <cell r="A1137">
            <v>41051</v>
          </cell>
          <cell r="FR1137">
            <v>15.761893333333331</v>
          </cell>
          <cell r="FS1137">
            <v>22.314663874962239</v>
          </cell>
          <cell r="FT1137">
            <v>20.116606119778133</v>
          </cell>
          <cell r="FU1137">
            <v>17.065595346429742</v>
          </cell>
          <cell r="FV1137">
            <v>23.167616893126525</v>
          </cell>
          <cell r="GG1137">
            <v>8.6856602121742696</v>
          </cell>
          <cell r="GH1137">
            <v>13.982143405445317</v>
          </cell>
          <cell r="GI1137">
            <v>10.408007395026372</v>
          </cell>
          <cell r="GJ1137">
            <v>7.7337520878462023</v>
          </cell>
          <cell r="GK1137">
            <v>13.082262702206542</v>
          </cell>
        </row>
        <row r="1138">
          <cell r="A1138">
            <v>41052</v>
          </cell>
          <cell r="FR1138">
            <v>15.752375238095237</v>
          </cell>
          <cell r="FS1138">
            <v>22.314663874962239</v>
          </cell>
          <cell r="FT1138">
            <v>20.116606119778133</v>
          </cell>
          <cell r="FU1138">
            <v>17.065595346429742</v>
          </cell>
          <cell r="FV1138">
            <v>23.167616893126525</v>
          </cell>
          <cell r="GG1138">
            <v>8.6856602121742696</v>
          </cell>
          <cell r="GH1138">
            <v>13.982143405445317</v>
          </cell>
          <cell r="GI1138">
            <v>10.408007395026372</v>
          </cell>
          <cell r="GJ1138">
            <v>7.7337520878462023</v>
          </cell>
          <cell r="GK1138">
            <v>13.082262702206542</v>
          </cell>
        </row>
        <row r="1139">
          <cell r="A1139">
            <v>41053</v>
          </cell>
          <cell r="FR1139">
            <v>15.638094285714285</v>
          </cell>
          <cell r="FS1139">
            <v>22.314663874962239</v>
          </cell>
          <cell r="FT1139">
            <v>20.116606119778133</v>
          </cell>
          <cell r="FU1139">
            <v>17.065595346429742</v>
          </cell>
          <cell r="FV1139">
            <v>23.167616893126525</v>
          </cell>
          <cell r="GG1139">
            <v>8.7260685961479023</v>
          </cell>
          <cell r="GH1139">
            <v>13.982143405445317</v>
          </cell>
          <cell r="GI1139">
            <v>10.408007395026372</v>
          </cell>
          <cell r="GJ1139">
            <v>7.7337520878462023</v>
          </cell>
          <cell r="GK1139">
            <v>13.082262702206542</v>
          </cell>
        </row>
        <row r="1140">
          <cell r="A1140">
            <v>41054</v>
          </cell>
          <cell r="FR1140">
            <v>15.733323809523808</v>
          </cell>
          <cell r="FS1140">
            <v>22.314663874962239</v>
          </cell>
          <cell r="FT1140">
            <v>20.116606119778133</v>
          </cell>
          <cell r="FU1140">
            <v>17.065595346429742</v>
          </cell>
          <cell r="FV1140">
            <v>23.167616893126525</v>
          </cell>
          <cell r="GG1140">
            <v>8.7441574827479656</v>
          </cell>
          <cell r="GH1140">
            <v>13.982143405445317</v>
          </cell>
          <cell r="GI1140">
            <v>10.408007395026372</v>
          </cell>
          <cell r="GJ1140">
            <v>7.7337520878462023</v>
          </cell>
          <cell r="GK1140">
            <v>13.082262702206542</v>
          </cell>
        </row>
        <row r="1141">
          <cell r="A1141">
            <v>41057</v>
          </cell>
          <cell r="FR1141">
            <v>15.733323809523808</v>
          </cell>
          <cell r="FS1141">
            <v>22.314663874962239</v>
          </cell>
          <cell r="FT1141">
            <v>20.116606119778133</v>
          </cell>
          <cell r="FU1141">
            <v>17.065595346429742</v>
          </cell>
          <cell r="FV1141">
            <v>23.167616893126525</v>
          </cell>
          <cell r="GG1141">
            <v>8.7441574827479656</v>
          </cell>
          <cell r="GH1141">
            <v>13.982143405445317</v>
          </cell>
          <cell r="GI1141">
            <v>10.408007395026372</v>
          </cell>
          <cell r="GJ1141">
            <v>7.7337520878462023</v>
          </cell>
          <cell r="GK1141">
            <v>13.082262702206542</v>
          </cell>
        </row>
        <row r="1142">
          <cell r="A1142">
            <v>41058</v>
          </cell>
          <cell r="FR1142">
            <v>15.933329523809522</v>
          </cell>
          <cell r="FS1142">
            <v>22.314663874962239</v>
          </cell>
          <cell r="FT1142">
            <v>20.116606119778133</v>
          </cell>
          <cell r="FU1142">
            <v>17.065595346429742</v>
          </cell>
          <cell r="FV1142">
            <v>23.167616893126525</v>
          </cell>
          <cell r="GG1142">
            <v>8.8587496137604287</v>
          </cell>
          <cell r="GH1142">
            <v>13.982143405445317</v>
          </cell>
          <cell r="GI1142">
            <v>10.408007395026372</v>
          </cell>
          <cell r="GJ1142">
            <v>7.7337520878462023</v>
          </cell>
          <cell r="GK1142">
            <v>13.082262702206542</v>
          </cell>
        </row>
        <row r="1143">
          <cell r="A1143">
            <v>41059</v>
          </cell>
          <cell r="FR1143">
            <v>15.476190476190476</v>
          </cell>
          <cell r="FS1143">
            <v>22.314663874962239</v>
          </cell>
          <cell r="FT1143">
            <v>20.116606119778133</v>
          </cell>
          <cell r="FU1143">
            <v>17.065595346429742</v>
          </cell>
          <cell r="FV1143">
            <v>23.167616893126525</v>
          </cell>
          <cell r="GG1143">
            <v>8.7007364301163861</v>
          </cell>
          <cell r="GH1143">
            <v>13.982143405445317</v>
          </cell>
          <cell r="GI1143">
            <v>10.408007395026372</v>
          </cell>
          <cell r="GJ1143">
            <v>7.7337520878462023</v>
          </cell>
          <cell r="GK1143">
            <v>13.082262702206542</v>
          </cell>
        </row>
        <row r="1144">
          <cell r="A1144">
            <v>41060</v>
          </cell>
          <cell r="FR1144">
            <v>15.238095238095237</v>
          </cell>
          <cell r="FS1144">
            <v>22.314663874962239</v>
          </cell>
          <cell r="FT1144">
            <v>20.116606119778133</v>
          </cell>
          <cell r="FU1144">
            <v>17.065595346429742</v>
          </cell>
          <cell r="FV1144">
            <v>23.167616893126525</v>
          </cell>
          <cell r="GG1144">
            <v>8.6102713976722622</v>
          </cell>
          <cell r="GH1144">
            <v>13.982143405445317</v>
          </cell>
          <cell r="GI1144">
            <v>10.408007395026372</v>
          </cell>
          <cell r="GJ1144">
            <v>7.7337520878462023</v>
          </cell>
          <cell r="GK1144">
            <v>13.082262702206542</v>
          </cell>
        </row>
        <row r="1145">
          <cell r="A1145">
            <v>41061</v>
          </cell>
          <cell r="FR1145">
            <v>15.104761904761904</v>
          </cell>
          <cell r="FS1145">
            <v>22.314663874962239</v>
          </cell>
          <cell r="FT1145">
            <v>20.116606119778133</v>
          </cell>
          <cell r="FU1145">
            <v>17.065595346429742</v>
          </cell>
          <cell r="FV1145">
            <v>23.167616893126525</v>
          </cell>
          <cell r="GG1145">
            <v>8.5113605932639818</v>
          </cell>
          <cell r="GH1145">
            <v>13.982143405445317</v>
          </cell>
          <cell r="GI1145">
            <v>10.408007395026372</v>
          </cell>
          <cell r="GJ1145">
            <v>7.7337520878462023</v>
          </cell>
          <cell r="GK1145">
            <v>13.082262702206542</v>
          </cell>
        </row>
        <row r="1146">
          <cell r="A1146">
            <v>41064</v>
          </cell>
          <cell r="FR1146">
            <v>15.076190476190476</v>
          </cell>
          <cell r="FS1146">
            <v>22.314663874962239</v>
          </cell>
          <cell r="FT1146">
            <v>20.116606119778133</v>
          </cell>
          <cell r="FU1146">
            <v>17.065595346429742</v>
          </cell>
          <cell r="FV1146">
            <v>23.167616893126525</v>
          </cell>
          <cell r="GG1146">
            <v>8.3816922443094022</v>
          </cell>
          <cell r="GH1146">
            <v>13.982143405445317</v>
          </cell>
          <cell r="GI1146">
            <v>10.408007395026372</v>
          </cell>
          <cell r="GJ1146">
            <v>7.7337520878462023</v>
          </cell>
          <cell r="GK1146">
            <v>13.082262702206542</v>
          </cell>
        </row>
        <row r="1147">
          <cell r="A1147">
            <v>41065</v>
          </cell>
          <cell r="FR1147">
            <v>15.161904761904761</v>
          </cell>
          <cell r="FS1147">
            <v>22.314663874962239</v>
          </cell>
          <cell r="FT1147">
            <v>20.116606119778133</v>
          </cell>
          <cell r="FU1147">
            <v>17.065595346429742</v>
          </cell>
          <cell r="FV1147">
            <v>23.167616893126525</v>
          </cell>
          <cell r="GG1147">
            <v>8.4727649603460709</v>
          </cell>
          <cell r="GH1147">
            <v>13.982143405445317</v>
          </cell>
          <cell r="GI1147">
            <v>10.408007395026372</v>
          </cell>
          <cell r="GJ1147">
            <v>7.7337520878462023</v>
          </cell>
          <cell r="GK1147">
            <v>13.082262702206542</v>
          </cell>
        </row>
        <row r="1148">
          <cell r="A1148">
            <v>41066</v>
          </cell>
          <cell r="FR1148">
            <v>15.276184761904762</v>
          </cell>
          <cell r="FS1148">
            <v>22.314663874962239</v>
          </cell>
          <cell r="FT1148">
            <v>20.116606119778133</v>
          </cell>
          <cell r="FU1148">
            <v>17.065595346429742</v>
          </cell>
          <cell r="FV1148">
            <v>23.167616893126525</v>
          </cell>
          <cell r="GG1148">
            <v>8.5035225048923682</v>
          </cell>
          <cell r="GH1148">
            <v>13.982143405445317</v>
          </cell>
          <cell r="GI1148">
            <v>10.408007395026372</v>
          </cell>
          <cell r="GJ1148">
            <v>7.7337520878462023</v>
          </cell>
          <cell r="GK1148">
            <v>13.082262702206542</v>
          </cell>
        </row>
        <row r="1149">
          <cell r="A1149">
            <v>41067</v>
          </cell>
          <cell r="FR1149">
            <v>15.571419999999998</v>
          </cell>
          <cell r="FS1149">
            <v>22.314663874962239</v>
          </cell>
          <cell r="FT1149">
            <v>20.116606119778133</v>
          </cell>
          <cell r="FU1149">
            <v>17.065595346429742</v>
          </cell>
          <cell r="FV1149">
            <v>23.167616893126525</v>
          </cell>
          <cell r="GG1149">
            <v>8.588557008960759</v>
          </cell>
          <cell r="GH1149">
            <v>13.982143405445317</v>
          </cell>
          <cell r="GI1149">
            <v>10.408007395026372</v>
          </cell>
          <cell r="GJ1149">
            <v>7.7337520878462023</v>
          </cell>
          <cell r="GK1149">
            <v>13.082262702206542</v>
          </cell>
        </row>
        <row r="1150">
          <cell r="A1150">
            <v>41068</v>
          </cell>
          <cell r="FR1150">
            <v>15.723804761904761</v>
          </cell>
          <cell r="FS1150">
            <v>22.314663874962239</v>
          </cell>
          <cell r="FT1150">
            <v>20.116606119778133</v>
          </cell>
          <cell r="FU1150">
            <v>17.065595346429742</v>
          </cell>
          <cell r="FV1150">
            <v>23.167616893126525</v>
          </cell>
          <cell r="GG1150">
            <v>8.7592388505510357</v>
          </cell>
          <cell r="GH1150">
            <v>13.982143405445317</v>
          </cell>
          <cell r="GI1150">
            <v>10.408007395026372</v>
          </cell>
          <cell r="GJ1150">
            <v>7.7337520878462023</v>
          </cell>
          <cell r="GK1150">
            <v>13.082262702206542</v>
          </cell>
        </row>
        <row r="1151">
          <cell r="A1151">
            <v>41071</v>
          </cell>
          <cell r="FR1151">
            <v>15.41903619047619</v>
          </cell>
          <cell r="FS1151">
            <v>22.314663874962239</v>
          </cell>
          <cell r="FT1151">
            <v>20.116606119778133</v>
          </cell>
          <cell r="FU1151">
            <v>17.065595346429742</v>
          </cell>
          <cell r="FV1151">
            <v>23.167616893126525</v>
          </cell>
          <cell r="GG1151">
            <v>8.689880523225872</v>
          </cell>
          <cell r="GH1151">
            <v>13.982143405445317</v>
          </cell>
          <cell r="GI1151">
            <v>10.408007395026372</v>
          </cell>
          <cell r="GJ1151">
            <v>7.7337520878462023</v>
          </cell>
          <cell r="GK1151">
            <v>13.082262702206542</v>
          </cell>
        </row>
        <row r="1152">
          <cell r="A1152">
            <v>41072</v>
          </cell>
          <cell r="FR1152">
            <v>15.666663809523808</v>
          </cell>
          <cell r="FS1152">
            <v>22.314663874962239</v>
          </cell>
          <cell r="FT1152">
            <v>20.116606119778133</v>
          </cell>
          <cell r="FU1152">
            <v>17.065595346429742</v>
          </cell>
          <cell r="FV1152">
            <v>23.167616893126525</v>
          </cell>
          <cell r="GG1152">
            <v>8.6585152950870334</v>
          </cell>
          <cell r="GH1152">
            <v>13.982143405445317</v>
          </cell>
          <cell r="GI1152">
            <v>10.408007395026372</v>
          </cell>
          <cell r="GJ1152">
            <v>7.7337520878462023</v>
          </cell>
          <cell r="GK1152">
            <v>13.082262702206542</v>
          </cell>
        </row>
        <row r="1153">
          <cell r="A1153">
            <v>41073</v>
          </cell>
          <cell r="FR1153">
            <v>15.561901904761905</v>
          </cell>
          <cell r="FS1153">
            <v>22.314663874962239</v>
          </cell>
          <cell r="FT1153">
            <v>20.116606119778133</v>
          </cell>
          <cell r="FU1153">
            <v>17.065595346429742</v>
          </cell>
          <cell r="FV1153">
            <v>23.167616893126525</v>
          </cell>
          <cell r="GG1153">
            <v>8.6808373673910797</v>
          </cell>
          <cell r="GH1153">
            <v>13.982143405445317</v>
          </cell>
          <cell r="GI1153">
            <v>10.408007395026372</v>
          </cell>
          <cell r="GJ1153">
            <v>7.7337520878462023</v>
          </cell>
          <cell r="GK1153">
            <v>13.082262702206542</v>
          </cell>
        </row>
        <row r="1154">
          <cell r="A1154">
            <v>41074</v>
          </cell>
          <cell r="FR1154">
            <v>15.499993396226413</v>
          </cell>
          <cell r="FS1154">
            <v>22.314663874962239</v>
          </cell>
          <cell r="FT1154">
            <v>20.116606119778133</v>
          </cell>
          <cell r="FU1154">
            <v>17.065595346429742</v>
          </cell>
          <cell r="FV1154">
            <v>23.167616893126525</v>
          </cell>
          <cell r="GG1154">
            <v>9.1627137071566409</v>
          </cell>
          <cell r="GH1154">
            <v>13.982143405445317</v>
          </cell>
          <cell r="GI1154">
            <v>10.408007395026372</v>
          </cell>
          <cell r="GJ1154">
            <v>7.7337520878462023</v>
          </cell>
          <cell r="GK1154">
            <v>13.082262702206542</v>
          </cell>
        </row>
        <row r="1155">
          <cell r="A1155">
            <v>41075</v>
          </cell>
          <cell r="FR1155">
            <v>15.575466981132074</v>
          </cell>
          <cell r="FS1155">
            <v>22.314663874962239</v>
          </cell>
          <cell r="FT1155">
            <v>20.116606119778133</v>
          </cell>
          <cell r="FU1155">
            <v>17.065595346429742</v>
          </cell>
          <cell r="FV1155">
            <v>23.167616893126525</v>
          </cell>
          <cell r="GG1155">
            <v>9.1461607458345782</v>
          </cell>
          <cell r="GH1155">
            <v>13.982143405445317</v>
          </cell>
          <cell r="GI1155">
            <v>10.408007395026372</v>
          </cell>
          <cell r="GJ1155">
            <v>7.7337520878462023</v>
          </cell>
          <cell r="GK1155">
            <v>13.082262702206542</v>
          </cell>
        </row>
        <row r="1156">
          <cell r="A1156">
            <v>41078</v>
          </cell>
          <cell r="FR1156">
            <v>15.556595283018867</v>
          </cell>
          <cell r="FS1156">
            <v>22.314663874962239</v>
          </cell>
          <cell r="FT1156">
            <v>20.116606119778133</v>
          </cell>
          <cell r="FU1156">
            <v>17.065595346429742</v>
          </cell>
          <cell r="FV1156">
            <v>23.167616893126525</v>
          </cell>
          <cell r="GG1156">
            <v>9.1493463075208616</v>
          </cell>
          <cell r="GH1156">
            <v>13.982143405445317</v>
          </cell>
          <cell r="GI1156">
            <v>10.408007395026372</v>
          </cell>
          <cell r="GJ1156">
            <v>7.7337520878462023</v>
          </cell>
          <cell r="GK1156">
            <v>13.082262702206542</v>
          </cell>
        </row>
        <row r="1157">
          <cell r="A1157">
            <v>41079</v>
          </cell>
          <cell r="FR1157">
            <v>15.754714150943395</v>
          </cell>
          <cell r="FS1157">
            <v>22.314663874962239</v>
          </cell>
          <cell r="FT1157">
            <v>20.116606119778133</v>
          </cell>
          <cell r="FU1157">
            <v>17.065595346429742</v>
          </cell>
          <cell r="FV1157">
            <v>23.167616893126525</v>
          </cell>
          <cell r="GG1157">
            <v>9.2582098882878956</v>
          </cell>
          <cell r="GH1157">
            <v>13.982143405445317</v>
          </cell>
          <cell r="GI1157">
            <v>10.408007395026372</v>
          </cell>
          <cell r="GJ1157">
            <v>7.7337520878462023</v>
          </cell>
          <cell r="GK1157">
            <v>13.082262702206542</v>
          </cell>
        </row>
        <row r="1158">
          <cell r="A1158">
            <v>41080</v>
          </cell>
          <cell r="FR1158">
            <v>15.754714150943395</v>
          </cell>
          <cell r="FS1158">
            <v>22.314663874962239</v>
          </cell>
          <cell r="FT1158">
            <v>20.116606119778133</v>
          </cell>
          <cell r="FU1158">
            <v>17.065595346429742</v>
          </cell>
          <cell r="FV1158">
            <v>23.167616893126525</v>
          </cell>
          <cell r="GG1158">
            <v>9.2231931722432119</v>
          </cell>
          <cell r="GH1158">
            <v>13.982143405445317</v>
          </cell>
          <cell r="GI1158">
            <v>10.408007395026372</v>
          </cell>
          <cell r="GJ1158">
            <v>7.7337520878462023</v>
          </cell>
          <cell r="GK1158">
            <v>13.082262702206542</v>
          </cell>
        </row>
        <row r="1159">
          <cell r="A1159">
            <v>41081</v>
          </cell>
          <cell r="FR1159">
            <v>15.575466981132074</v>
          </cell>
          <cell r="FS1159">
            <v>22.314663874962239</v>
          </cell>
          <cell r="FT1159">
            <v>20.116606119778133</v>
          </cell>
          <cell r="FU1159">
            <v>17.065595346429742</v>
          </cell>
          <cell r="FV1159">
            <v>23.167616893126525</v>
          </cell>
          <cell r="GG1159">
            <v>9.2251012475877232</v>
          </cell>
          <cell r="GH1159">
            <v>13.982143405445317</v>
          </cell>
          <cell r="GI1159">
            <v>10.408007395026372</v>
          </cell>
          <cell r="GJ1159">
            <v>7.7337520878462023</v>
          </cell>
          <cell r="GK1159">
            <v>13.082262702206542</v>
          </cell>
        </row>
        <row r="1160">
          <cell r="A1160">
            <v>41082</v>
          </cell>
          <cell r="FR1160">
            <v>15.584896226415093</v>
          </cell>
          <cell r="FS1160">
            <v>22.314663874962239</v>
          </cell>
          <cell r="FT1160">
            <v>20.116606119778133</v>
          </cell>
          <cell r="FU1160">
            <v>17.065595346429742</v>
          </cell>
          <cell r="FV1160">
            <v>23.167616893126525</v>
          </cell>
          <cell r="GG1160">
            <v>9.290674349705089</v>
          </cell>
          <cell r="GH1160">
            <v>13.982143405445317</v>
          </cell>
          <cell r="GI1160">
            <v>10.408007395026372</v>
          </cell>
          <cell r="GJ1160">
            <v>7.7337520878462023</v>
          </cell>
          <cell r="GK1160">
            <v>13.082262702206542</v>
          </cell>
        </row>
        <row r="1161">
          <cell r="A1161">
            <v>41085</v>
          </cell>
          <cell r="FR1161">
            <v>15.301873584905659</v>
          </cell>
          <cell r="FS1161">
            <v>22.314663874962239</v>
          </cell>
          <cell r="FT1161">
            <v>20.116606119778133</v>
          </cell>
          <cell r="FU1161">
            <v>17.065595346429742</v>
          </cell>
          <cell r="FV1161">
            <v>23.167616893126525</v>
          </cell>
          <cell r="GG1161">
            <v>9.1321546030279137</v>
          </cell>
          <cell r="GH1161">
            <v>13.982143405445317</v>
          </cell>
          <cell r="GI1161">
            <v>10.408007395026372</v>
          </cell>
          <cell r="GJ1161">
            <v>7.7337520878462023</v>
          </cell>
          <cell r="GK1161">
            <v>13.082262702206542</v>
          </cell>
        </row>
        <row r="1162">
          <cell r="A1162">
            <v>41086</v>
          </cell>
          <cell r="FR1162">
            <v>15.330188679245282</v>
          </cell>
          <cell r="FS1162">
            <v>22.314663874962239</v>
          </cell>
          <cell r="FT1162">
            <v>20.116606119778133</v>
          </cell>
          <cell r="FU1162">
            <v>17.065595346429742</v>
          </cell>
          <cell r="FV1162">
            <v>23.167616893126525</v>
          </cell>
          <cell r="GG1162">
            <v>9.1124187980756162</v>
          </cell>
          <cell r="GH1162">
            <v>13.982143405445317</v>
          </cell>
          <cell r="GI1162">
            <v>10.408007395026372</v>
          </cell>
          <cell r="GJ1162">
            <v>7.7337520878462023</v>
          </cell>
          <cell r="GK1162">
            <v>13.082262702206542</v>
          </cell>
        </row>
        <row r="1163">
          <cell r="A1163">
            <v>41087</v>
          </cell>
          <cell r="FR1163">
            <v>15.566037735849056</v>
          </cell>
          <cell r="FS1163">
            <v>22.314663874962239</v>
          </cell>
          <cell r="FT1163">
            <v>20.116606119778133</v>
          </cell>
          <cell r="FU1163">
            <v>17.065595346429742</v>
          </cell>
          <cell r="FV1163">
            <v>23.167616893126525</v>
          </cell>
          <cell r="GG1163">
            <v>9.1920007610556915</v>
          </cell>
          <cell r="GH1163">
            <v>13.982143405445317</v>
          </cell>
          <cell r="GI1163">
            <v>10.408007395026372</v>
          </cell>
          <cell r="GJ1163">
            <v>7.7337520878462023</v>
          </cell>
          <cell r="GK1163">
            <v>13.082262702206542</v>
          </cell>
        </row>
        <row r="1164">
          <cell r="A1164">
            <v>41088</v>
          </cell>
          <cell r="FR1164">
            <v>15.481121698113206</v>
          </cell>
          <cell r="FS1164">
            <v>22.314663874962239</v>
          </cell>
          <cell r="FT1164">
            <v>20.116606119778133</v>
          </cell>
          <cell r="FU1164">
            <v>17.065595346429742</v>
          </cell>
          <cell r="FV1164">
            <v>23.167616893126525</v>
          </cell>
          <cell r="GG1164">
            <v>9.1506210758065816</v>
          </cell>
          <cell r="GH1164">
            <v>13.982143405445317</v>
          </cell>
          <cell r="GI1164">
            <v>10.408007395026372</v>
          </cell>
          <cell r="GJ1164">
            <v>7.7337520878462023</v>
          </cell>
          <cell r="GK1164">
            <v>13.082262702206542</v>
          </cell>
        </row>
        <row r="1165">
          <cell r="A1165">
            <v>41089</v>
          </cell>
          <cell r="FR1165">
            <v>15.754714150943395</v>
          </cell>
          <cell r="FS1165">
            <v>22.314663874962239</v>
          </cell>
          <cell r="FT1165">
            <v>20.116606119778133</v>
          </cell>
          <cell r="FU1165">
            <v>17.065595346429742</v>
          </cell>
          <cell r="FV1165">
            <v>23.167616893126525</v>
          </cell>
          <cell r="GG1165">
            <v>9.2556603517164522</v>
          </cell>
          <cell r="GH1165">
            <v>13.982143405445317</v>
          </cell>
          <cell r="GI1165">
            <v>10.408007395026372</v>
          </cell>
          <cell r="GJ1165">
            <v>7.7337520878462023</v>
          </cell>
          <cell r="GK1165">
            <v>13.082262702206542</v>
          </cell>
        </row>
        <row r="1166">
          <cell r="A1166">
            <v>41092</v>
          </cell>
          <cell r="FR1166">
            <v>16.132066981132073</v>
          </cell>
          <cell r="FS1166">
            <v>22.314663874962239</v>
          </cell>
          <cell r="FT1166">
            <v>20.116606119778133</v>
          </cell>
          <cell r="FU1166">
            <v>17.065595346429742</v>
          </cell>
          <cell r="FV1166">
            <v>23.167616893126525</v>
          </cell>
          <cell r="GG1166">
            <v>9.4860482183142594</v>
          </cell>
          <cell r="GH1166">
            <v>13.982143405445317</v>
          </cell>
          <cell r="GI1166">
            <v>10.408007395026372</v>
          </cell>
          <cell r="GJ1166">
            <v>7.7337520878462023</v>
          </cell>
          <cell r="GK1166">
            <v>13.082262702206542</v>
          </cell>
        </row>
        <row r="1167">
          <cell r="A1167">
            <v>41093</v>
          </cell>
          <cell r="FR1167">
            <v>16.235841509433961</v>
          </cell>
          <cell r="FS1167">
            <v>22.314663874962239</v>
          </cell>
          <cell r="FT1167">
            <v>20.116606119778133</v>
          </cell>
          <cell r="FU1167">
            <v>17.065595346429742</v>
          </cell>
          <cell r="FV1167">
            <v>23.167616893126525</v>
          </cell>
          <cell r="GG1167">
            <v>9.579030197602675</v>
          </cell>
          <cell r="GH1167">
            <v>13.982143405445317</v>
          </cell>
          <cell r="GI1167">
            <v>10.408007395026372</v>
          </cell>
          <cell r="GJ1167">
            <v>7.7337520878462023</v>
          </cell>
          <cell r="GK1167">
            <v>13.082262702206542</v>
          </cell>
        </row>
        <row r="1168">
          <cell r="A1168">
            <v>41094</v>
          </cell>
          <cell r="FR1168">
            <v>16.235841509433961</v>
          </cell>
          <cell r="FS1168">
            <v>22.314663874962239</v>
          </cell>
          <cell r="FT1168">
            <v>20.116606119778133</v>
          </cell>
          <cell r="FU1168">
            <v>17.065595346429742</v>
          </cell>
          <cell r="FV1168">
            <v>23.167616893126525</v>
          </cell>
          <cell r="GG1168">
            <v>9.579030197602675</v>
          </cell>
          <cell r="GH1168">
            <v>13.982143405445317</v>
          </cell>
          <cell r="GI1168">
            <v>10.408007395026372</v>
          </cell>
          <cell r="GJ1168">
            <v>7.7337520878462023</v>
          </cell>
          <cell r="GK1168">
            <v>13.082262702206542</v>
          </cell>
        </row>
        <row r="1169">
          <cell r="A1169">
            <v>41095</v>
          </cell>
          <cell r="FR1169">
            <v>16.08489433962264</v>
          </cell>
          <cell r="FS1169">
            <v>22.314663874962239</v>
          </cell>
          <cell r="FT1169">
            <v>20.116606119778133</v>
          </cell>
          <cell r="FU1169">
            <v>17.065595346429742</v>
          </cell>
          <cell r="FV1169">
            <v>23.167616893126525</v>
          </cell>
          <cell r="GG1169">
            <v>9.7015085211057048</v>
          </cell>
          <cell r="GH1169">
            <v>13.982143405445317</v>
          </cell>
          <cell r="GI1169">
            <v>10.408007395026372</v>
          </cell>
          <cell r="GJ1169">
            <v>7.7337520878462023</v>
          </cell>
          <cell r="GK1169">
            <v>13.082262702206542</v>
          </cell>
        </row>
        <row r="1170">
          <cell r="A1170">
            <v>41096</v>
          </cell>
          <cell r="FR1170">
            <v>15.754714150943395</v>
          </cell>
          <cell r="FS1170">
            <v>22.314663874962239</v>
          </cell>
          <cell r="FT1170">
            <v>20.116606119778133</v>
          </cell>
          <cell r="FU1170">
            <v>17.065595346429742</v>
          </cell>
          <cell r="FV1170">
            <v>23.167616893126525</v>
          </cell>
          <cell r="GG1170">
            <v>9.4764235818542577</v>
          </cell>
          <cell r="GH1170">
            <v>13.982143405445317</v>
          </cell>
          <cell r="GI1170">
            <v>10.408007395026372</v>
          </cell>
          <cell r="GJ1170">
            <v>7.7337520878462023</v>
          </cell>
          <cell r="GK1170">
            <v>13.082262702206542</v>
          </cell>
        </row>
        <row r="1171">
          <cell r="A1171">
            <v>41099</v>
          </cell>
          <cell r="FR1171">
            <v>16.066036792452831</v>
          </cell>
          <cell r="FS1171">
            <v>22.314663874962239</v>
          </cell>
          <cell r="FT1171">
            <v>20.116606119778133</v>
          </cell>
          <cell r="FU1171">
            <v>17.065595346429742</v>
          </cell>
          <cell r="FV1171">
            <v>23.167616893126525</v>
          </cell>
          <cell r="GG1171">
            <v>9.6713679976081099</v>
          </cell>
          <cell r="GH1171">
            <v>13.982143405445317</v>
          </cell>
          <cell r="GI1171">
            <v>10.408007395026372</v>
          </cell>
          <cell r="GJ1171">
            <v>7.7337520878462023</v>
          </cell>
          <cell r="GK1171">
            <v>13.082262702206542</v>
          </cell>
        </row>
        <row r="1172">
          <cell r="A1172">
            <v>41100</v>
          </cell>
          <cell r="FR1172">
            <v>15.575466981132074</v>
          </cell>
          <cell r="FS1172">
            <v>22.314663874962239</v>
          </cell>
          <cell r="FT1172">
            <v>20.116606119778133</v>
          </cell>
          <cell r="FU1172">
            <v>17.065595346429742</v>
          </cell>
          <cell r="FV1172">
            <v>23.167616893126525</v>
          </cell>
          <cell r="GG1172">
            <v>9.5110570519964099</v>
          </cell>
          <cell r="GH1172">
            <v>13.982143405445317</v>
          </cell>
          <cell r="GI1172">
            <v>10.408007395026372</v>
          </cell>
          <cell r="GJ1172">
            <v>7.7337520878462023</v>
          </cell>
          <cell r="GK1172">
            <v>13.082262702206542</v>
          </cell>
        </row>
        <row r="1173">
          <cell r="A1173">
            <v>41101</v>
          </cell>
          <cell r="FR1173">
            <v>15.688669811320754</v>
          </cell>
          <cell r="FS1173">
            <v>22.314663874962239</v>
          </cell>
          <cell r="FT1173">
            <v>20.116606119778133</v>
          </cell>
          <cell r="FU1173">
            <v>17.065595346429742</v>
          </cell>
          <cell r="FV1173">
            <v>23.167616893126525</v>
          </cell>
          <cell r="GG1173">
            <v>9.4725775325487191</v>
          </cell>
          <cell r="GH1173">
            <v>13.982143405445317</v>
          </cell>
          <cell r="GI1173">
            <v>10.408007395026372</v>
          </cell>
          <cell r="GJ1173">
            <v>7.7337520878462023</v>
          </cell>
          <cell r="GK1173">
            <v>13.082262702206542</v>
          </cell>
        </row>
        <row r="1174">
          <cell r="A1174">
            <v>41102</v>
          </cell>
          <cell r="FR1174">
            <v>15.726414150943397</v>
          </cell>
          <cell r="FS1174">
            <v>22.314663874962239</v>
          </cell>
          <cell r="FT1174">
            <v>20.116606119778133</v>
          </cell>
          <cell r="FU1174">
            <v>17.065595346429742</v>
          </cell>
          <cell r="FV1174">
            <v>23.167616893126525</v>
          </cell>
          <cell r="GG1174">
            <v>9.4860482183142594</v>
          </cell>
          <cell r="GH1174">
            <v>13.982143405445317</v>
          </cell>
          <cell r="GI1174">
            <v>10.408007395026372</v>
          </cell>
          <cell r="GJ1174">
            <v>7.7337520878462023</v>
          </cell>
          <cell r="GK1174">
            <v>13.082262702206542</v>
          </cell>
        </row>
        <row r="1175">
          <cell r="A1175">
            <v>41103</v>
          </cell>
          <cell r="FR1175">
            <v>15.999992452830188</v>
          </cell>
          <cell r="FS1175">
            <v>22.314663874962239</v>
          </cell>
          <cell r="FT1175">
            <v>20.116606119778133</v>
          </cell>
          <cell r="FU1175">
            <v>17.065595346429742</v>
          </cell>
          <cell r="FV1175">
            <v>23.167616893126525</v>
          </cell>
          <cell r="GG1175">
            <v>9.7072789540920326</v>
          </cell>
          <cell r="GH1175">
            <v>13.982143405445317</v>
          </cell>
          <cell r="GI1175">
            <v>10.408007395026372</v>
          </cell>
          <cell r="GJ1175">
            <v>7.7337520878462023</v>
          </cell>
          <cell r="GK1175">
            <v>13.082262702206542</v>
          </cell>
        </row>
        <row r="1176">
          <cell r="A1176">
            <v>41106</v>
          </cell>
          <cell r="FR1176">
            <v>15.999992452830188</v>
          </cell>
          <cell r="FS1176">
            <v>22.314663874962239</v>
          </cell>
          <cell r="FT1176">
            <v>20.116606119778133</v>
          </cell>
          <cell r="FU1176">
            <v>17.065595346429742</v>
          </cell>
          <cell r="FV1176">
            <v>23.167616893126525</v>
          </cell>
          <cell r="GG1176">
            <v>9.7547334946046576</v>
          </cell>
          <cell r="GH1176">
            <v>13.982143405445317</v>
          </cell>
          <cell r="GI1176">
            <v>10.408007395026372</v>
          </cell>
          <cell r="GJ1176">
            <v>7.7337520878462023</v>
          </cell>
          <cell r="GK1176">
            <v>13.082262702206542</v>
          </cell>
        </row>
        <row r="1177">
          <cell r="A1177">
            <v>41107</v>
          </cell>
          <cell r="FR1177">
            <v>16.226412264150941</v>
          </cell>
          <cell r="FS1177">
            <v>22.314663874962239</v>
          </cell>
          <cell r="FT1177">
            <v>20.116606119778133</v>
          </cell>
          <cell r="FU1177">
            <v>17.065595346429742</v>
          </cell>
          <cell r="FV1177">
            <v>23.167616893126525</v>
          </cell>
          <cell r="GG1177">
            <v>9.8073170068766817</v>
          </cell>
          <cell r="GH1177">
            <v>13.982143405445317</v>
          </cell>
          <cell r="GI1177">
            <v>10.408007395026372</v>
          </cell>
          <cell r="GJ1177">
            <v>7.7337520878462023</v>
          </cell>
          <cell r="GK1177">
            <v>13.082262702206542</v>
          </cell>
        </row>
        <row r="1178">
          <cell r="A1178">
            <v>41108</v>
          </cell>
          <cell r="FR1178">
            <v>16.594336792452829</v>
          </cell>
          <cell r="FS1178">
            <v>22.314663874962239</v>
          </cell>
          <cell r="FT1178">
            <v>20.116606119778133</v>
          </cell>
          <cell r="FU1178">
            <v>17.065595346429742</v>
          </cell>
          <cell r="FV1178">
            <v>23.167616893126525</v>
          </cell>
          <cell r="GG1178">
            <v>10.078568128074801</v>
          </cell>
          <cell r="GH1178">
            <v>13.982143405445317</v>
          </cell>
          <cell r="GI1178">
            <v>10.408007395026372</v>
          </cell>
          <cell r="GJ1178">
            <v>7.7337520878462023</v>
          </cell>
          <cell r="GK1178">
            <v>13.082262702206542</v>
          </cell>
        </row>
        <row r="1179">
          <cell r="A1179">
            <v>41109</v>
          </cell>
          <cell r="FR1179">
            <v>16.499991509433961</v>
          </cell>
          <cell r="FS1179">
            <v>22.314663874962239</v>
          </cell>
          <cell r="FT1179">
            <v>20.116606119778133</v>
          </cell>
          <cell r="FU1179">
            <v>17.065595346429742</v>
          </cell>
          <cell r="FV1179">
            <v>23.167616893126525</v>
          </cell>
          <cell r="GG1179">
            <v>9.4496908809891806</v>
          </cell>
          <cell r="GH1179">
            <v>13.982143405445317</v>
          </cell>
          <cell r="GI1179">
            <v>10.408007395026372</v>
          </cell>
          <cell r="GJ1179">
            <v>7.7337520878462023</v>
          </cell>
          <cell r="GK1179">
            <v>13.082262702206542</v>
          </cell>
        </row>
        <row r="1180">
          <cell r="A1180">
            <v>41110</v>
          </cell>
          <cell r="FR1180">
            <v>15.933962264150944</v>
          </cell>
          <cell r="FS1180">
            <v>22.314663874962239</v>
          </cell>
          <cell r="FT1180">
            <v>20.116606119778133</v>
          </cell>
          <cell r="FU1180">
            <v>17.065595346429742</v>
          </cell>
          <cell r="FV1180">
            <v>23.167616893126525</v>
          </cell>
          <cell r="GG1180">
            <v>9.2758784131890781</v>
          </cell>
          <cell r="GH1180">
            <v>13.982143405445317</v>
          </cell>
          <cell r="GI1180">
            <v>10.408007395026372</v>
          </cell>
          <cell r="GJ1180">
            <v>7.7337520878462023</v>
          </cell>
          <cell r="GK1180">
            <v>13.082262702206542</v>
          </cell>
        </row>
        <row r="1181">
          <cell r="A1181">
            <v>41113</v>
          </cell>
          <cell r="FR1181">
            <v>15.396219811320755</v>
          </cell>
          <cell r="FS1181">
            <v>22.314663874962239</v>
          </cell>
          <cell r="FT1181">
            <v>20.116606119778133</v>
          </cell>
          <cell r="FU1181">
            <v>17.065595346429742</v>
          </cell>
          <cell r="FV1181">
            <v>23.167616893126525</v>
          </cell>
          <cell r="GG1181">
            <v>9.0048299845440507</v>
          </cell>
          <cell r="GH1181">
            <v>13.982143405445317</v>
          </cell>
          <cell r="GI1181">
            <v>10.408007395026372</v>
          </cell>
          <cell r="GJ1181">
            <v>7.7337520878462023</v>
          </cell>
          <cell r="GK1181">
            <v>13.082262702206542</v>
          </cell>
        </row>
        <row r="1182">
          <cell r="A1182">
            <v>41114</v>
          </cell>
          <cell r="FR1182">
            <v>15.179242452830188</v>
          </cell>
          <cell r="FS1182">
            <v>22.314663874962239</v>
          </cell>
          <cell r="FT1182">
            <v>20.116606119778133</v>
          </cell>
          <cell r="FU1182">
            <v>17.065595346429742</v>
          </cell>
          <cell r="FV1182">
            <v>23.167616893126525</v>
          </cell>
          <cell r="GG1182">
            <v>8.8869268418341054</v>
          </cell>
          <cell r="GH1182">
            <v>13.982143405445317</v>
          </cell>
          <cell r="GI1182">
            <v>10.408007395026372</v>
          </cell>
          <cell r="GJ1182">
            <v>7.7337520878462023</v>
          </cell>
          <cell r="GK1182">
            <v>13.082262702206542</v>
          </cell>
        </row>
        <row r="1183">
          <cell r="A1183">
            <v>41115</v>
          </cell>
          <cell r="FR1183">
            <v>16.075466037735847</v>
          </cell>
          <cell r="FS1183">
            <v>22.314663874962239</v>
          </cell>
          <cell r="FT1183">
            <v>20.116606119778133</v>
          </cell>
          <cell r="FU1183">
            <v>17.065595346429742</v>
          </cell>
          <cell r="FV1183">
            <v>23.167616893126525</v>
          </cell>
          <cell r="GG1183">
            <v>9.3238871715610525</v>
          </cell>
          <cell r="GH1183">
            <v>13.982143405445317</v>
          </cell>
          <cell r="GI1183">
            <v>10.408007395026372</v>
          </cell>
          <cell r="GJ1183">
            <v>7.7337520878462023</v>
          </cell>
          <cell r="GK1183">
            <v>13.082262702206542</v>
          </cell>
        </row>
        <row r="1184">
          <cell r="A1184">
            <v>41116</v>
          </cell>
          <cell r="FR1184">
            <v>16.698110377358489</v>
          </cell>
          <cell r="FS1184">
            <v>22.314663874962239</v>
          </cell>
          <cell r="FT1184">
            <v>20.116606119778133</v>
          </cell>
          <cell r="FU1184">
            <v>17.065595346429742</v>
          </cell>
          <cell r="FV1184">
            <v>23.167616893126525</v>
          </cell>
          <cell r="GG1184">
            <v>9.4849381761978364</v>
          </cell>
          <cell r="GH1184">
            <v>13.982143405445317</v>
          </cell>
          <cell r="GI1184">
            <v>10.408007395026372</v>
          </cell>
          <cell r="GJ1184">
            <v>7.7337520878462023</v>
          </cell>
          <cell r="GK1184">
            <v>13.082262702206542</v>
          </cell>
        </row>
        <row r="1185">
          <cell r="A1185">
            <v>41117</v>
          </cell>
          <cell r="FR1185">
            <v>16.85848679245283</v>
          </cell>
          <cell r="FS1185">
            <v>22.314663874962239</v>
          </cell>
          <cell r="FT1185">
            <v>20.116606119778133</v>
          </cell>
          <cell r="FU1185">
            <v>17.065595346429742</v>
          </cell>
          <cell r="FV1185">
            <v>23.167616893126525</v>
          </cell>
          <cell r="GG1185">
            <v>9.6022359608449257</v>
          </cell>
          <cell r="GH1185">
            <v>13.982143405445317</v>
          </cell>
          <cell r="GI1185">
            <v>10.408007395026372</v>
          </cell>
          <cell r="GJ1185">
            <v>7.7337520878462023</v>
          </cell>
          <cell r="GK1185">
            <v>13.082262702206542</v>
          </cell>
        </row>
        <row r="1186">
          <cell r="A1186">
            <v>41120</v>
          </cell>
          <cell r="FR1186">
            <v>16.641509433962263</v>
          </cell>
          <cell r="FS1186">
            <v>22.314663874962239</v>
          </cell>
          <cell r="FT1186">
            <v>20.116606119778133</v>
          </cell>
          <cell r="FU1186">
            <v>17.065595346429742</v>
          </cell>
          <cell r="FV1186">
            <v>23.167616893126525</v>
          </cell>
          <cell r="GG1186">
            <v>9.5669886656362699</v>
          </cell>
          <cell r="GH1186">
            <v>13.982143405445317</v>
          </cell>
          <cell r="GI1186">
            <v>10.408007395026372</v>
          </cell>
          <cell r="GJ1186">
            <v>7.7337520878462023</v>
          </cell>
          <cell r="GK1186">
            <v>13.082262702206542</v>
          </cell>
        </row>
        <row r="1187">
          <cell r="A1187">
            <v>41121</v>
          </cell>
          <cell r="FR1187">
            <v>16.613194339622641</v>
          </cell>
          <cell r="FS1187">
            <v>22.314663874962239</v>
          </cell>
          <cell r="FT1187">
            <v>20.116606119778133</v>
          </cell>
          <cell r="FU1187">
            <v>17.065595346429742</v>
          </cell>
          <cell r="FV1187">
            <v>23.167616893126525</v>
          </cell>
          <cell r="GG1187">
            <v>9.5001313755795991</v>
          </cell>
          <cell r="GH1187">
            <v>13.982143405445317</v>
          </cell>
          <cell r="GI1187">
            <v>10.408007395026372</v>
          </cell>
          <cell r="GJ1187">
            <v>7.7337520878462023</v>
          </cell>
          <cell r="GK1187">
            <v>13.082262702206542</v>
          </cell>
        </row>
        <row r="1188">
          <cell r="A1188">
            <v>41122</v>
          </cell>
          <cell r="FR1188">
            <v>16.547164150943395</v>
          </cell>
          <cell r="FS1188">
            <v>22.314663874962239</v>
          </cell>
          <cell r="FT1188">
            <v>20.116606119778133</v>
          </cell>
          <cell r="FU1188">
            <v>17.065595346429742</v>
          </cell>
          <cell r="FV1188">
            <v>23.167616893126525</v>
          </cell>
          <cell r="GG1188">
            <v>9.498918083462133</v>
          </cell>
          <cell r="GH1188">
            <v>13.982143405445317</v>
          </cell>
          <cell r="GI1188">
            <v>10.408007395026372</v>
          </cell>
          <cell r="GJ1188">
            <v>7.7337520878462023</v>
          </cell>
          <cell r="GK1188">
            <v>13.082262702206542</v>
          </cell>
        </row>
        <row r="1189">
          <cell r="A1189">
            <v>41123</v>
          </cell>
          <cell r="FR1189">
            <v>16.132066981132073</v>
          </cell>
          <cell r="FS1189">
            <v>22.314663874962239</v>
          </cell>
          <cell r="FT1189">
            <v>20.116606119778133</v>
          </cell>
          <cell r="FU1189">
            <v>17.065595346429742</v>
          </cell>
          <cell r="FV1189">
            <v>23.167616893126525</v>
          </cell>
          <cell r="GG1189">
            <v>9.2874240082431729</v>
          </cell>
          <cell r="GH1189">
            <v>13.982143405445317</v>
          </cell>
          <cell r="GI1189">
            <v>10.408007395026372</v>
          </cell>
          <cell r="GJ1189">
            <v>7.7337520878462023</v>
          </cell>
          <cell r="GK1189">
            <v>13.082262702206542</v>
          </cell>
        </row>
        <row r="1190">
          <cell r="A1190">
            <v>41124</v>
          </cell>
          <cell r="FR1190">
            <v>16.452818867924528</v>
          </cell>
          <cell r="FS1190">
            <v>22.314663874962239</v>
          </cell>
          <cell r="FT1190">
            <v>20.116606119778133</v>
          </cell>
          <cell r="FU1190">
            <v>17.065595346429742</v>
          </cell>
          <cell r="FV1190">
            <v>23.167616893126525</v>
          </cell>
          <cell r="GG1190">
            <v>9.3907418856259657</v>
          </cell>
          <cell r="GH1190">
            <v>13.982143405445317</v>
          </cell>
          <cell r="GI1190">
            <v>10.408007395026372</v>
          </cell>
          <cell r="GJ1190">
            <v>7.7337520878462023</v>
          </cell>
          <cell r="GK1190">
            <v>13.082262702206542</v>
          </cell>
        </row>
        <row r="1191">
          <cell r="A1191">
            <v>41127</v>
          </cell>
          <cell r="FR1191">
            <v>16.377345283018865</v>
          </cell>
          <cell r="FS1191">
            <v>22.314663874962239</v>
          </cell>
          <cell r="FT1191">
            <v>20.116606119778133</v>
          </cell>
          <cell r="FU1191">
            <v>17.065595346429742</v>
          </cell>
          <cell r="FV1191">
            <v>23.167616893126525</v>
          </cell>
          <cell r="GG1191">
            <v>9.3208526532715084</v>
          </cell>
          <cell r="GH1191">
            <v>13.982143405445317</v>
          </cell>
          <cell r="GI1191">
            <v>10.408007395026372</v>
          </cell>
          <cell r="GJ1191">
            <v>7.7337520878462023</v>
          </cell>
          <cell r="GK1191">
            <v>13.082262702206542</v>
          </cell>
        </row>
        <row r="1192">
          <cell r="A1192">
            <v>41128</v>
          </cell>
          <cell r="FR1192">
            <v>16.51886320754717</v>
          </cell>
          <cell r="FS1192">
            <v>22.314663874962239</v>
          </cell>
          <cell r="FT1192">
            <v>20.116606119778133</v>
          </cell>
          <cell r="FU1192">
            <v>17.065595346429742</v>
          </cell>
          <cell r="FV1192">
            <v>23.167616893126525</v>
          </cell>
          <cell r="GG1192">
            <v>9.3518469860896438</v>
          </cell>
          <cell r="GH1192">
            <v>13.982143405445317</v>
          </cell>
          <cell r="GI1192">
            <v>10.408007395026372</v>
          </cell>
          <cell r="GJ1192">
            <v>7.7337520878462023</v>
          </cell>
          <cell r="GK1192">
            <v>13.082262702206542</v>
          </cell>
        </row>
        <row r="1193">
          <cell r="A1193">
            <v>41129</v>
          </cell>
          <cell r="FR1193">
            <v>16.377345283018865</v>
          </cell>
          <cell r="FS1193">
            <v>22.314663874962239</v>
          </cell>
          <cell r="FT1193">
            <v>20.116606119778133</v>
          </cell>
          <cell r="FU1193">
            <v>17.065595346429742</v>
          </cell>
          <cell r="FV1193">
            <v>23.167616893126525</v>
          </cell>
          <cell r="GG1193">
            <v>9.3135600206079356</v>
          </cell>
          <cell r="GH1193">
            <v>13.982143405445317</v>
          </cell>
          <cell r="GI1193">
            <v>10.408007395026372</v>
          </cell>
          <cell r="GJ1193">
            <v>7.7337520878462023</v>
          </cell>
          <cell r="GK1193">
            <v>13.082262702206542</v>
          </cell>
        </row>
        <row r="1194">
          <cell r="A1194">
            <v>41130</v>
          </cell>
          <cell r="FR1194">
            <v>16.424517924528299</v>
          </cell>
          <cell r="FS1194">
            <v>22.314663874962239</v>
          </cell>
          <cell r="FT1194">
            <v>20.116606119778133</v>
          </cell>
          <cell r="FU1194">
            <v>17.065595346429742</v>
          </cell>
          <cell r="FV1194">
            <v>23.167616893126525</v>
          </cell>
          <cell r="GG1194">
            <v>9.3007934054611034</v>
          </cell>
          <cell r="GH1194">
            <v>13.982143405445317</v>
          </cell>
          <cell r="GI1194">
            <v>10.408007395026372</v>
          </cell>
          <cell r="GJ1194">
            <v>7.7337520878462023</v>
          </cell>
          <cell r="GK1194">
            <v>13.082262702206542</v>
          </cell>
        </row>
        <row r="1195">
          <cell r="A1195">
            <v>41131</v>
          </cell>
          <cell r="FR1195">
            <v>16.443389622641508</v>
          </cell>
          <cell r="FS1195">
            <v>22.314663874962239</v>
          </cell>
          <cell r="FT1195">
            <v>20.116606119778133</v>
          </cell>
          <cell r="FU1195">
            <v>17.065595346429742</v>
          </cell>
          <cell r="FV1195">
            <v>23.167616893126525</v>
          </cell>
          <cell r="GG1195">
            <v>9.3615662029881506</v>
          </cell>
          <cell r="GH1195">
            <v>13.982143405445317</v>
          </cell>
          <cell r="GI1195">
            <v>10.408007395026372</v>
          </cell>
          <cell r="GJ1195">
            <v>7.7337520878462023</v>
          </cell>
          <cell r="GK1195">
            <v>13.082262702206542</v>
          </cell>
        </row>
        <row r="1196">
          <cell r="A1196">
            <v>41134</v>
          </cell>
          <cell r="FR1196">
            <v>16.245269811320753</v>
          </cell>
          <cell r="FS1196">
            <v>22.314663874962239</v>
          </cell>
          <cell r="FT1196">
            <v>20.116606119778133</v>
          </cell>
          <cell r="FU1196">
            <v>17.065595346429742</v>
          </cell>
          <cell r="FV1196">
            <v>23.167616893126525</v>
          </cell>
          <cell r="GG1196">
            <v>9.2734441009788764</v>
          </cell>
          <cell r="GH1196">
            <v>13.982143405445317</v>
          </cell>
          <cell r="GI1196">
            <v>10.408007395026372</v>
          </cell>
          <cell r="GJ1196">
            <v>7.7337520878462023</v>
          </cell>
          <cell r="GK1196">
            <v>13.082262702206542</v>
          </cell>
        </row>
        <row r="1197">
          <cell r="A1197">
            <v>41135</v>
          </cell>
          <cell r="FR1197">
            <v>16.245269811320753</v>
          </cell>
          <cell r="FS1197">
            <v>22.314663874962239</v>
          </cell>
          <cell r="FT1197">
            <v>20.116606119778133</v>
          </cell>
          <cell r="FU1197">
            <v>17.065595346429742</v>
          </cell>
          <cell r="FV1197">
            <v>23.167616893126525</v>
          </cell>
          <cell r="GG1197">
            <v>9.3445543534260676</v>
          </cell>
          <cell r="GH1197">
            <v>13.982143405445317</v>
          </cell>
          <cell r="GI1197">
            <v>10.408007395026372</v>
          </cell>
          <cell r="GJ1197">
            <v>7.7337520878462023</v>
          </cell>
          <cell r="GK1197">
            <v>13.082262702206542</v>
          </cell>
        </row>
        <row r="1198">
          <cell r="A1198">
            <v>41136</v>
          </cell>
          <cell r="FR1198">
            <v>16.481118867924526</v>
          </cell>
          <cell r="FS1198">
            <v>22.314663874962239</v>
          </cell>
          <cell r="FT1198">
            <v>20.116606119778133</v>
          </cell>
          <cell r="FU1198">
            <v>17.065595346429742</v>
          </cell>
          <cell r="FV1198">
            <v>23.167616893126525</v>
          </cell>
          <cell r="GG1198">
            <v>9.3925631117980437</v>
          </cell>
          <cell r="GH1198">
            <v>13.982143405445317</v>
          </cell>
          <cell r="GI1198">
            <v>10.408007395026372</v>
          </cell>
          <cell r="GJ1198">
            <v>7.7337520878462023</v>
          </cell>
          <cell r="GK1198">
            <v>13.082262702206542</v>
          </cell>
        </row>
        <row r="1199">
          <cell r="A1199">
            <v>41137</v>
          </cell>
          <cell r="FR1199">
            <v>16.537734905660376</v>
          </cell>
          <cell r="FS1199">
            <v>22.314663874962239</v>
          </cell>
          <cell r="FT1199">
            <v>20.116606119778133</v>
          </cell>
          <cell r="FU1199">
            <v>17.065595346429742</v>
          </cell>
          <cell r="FV1199">
            <v>23.167616893126525</v>
          </cell>
          <cell r="GG1199">
            <v>9.3637608712285445</v>
          </cell>
          <cell r="GH1199">
            <v>13.982143405445317</v>
          </cell>
          <cell r="GI1199">
            <v>10.408007395026372</v>
          </cell>
          <cell r="GJ1199">
            <v>7.7337520878462023</v>
          </cell>
          <cell r="GK1199">
            <v>13.082262702206542</v>
          </cell>
        </row>
        <row r="1200">
          <cell r="A1200">
            <v>41138</v>
          </cell>
          <cell r="FR1200">
            <v>16.528292452830186</v>
          </cell>
          <cell r="FS1200">
            <v>22.314663874962239</v>
          </cell>
          <cell r="FT1200">
            <v>20.116606119778133</v>
          </cell>
          <cell r="FU1200">
            <v>17.065595346429742</v>
          </cell>
          <cell r="FV1200">
            <v>23.167616893126525</v>
          </cell>
          <cell r="GG1200">
            <v>9.3469152490499638</v>
          </cell>
          <cell r="GH1200">
            <v>13.982143405445317</v>
          </cell>
          <cell r="GI1200">
            <v>10.408007395026372</v>
          </cell>
          <cell r="GJ1200">
            <v>7.7337520878462023</v>
          </cell>
          <cell r="GK1200">
            <v>13.082262702206542</v>
          </cell>
        </row>
        <row r="1201">
          <cell r="A1201">
            <v>41141</v>
          </cell>
          <cell r="FR1201">
            <v>16.424517924528299</v>
          </cell>
          <cell r="FS1201">
            <v>22.314663874962239</v>
          </cell>
          <cell r="FT1201">
            <v>20.116606119778133</v>
          </cell>
          <cell r="FU1201">
            <v>17.065595346429742</v>
          </cell>
          <cell r="FV1201">
            <v>23.167616893126525</v>
          </cell>
          <cell r="GG1201">
            <v>9.2614680302991665</v>
          </cell>
          <cell r="GH1201">
            <v>13.982143405445317</v>
          </cell>
          <cell r="GI1201">
            <v>10.408007395026372</v>
          </cell>
          <cell r="GJ1201">
            <v>7.7337520878462023</v>
          </cell>
          <cell r="GK1201">
            <v>13.082262702206542</v>
          </cell>
        </row>
        <row r="1202">
          <cell r="A1202">
            <v>41142</v>
          </cell>
          <cell r="FR1202">
            <v>16.433961320754715</v>
          </cell>
          <cell r="FS1202">
            <v>22.314663874962239</v>
          </cell>
          <cell r="FT1202">
            <v>20.116606119778133</v>
          </cell>
          <cell r="FU1202">
            <v>17.065595346429742</v>
          </cell>
          <cell r="FV1202">
            <v>23.167616893126525</v>
          </cell>
          <cell r="GG1202">
            <v>9.1754291106633694</v>
          </cell>
          <cell r="GH1202">
            <v>13.982143405445317</v>
          </cell>
          <cell r="GI1202">
            <v>10.408007395026372</v>
          </cell>
          <cell r="GJ1202">
            <v>7.7337520878462023</v>
          </cell>
          <cell r="GK1202">
            <v>13.082262702206542</v>
          </cell>
        </row>
        <row r="1203">
          <cell r="A1203">
            <v>41143</v>
          </cell>
          <cell r="FR1203">
            <v>16.207540566037736</v>
          </cell>
          <cell r="FS1203">
            <v>22.314663874962239</v>
          </cell>
          <cell r="FT1203">
            <v>20.116606119778133</v>
          </cell>
          <cell r="FU1203">
            <v>17.065595346429742</v>
          </cell>
          <cell r="FV1203">
            <v>23.167616893126525</v>
          </cell>
          <cell r="GG1203">
            <v>9.0388380218827304</v>
          </cell>
          <cell r="GH1203">
            <v>13.982143405445317</v>
          </cell>
          <cell r="GI1203">
            <v>10.408007395026372</v>
          </cell>
          <cell r="GJ1203">
            <v>7.7337520878462023</v>
          </cell>
          <cell r="GK1203">
            <v>13.082262702206542</v>
          </cell>
        </row>
        <row r="1204">
          <cell r="A1204">
            <v>41144</v>
          </cell>
          <cell r="FR1204">
            <v>16.556592452830188</v>
          </cell>
          <cell r="FS1204">
            <v>22.314663874962239</v>
          </cell>
          <cell r="FT1204">
            <v>20.116606119778133</v>
          </cell>
          <cell r="FU1204">
            <v>17.065595346429742</v>
          </cell>
          <cell r="FV1204">
            <v>23.167616893126525</v>
          </cell>
          <cell r="GG1204">
            <v>9.1230763345150354</v>
          </cell>
          <cell r="GH1204">
            <v>13.982143405445317</v>
          </cell>
          <cell r="GI1204">
            <v>10.408007395026372</v>
          </cell>
          <cell r="GJ1204">
            <v>7.7337520878462023</v>
          </cell>
          <cell r="GK1204">
            <v>13.082262702206542</v>
          </cell>
        </row>
        <row r="1205">
          <cell r="A1205">
            <v>41145</v>
          </cell>
          <cell r="FR1205">
            <v>16.632066037735846</v>
          </cell>
          <cell r="FS1205">
            <v>22.314663874962239</v>
          </cell>
          <cell r="FT1205">
            <v>20.116606119778133</v>
          </cell>
          <cell r="FU1205">
            <v>17.065595346429742</v>
          </cell>
          <cell r="FV1205">
            <v>23.167616893126525</v>
          </cell>
          <cell r="GG1205">
            <v>9.2668874493101097</v>
          </cell>
          <cell r="GH1205">
            <v>13.982143405445317</v>
          </cell>
          <cell r="GI1205">
            <v>10.408007395026372</v>
          </cell>
          <cell r="GJ1205">
            <v>7.7337520878462023</v>
          </cell>
          <cell r="GK1205">
            <v>13.082262702206542</v>
          </cell>
        </row>
        <row r="1206">
          <cell r="A1206">
            <v>41148</v>
          </cell>
          <cell r="FR1206">
            <v>16.594336792452829</v>
          </cell>
          <cell r="FS1206">
            <v>22.314663874962239</v>
          </cell>
          <cell r="FT1206">
            <v>20.116606119778133</v>
          </cell>
          <cell r="FU1206">
            <v>17.065595346429742</v>
          </cell>
          <cell r="FV1206">
            <v>23.167616893126525</v>
          </cell>
          <cell r="GG1206">
            <v>9.2614680302991665</v>
          </cell>
          <cell r="GH1206">
            <v>13.982143405445317</v>
          </cell>
          <cell r="GI1206">
            <v>10.408007395026372</v>
          </cell>
          <cell r="GJ1206">
            <v>7.7337520878462023</v>
          </cell>
          <cell r="GK1206">
            <v>13.082262702206542</v>
          </cell>
        </row>
        <row r="1207">
          <cell r="A1207">
            <v>41149</v>
          </cell>
          <cell r="FR1207">
            <v>16.707539622641509</v>
          </cell>
          <cell r="FS1207">
            <v>22.314663874962239</v>
          </cell>
          <cell r="FT1207">
            <v>20.116606119778133</v>
          </cell>
          <cell r="FU1207">
            <v>17.065595346429742</v>
          </cell>
          <cell r="FV1207">
            <v>23.167616893126525</v>
          </cell>
          <cell r="GG1207">
            <v>9.2289795710168594</v>
          </cell>
          <cell r="GH1207">
            <v>13.982143405445317</v>
          </cell>
          <cell r="GI1207">
            <v>10.408007395026372</v>
          </cell>
          <cell r="GJ1207">
            <v>7.7337520878462023</v>
          </cell>
          <cell r="GK1207">
            <v>13.082262702206542</v>
          </cell>
        </row>
        <row r="1208">
          <cell r="A1208">
            <v>41150</v>
          </cell>
          <cell r="FR1208">
            <v>16.811314150943396</v>
          </cell>
          <cell r="FS1208">
            <v>22.314663874962239</v>
          </cell>
          <cell r="FT1208">
            <v>20.116606119778133</v>
          </cell>
          <cell r="FU1208">
            <v>17.065595346429742</v>
          </cell>
          <cell r="FV1208">
            <v>23.167616893126525</v>
          </cell>
          <cell r="GG1208">
            <v>9.299376928766355</v>
          </cell>
          <cell r="GH1208">
            <v>13.982143405445317</v>
          </cell>
          <cell r="GI1208">
            <v>10.408007395026372</v>
          </cell>
          <cell r="GJ1208">
            <v>7.7337520878462023</v>
          </cell>
          <cell r="GK1208">
            <v>13.082262702206542</v>
          </cell>
        </row>
        <row r="1209">
          <cell r="A1209">
            <v>41151</v>
          </cell>
          <cell r="FR1209">
            <v>16.905659433962263</v>
          </cell>
          <cell r="FS1209">
            <v>22.314663874962239</v>
          </cell>
          <cell r="FT1209">
            <v>20.116606119778133</v>
          </cell>
          <cell r="FU1209">
            <v>17.065595346429742</v>
          </cell>
          <cell r="FV1209">
            <v>23.167616893126525</v>
          </cell>
          <cell r="GG1209">
            <v>9.3637603611415763</v>
          </cell>
          <cell r="GH1209">
            <v>13.982143405445317</v>
          </cell>
          <cell r="GI1209">
            <v>10.408007395026372</v>
          </cell>
          <cell r="GJ1209">
            <v>7.7337520878462023</v>
          </cell>
          <cell r="GK1209">
            <v>13.082262702206542</v>
          </cell>
        </row>
        <row r="1210">
          <cell r="A1210">
            <v>41152</v>
          </cell>
          <cell r="FR1210">
            <v>16.735840566037734</v>
          </cell>
          <cell r="FS1210">
            <v>22.314663874962239</v>
          </cell>
          <cell r="FT1210">
            <v>20.116606119778133</v>
          </cell>
          <cell r="FU1210">
            <v>17.065595346429742</v>
          </cell>
          <cell r="FV1210">
            <v>23.167616893126525</v>
          </cell>
          <cell r="GG1210">
            <v>9.3637608712285445</v>
          </cell>
          <cell r="GH1210">
            <v>13.982143405445317</v>
          </cell>
          <cell r="GI1210">
            <v>10.408007395026372</v>
          </cell>
          <cell r="GJ1210">
            <v>7.7337520878462023</v>
          </cell>
          <cell r="GK1210">
            <v>13.082262702206542</v>
          </cell>
        </row>
        <row r="1211">
          <cell r="A1211">
            <v>41155</v>
          </cell>
          <cell r="FR1211">
            <v>16.735840566037734</v>
          </cell>
          <cell r="FS1211">
            <v>22.314663874962239</v>
          </cell>
          <cell r="FT1211">
            <v>20.116606119778133</v>
          </cell>
          <cell r="FU1211">
            <v>17.065595346429742</v>
          </cell>
          <cell r="FV1211">
            <v>23.167616893126525</v>
          </cell>
          <cell r="GG1211">
            <v>9.4221240021423665</v>
          </cell>
          <cell r="GH1211">
            <v>13.982143405445317</v>
          </cell>
          <cell r="GI1211">
            <v>10.408007395026372</v>
          </cell>
          <cell r="GJ1211">
            <v>7.7337520878462023</v>
          </cell>
          <cell r="GK1211">
            <v>13.082262702206542</v>
          </cell>
        </row>
        <row r="1212">
          <cell r="A1212">
            <v>41156</v>
          </cell>
          <cell r="FR1212">
            <v>17.122635849056604</v>
          </cell>
          <cell r="FS1212">
            <v>22.314663874962239</v>
          </cell>
          <cell r="FT1212">
            <v>20.116606119778133</v>
          </cell>
          <cell r="FU1212">
            <v>17.065595346429742</v>
          </cell>
          <cell r="FV1212">
            <v>23.167616893126525</v>
          </cell>
          <cell r="GG1212">
            <v>9.2482343339539401</v>
          </cell>
          <cell r="GH1212">
            <v>13.982143405445317</v>
          </cell>
          <cell r="GI1212">
            <v>10.408007395026372</v>
          </cell>
          <cell r="GJ1212">
            <v>7.7337520878462023</v>
          </cell>
          <cell r="GK1212">
            <v>13.082262702206542</v>
          </cell>
        </row>
        <row r="1213">
          <cell r="A1213">
            <v>41157</v>
          </cell>
          <cell r="FR1213">
            <v>17.047163207547168</v>
          </cell>
          <cell r="FS1213">
            <v>22.314663874962239</v>
          </cell>
          <cell r="FT1213">
            <v>20.116606119778133</v>
          </cell>
          <cell r="FU1213">
            <v>17.065595346429742</v>
          </cell>
          <cell r="FV1213">
            <v>23.167616893126525</v>
          </cell>
          <cell r="GG1213">
            <v>9.4431870233874893</v>
          </cell>
          <cell r="GH1213">
            <v>13.982143405445317</v>
          </cell>
          <cell r="GI1213">
            <v>10.408007395026372</v>
          </cell>
          <cell r="GJ1213">
            <v>7.7337520878462023</v>
          </cell>
          <cell r="GK1213">
            <v>13.082262702206542</v>
          </cell>
        </row>
        <row r="1214">
          <cell r="A1214">
            <v>41158</v>
          </cell>
          <cell r="FR1214">
            <v>17.320741509433962</v>
          </cell>
          <cell r="FS1214">
            <v>22.314663874962239</v>
          </cell>
          <cell r="FT1214">
            <v>20.116606119778133</v>
          </cell>
          <cell r="FU1214">
            <v>17.065595346429742</v>
          </cell>
          <cell r="FV1214">
            <v>23.167616893126525</v>
          </cell>
          <cell r="GG1214">
            <v>9.5924099058889531</v>
          </cell>
          <cell r="GH1214">
            <v>13.982143405445317</v>
          </cell>
          <cell r="GI1214">
            <v>10.408007395026372</v>
          </cell>
          <cell r="GJ1214">
            <v>7.7337520878462023</v>
          </cell>
          <cell r="GK1214">
            <v>13.082262702206542</v>
          </cell>
        </row>
        <row r="1215">
          <cell r="A1215">
            <v>41159</v>
          </cell>
          <cell r="FR1215">
            <v>17.547161320754714</v>
          </cell>
          <cell r="FS1215">
            <v>22.314663874962239</v>
          </cell>
          <cell r="FT1215">
            <v>20.116606119778133</v>
          </cell>
          <cell r="FU1215">
            <v>17.065595346429742</v>
          </cell>
          <cell r="FV1215">
            <v>23.167616893126525</v>
          </cell>
          <cell r="GG1215">
            <v>9.5298344767782925</v>
          </cell>
          <cell r="GH1215">
            <v>13.982143405445317</v>
          </cell>
          <cell r="GI1215">
            <v>10.408007395026372</v>
          </cell>
          <cell r="GJ1215">
            <v>7.7337520878462023</v>
          </cell>
          <cell r="GK1215">
            <v>13.082262702206542</v>
          </cell>
        </row>
        <row r="1216">
          <cell r="A1216">
            <v>41162</v>
          </cell>
          <cell r="FR1216">
            <v>17.386785849056604</v>
          </cell>
          <cell r="FS1216">
            <v>22.314663874962239</v>
          </cell>
          <cell r="FT1216">
            <v>20.116606119778133</v>
          </cell>
          <cell r="FU1216">
            <v>17.065595346429742</v>
          </cell>
          <cell r="FV1216">
            <v>23.167616893126525</v>
          </cell>
          <cell r="GG1216">
            <v>9.4780848784717815</v>
          </cell>
          <cell r="GH1216">
            <v>13.982143405445317</v>
          </cell>
          <cell r="GI1216">
            <v>10.408007395026372</v>
          </cell>
          <cell r="GJ1216">
            <v>7.7337520878462023</v>
          </cell>
          <cell r="GK1216">
            <v>13.082262702206542</v>
          </cell>
        </row>
        <row r="1217">
          <cell r="A1217">
            <v>41163</v>
          </cell>
          <cell r="FR1217">
            <v>17.452830188679243</v>
          </cell>
          <cell r="FS1217">
            <v>22.314663874962239</v>
          </cell>
          <cell r="FT1217">
            <v>20.116606119778133</v>
          </cell>
          <cell r="FU1217">
            <v>17.065595346429742</v>
          </cell>
          <cell r="FV1217">
            <v>23.167616893126525</v>
          </cell>
          <cell r="GG1217">
            <v>9.4871085720115289</v>
          </cell>
          <cell r="GH1217">
            <v>13.982143405445317</v>
          </cell>
          <cell r="GI1217">
            <v>10.408007395026372</v>
          </cell>
          <cell r="GJ1217">
            <v>7.7337520878462023</v>
          </cell>
          <cell r="GK1217">
            <v>13.082262702206542</v>
          </cell>
        </row>
        <row r="1218">
          <cell r="A1218">
            <v>41164</v>
          </cell>
          <cell r="FR1218">
            <v>17.377357547169812</v>
          </cell>
          <cell r="FS1218">
            <v>22.314663874962239</v>
          </cell>
          <cell r="FT1218">
            <v>20.116606119778133</v>
          </cell>
          <cell r="FU1218">
            <v>17.065595346429742</v>
          </cell>
          <cell r="FV1218">
            <v>23.167616893126525</v>
          </cell>
          <cell r="GG1218">
            <v>9.3559384325027413</v>
          </cell>
          <cell r="GH1218">
            <v>13.982143405445317</v>
          </cell>
          <cell r="GI1218">
            <v>10.408007395026372</v>
          </cell>
          <cell r="GJ1218">
            <v>7.7337520878462023</v>
          </cell>
          <cell r="GK1218">
            <v>13.082262702206542</v>
          </cell>
        </row>
        <row r="1219">
          <cell r="A1219">
            <v>41165</v>
          </cell>
          <cell r="FR1219">
            <v>17.443387735849054</v>
          </cell>
          <cell r="FS1219">
            <v>22.314663874962239</v>
          </cell>
          <cell r="FT1219">
            <v>20.116606119778133</v>
          </cell>
          <cell r="FU1219">
            <v>17.065595346429742</v>
          </cell>
          <cell r="FV1219">
            <v>23.167616893126525</v>
          </cell>
          <cell r="GG1219">
            <v>9.3818128490907711</v>
          </cell>
          <cell r="GH1219">
            <v>13.982143405445317</v>
          </cell>
          <cell r="GI1219">
            <v>10.408007395026372</v>
          </cell>
          <cell r="GJ1219">
            <v>7.7337520878462023</v>
          </cell>
          <cell r="GK1219">
            <v>13.082262702206542</v>
          </cell>
        </row>
        <row r="1220">
          <cell r="A1220">
            <v>41166</v>
          </cell>
          <cell r="FR1220">
            <v>17.773582075471698</v>
          </cell>
          <cell r="FS1220">
            <v>22.314663874962239</v>
          </cell>
          <cell r="FT1220">
            <v>20.116606119778133</v>
          </cell>
          <cell r="FU1220">
            <v>17.065595346429742</v>
          </cell>
          <cell r="FV1220">
            <v>23.167616893126525</v>
          </cell>
          <cell r="GG1220">
            <v>9.3559384325027413</v>
          </cell>
          <cell r="GH1220">
            <v>13.982143405445317</v>
          </cell>
          <cell r="GI1220">
            <v>10.408007395026372</v>
          </cell>
          <cell r="GJ1220">
            <v>7.7337520878462023</v>
          </cell>
          <cell r="GK1220">
            <v>13.082262702206542</v>
          </cell>
        </row>
        <row r="1221">
          <cell r="A1221">
            <v>41169</v>
          </cell>
          <cell r="FR1221">
            <v>17.67923679245283</v>
          </cell>
          <cell r="FS1221">
            <v>22.314663874962239</v>
          </cell>
          <cell r="FT1221">
            <v>20.116606119778133</v>
          </cell>
          <cell r="FU1221">
            <v>17.065595346429742</v>
          </cell>
          <cell r="FV1221">
            <v>23.167616893126525</v>
          </cell>
          <cell r="GG1221">
            <v>9.3577469458542684</v>
          </cell>
          <cell r="GH1221">
            <v>13.982143405445317</v>
          </cell>
          <cell r="GI1221">
            <v>10.408007395026372</v>
          </cell>
          <cell r="GJ1221">
            <v>7.7337520878462023</v>
          </cell>
          <cell r="GK1221">
            <v>13.082262702206542</v>
          </cell>
        </row>
        <row r="1222">
          <cell r="A1222">
            <v>41170</v>
          </cell>
          <cell r="FR1222">
            <v>17.698108490566035</v>
          </cell>
          <cell r="FS1222">
            <v>22.314663874962239</v>
          </cell>
          <cell r="FT1222">
            <v>20.116606119778133</v>
          </cell>
          <cell r="FU1222">
            <v>17.065595346429742</v>
          </cell>
          <cell r="FV1222">
            <v>23.167616893126525</v>
          </cell>
          <cell r="GG1222">
            <v>9.4991481547603858</v>
          </cell>
          <cell r="GH1222">
            <v>13.982143405445317</v>
          </cell>
          <cell r="GI1222">
            <v>10.408007395026372</v>
          </cell>
          <cell r="GJ1222">
            <v>7.7337520878462023</v>
          </cell>
          <cell r="GK1222">
            <v>13.082262702206542</v>
          </cell>
        </row>
        <row r="1223">
          <cell r="A1223">
            <v>41171</v>
          </cell>
          <cell r="FR1223">
            <v>17.707537735849055</v>
          </cell>
          <cell r="FS1223">
            <v>22.314663874962239</v>
          </cell>
          <cell r="FT1223">
            <v>20.116606119778133</v>
          </cell>
          <cell r="FU1223">
            <v>17.065595346429742</v>
          </cell>
          <cell r="FV1223">
            <v>23.167616893126525</v>
          </cell>
          <cell r="GG1223">
            <v>9.4804942742737648</v>
          </cell>
          <cell r="GH1223">
            <v>13.982143405445317</v>
          </cell>
          <cell r="GI1223">
            <v>10.408007395026372</v>
          </cell>
          <cell r="GJ1223">
            <v>7.7337520878462023</v>
          </cell>
          <cell r="GK1223">
            <v>13.082262702206542</v>
          </cell>
        </row>
        <row r="1224">
          <cell r="A1224">
            <v>41172</v>
          </cell>
          <cell r="FR1224">
            <v>17.388887962962961</v>
          </cell>
          <cell r="FS1224">
            <v>22.314663874962239</v>
          </cell>
          <cell r="FT1224">
            <v>20.116606119778133</v>
          </cell>
          <cell r="FU1224">
            <v>17.065595346429742</v>
          </cell>
          <cell r="FV1224">
            <v>23.167616893126525</v>
          </cell>
          <cell r="GG1224">
            <v>9.3709946411579104</v>
          </cell>
          <cell r="GH1224">
            <v>13.982143405445317</v>
          </cell>
          <cell r="GI1224">
            <v>10.408007395026372</v>
          </cell>
          <cell r="GJ1224">
            <v>7.7337520878462023</v>
          </cell>
          <cell r="GK1224">
            <v>13.082262702206542</v>
          </cell>
        </row>
        <row r="1225">
          <cell r="A1225">
            <v>41173</v>
          </cell>
          <cell r="FR1225">
            <v>17.564801851851851</v>
          </cell>
          <cell r="FS1225">
            <v>22.314663874962239</v>
          </cell>
          <cell r="FT1225">
            <v>20.116606119778133</v>
          </cell>
          <cell r="FU1225">
            <v>17.065595346429742</v>
          </cell>
          <cell r="FV1225">
            <v>23.167616893126525</v>
          </cell>
          <cell r="GG1225">
            <v>9.4418891170431234</v>
          </cell>
          <cell r="GH1225">
            <v>13.982143405445317</v>
          </cell>
          <cell r="GI1225">
            <v>10.408007395026372</v>
          </cell>
          <cell r="GJ1225">
            <v>7.7337520878462023</v>
          </cell>
          <cell r="GK1225">
            <v>13.082262702206542</v>
          </cell>
        </row>
        <row r="1226">
          <cell r="A1226">
            <v>41176</v>
          </cell>
          <cell r="FR1226">
            <v>17.453695370370369</v>
          </cell>
          <cell r="FS1226">
            <v>22.314663874962239</v>
          </cell>
          <cell r="FT1226">
            <v>20.116606119778133</v>
          </cell>
          <cell r="FU1226">
            <v>17.065595346429742</v>
          </cell>
          <cell r="FV1226">
            <v>23.167616893126525</v>
          </cell>
          <cell r="GG1226">
            <v>9.3834056192717998</v>
          </cell>
          <cell r="GH1226">
            <v>13.982143405445317</v>
          </cell>
          <cell r="GI1226">
            <v>10.408007395026372</v>
          </cell>
          <cell r="GJ1226">
            <v>7.7337520878462023</v>
          </cell>
          <cell r="GK1226">
            <v>13.082262702206542</v>
          </cell>
        </row>
        <row r="1227">
          <cell r="A1227">
            <v>41177</v>
          </cell>
          <cell r="FR1227">
            <v>17.249990740740738</v>
          </cell>
          <cell r="FS1227">
            <v>22.314663874962239</v>
          </cell>
          <cell r="FT1227">
            <v>20.116606119778133</v>
          </cell>
          <cell r="FU1227">
            <v>17.065595346429742</v>
          </cell>
          <cell r="FV1227">
            <v>23.167616893126525</v>
          </cell>
          <cell r="GG1227">
            <v>9.4460304502429029</v>
          </cell>
          <cell r="GH1227">
            <v>13.982143405445317</v>
          </cell>
          <cell r="GI1227">
            <v>10.408007395026372</v>
          </cell>
          <cell r="GJ1227">
            <v>7.7337520878462023</v>
          </cell>
          <cell r="GK1227">
            <v>13.082262702206542</v>
          </cell>
        </row>
        <row r="1228">
          <cell r="A1228">
            <v>41178</v>
          </cell>
          <cell r="FR1228">
            <v>17.166661111111111</v>
          </cell>
          <cell r="FS1228">
            <v>22.314663874962239</v>
          </cell>
          <cell r="FT1228">
            <v>20.116606119778133</v>
          </cell>
          <cell r="FU1228">
            <v>17.065595346429742</v>
          </cell>
          <cell r="FV1228">
            <v>23.167616893126525</v>
          </cell>
          <cell r="GG1228">
            <v>9.229212200130215</v>
          </cell>
          <cell r="GH1228">
            <v>13.982143405445317</v>
          </cell>
          <cell r="GI1228">
            <v>10.408007395026372</v>
          </cell>
          <cell r="GJ1228">
            <v>7.7337520878462023</v>
          </cell>
          <cell r="GK1228">
            <v>13.082262702206542</v>
          </cell>
        </row>
        <row r="1229">
          <cell r="A1229">
            <v>41179</v>
          </cell>
          <cell r="FR1229">
            <v>17.379620370370368</v>
          </cell>
          <cell r="FS1229">
            <v>22.314663874962239</v>
          </cell>
          <cell r="FT1229">
            <v>20.116606119778133</v>
          </cell>
          <cell r="FU1229">
            <v>17.065595346429742</v>
          </cell>
          <cell r="FV1229">
            <v>23.167616893126525</v>
          </cell>
          <cell r="GG1229">
            <v>9.3154655181048724</v>
          </cell>
          <cell r="GH1229">
            <v>13.982143405445317</v>
          </cell>
          <cell r="GI1229">
            <v>10.408007395026372</v>
          </cell>
          <cell r="GJ1229">
            <v>7.7337520878462023</v>
          </cell>
          <cell r="GK1229">
            <v>13.082262702206542</v>
          </cell>
        </row>
        <row r="1230">
          <cell r="A1230">
            <v>41180</v>
          </cell>
          <cell r="FR1230">
            <v>17.138884259259257</v>
          </cell>
          <cell r="FS1230">
            <v>22.314663874962239</v>
          </cell>
          <cell r="FT1230">
            <v>20.116606119778133</v>
          </cell>
          <cell r="FU1230">
            <v>17.065595346429742</v>
          </cell>
          <cell r="FV1230">
            <v>23.167616893126525</v>
          </cell>
          <cell r="GG1230">
            <v>9.2510657585015288</v>
          </cell>
          <cell r="GH1230">
            <v>13.982143405445317</v>
          </cell>
          <cell r="GI1230">
            <v>10.408007395026372</v>
          </cell>
          <cell r="GJ1230">
            <v>7.7337520878462023</v>
          </cell>
          <cell r="GK1230">
            <v>13.082262702206542</v>
          </cell>
        </row>
        <row r="1231">
          <cell r="A1231">
            <v>41183</v>
          </cell>
          <cell r="FR1231">
            <v>17.47332037037037</v>
          </cell>
          <cell r="FS1231">
            <v>22.314663874962239</v>
          </cell>
          <cell r="FT1231">
            <v>20.116606119778133</v>
          </cell>
          <cell r="FU1231">
            <v>17.065595346429742</v>
          </cell>
          <cell r="FV1231">
            <v>23.167616893126525</v>
          </cell>
          <cell r="GG1231">
            <v>9.4696599388991824</v>
          </cell>
          <cell r="GH1231">
            <v>13.982143405445317</v>
          </cell>
          <cell r="GI1231">
            <v>10.408007395026372</v>
          </cell>
          <cell r="GJ1231">
            <v>7.7337520878462023</v>
          </cell>
          <cell r="GK1231">
            <v>13.082262702206542</v>
          </cell>
        </row>
        <row r="1232">
          <cell r="A1232">
            <v>41184</v>
          </cell>
          <cell r="FR1232">
            <v>17.648146296296296</v>
          </cell>
          <cell r="FS1232">
            <v>22.314663874962239</v>
          </cell>
          <cell r="FT1232">
            <v>20.116606119778133</v>
          </cell>
          <cell r="FU1232">
            <v>17.065595346429742</v>
          </cell>
          <cell r="FV1232">
            <v>23.167616893126525</v>
          </cell>
          <cell r="GG1232">
            <v>9.4749737066159163</v>
          </cell>
          <cell r="GH1232">
            <v>13.982143405445317</v>
          </cell>
          <cell r="GI1232">
            <v>10.408007395026372</v>
          </cell>
          <cell r="GJ1232">
            <v>7.7337520878462023</v>
          </cell>
          <cell r="GK1232">
            <v>13.082262702206542</v>
          </cell>
        </row>
        <row r="1233">
          <cell r="A1233">
            <v>41185</v>
          </cell>
          <cell r="FR1233">
            <v>17.675923148148147</v>
          </cell>
          <cell r="FS1233">
            <v>22.314663874962239</v>
          </cell>
          <cell r="FT1233">
            <v>20.116606119778133</v>
          </cell>
          <cell r="FU1233">
            <v>17.065595346429742</v>
          </cell>
          <cell r="FV1233">
            <v>23.167616893126525</v>
          </cell>
          <cell r="GG1233">
            <v>9.5009690990133731</v>
          </cell>
          <cell r="GH1233">
            <v>13.982143405445317</v>
          </cell>
          <cell r="GI1233">
            <v>10.408007395026372</v>
          </cell>
          <cell r="GJ1233">
            <v>7.7337520878462023</v>
          </cell>
          <cell r="GK1233">
            <v>13.082262702206542</v>
          </cell>
        </row>
        <row r="1234">
          <cell r="A1234">
            <v>41186</v>
          </cell>
          <cell r="FR1234">
            <v>17.777774999999998</v>
          </cell>
          <cell r="FS1234">
            <v>22.314663874962239</v>
          </cell>
          <cell r="FT1234">
            <v>20.116606119778133</v>
          </cell>
          <cell r="FU1234">
            <v>17.065595346429742</v>
          </cell>
          <cell r="FV1234">
            <v>23.167616893126525</v>
          </cell>
          <cell r="GG1234">
            <v>9.5009690990133731</v>
          </cell>
          <cell r="GH1234">
            <v>13.982143405445317</v>
          </cell>
          <cell r="GI1234">
            <v>10.408007395026372</v>
          </cell>
          <cell r="GJ1234">
            <v>7.7337520878462023</v>
          </cell>
          <cell r="GK1234">
            <v>13.082262702206542</v>
          </cell>
        </row>
        <row r="1235">
          <cell r="A1235">
            <v>41187</v>
          </cell>
          <cell r="FR1235">
            <v>17.777774999999998</v>
          </cell>
          <cell r="FS1235">
            <v>22.314663874962239</v>
          </cell>
          <cell r="FT1235">
            <v>20.116606119778133</v>
          </cell>
          <cell r="FU1235">
            <v>17.065595346429742</v>
          </cell>
          <cell r="FV1235">
            <v>23.167616893126525</v>
          </cell>
          <cell r="GG1235">
            <v>9.5228294185405922</v>
          </cell>
          <cell r="GH1235">
            <v>13.982143405445317</v>
          </cell>
          <cell r="GI1235">
            <v>10.408007395026372</v>
          </cell>
          <cell r="GJ1235">
            <v>7.7337520878462023</v>
          </cell>
          <cell r="GK1235">
            <v>13.082262702206542</v>
          </cell>
        </row>
        <row r="1236">
          <cell r="A1236">
            <v>41190</v>
          </cell>
          <cell r="FR1236">
            <v>17.69443148148148</v>
          </cell>
          <cell r="FS1236">
            <v>22.314663874962239</v>
          </cell>
          <cell r="FT1236">
            <v>20.116606119778133</v>
          </cell>
          <cell r="FU1236">
            <v>17.065595346429742</v>
          </cell>
          <cell r="FV1236">
            <v>23.167616893126525</v>
          </cell>
          <cell r="GG1236">
            <v>9.5021550558421417</v>
          </cell>
          <cell r="GH1236">
            <v>13.982143405445317</v>
          </cell>
          <cell r="GI1236">
            <v>10.408007395026372</v>
          </cell>
          <cell r="GJ1236">
            <v>7.7337520878462023</v>
          </cell>
          <cell r="GK1236">
            <v>13.082262702206542</v>
          </cell>
        </row>
        <row r="1237">
          <cell r="A1237">
            <v>41191</v>
          </cell>
          <cell r="FR1237">
            <v>17.370365740740741</v>
          </cell>
          <cell r="FS1237">
            <v>22.314663874962239</v>
          </cell>
          <cell r="FT1237">
            <v>20.116606119778133</v>
          </cell>
          <cell r="FU1237">
            <v>17.065595346429742</v>
          </cell>
          <cell r="FV1237">
            <v>23.167616893126525</v>
          </cell>
          <cell r="GG1237">
            <v>9.3975860169279333</v>
          </cell>
          <cell r="GH1237">
            <v>13.982143405445317</v>
          </cell>
          <cell r="GI1237">
            <v>10.408007395026372</v>
          </cell>
          <cell r="GJ1237">
            <v>7.7337520878462023</v>
          </cell>
          <cell r="GK1237">
            <v>13.082262702206542</v>
          </cell>
        </row>
        <row r="1238">
          <cell r="A1238">
            <v>41192</v>
          </cell>
          <cell r="FR1238">
            <v>17.296289814814813</v>
          </cell>
          <cell r="FS1238">
            <v>22.314663874962239</v>
          </cell>
          <cell r="FT1238">
            <v>20.116606119778133</v>
          </cell>
          <cell r="FU1238">
            <v>17.065595346429742</v>
          </cell>
          <cell r="FV1238">
            <v>23.167616893126525</v>
          </cell>
          <cell r="GG1238">
            <v>9.3698151950718689</v>
          </cell>
          <cell r="GH1238">
            <v>13.982143405445317</v>
          </cell>
          <cell r="GI1238">
            <v>10.408007395026372</v>
          </cell>
          <cell r="GJ1238">
            <v>7.7337520878462023</v>
          </cell>
          <cell r="GK1238">
            <v>13.082262702206542</v>
          </cell>
        </row>
        <row r="1239">
          <cell r="A1239">
            <v>41193</v>
          </cell>
          <cell r="FR1239">
            <v>16.759250925925926</v>
          </cell>
          <cell r="FS1239">
            <v>22.314663874962239</v>
          </cell>
          <cell r="FT1239">
            <v>20.116606119778133</v>
          </cell>
          <cell r="FU1239">
            <v>17.065595346429742</v>
          </cell>
          <cell r="FV1239">
            <v>23.167616893126525</v>
          </cell>
          <cell r="GG1239">
            <v>9.2114864526468683</v>
          </cell>
          <cell r="GH1239">
            <v>13.982143405445317</v>
          </cell>
          <cell r="GI1239">
            <v>10.408007395026372</v>
          </cell>
          <cell r="GJ1239">
            <v>7.7337520878462023</v>
          </cell>
          <cell r="GK1239">
            <v>13.082262702206542</v>
          </cell>
        </row>
        <row r="1240">
          <cell r="A1240">
            <v>41194</v>
          </cell>
          <cell r="FR1240">
            <v>16.62036759259259</v>
          </cell>
          <cell r="FS1240">
            <v>22.314663874962239</v>
          </cell>
          <cell r="FT1240">
            <v>20.116606119778133</v>
          </cell>
          <cell r="FU1240">
            <v>17.065595346429742</v>
          </cell>
          <cell r="FV1240">
            <v>23.167616893126525</v>
          </cell>
          <cell r="GG1240">
            <v>9.2114864526468683</v>
          </cell>
          <cell r="GH1240">
            <v>13.982143405445317</v>
          </cell>
          <cell r="GI1240">
            <v>10.408007395026372</v>
          </cell>
          <cell r="GJ1240">
            <v>7.7337520878462023</v>
          </cell>
          <cell r="GK1240">
            <v>13.082262702206542</v>
          </cell>
        </row>
        <row r="1241">
          <cell r="A1241">
            <v>41197</v>
          </cell>
          <cell r="FR1241">
            <v>16.731475</v>
          </cell>
          <cell r="FS1241">
            <v>22.314663874962239</v>
          </cell>
          <cell r="FT1241">
            <v>20.116606119778133</v>
          </cell>
          <cell r="FU1241">
            <v>17.065595346429742</v>
          </cell>
          <cell r="FV1241">
            <v>23.167616893126525</v>
          </cell>
          <cell r="GG1241">
            <v>8.9539031902639366</v>
          </cell>
          <cell r="GH1241">
            <v>13.982143405445317</v>
          </cell>
          <cell r="GI1241">
            <v>10.408007395026372</v>
          </cell>
          <cell r="GJ1241">
            <v>7.7337520878462023</v>
          </cell>
          <cell r="GK1241">
            <v>13.082262702206542</v>
          </cell>
        </row>
        <row r="1242">
          <cell r="A1242">
            <v>41198</v>
          </cell>
          <cell r="FR1242">
            <v>16.999987037037034</v>
          </cell>
          <cell r="FS1242">
            <v>22.314663874962239</v>
          </cell>
          <cell r="FT1242">
            <v>20.116606119778133</v>
          </cell>
          <cell r="FU1242">
            <v>17.065595346429742</v>
          </cell>
          <cell r="FV1242">
            <v>23.167616893126525</v>
          </cell>
          <cell r="GG1242">
            <v>9.1340917513897928</v>
          </cell>
          <cell r="GH1242">
            <v>13.982143405445317</v>
          </cell>
          <cell r="GI1242">
            <v>10.408007395026372</v>
          </cell>
          <cell r="GJ1242">
            <v>7.7337520878462023</v>
          </cell>
          <cell r="GK1242">
            <v>13.082262702206542</v>
          </cell>
        </row>
        <row r="1243">
          <cell r="A1243">
            <v>41199</v>
          </cell>
          <cell r="FR1243">
            <v>17.212960185185185</v>
          </cell>
          <cell r="FS1243">
            <v>22.314663874962239</v>
          </cell>
          <cell r="FT1243">
            <v>20.116606119778133</v>
          </cell>
          <cell r="FU1243">
            <v>17.065595346429742</v>
          </cell>
          <cell r="FV1243">
            <v>23.167616893126525</v>
          </cell>
          <cell r="GG1243">
            <v>9.1978965292733008</v>
          </cell>
          <cell r="GH1243">
            <v>13.982143405445317</v>
          </cell>
          <cell r="GI1243">
            <v>10.408007395026372</v>
          </cell>
          <cell r="GJ1243">
            <v>7.7337520878462023</v>
          </cell>
          <cell r="GK1243">
            <v>13.082262702206542</v>
          </cell>
        </row>
        <row r="1244">
          <cell r="A1244">
            <v>41200</v>
          </cell>
          <cell r="FR1244">
            <v>16.770263302752291</v>
          </cell>
          <cell r="FS1244">
            <v>22.314663874962239</v>
          </cell>
          <cell r="FT1244">
            <v>20.116606119778133</v>
          </cell>
          <cell r="FU1244">
            <v>17.065595346429742</v>
          </cell>
          <cell r="FV1244">
            <v>23.167616893126525</v>
          </cell>
          <cell r="GG1244">
            <v>9.0450674210513196</v>
          </cell>
          <cell r="GH1244">
            <v>13.982143405445317</v>
          </cell>
          <cell r="GI1244">
            <v>10.408007395026372</v>
          </cell>
          <cell r="GJ1244">
            <v>7.7337520878462023</v>
          </cell>
          <cell r="GK1244">
            <v>13.082262702206542</v>
          </cell>
        </row>
        <row r="1245">
          <cell r="A1245">
            <v>41201</v>
          </cell>
          <cell r="FR1245">
            <v>15.816505504587155</v>
          </cell>
          <cell r="FS1245">
            <v>22.314663874962239</v>
          </cell>
          <cell r="FT1245">
            <v>20.116606119778133</v>
          </cell>
          <cell r="FU1245">
            <v>17.065595346429742</v>
          </cell>
          <cell r="FV1245">
            <v>23.167616893126525</v>
          </cell>
          <cell r="GG1245">
            <v>8.5711153759876382</v>
          </cell>
          <cell r="GH1245">
            <v>13.982143405445317</v>
          </cell>
          <cell r="GI1245">
            <v>10.408007395026372</v>
          </cell>
          <cell r="GJ1245">
            <v>7.7337520878462023</v>
          </cell>
          <cell r="GK1245">
            <v>13.082262702206542</v>
          </cell>
        </row>
        <row r="1246">
          <cell r="A1246">
            <v>41204</v>
          </cell>
          <cell r="FR1246">
            <v>16.045863302752291</v>
          </cell>
          <cell r="FS1246">
            <v>22.314663874962239</v>
          </cell>
          <cell r="FT1246">
            <v>20.116606119778133</v>
          </cell>
          <cell r="FU1246">
            <v>17.065595346429742</v>
          </cell>
          <cell r="FV1246">
            <v>23.167616893126525</v>
          </cell>
          <cell r="GG1246">
            <v>8.5464158420777157</v>
          </cell>
          <cell r="GH1246">
            <v>13.982143405445317</v>
          </cell>
          <cell r="GI1246">
            <v>10.408007395026372</v>
          </cell>
          <cell r="GJ1246">
            <v>7.7337520878462023</v>
          </cell>
          <cell r="GK1246">
            <v>13.082262702206542</v>
          </cell>
        </row>
        <row r="1247">
          <cell r="A1247">
            <v>41205</v>
          </cell>
          <cell r="FR1247">
            <v>15.972466972477063</v>
          </cell>
          <cell r="FS1247">
            <v>22.314663874962239</v>
          </cell>
          <cell r="FT1247">
            <v>20.116606119778133</v>
          </cell>
          <cell r="FU1247">
            <v>17.065595346429742</v>
          </cell>
          <cell r="FV1247">
            <v>23.167616893126525</v>
          </cell>
          <cell r="GG1247">
            <v>8.6363824431095928</v>
          </cell>
          <cell r="GH1247">
            <v>13.982143405445317</v>
          </cell>
          <cell r="GI1247">
            <v>10.408007395026372</v>
          </cell>
          <cell r="GJ1247">
            <v>7.7337520878462023</v>
          </cell>
          <cell r="GK1247">
            <v>13.082262702206542</v>
          </cell>
        </row>
        <row r="1248">
          <cell r="A1248">
            <v>41206</v>
          </cell>
          <cell r="FR1248">
            <v>16.018341284403668</v>
          </cell>
          <cell r="FS1248">
            <v>22.314663874962239</v>
          </cell>
          <cell r="FT1248">
            <v>20.116606119778133</v>
          </cell>
          <cell r="FU1248">
            <v>17.065595346429742</v>
          </cell>
          <cell r="FV1248">
            <v>23.167616893126525</v>
          </cell>
          <cell r="GG1248">
            <v>8.733408190224571</v>
          </cell>
          <cell r="GH1248">
            <v>13.982143405445317</v>
          </cell>
          <cell r="GI1248">
            <v>10.408007395026372</v>
          </cell>
          <cell r="GJ1248">
            <v>7.7337520878462023</v>
          </cell>
          <cell r="GK1248">
            <v>13.082262702206542</v>
          </cell>
        </row>
        <row r="1249">
          <cell r="A1249">
            <v>41207</v>
          </cell>
          <cell r="FR1249">
            <v>16.119259633027522</v>
          </cell>
          <cell r="FS1249">
            <v>22.314663874962239</v>
          </cell>
          <cell r="FT1249">
            <v>20.116606119778133</v>
          </cell>
          <cell r="FU1249">
            <v>17.065595346429742</v>
          </cell>
          <cell r="FV1249">
            <v>23.167616893126525</v>
          </cell>
          <cell r="GG1249">
            <v>8.7216487624934587</v>
          </cell>
          <cell r="GH1249">
            <v>13.982143405445317</v>
          </cell>
          <cell r="GI1249">
            <v>10.408007395026372</v>
          </cell>
          <cell r="GJ1249">
            <v>7.7337520878462023</v>
          </cell>
          <cell r="GK1249">
            <v>13.082262702206542</v>
          </cell>
        </row>
        <row r="1250">
          <cell r="A1250">
            <v>41208</v>
          </cell>
          <cell r="FR1250">
            <v>16.174302752293578</v>
          </cell>
          <cell r="FS1250">
            <v>22.314663874962239</v>
          </cell>
          <cell r="FT1250">
            <v>20.116606119778133</v>
          </cell>
          <cell r="FU1250">
            <v>17.065595346429742</v>
          </cell>
          <cell r="FV1250">
            <v>23.167616893126525</v>
          </cell>
          <cell r="GG1250">
            <v>8.7486964432591421</v>
          </cell>
          <cell r="GH1250">
            <v>13.982143405445317</v>
          </cell>
          <cell r="GI1250">
            <v>10.408007395026372</v>
          </cell>
          <cell r="GJ1250">
            <v>7.7337520878462023</v>
          </cell>
          <cell r="GK1250">
            <v>13.082262702206542</v>
          </cell>
        </row>
        <row r="1251">
          <cell r="A1251">
            <v>41211</v>
          </cell>
          <cell r="FR1251">
            <v>16.174302752293578</v>
          </cell>
          <cell r="FS1251">
            <v>22.314663874962239</v>
          </cell>
          <cell r="FT1251">
            <v>20.116606119778133</v>
          </cell>
          <cell r="FU1251">
            <v>17.065595346429742</v>
          </cell>
          <cell r="FV1251">
            <v>23.167616893126525</v>
          </cell>
          <cell r="GG1251">
            <v>8.7486964432591421</v>
          </cell>
          <cell r="GH1251">
            <v>13.982143405445317</v>
          </cell>
          <cell r="GI1251">
            <v>10.408007395026372</v>
          </cell>
          <cell r="GJ1251">
            <v>7.7337520878462023</v>
          </cell>
          <cell r="GK1251">
            <v>13.082262702206542</v>
          </cell>
        </row>
        <row r="1252">
          <cell r="A1252">
            <v>41212</v>
          </cell>
          <cell r="FR1252">
            <v>16.174302752293578</v>
          </cell>
          <cell r="FS1252">
            <v>22.314663874962239</v>
          </cell>
          <cell r="FT1252">
            <v>20.116606119778133</v>
          </cell>
          <cell r="FU1252">
            <v>17.065595346429742</v>
          </cell>
          <cell r="FV1252">
            <v>23.167616893126525</v>
          </cell>
          <cell r="GG1252">
            <v>8.7486964432591421</v>
          </cell>
          <cell r="GH1252">
            <v>13.982143405445317</v>
          </cell>
          <cell r="GI1252">
            <v>10.408007395026372</v>
          </cell>
          <cell r="GJ1252">
            <v>7.7337520878462023</v>
          </cell>
          <cell r="GK1252">
            <v>13.082262702206542</v>
          </cell>
        </row>
        <row r="1253">
          <cell r="A1253">
            <v>41213</v>
          </cell>
          <cell r="FR1253">
            <v>16.009171559633025</v>
          </cell>
          <cell r="FS1253">
            <v>22.314663874962239</v>
          </cell>
          <cell r="FT1253">
            <v>20.116606119778133</v>
          </cell>
          <cell r="FU1253">
            <v>17.065595346429742</v>
          </cell>
          <cell r="FV1253">
            <v>23.167616893126525</v>
          </cell>
          <cell r="GG1253">
            <v>8.6722559258243823</v>
          </cell>
          <cell r="GH1253">
            <v>13.982143405445317</v>
          </cell>
          <cell r="GI1253">
            <v>10.408007395026372</v>
          </cell>
          <cell r="GJ1253">
            <v>7.7337520878462023</v>
          </cell>
          <cell r="GK1253">
            <v>13.082262702206542</v>
          </cell>
        </row>
        <row r="1254">
          <cell r="A1254">
            <v>41214</v>
          </cell>
          <cell r="FR1254">
            <v>16.275136697247707</v>
          </cell>
          <cell r="FS1254">
            <v>22.314663874962239</v>
          </cell>
          <cell r="FT1254">
            <v>20.116606119778133</v>
          </cell>
          <cell r="FU1254">
            <v>17.065595346429742</v>
          </cell>
          <cell r="FV1254">
            <v>23.167616893126525</v>
          </cell>
          <cell r="GG1254">
            <v>8.8521913711024158</v>
          </cell>
          <cell r="GH1254">
            <v>13.982143405445317</v>
          </cell>
          <cell r="GI1254">
            <v>10.408007395026372</v>
          </cell>
          <cell r="GJ1254">
            <v>7.7337520878462023</v>
          </cell>
          <cell r="GK1254">
            <v>13.082262702206542</v>
          </cell>
        </row>
        <row r="1255">
          <cell r="A1255">
            <v>41215</v>
          </cell>
          <cell r="FR1255">
            <v>15.990819266055045</v>
          </cell>
          <cell r="FS1255">
            <v>22.314663874962239</v>
          </cell>
          <cell r="FT1255">
            <v>20.116606119778133</v>
          </cell>
          <cell r="FU1255">
            <v>17.065595346429742</v>
          </cell>
          <cell r="FV1255">
            <v>23.167616893126525</v>
          </cell>
          <cell r="GG1255">
            <v>8.8992365594077913</v>
          </cell>
          <cell r="GH1255">
            <v>13.982143405445317</v>
          </cell>
          <cell r="GI1255">
            <v>10.408007395026372</v>
          </cell>
          <cell r="GJ1255">
            <v>7.7337520878462023</v>
          </cell>
          <cell r="GK1255">
            <v>13.082262702206542</v>
          </cell>
        </row>
        <row r="1256">
          <cell r="A1256">
            <v>41218</v>
          </cell>
          <cell r="FR1256">
            <v>16.174302752293578</v>
          </cell>
          <cell r="FS1256">
            <v>22.314663874962239</v>
          </cell>
          <cell r="FT1256">
            <v>20.116606119778133</v>
          </cell>
          <cell r="FU1256">
            <v>17.065595346429742</v>
          </cell>
          <cell r="FV1256">
            <v>23.167616893126525</v>
          </cell>
          <cell r="GG1256">
            <v>8.9069888587024266</v>
          </cell>
          <cell r="GH1256">
            <v>13.982143405445317</v>
          </cell>
          <cell r="GI1256">
            <v>10.408007395026372</v>
          </cell>
          <cell r="GJ1256">
            <v>7.7337520878462023</v>
          </cell>
          <cell r="GK1256">
            <v>13.082262702206542</v>
          </cell>
        </row>
        <row r="1257">
          <cell r="A1257">
            <v>41219</v>
          </cell>
          <cell r="FR1257">
            <v>16.587144036697246</v>
          </cell>
          <cell r="FS1257">
            <v>22.314663874962239</v>
          </cell>
          <cell r="FT1257">
            <v>20.116606119778133</v>
          </cell>
          <cell r="FU1257">
            <v>17.065595346429742</v>
          </cell>
          <cell r="FV1257">
            <v>23.167616893126525</v>
          </cell>
          <cell r="GG1257">
            <v>9.0195124747638395</v>
          </cell>
          <cell r="GH1257">
            <v>13.982143405445317</v>
          </cell>
          <cell r="GI1257">
            <v>10.408007395026372</v>
          </cell>
          <cell r="GJ1257">
            <v>7.7337520878462023</v>
          </cell>
          <cell r="GK1257">
            <v>13.082262702206542</v>
          </cell>
        </row>
        <row r="1258">
          <cell r="A1258">
            <v>41220</v>
          </cell>
          <cell r="FR1258">
            <v>16.577975229357797</v>
          </cell>
          <cell r="FS1258">
            <v>22.314663874962239</v>
          </cell>
          <cell r="FT1258">
            <v>20.116606119778133</v>
          </cell>
          <cell r="FU1258">
            <v>17.065595346429742</v>
          </cell>
          <cell r="FV1258">
            <v>23.167616893126525</v>
          </cell>
          <cell r="GG1258">
            <v>8.9894658657560882</v>
          </cell>
          <cell r="GH1258">
            <v>13.982143405445317</v>
          </cell>
          <cell r="GI1258">
            <v>10.408007395026372</v>
          </cell>
          <cell r="GJ1258">
            <v>7.7337520878462023</v>
          </cell>
          <cell r="GK1258">
            <v>13.082262702206542</v>
          </cell>
        </row>
        <row r="1259">
          <cell r="A1259">
            <v>41221</v>
          </cell>
          <cell r="FR1259">
            <v>16.137611926605505</v>
          </cell>
          <cell r="FS1259">
            <v>22.314663874962239</v>
          </cell>
          <cell r="FT1259">
            <v>20.116606119778133</v>
          </cell>
          <cell r="FU1259">
            <v>17.065595346429742</v>
          </cell>
          <cell r="FV1259">
            <v>23.167616893126525</v>
          </cell>
          <cell r="GG1259">
            <v>9.0024251638792663</v>
          </cell>
          <cell r="GH1259">
            <v>13.982143405445317</v>
          </cell>
          <cell r="GI1259">
            <v>10.408007395026372</v>
          </cell>
          <cell r="GJ1259">
            <v>7.7337520878462023</v>
          </cell>
          <cell r="GK1259">
            <v>13.082262702206542</v>
          </cell>
        </row>
        <row r="1260">
          <cell r="A1260">
            <v>41222</v>
          </cell>
          <cell r="FR1260">
            <v>16.155950458715594</v>
          </cell>
          <cell r="FS1260">
            <v>22.314663874962239</v>
          </cell>
          <cell r="FT1260">
            <v>20.116606119778133</v>
          </cell>
          <cell r="FU1260">
            <v>17.065595346429742</v>
          </cell>
          <cell r="FV1260">
            <v>23.167616893126525</v>
          </cell>
          <cell r="GG1260">
            <v>8.991233020114155</v>
          </cell>
          <cell r="GH1260">
            <v>13.982143405445317</v>
          </cell>
          <cell r="GI1260">
            <v>10.408007395026372</v>
          </cell>
          <cell r="GJ1260">
            <v>7.7337520878462023</v>
          </cell>
          <cell r="GK1260">
            <v>13.082262702206542</v>
          </cell>
        </row>
        <row r="1261">
          <cell r="A1261">
            <v>41225</v>
          </cell>
          <cell r="FR1261">
            <v>16.027510091743117</v>
          </cell>
          <cell r="FS1261">
            <v>22.314663874962239</v>
          </cell>
          <cell r="FT1261">
            <v>20.116606119778133</v>
          </cell>
          <cell r="FU1261">
            <v>17.065595346429742</v>
          </cell>
          <cell r="FV1261">
            <v>23.167616893126525</v>
          </cell>
          <cell r="GG1261">
            <v>8.8398257770245028</v>
          </cell>
          <cell r="GH1261">
            <v>13.982143405445317</v>
          </cell>
          <cell r="GI1261">
            <v>10.408007395026372</v>
          </cell>
          <cell r="GJ1261">
            <v>7.7337520878462023</v>
          </cell>
          <cell r="GK1261">
            <v>13.082262702206542</v>
          </cell>
        </row>
        <row r="1262">
          <cell r="A1262">
            <v>41226</v>
          </cell>
          <cell r="FR1262">
            <v>15.93577614678899</v>
          </cell>
          <cell r="FS1262">
            <v>22.314663874962239</v>
          </cell>
          <cell r="FT1262">
            <v>20.116606119778133</v>
          </cell>
          <cell r="FU1262">
            <v>17.065595346429742</v>
          </cell>
          <cell r="FV1262">
            <v>23.167616893126525</v>
          </cell>
          <cell r="GG1262">
            <v>8.7868024226714194</v>
          </cell>
          <cell r="GH1262">
            <v>13.982143405445317</v>
          </cell>
          <cell r="GI1262">
            <v>10.408007395026372</v>
          </cell>
          <cell r="GJ1262">
            <v>7.7337520878462023</v>
          </cell>
          <cell r="GK1262">
            <v>13.082262702206542</v>
          </cell>
        </row>
        <row r="1263">
          <cell r="A1263">
            <v>41227</v>
          </cell>
          <cell r="FR1263">
            <v>15.981650458715595</v>
          </cell>
          <cell r="FS1263">
            <v>22.314663874962239</v>
          </cell>
          <cell r="FT1263">
            <v>20.116606119778133</v>
          </cell>
          <cell r="FU1263">
            <v>17.065595346429742</v>
          </cell>
          <cell r="FV1263">
            <v>23.167616893126525</v>
          </cell>
          <cell r="GG1263">
            <v>8.7485057700456128</v>
          </cell>
          <cell r="GH1263">
            <v>13.982143405445317</v>
          </cell>
          <cell r="GI1263">
            <v>10.408007395026372</v>
          </cell>
          <cell r="GJ1263">
            <v>7.7337520878462023</v>
          </cell>
          <cell r="GK1263">
            <v>13.082262702206542</v>
          </cell>
        </row>
        <row r="1264">
          <cell r="A1264">
            <v>41228</v>
          </cell>
          <cell r="FR1264">
            <v>15.898147222222223</v>
          </cell>
          <cell r="FS1264">
            <v>22.314663874962239</v>
          </cell>
          <cell r="FT1264">
            <v>20.116606119778133</v>
          </cell>
          <cell r="FU1264">
            <v>17.065595346429742</v>
          </cell>
          <cell r="FV1264">
            <v>23.167616893126525</v>
          </cell>
          <cell r="GG1264">
            <v>8.4726399276531268</v>
          </cell>
          <cell r="GH1264">
            <v>13.982143405445317</v>
          </cell>
          <cell r="GI1264">
            <v>10.408007395026372</v>
          </cell>
          <cell r="GJ1264">
            <v>7.7337520878462023</v>
          </cell>
          <cell r="GK1264">
            <v>13.082262702206542</v>
          </cell>
        </row>
        <row r="1265">
          <cell r="A1265">
            <v>41229</v>
          </cell>
          <cell r="FR1265">
            <v>15.743109174311925</v>
          </cell>
          <cell r="FS1265">
            <v>22.314663874962239</v>
          </cell>
          <cell r="FT1265">
            <v>20.116606119778133</v>
          </cell>
          <cell r="FU1265">
            <v>17.065595346429742</v>
          </cell>
          <cell r="FV1265">
            <v>23.167616893126525</v>
          </cell>
          <cell r="GG1265">
            <v>8.5673835361978785</v>
          </cell>
          <cell r="GH1265">
            <v>13.982143405445317</v>
          </cell>
          <cell r="GI1265">
            <v>10.408007395026372</v>
          </cell>
          <cell r="GJ1265">
            <v>7.7337520878462023</v>
          </cell>
          <cell r="GK1265">
            <v>13.082262702206542</v>
          </cell>
        </row>
        <row r="1266">
          <cell r="A1266">
            <v>41232</v>
          </cell>
          <cell r="FR1266">
            <v>16.082567889908255</v>
          </cell>
          <cell r="FS1266">
            <v>22.314663874962239</v>
          </cell>
          <cell r="FT1266">
            <v>20.116606119778133</v>
          </cell>
          <cell r="FU1266">
            <v>17.065595346429742</v>
          </cell>
          <cell r="FV1266">
            <v>23.167616893126525</v>
          </cell>
          <cell r="GG1266">
            <v>8.6632912939336162</v>
          </cell>
          <cell r="GH1266">
            <v>13.982143405445317</v>
          </cell>
          <cell r="GI1266">
            <v>10.408007395026372</v>
          </cell>
          <cell r="GJ1266">
            <v>7.7337520878462023</v>
          </cell>
          <cell r="GK1266">
            <v>13.082262702206542</v>
          </cell>
        </row>
        <row r="1267">
          <cell r="A1267">
            <v>41233</v>
          </cell>
          <cell r="FR1267">
            <v>16.357786238532107</v>
          </cell>
          <cell r="FS1267">
            <v>22.314663874962239</v>
          </cell>
          <cell r="FT1267">
            <v>20.116606119778133</v>
          </cell>
          <cell r="FU1267">
            <v>17.065595346429742</v>
          </cell>
          <cell r="FV1267">
            <v>23.167616893126525</v>
          </cell>
          <cell r="GG1267">
            <v>8.7522601065649894</v>
          </cell>
          <cell r="GH1267">
            <v>13.982143405445317</v>
          </cell>
          <cell r="GI1267">
            <v>10.408007395026372</v>
          </cell>
          <cell r="GJ1267">
            <v>7.7337520878462023</v>
          </cell>
          <cell r="GK1267">
            <v>13.082262702206542</v>
          </cell>
        </row>
        <row r="1268">
          <cell r="A1268">
            <v>41234</v>
          </cell>
          <cell r="FR1268">
            <v>16.37613853211009</v>
          </cell>
          <cell r="FS1268">
            <v>22.314663874962239</v>
          </cell>
          <cell r="FT1268">
            <v>20.116606119778133</v>
          </cell>
          <cell r="FU1268">
            <v>17.065595346429742</v>
          </cell>
          <cell r="FV1268">
            <v>23.167616893126525</v>
          </cell>
          <cell r="GG1268">
            <v>8.831411741702107</v>
          </cell>
          <cell r="GH1268">
            <v>13.982143405445317</v>
          </cell>
          <cell r="GI1268">
            <v>10.408007395026372</v>
          </cell>
          <cell r="GJ1268">
            <v>7.7337520878462023</v>
          </cell>
          <cell r="GK1268">
            <v>13.082262702206542</v>
          </cell>
        </row>
        <row r="1269">
          <cell r="A1269">
            <v>41235</v>
          </cell>
          <cell r="FR1269">
            <v>16.37613853211009</v>
          </cell>
          <cell r="FS1269">
            <v>22.314663874962239</v>
          </cell>
          <cell r="FT1269">
            <v>20.116606119778133</v>
          </cell>
          <cell r="FU1269">
            <v>17.065595346429742</v>
          </cell>
          <cell r="FV1269">
            <v>23.167616893126525</v>
          </cell>
          <cell r="GG1269">
            <v>8.831411741702107</v>
          </cell>
          <cell r="GH1269">
            <v>13.982143405445317</v>
          </cell>
          <cell r="GI1269">
            <v>10.408007395026372</v>
          </cell>
          <cell r="GJ1269">
            <v>7.7337520878462023</v>
          </cell>
          <cell r="GK1269">
            <v>13.082262702206542</v>
          </cell>
        </row>
        <row r="1270">
          <cell r="A1270">
            <v>41236</v>
          </cell>
          <cell r="FR1270">
            <v>16.807333027522933</v>
          </cell>
          <cell r="FS1270">
            <v>22.314663874962239</v>
          </cell>
          <cell r="FT1270">
            <v>20.116606119778133</v>
          </cell>
          <cell r="FU1270">
            <v>17.065595346429742</v>
          </cell>
          <cell r="FV1270">
            <v>23.167616893126525</v>
          </cell>
          <cell r="GG1270">
            <v>8.9642860634501638</v>
          </cell>
          <cell r="GH1270">
            <v>13.982143405445317</v>
          </cell>
          <cell r="GI1270">
            <v>10.408007395026372</v>
          </cell>
          <cell r="GJ1270">
            <v>7.7337520878462023</v>
          </cell>
          <cell r="GK1270">
            <v>13.082262702206542</v>
          </cell>
        </row>
        <row r="1271">
          <cell r="A1271">
            <v>41239</v>
          </cell>
          <cell r="FR1271">
            <v>16.880728440366969</v>
          </cell>
          <cell r="FS1271">
            <v>22.314663874962239</v>
          </cell>
          <cell r="FT1271">
            <v>20.116606119778133</v>
          </cell>
          <cell r="FU1271">
            <v>17.065595346429742</v>
          </cell>
          <cell r="FV1271">
            <v>23.167616893126525</v>
          </cell>
          <cell r="GG1271">
            <v>8.9024661485066225</v>
          </cell>
          <cell r="GH1271">
            <v>13.982143405445317</v>
          </cell>
          <cell r="GI1271">
            <v>10.408007395026372</v>
          </cell>
          <cell r="GJ1271">
            <v>7.7337520878462023</v>
          </cell>
          <cell r="GK1271">
            <v>13.082262702206542</v>
          </cell>
        </row>
        <row r="1272">
          <cell r="A1272">
            <v>41240</v>
          </cell>
          <cell r="FR1272">
            <v>16.880728440366969</v>
          </cell>
          <cell r="FS1272">
            <v>22.314663874962239</v>
          </cell>
          <cell r="FT1272">
            <v>20.116606119778133</v>
          </cell>
          <cell r="FU1272">
            <v>17.065595346429742</v>
          </cell>
          <cell r="FV1272">
            <v>23.167616893126525</v>
          </cell>
          <cell r="GG1272">
            <v>9.0168573104560785</v>
          </cell>
          <cell r="GH1272">
            <v>13.982143405445317</v>
          </cell>
          <cell r="GI1272">
            <v>10.408007395026372</v>
          </cell>
          <cell r="GJ1272">
            <v>7.7337520878462023</v>
          </cell>
          <cell r="GK1272">
            <v>13.082262702206542</v>
          </cell>
        </row>
        <row r="1273">
          <cell r="A1273">
            <v>41241</v>
          </cell>
          <cell r="FR1273">
            <v>17.018337614678899</v>
          </cell>
          <cell r="FS1273">
            <v>22.314663874962239</v>
          </cell>
          <cell r="FT1273">
            <v>20.116606119778133</v>
          </cell>
          <cell r="FU1273">
            <v>17.065595346429742</v>
          </cell>
          <cell r="FV1273">
            <v>23.167616893126525</v>
          </cell>
          <cell r="GG1273">
            <v>9.0573031236251644</v>
          </cell>
          <cell r="GH1273">
            <v>13.982143405445317</v>
          </cell>
          <cell r="GI1273">
            <v>10.408007395026372</v>
          </cell>
          <cell r="GJ1273">
            <v>7.7337520878462023</v>
          </cell>
          <cell r="GK1273">
            <v>13.082262702206542</v>
          </cell>
        </row>
        <row r="1274">
          <cell r="A1274">
            <v>41242</v>
          </cell>
          <cell r="FR1274">
            <v>17.128439449541283</v>
          </cell>
          <cell r="FS1274">
            <v>22.314663874962239</v>
          </cell>
          <cell r="FT1274">
            <v>20.116606119778133</v>
          </cell>
          <cell r="FU1274">
            <v>17.065595346429742</v>
          </cell>
          <cell r="FV1274">
            <v>23.167616893126525</v>
          </cell>
          <cell r="GG1274">
            <v>9.087341741213276</v>
          </cell>
          <cell r="GH1274">
            <v>13.982143405445317</v>
          </cell>
          <cell r="GI1274">
            <v>10.408007395026372</v>
          </cell>
          <cell r="GJ1274">
            <v>7.7337520878462023</v>
          </cell>
          <cell r="GK1274">
            <v>13.082262702206542</v>
          </cell>
        </row>
        <row r="1275">
          <cell r="A1275">
            <v>41243</v>
          </cell>
          <cell r="FR1275">
            <v>16.972477064220183</v>
          </cell>
          <cell r="FS1275">
            <v>22.314663874962239</v>
          </cell>
          <cell r="FT1275">
            <v>20.116606119778133</v>
          </cell>
          <cell r="FU1275">
            <v>17.065595346429742</v>
          </cell>
          <cell r="FV1275">
            <v>23.167616893126525</v>
          </cell>
          <cell r="GG1275">
            <v>8.9781514884880469</v>
          </cell>
          <cell r="GH1275">
            <v>13.982143405445317</v>
          </cell>
          <cell r="GI1275">
            <v>10.408007395026372</v>
          </cell>
          <cell r="GJ1275">
            <v>7.7337520878462023</v>
          </cell>
          <cell r="GK1275">
            <v>13.082262702206542</v>
          </cell>
        </row>
        <row r="1276">
          <cell r="A1276">
            <v>41246</v>
          </cell>
          <cell r="FR1276">
            <v>17.045776146788992</v>
          </cell>
          <cell r="FS1276">
            <v>22.314663874962239</v>
          </cell>
          <cell r="FT1276">
            <v>20.116606119778133</v>
          </cell>
          <cell r="FU1276">
            <v>17.065595346429742</v>
          </cell>
          <cell r="FV1276">
            <v>23.167616893126525</v>
          </cell>
          <cell r="GG1276">
            <v>8.9873930683873482</v>
          </cell>
          <cell r="GH1276">
            <v>13.982143405445317</v>
          </cell>
          <cell r="GI1276">
            <v>10.408007395026372</v>
          </cell>
          <cell r="GJ1276">
            <v>7.7337520878462023</v>
          </cell>
          <cell r="GK1276">
            <v>13.082262702206542</v>
          </cell>
        </row>
        <row r="1277">
          <cell r="A1277">
            <v>41247</v>
          </cell>
          <cell r="FR1277">
            <v>16.917420183486236</v>
          </cell>
          <cell r="FS1277">
            <v>22.314663874962239</v>
          </cell>
          <cell r="FT1277">
            <v>20.116606119778133</v>
          </cell>
          <cell r="FU1277">
            <v>17.065595346429742</v>
          </cell>
          <cell r="FV1277">
            <v>23.167616893126525</v>
          </cell>
          <cell r="GG1277">
            <v>8.9024661485066225</v>
          </cell>
          <cell r="GH1277">
            <v>13.982143405445317</v>
          </cell>
          <cell r="GI1277">
            <v>10.408007395026372</v>
          </cell>
          <cell r="GJ1277">
            <v>7.7337520878462023</v>
          </cell>
          <cell r="GK1277">
            <v>13.082262702206542</v>
          </cell>
        </row>
        <row r="1278">
          <cell r="A1278">
            <v>41248</v>
          </cell>
          <cell r="FR1278">
            <v>16.61466605504587</v>
          </cell>
          <cell r="FS1278">
            <v>22.314663874962239</v>
          </cell>
          <cell r="FT1278">
            <v>20.116606119778133</v>
          </cell>
          <cell r="FU1278">
            <v>17.065595346429742</v>
          </cell>
          <cell r="FV1278">
            <v>23.167616893126525</v>
          </cell>
          <cell r="GG1278">
            <v>8.7811482622085357</v>
          </cell>
          <cell r="GH1278">
            <v>13.982143405445317</v>
          </cell>
          <cell r="GI1278">
            <v>10.408007395026372</v>
          </cell>
          <cell r="GJ1278">
            <v>7.7337520878462023</v>
          </cell>
          <cell r="GK1278">
            <v>13.082262702206542</v>
          </cell>
        </row>
        <row r="1279">
          <cell r="A1279">
            <v>41249</v>
          </cell>
          <cell r="FR1279">
            <v>16.495409174311924</v>
          </cell>
          <cell r="FS1279">
            <v>22.314663874962239</v>
          </cell>
          <cell r="FT1279">
            <v>20.116606119778133</v>
          </cell>
          <cell r="FU1279">
            <v>17.065595346429742</v>
          </cell>
          <cell r="FV1279">
            <v>23.167616893126525</v>
          </cell>
          <cell r="GG1279">
            <v>8.7996333773280551</v>
          </cell>
          <cell r="GH1279">
            <v>13.982143405445317</v>
          </cell>
          <cell r="GI1279">
            <v>10.408007395026372</v>
          </cell>
          <cell r="GJ1279">
            <v>7.7337520878462023</v>
          </cell>
          <cell r="GK1279">
            <v>13.082262702206542</v>
          </cell>
        </row>
        <row r="1280">
          <cell r="A1280">
            <v>41250</v>
          </cell>
          <cell r="FR1280">
            <v>16.431182568807337</v>
          </cell>
          <cell r="FS1280">
            <v>22.314663874962239</v>
          </cell>
          <cell r="FT1280">
            <v>20.116606119778133</v>
          </cell>
          <cell r="FU1280">
            <v>17.065595346429742</v>
          </cell>
          <cell r="FV1280">
            <v>23.167616893126525</v>
          </cell>
          <cell r="GG1280">
            <v>8.7822994573984463</v>
          </cell>
          <cell r="GH1280">
            <v>13.982143405445317</v>
          </cell>
          <cell r="GI1280">
            <v>10.408007395026372</v>
          </cell>
          <cell r="GJ1280">
            <v>7.7337520878462023</v>
          </cell>
          <cell r="GK1280">
            <v>13.082262702206542</v>
          </cell>
        </row>
        <row r="1281">
          <cell r="A1281">
            <v>41253</v>
          </cell>
          <cell r="FR1281">
            <v>16.412844036697248</v>
          </cell>
          <cell r="FS1281">
            <v>22.314663874962239</v>
          </cell>
          <cell r="FT1281">
            <v>20.116606119778133</v>
          </cell>
          <cell r="FU1281">
            <v>17.065595346429742</v>
          </cell>
          <cell r="FV1281">
            <v>23.167616893126525</v>
          </cell>
          <cell r="GG1281">
            <v>8.7418612210979116</v>
          </cell>
          <cell r="GH1281">
            <v>13.982143405445317</v>
          </cell>
          <cell r="GI1281">
            <v>10.408007395026372</v>
          </cell>
          <cell r="GJ1281">
            <v>7.7337520878462023</v>
          </cell>
          <cell r="GK1281">
            <v>13.082262702206542</v>
          </cell>
        </row>
        <row r="1282">
          <cell r="A1282">
            <v>41254</v>
          </cell>
          <cell r="FR1282">
            <v>16.4678871559633</v>
          </cell>
          <cell r="FS1282">
            <v>22.314663874962239</v>
          </cell>
          <cell r="FT1282">
            <v>20.116606119778133</v>
          </cell>
          <cell r="FU1282">
            <v>17.065595346429742</v>
          </cell>
          <cell r="FV1282">
            <v>23.167616893126525</v>
          </cell>
          <cell r="GG1282">
            <v>8.7123964901989535</v>
          </cell>
          <cell r="GH1282">
            <v>13.982143405445317</v>
          </cell>
          <cell r="GI1282">
            <v>10.408007395026372</v>
          </cell>
          <cell r="GJ1282">
            <v>7.7337520878462023</v>
          </cell>
          <cell r="GK1282">
            <v>13.082262702206542</v>
          </cell>
        </row>
        <row r="1283">
          <cell r="A1283">
            <v>41255</v>
          </cell>
          <cell r="FR1283">
            <v>16.302743119266054</v>
          </cell>
          <cell r="FS1283">
            <v>22.314663874962239</v>
          </cell>
          <cell r="FT1283">
            <v>20.116606119778133</v>
          </cell>
          <cell r="FU1283">
            <v>17.065595346429742</v>
          </cell>
          <cell r="FV1283">
            <v>23.167616893126525</v>
          </cell>
          <cell r="GG1283">
            <v>8.6615583907708853</v>
          </cell>
          <cell r="GH1283">
            <v>13.982143405445317</v>
          </cell>
          <cell r="GI1283">
            <v>10.408007395026372</v>
          </cell>
          <cell r="GJ1283">
            <v>7.7337520878462023</v>
          </cell>
          <cell r="GK1283">
            <v>13.082262702206542</v>
          </cell>
        </row>
        <row r="1284">
          <cell r="A1284">
            <v>41256</v>
          </cell>
          <cell r="FR1284">
            <v>16.229346788990824</v>
          </cell>
          <cell r="FS1284">
            <v>22.314663874962239</v>
          </cell>
          <cell r="FT1284">
            <v>20.116606119778133</v>
          </cell>
          <cell r="FU1284">
            <v>17.065595346429742</v>
          </cell>
          <cell r="FV1284">
            <v>23.167616893126525</v>
          </cell>
          <cell r="GG1284">
            <v>8.5816130997343993</v>
          </cell>
          <cell r="GH1284">
            <v>13.982143405445317</v>
          </cell>
          <cell r="GI1284">
            <v>10.408007395026372</v>
          </cell>
          <cell r="GJ1284">
            <v>7.7337520878462023</v>
          </cell>
          <cell r="GK1284">
            <v>13.082262702206542</v>
          </cell>
        </row>
        <row r="1285">
          <cell r="A1285">
            <v>41257</v>
          </cell>
          <cell r="FR1285">
            <v>16.146780733944951</v>
          </cell>
          <cell r="FS1285">
            <v>22.314663874962239</v>
          </cell>
          <cell r="FT1285">
            <v>20.116606119778133</v>
          </cell>
          <cell r="FU1285">
            <v>17.065595346429742</v>
          </cell>
          <cell r="FV1285">
            <v>23.167616893126525</v>
          </cell>
          <cell r="GG1285">
            <v>8.4790857477034045</v>
          </cell>
          <cell r="GH1285">
            <v>13.982143405445317</v>
          </cell>
          <cell r="GI1285">
            <v>10.408007395026372</v>
          </cell>
          <cell r="GJ1285">
            <v>7.7337520878462023</v>
          </cell>
          <cell r="GK1285">
            <v>13.082262702206542</v>
          </cell>
        </row>
        <row r="1286">
          <cell r="A1286">
            <v>41260</v>
          </cell>
          <cell r="FR1286">
            <v>16.394035787106034</v>
          </cell>
          <cell r="FS1286">
            <v>22.314663874962239</v>
          </cell>
          <cell r="FT1286">
            <v>20.116606119778133</v>
          </cell>
          <cell r="FU1286">
            <v>17.065595346429742</v>
          </cell>
          <cell r="FV1286">
            <v>23.167616893126525</v>
          </cell>
          <cell r="GG1286">
            <v>8.4811149583812551</v>
          </cell>
          <cell r="GH1286">
            <v>13.982143405445317</v>
          </cell>
          <cell r="GI1286">
            <v>10.408007395026372</v>
          </cell>
          <cell r="GJ1286">
            <v>7.7337520878462023</v>
          </cell>
          <cell r="GK1286">
            <v>13.082262702206542</v>
          </cell>
        </row>
        <row r="1287">
          <cell r="A1287">
            <v>41261</v>
          </cell>
          <cell r="FR1287">
            <v>16.558609843739998</v>
          </cell>
          <cell r="FS1287">
            <v>22.314663874962239</v>
          </cell>
          <cell r="FT1287">
            <v>20.116606119778133</v>
          </cell>
          <cell r="FU1287">
            <v>17.065595346429742</v>
          </cell>
          <cell r="FV1287">
            <v>23.167616893126525</v>
          </cell>
          <cell r="GG1287">
            <v>8.5807601756369518</v>
          </cell>
          <cell r="GH1287">
            <v>13.982143405445317</v>
          </cell>
          <cell r="GI1287">
            <v>10.408007395026372</v>
          </cell>
          <cell r="GJ1287">
            <v>7.7337520878462023</v>
          </cell>
          <cell r="GK1287">
            <v>13.082262702206542</v>
          </cell>
        </row>
        <row r="1288">
          <cell r="A1288">
            <v>41262</v>
          </cell>
          <cell r="FR1288">
            <v>16.970071958233138</v>
          </cell>
          <cell r="FS1288">
            <v>22.314663874962239</v>
          </cell>
          <cell r="FT1288">
            <v>20.116606119778133</v>
          </cell>
          <cell r="FU1288">
            <v>17.065595346429742</v>
          </cell>
          <cell r="FV1288">
            <v>23.167616893126525</v>
          </cell>
          <cell r="GG1288">
            <v>8.7374194185071818</v>
          </cell>
          <cell r="GH1288">
            <v>13.982143405445317</v>
          </cell>
          <cell r="GI1288">
            <v>10.408007395026372</v>
          </cell>
          <cell r="GJ1288">
            <v>7.7337520878462023</v>
          </cell>
          <cell r="GK1288">
            <v>13.082262702206542</v>
          </cell>
        </row>
        <row r="1289">
          <cell r="A1289">
            <v>41263</v>
          </cell>
          <cell r="FR1289">
            <v>17.226085088096262</v>
          </cell>
          <cell r="FS1289">
            <v>22.314663874962239</v>
          </cell>
          <cell r="FT1289">
            <v>20.116606119778133</v>
          </cell>
          <cell r="FU1289">
            <v>17.065595346429742</v>
          </cell>
          <cell r="FV1289">
            <v>23.167616893126525</v>
          </cell>
          <cell r="GG1289">
            <v>8.8480058821809386</v>
          </cell>
          <cell r="GH1289">
            <v>13.982143405445317</v>
          </cell>
          <cell r="GI1289">
            <v>10.408007395026372</v>
          </cell>
          <cell r="GJ1289">
            <v>7.7337520878462023</v>
          </cell>
          <cell r="GK1289">
            <v>13.082262702206542</v>
          </cell>
        </row>
        <row r="1290">
          <cell r="A1290">
            <v>41264</v>
          </cell>
          <cell r="FR1290">
            <v>16.896923259790249</v>
          </cell>
          <cell r="FS1290">
            <v>22.314663874962239</v>
          </cell>
          <cell r="FT1290">
            <v>20.116606119778133</v>
          </cell>
          <cell r="FU1290">
            <v>17.065595346429742</v>
          </cell>
          <cell r="FV1290">
            <v>23.167616893126525</v>
          </cell>
          <cell r="GG1290">
            <v>8.8693211124973192</v>
          </cell>
          <cell r="GH1290">
            <v>13.982143405445317</v>
          </cell>
          <cell r="GI1290">
            <v>10.408007395026372</v>
          </cell>
          <cell r="GJ1290">
            <v>7.7337520878462023</v>
          </cell>
          <cell r="GK1290">
            <v>13.082262702206542</v>
          </cell>
        </row>
        <row r="1291">
          <cell r="A1291">
            <v>41267</v>
          </cell>
          <cell r="FR1291">
            <v>16.809872029250457</v>
          </cell>
          <cell r="FS1291">
            <v>22.314663874962239</v>
          </cell>
          <cell r="FT1291">
            <v>20.116606119778133</v>
          </cell>
          <cell r="FU1291">
            <v>17.065595346429742</v>
          </cell>
          <cell r="FV1291">
            <v>23.167616893126525</v>
          </cell>
          <cell r="GG1291">
            <v>8.8693211124973192</v>
          </cell>
          <cell r="GH1291">
            <v>13.982143405445317</v>
          </cell>
          <cell r="GI1291">
            <v>10.408007395026372</v>
          </cell>
          <cell r="GJ1291">
            <v>7.7337520878462023</v>
          </cell>
          <cell r="GK1291">
            <v>13.082262702206542</v>
          </cell>
        </row>
        <row r="1292">
          <cell r="A1292">
            <v>41268</v>
          </cell>
          <cell r="FR1292">
            <v>16.809872029250457</v>
          </cell>
          <cell r="FS1292">
            <v>22.314663874962239</v>
          </cell>
          <cell r="FT1292">
            <v>20.116606119778133</v>
          </cell>
          <cell r="FU1292">
            <v>17.065595346429742</v>
          </cell>
          <cell r="FV1292">
            <v>23.167616893126525</v>
          </cell>
          <cell r="GG1292">
            <v>8.8693211124973192</v>
          </cell>
          <cell r="GH1292">
            <v>13.982143405445317</v>
          </cell>
          <cell r="GI1292">
            <v>10.408007395026372</v>
          </cell>
          <cell r="GJ1292">
            <v>7.7337520878462023</v>
          </cell>
          <cell r="GK1292">
            <v>13.082262702206542</v>
          </cell>
        </row>
        <row r="1293">
          <cell r="A1293">
            <v>41269</v>
          </cell>
          <cell r="FR1293">
            <v>16.645330895795244</v>
          </cell>
          <cell r="FS1293">
            <v>22.314663874962239</v>
          </cell>
          <cell r="FT1293">
            <v>20.116606119778133</v>
          </cell>
          <cell r="FU1293">
            <v>17.065595346429742</v>
          </cell>
          <cell r="FV1293">
            <v>23.167616893126525</v>
          </cell>
          <cell r="GG1293">
            <v>8.8693211124973192</v>
          </cell>
          <cell r="GH1293">
            <v>13.982143405445317</v>
          </cell>
          <cell r="GI1293">
            <v>10.408007395026372</v>
          </cell>
          <cell r="GJ1293">
            <v>7.7337520878462023</v>
          </cell>
          <cell r="GK1293">
            <v>13.082262702206542</v>
          </cell>
        </row>
        <row r="1294">
          <cell r="A1294">
            <v>41270</v>
          </cell>
          <cell r="FR1294">
            <v>16.590488117001826</v>
          </cell>
          <cell r="FS1294">
            <v>22.314663874962239</v>
          </cell>
          <cell r="FT1294">
            <v>20.116606119778133</v>
          </cell>
          <cell r="FU1294">
            <v>17.065595346429742</v>
          </cell>
          <cell r="FV1294">
            <v>23.167616893126525</v>
          </cell>
          <cell r="GG1294">
            <v>8.5750022661260434</v>
          </cell>
          <cell r="GH1294">
            <v>13.982143405445317</v>
          </cell>
          <cell r="GI1294">
            <v>10.408007395026372</v>
          </cell>
          <cell r="GJ1294">
            <v>7.7337520878462023</v>
          </cell>
          <cell r="GK1294">
            <v>13.082262702206542</v>
          </cell>
        </row>
        <row r="1295">
          <cell r="A1295">
            <v>41271</v>
          </cell>
          <cell r="FR1295">
            <v>16.52649634369287</v>
          </cell>
          <cell r="FS1295">
            <v>22.314663874962239</v>
          </cell>
          <cell r="FT1295">
            <v>20.116606119778133</v>
          </cell>
          <cell r="FU1295">
            <v>17.065595346429742</v>
          </cell>
          <cell r="FV1295">
            <v>23.167616893126525</v>
          </cell>
          <cell r="GG1295">
            <v>8.5922813553870441</v>
          </cell>
          <cell r="GH1295">
            <v>13.982143405445317</v>
          </cell>
          <cell r="GI1295">
            <v>10.408007395026372</v>
          </cell>
          <cell r="GJ1295">
            <v>7.7337520878462023</v>
          </cell>
          <cell r="GK1295">
            <v>13.082262702206542</v>
          </cell>
        </row>
        <row r="1296">
          <cell r="A1296">
            <v>41274</v>
          </cell>
          <cell r="FR1296">
            <v>16.595009554809863</v>
          </cell>
          <cell r="FS1296">
            <v>22.314663874962239</v>
          </cell>
          <cell r="FT1296">
            <v>20.116606119778133</v>
          </cell>
          <cell r="FU1296">
            <v>17.065595346429742</v>
          </cell>
          <cell r="FV1296">
            <v>23.167616893126525</v>
          </cell>
          <cell r="GG1296">
            <v>8.5922813553870441</v>
          </cell>
          <cell r="GH1296">
            <v>13.982143405445317</v>
          </cell>
          <cell r="GI1296">
            <v>10.408007395026372</v>
          </cell>
          <cell r="GJ1296">
            <v>7.7337520878462023</v>
          </cell>
          <cell r="GK1296">
            <v>13.082262702206542</v>
          </cell>
        </row>
        <row r="1297">
          <cell r="A1297">
            <v>41275</v>
          </cell>
          <cell r="FR1297">
            <v>16.426901503102702</v>
          </cell>
          <cell r="FS1297">
            <v>22.314663874962239</v>
          </cell>
          <cell r="FT1297">
            <v>20.116606119778133</v>
          </cell>
          <cell r="FU1297">
            <v>17.065595346429742</v>
          </cell>
          <cell r="FV1297">
            <v>23.167616893126525</v>
          </cell>
          <cell r="GG1297">
            <v>8.4903224017453951</v>
          </cell>
          <cell r="GH1297">
            <v>13.982143405445317</v>
          </cell>
          <cell r="GI1297">
            <v>10.408007395026372</v>
          </cell>
          <cell r="GJ1297">
            <v>7.7337520878462023</v>
          </cell>
          <cell r="GK1297">
            <v>13.082262702206542</v>
          </cell>
        </row>
        <row r="1298">
          <cell r="A1298">
            <v>41276</v>
          </cell>
          <cell r="FR1298">
            <v>16.997281611394818</v>
          </cell>
          <cell r="FS1298">
            <v>22.314663874962239</v>
          </cell>
          <cell r="FT1298">
            <v>20.116606119778133</v>
          </cell>
          <cell r="FU1298">
            <v>17.065595346429742</v>
          </cell>
          <cell r="FV1298">
            <v>23.167616893126525</v>
          </cell>
          <cell r="GG1298">
            <v>8.4903224017453951</v>
          </cell>
          <cell r="GH1298">
            <v>13.982143405445317</v>
          </cell>
          <cell r="GI1298">
            <v>10.408007395026372</v>
          </cell>
          <cell r="GJ1298">
            <v>7.7337520878462023</v>
          </cell>
          <cell r="GK1298">
            <v>13.082262702206542</v>
          </cell>
        </row>
        <row r="1299">
          <cell r="A1299">
            <v>41277</v>
          </cell>
          <cell r="FR1299">
            <v>16.915815030106756</v>
          </cell>
          <cell r="FS1299">
            <v>22.314663874962239</v>
          </cell>
          <cell r="FT1299">
            <v>20.116606119778133</v>
          </cell>
          <cell r="FU1299">
            <v>17.065595346429742</v>
          </cell>
          <cell r="FV1299">
            <v>23.167616893126525</v>
          </cell>
          <cell r="GG1299">
            <v>8.4903224017453951</v>
          </cell>
          <cell r="GH1299">
            <v>13.982143405445317</v>
          </cell>
          <cell r="GI1299">
            <v>10.408007395026372</v>
          </cell>
          <cell r="GJ1299">
            <v>7.7337520878462023</v>
          </cell>
          <cell r="GK1299">
            <v>13.082262702206542</v>
          </cell>
        </row>
        <row r="1300">
          <cell r="A1300">
            <v>41278</v>
          </cell>
          <cell r="FR1300">
            <v>16.784787814810958</v>
          </cell>
          <cell r="FS1300">
            <v>22.314663874962239</v>
          </cell>
          <cell r="FT1300">
            <v>20.116606119778133</v>
          </cell>
          <cell r="FU1300">
            <v>17.065595346429742</v>
          </cell>
          <cell r="FV1300">
            <v>23.167616893126525</v>
          </cell>
          <cell r="GG1300">
            <v>8.4903224017453951</v>
          </cell>
          <cell r="GH1300">
            <v>13.982143405445317</v>
          </cell>
          <cell r="GI1300">
            <v>10.408007395026372</v>
          </cell>
          <cell r="GJ1300">
            <v>7.7337520878462023</v>
          </cell>
          <cell r="GK1300">
            <v>13.082262702206542</v>
          </cell>
        </row>
        <row r="1301">
          <cell r="A1301">
            <v>41281</v>
          </cell>
          <cell r="FR1301">
            <v>16.853445890804295</v>
          </cell>
          <cell r="FS1301">
            <v>22.314663874962239</v>
          </cell>
          <cell r="FT1301">
            <v>20.116606119778133</v>
          </cell>
          <cell r="FU1301">
            <v>17.065595346429742</v>
          </cell>
          <cell r="FV1301">
            <v>23.167616893126525</v>
          </cell>
          <cell r="GG1301">
            <v>8.4903224017453951</v>
          </cell>
          <cell r="GH1301">
            <v>13.982143405445317</v>
          </cell>
          <cell r="GI1301">
            <v>10.408007395026372</v>
          </cell>
          <cell r="GJ1301">
            <v>7.7337520878462023</v>
          </cell>
          <cell r="GK1301">
            <v>13.082262702206542</v>
          </cell>
        </row>
        <row r="1302">
          <cell r="A1302">
            <v>41282</v>
          </cell>
          <cell r="FR1302">
            <v>16.943949457755732</v>
          </cell>
          <cell r="FS1302">
            <v>22.314663874962239</v>
          </cell>
          <cell r="FT1302">
            <v>20.116606119778133</v>
          </cell>
          <cell r="FU1302">
            <v>17.065595346429742</v>
          </cell>
          <cell r="FV1302">
            <v>23.167616893126525</v>
          </cell>
          <cell r="GG1302">
            <v>8.4903224017453951</v>
          </cell>
          <cell r="GH1302">
            <v>13.982143405445317</v>
          </cell>
          <cell r="GI1302">
            <v>10.408007395026372</v>
          </cell>
          <cell r="GJ1302">
            <v>7.7337520878462023</v>
          </cell>
          <cell r="GK1302">
            <v>13.082262702206542</v>
          </cell>
        </row>
        <row r="1303">
          <cell r="A1303">
            <v>41283</v>
          </cell>
          <cell r="FR1303">
            <v>17.269795788449652</v>
          </cell>
          <cell r="FS1303">
            <v>22.314663874962239</v>
          </cell>
          <cell r="FT1303">
            <v>20.116606119778133</v>
          </cell>
          <cell r="FU1303">
            <v>17.065595346429742</v>
          </cell>
          <cell r="FV1303">
            <v>23.167616893126525</v>
          </cell>
          <cell r="GG1303">
            <v>8.4903224017453951</v>
          </cell>
          <cell r="GH1303">
            <v>13.982143405445317</v>
          </cell>
          <cell r="GI1303">
            <v>10.408007395026372</v>
          </cell>
          <cell r="GJ1303">
            <v>7.7337520878462023</v>
          </cell>
          <cell r="GK1303">
            <v>13.082262702206542</v>
          </cell>
        </row>
        <row r="1304">
          <cell r="A1304">
            <v>41284</v>
          </cell>
          <cell r="FR1304">
            <v>17.120845921451917</v>
          </cell>
          <cell r="FS1304">
            <v>22.314663874962239</v>
          </cell>
          <cell r="FT1304">
            <v>20.116606119778133</v>
          </cell>
          <cell r="FU1304">
            <v>17.065595346429742</v>
          </cell>
          <cell r="FV1304">
            <v>23.167616893126525</v>
          </cell>
          <cell r="GG1304">
            <v>8.4903224017453951</v>
          </cell>
          <cell r="GH1304">
            <v>13.982143405445317</v>
          </cell>
          <cell r="GI1304">
            <v>10.408007395026372</v>
          </cell>
          <cell r="GJ1304">
            <v>7.7337520878462023</v>
          </cell>
          <cell r="GK1304">
            <v>13.082262702206542</v>
          </cell>
        </row>
        <row r="1305">
          <cell r="A1305">
            <v>41285</v>
          </cell>
          <cell r="FR1305">
            <v>17.320229003022934</v>
          </cell>
          <cell r="FS1305">
            <v>22.314663874962239</v>
          </cell>
          <cell r="FT1305">
            <v>20.116606119778133</v>
          </cell>
          <cell r="FU1305">
            <v>17.065595346429742</v>
          </cell>
          <cell r="FV1305">
            <v>23.167616893126525</v>
          </cell>
          <cell r="GG1305">
            <v>8.4903224017453951</v>
          </cell>
          <cell r="GH1305">
            <v>13.982143405445317</v>
          </cell>
          <cell r="GI1305">
            <v>10.408007395026372</v>
          </cell>
          <cell r="GJ1305">
            <v>7.7337520878462023</v>
          </cell>
          <cell r="GK1305">
            <v>13.082262702206542</v>
          </cell>
        </row>
        <row r="1306">
          <cell r="A1306">
            <v>41288</v>
          </cell>
          <cell r="FR1306">
            <v>17.178859242325572</v>
          </cell>
          <cell r="FS1306">
            <v>22.314663874962239</v>
          </cell>
          <cell r="FT1306">
            <v>20.116606119778133</v>
          </cell>
          <cell r="FU1306">
            <v>17.065595346429742</v>
          </cell>
          <cell r="FV1306">
            <v>23.167616893126525</v>
          </cell>
          <cell r="GG1306">
            <v>8.4903224017453951</v>
          </cell>
          <cell r="GH1306">
            <v>13.982143405445317</v>
          </cell>
          <cell r="GI1306">
            <v>10.408007395026372</v>
          </cell>
          <cell r="GJ1306">
            <v>7.7337520878462023</v>
          </cell>
          <cell r="GK1306">
            <v>13.082262702206542</v>
          </cell>
        </row>
        <row r="1307">
          <cell r="A1307">
            <v>41289</v>
          </cell>
          <cell r="FR1307">
            <v>17.25134572317981</v>
          </cell>
          <cell r="FS1307">
            <v>22.314663874962239</v>
          </cell>
          <cell r="FT1307">
            <v>20.116606119778133</v>
          </cell>
          <cell r="FU1307">
            <v>17.065595346429742</v>
          </cell>
          <cell r="FV1307">
            <v>23.167616893126525</v>
          </cell>
          <cell r="GG1307">
            <v>8.4903224017453951</v>
          </cell>
          <cell r="GH1307">
            <v>13.982143405445317</v>
          </cell>
          <cell r="GI1307">
            <v>10.408007395026372</v>
          </cell>
          <cell r="GJ1307">
            <v>7.7337520878462023</v>
          </cell>
          <cell r="GK1307">
            <v>13.082262702206542</v>
          </cell>
        </row>
        <row r="1308">
          <cell r="A1308">
            <v>41290</v>
          </cell>
          <cell r="FR1308">
            <v>17.295494415939</v>
          </cell>
          <cell r="FS1308">
            <v>22.314663874962239</v>
          </cell>
          <cell r="FT1308">
            <v>20.116606119778133</v>
          </cell>
          <cell r="FU1308">
            <v>17.065595346429742</v>
          </cell>
          <cell r="FV1308">
            <v>23.167616893126525</v>
          </cell>
          <cell r="GG1308">
            <v>8.4847400715812249</v>
          </cell>
          <cell r="GH1308">
            <v>13.982143405445317</v>
          </cell>
          <cell r="GI1308">
            <v>10.408007395026372</v>
          </cell>
          <cell r="GJ1308">
            <v>7.7337520878462023</v>
          </cell>
          <cell r="GK1308">
            <v>13.082262702206542</v>
          </cell>
        </row>
        <row r="1309">
          <cell r="A1309">
            <v>41291</v>
          </cell>
          <cell r="FR1309">
            <v>17.322659221251406</v>
          </cell>
          <cell r="FS1309">
            <v>22.314663874962239</v>
          </cell>
          <cell r="FT1309">
            <v>20.116606119778133</v>
          </cell>
          <cell r="FU1309">
            <v>17.065595346429742</v>
          </cell>
          <cell r="FV1309">
            <v>23.167616893126525</v>
          </cell>
          <cell r="GG1309">
            <v>8.4847400715812249</v>
          </cell>
          <cell r="GH1309">
            <v>13.982143405445317</v>
          </cell>
          <cell r="GI1309">
            <v>10.408007395026372</v>
          </cell>
          <cell r="GJ1309">
            <v>7.7337520878462023</v>
          </cell>
          <cell r="GK1309">
            <v>13.082262702206542</v>
          </cell>
        </row>
        <row r="1310">
          <cell r="A1310">
            <v>41292</v>
          </cell>
          <cell r="FR1310">
            <v>17.485660730457582</v>
          </cell>
          <cell r="FS1310">
            <v>22.314663874962239</v>
          </cell>
          <cell r="FT1310">
            <v>20.116606119778133</v>
          </cell>
          <cell r="FU1310">
            <v>17.065595346429742</v>
          </cell>
          <cell r="FV1310">
            <v>23.167616893126525</v>
          </cell>
          <cell r="GG1310">
            <v>8.4847400715812249</v>
          </cell>
          <cell r="GH1310">
            <v>13.982143405445317</v>
          </cell>
          <cell r="GI1310">
            <v>10.408007395026372</v>
          </cell>
          <cell r="GJ1310">
            <v>7.7337520878462023</v>
          </cell>
          <cell r="GK1310">
            <v>13.082262702206542</v>
          </cell>
        </row>
        <row r="1311">
          <cell r="A1311">
            <v>41295</v>
          </cell>
          <cell r="FR1311">
            <v>17.472713096695919</v>
          </cell>
          <cell r="FS1311">
            <v>22.314663874962239</v>
          </cell>
          <cell r="FT1311">
            <v>20.116606119778133</v>
          </cell>
          <cell r="FU1311">
            <v>17.065595346429742</v>
          </cell>
          <cell r="FV1311">
            <v>23.167616893126525</v>
          </cell>
          <cell r="GG1311">
            <v>8.4847400715812249</v>
          </cell>
          <cell r="GH1311">
            <v>13.982143405445317</v>
          </cell>
          <cell r="GI1311">
            <v>10.408007395026372</v>
          </cell>
          <cell r="GJ1311">
            <v>7.7337520878462023</v>
          </cell>
          <cell r="GK1311">
            <v>13.082262702206542</v>
          </cell>
        </row>
        <row r="1312">
          <cell r="A1312">
            <v>41296</v>
          </cell>
          <cell r="FR1312">
            <v>17.550115586059238</v>
          </cell>
          <cell r="FS1312">
            <v>22.314663874962239</v>
          </cell>
          <cell r="FT1312">
            <v>20.116606119778133</v>
          </cell>
          <cell r="FU1312">
            <v>17.065595346429742</v>
          </cell>
          <cell r="FV1312">
            <v>23.167616893126525</v>
          </cell>
          <cell r="GG1312">
            <v>8.4847400715812249</v>
          </cell>
          <cell r="GH1312">
            <v>13.982143405445317</v>
          </cell>
          <cell r="GI1312">
            <v>10.408007395026372</v>
          </cell>
          <cell r="GJ1312">
            <v>7.7337520878462023</v>
          </cell>
          <cell r="GK1312">
            <v>13.082262702206542</v>
          </cell>
        </row>
        <row r="1313">
          <cell r="A1313">
            <v>41297</v>
          </cell>
          <cell r="FR1313">
            <v>17.525949435667716</v>
          </cell>
          <cell r="FS1313">
            <v>22.314663874962239</v>
          </cell>
          <cell r="FT1313">
            <v>20.116606119778133</v>
          </cell>
          <cell r="FU1313">
            <v>17.065595346429742</v>
          </cell>
          <cell r="FV1313">
            <v>23.167616893126525</v>
          </cell>
          <cell r="GG1313">
            <v>8.4847400715812249</v>
          </cell>
          <cell r="GH1313">
            <v>13.982143405445317</v>
          </cell>
          <cell r="GI1313">
            <v>10.408007395026372</v>
          </cell>
          <cell r="GJ1313">
            <v>7.7337520878462023</v>
          </cell>
          <cell r="GK1313">
            <v>13.082262702206542</v>
          </cell>
        </row>
        <row r="1314">
          <cell r="A1314">
            <v>41298</v>
          </cell>
          <cell r="FR1314">
            <v>17.82391963882802</v>
          </cell>
          <cell r="FS1314">
            <v>22.314663874962239</v>
          </cell>
          <cell r="FT1314">
            <v>20.116606119778133</v>
          </cell>
          <cell r="FU1314">
            <v>17.065595346429742</v>
          </cell>
          <cell r="FV1314">
            <v>23.167616893126525</v>
          </cell>
          <cell r="GG1314">
            <v>8.4847400715812249</v>
          </cell>
          <cell r="GH1314">
            <v>13.982143405445317</v>
          </cell>
          <cell r="GI1314">
            <v>10.408007395026372</v>
          </cell>
          <cell r="GJ1314">
            <v>7.7337520878462023</v>
          </cell>
          <cell r="GK1314">
            <v>13.082262702206542</v>
          </cell>
        </row>
        <row r="1315">
          <cell r="A1315">
            <v>41299</v>
          </cell>
          <cell r="FR1315">
            <v>18.323872970098773</v>
          </cell>
          <cell r="FS1315">
            <v>22.314663874962239</v>
          </cell>
          <cell r="FT1315">
            <v>20.116606119778133</v>
          </cell>
          <cell r="FU1315">
            <v>17.065595346429742</v>
          </cell>
          <cell r="FV1315">
            <v>23.167616893126525</v>
          </cell>
          <cell r="GG1315">
            <v>8.4847400715812249</v>
          </cell>
          <cell r="GH1315">
            <v>13.982143405445317</v>
          </cell>
          <cell r="GI1315">
            <v>10.408007395026372</v>
          </cell>
          <cell r="GJ1315">
            <v>7.7337520878462023</v>
          </cell>
          <cell r="GK1315">
            <v>13.082262702206542</v>
          </cell>
        </row>
        <row r="1316">
          <cell r="A1316">
            <v>41302</v>
          </cell>
          <cell r="FR1316">
            <v>17.962638795026979</v>
          </cell>
          <cell r="FS1316">
            <v>22.314663874962239</v>
          </cell>
          <cell r="FT1316">
            <v>20.116606119778133</v>
          </cell>
          <cell r="FU1316">
            <v>17.065595346429742</v>
          </cell>
          <cell r="FV1316">
            <v>23.167616893126525</v>
          </cell>
          <cell r="GG1316">
            <v>8.4847400715812249</v>
          </cell>
          <cell r="GH1316">
            <v>13.982143405445317</v>
          </cell>
          <cell r="GI1316">
            <v>10.408007395026372</v>
          </cell>
          <cell r="GJ1316">
            <v>7.7337520878462023</v>
          </cell>
          <cell r="GK1316">
            <v>13.082262702206542</v>
          </cell>
        </row>
        <row r="1317">
          <cell r="A1317">
            <v>41303</v>
          </cell>
          <cell r="FR1317">
            <v>18.043914091205824</v>
          </cell>
          <cell r="FS1317">
            <v>22.314663874962239</v>
          </cell>
          <cell r="FT1317">
            <v>20.116606119778133</v>
          </cell>
          <cell r="FU1317">
            <v>17.065595346429742</v>
          </cell>
          <cell r="FV1317">
            <v>23.167616893126525</v>
          </cell>
          <cell r="GG1317">
            <v>8.4018473704848269</v>
          </cell>
          <cell r="GH1317">
            <v>13.982143405445317</v>
          </cell>
          <cell r="GI1317">
            <v>10.408007395026372</v>
          </cell>
          <cell r="GJ1317">
            <v>7.7337520878462023</v>
          </cell>
          <cell r="GK1317">
            <v>13.082262702206542</v>
          </cell>
        </row>
        <row r="1318">
          <cell r="A1318">
            <v>41304</v>
          </cell>
          <cell r="FR1318">
            <v>19.167015550601693</v>
          </cell>
          <cell r="FS1318">
            <v>22.314663874962239</v>
          </cell>
          <cell r="FT1318">
            <v>20.116606119778133</v>
          </cell>
          <cell r="FU1318">
            <v>17.065595346429742</v>
          </cell>
          <cell r="FV1318">
            <v>23.167616893126525</v>
          </cell>
          <cell r="GG1318">
            <v>8.3948848676420535</v>
          </cell>
          <cell r="GH1318">
            <v>13.982143405445317</v>
          </cell>
          <cell r="GI1318">
            <v>10.408007395026372</v>
          </cell>
          <cell r="GJ1318">
            <v>7.7337520878462023</v>
          </cell>
          <cell r="GK1318">
            <v>13.082262702206542</v>
          </cell>
        </row>
        <row r="1319">
          <cell r="A1319">
            <v>41305</v>
          </cell>
          <cell r="FR1319">
            <v>18.967825811800342</v>
          </cell>
          <cell r="FS1319">
            <v>22.314663874962239</v>
          </cell>
          <cell r="FT1319">
            <v>20.116606119778133</v>
          </cell>
          <cell r="FU1319">
            <v>17.065595346429742</v>
          </cell>
          <cell r="FV1319">
            <v>23.167616893126525</v>
          </cell>
          <cell r="GG1319">
            <v>8.3174675331448782</v>
          </cell>
          <cell r="GH1319">
            <v>13.982143405445317</v>
          </cell>
          <cell r="GI1319">
            <v>10.408007395026372</v>
          </cell>
          <cell r="GJ1319">
            <v>7.7337520878462023</v>
          </cell>
          <cell r="GK1319">
            <v>13.082262702206542</v>
          </cell>
        </row>
        <row r="1320">
          <cell r="A1320">
            <v>41306</v>
          </cell>
          <cell r="FR1320">
            <v>19.039227211698272</v>
          </cell>
          <cell r="FS1320">
            <v>22.314663874962239</v>
          </cell>
          <cell r="FT1320">
            <v>20.116606119778133</v>
          </cell>
          <cell r="FU1320">
            <v>17.065595346429742</v>
          </cell>
          <cell r="FV1320">
            <v>23.167616893126525</v>
          </cell>
          <cell r="GG1320">
            <v>9.2292243964449536</v>
          </cell>
          <cell r="GH1320">
            <v>13.982143405445317</v>
          </cell>
          <cell r="GI1320">
            <v>10.408007395026372</v>
          </cell>
          <cell r="GJ1320">
            <v>7.7337520878462023</v>
          </cell>
          <cell r="GK1320">
            <v>13.082262702206542</v>
          </cell>
        </row>
        <row r="1321">
          <cell r="A1321">
            <v>41309</v>
          </cell>
          <cell r="FR1321">
            <v>18.573772937492645</v>
          </cell>
          <cell r="FS1321">
            <v>22.314663874962239</v>
          </cell>
          <cell r="FT1321">
            <v>20.116606119778133</v>
          </cell>
          <cell r="FU1321">
            <v>17.065595346429742</v>
          </cell>
          <cell r="FV1321">
            <v>23.167616893126525</v>
          </cell>
          <cell r="GG1321">
            <v>9.1057850392018587</v>
          </cell>
          <cell r="GH1321">
            <v>13.982143405445317</v>
          </cell>
          <cell r="GI1321">
            <v>10.408007395026372</v>
          </cell>
          <cell r="GJ1321">
            <v>7.7337520878462023</v>
          </cell>
          <cell r="GK1321">
            <v>13.082262702206542</v>
          </cell>
        </row>
        <row r="1322">
          <cell r="A1322">
            <v>41310</v>
          </cell>
          <cell r="FR1322">
            <v>18.788594062362129</v>
          </cell>
          <cell r="FS1322">
            <v>22.314663874962239</v>
          </cell>
          <cell r="FT1322">
            <v>20.116606119778133</v>
          </cell>
          <cell r="FU1322">
            <v>17.065595346429742</v>
          </cell>
          <cell r="FV1322">
            <v>23.167616893126525</v>
          </cell>
          <cell r="GG1322">
            <v>9.1377464744084005</v>
          </cell>
          <cell r="GH1322">
            <v>13.982143405445317</v>
          </cell>
          <cell r="GI1322">
            <v>10.408007395026372</v>
          </cell>
          <cell r="GJ1322">
            <v>7.7337520878462023</v>
          </cell>
          <cell r="GK1322">
            <v>13.082262702206542</v>
          </cell>
        </row>
        <row r="1323">
          <cell r="A1323">
            <v>41311</v>
          </cell>
          <cell r="FR1323">
            <v>18.511108160527098</v>
          </cell>
          <cell r="FS1323">
            <v>22.314663874962239</v>
          </cell>
          <cell r="FT1323">
            <v>20.116606119778133</v>
          </cell>
          <cell r="FU1323">
            <v>17.065595346429742</v>
          </cell>
          <cell r="FV1323">
            <v>23.167616893126525</v>
          </cell>
          <cell r="GG1323">
            <v>9.0986170887647368</v>
          </cell>
          <cell r="GH1323">
            <v>13.982143405445317</v>
          </cell>
          <cell r="GI1323">
            <v>10.408007395026372</v>
          </cell>
          <cell r="GJ1323">
            <v>7.7337520878462023</v>
          </cell>
          <cell r="GK1323">
            <v>13.082262702206542</v>
          </cell>
        </row>
        <row r="1324">
          <cell r="A1324">
            <v>41312</v>
          </cell>
          <cell r="FR1324">
            <v>18.367886021186489</v>
          </cell>
          <cell r="FS1324">
            <v>22.314663874962239</v>
          </cell>
          <cell r="FT1324">
            <v>20.116606119778133</v>
          </cell>
          <cell r="FU1324">
            <v>17.065595346429742</v>
          </cell>
          <cell r="FV1324">
            <v>23.167616893126525</v>
          </cell>
          <cell r="GG1324">
            <v>9.0176077082968202</v>
          </cell>
          <cell r="GH1324">
            <v>13.982143405445317</v>
          </cell>
          <cell r="GI1324">
            <v>10.408007395026372</v>
          </cell>
          <cell r="GJ1324">
            <v>7.7337520878462023</v>
          </cell>
          <cell r="GK1324">
            <v>13.082262702206542</v>
          </cell>
        </row>
        <row r="1325">
          <cell r="A1325">
            <v>41313</v>
          </cell>
          <cell r="FR1325">
            <v>18.372060268248415</v>
          </cell>
          <cell r="FS1325">
            <v>22.314663874962239</v>
          </cell>
          <cell r="FT1325">
            <v>20.116606119778133</v>
          </cell>
          <cell r="FU1325">
            <v>17.065595346429742</v>
          </cell>
          <cell r="FV1325">
            <v>23.167616893126525</v>
          </cell>
          <cell r="GG1325">
            <v>9.1686037491573007</v>
          </cell>
          <cell r="GH1325">
            <v>13.982143405445317</v>
          </cell>
          <cell r="GI1325">
            <v>10.408007395026372</v>
          </cell>
          <cell r="GJ1325">
            <v>7.7337520878462023</v>
          </cell>
          <cell r="GK1325">
            <v>13.082262702206542</v>
          </cell>
        </row>
        <row r="1326">
          <cell r="A1326">
            <v>41316</v>
          </cell>
          <cell r="FR1326">
            <v>18.434664826083011</v>
          </cell>
          <cell r="FS1326">
            <v>22.314663874962239</v>
          </cell>
          <cell r="FT1326">
            <v>20.116606119778133</v>
          </cell>
          <cell r="FU1326">
            <v>17.065595346429742</v>
          </cell>
          <cell r="FV1326">
            <v>23.167616893126525</v>
          </cell>
          <cell r="GG1326">
            <v>9.1294801920633493</v>
          </cell>
          <cell r="GH1326">
            <v>13.982143405445317</v>
          </cell>
          <cell r="GI1326">
            <v>10.408007395026372</v>
          </cell>
          <cell r="GJ1326">
            <v>7.7337520878462023</v>
          </cell>
          <cell r="GK1326">
            <v>13.082262702206542</v>
          </cell>
        </row>
        <row r="1327">
          <cell r="A1327">
            <v>41317</v>
          </cell>
          <cell r="FR1327">
            <v>18.540031652645492</v>
          </cell>
          <cell r="FS1327">
            <v>22.314663874962239</v>
          </cell>
          <cell r="FT1327">
            <v>20.116606119778133</v>
          </cell>
          <cell r="FU1327">
            <v>17.065595346429742</v>
          </cell>
          <cell r="FV1327">
            <v>23.167616893126525</v>
          </cell>
          <cell r="GG1327">
            <v>9.089246412820053</v>
          </cell>
          <cell r="GH1327">
            <v>13.982143405445317</v>
          </cell>
          <cell r="GI1327">
            <v>10.408007395026372</v>
          </cell>
          <cell r="GJ1327">
            <v>7.7337520878462023</v>
          </cell>
          <cell r="GK1327">
            <v>13.082262702206542</v>
          </cell>
        </row>
        <row r="1328">
          <cell r="A1328">
            <v>41318</v>
          </cell>
          <cell r="FR1328">
            <v>18.571330215758543</v>
          </cell>
          <cell r="FS1328">
            <v>22.314663874962239</v>
          </cell>
          <cell r="FT1328">
            <v>20.116606119778133</v>
          </cell>
          <cell r="FU1328">
            <v>17.065595346429742</v>
          </cell>
          <cell r="FV1328">
            <v>23.167616893126525</v>
          </cell>
          <cell r="GG1328">
            <v>9.0875160036479059</v>
          </cell>
          <cell r="GH1328">
            <v>13.982143405445317</v>
          </cell>
          <cell r="GI1328">
            <v>10.408007395026372</v>
          </cell>
          <cell r="GJ1328">
            <v>7.7337520878462023</v>
          </cell>
          <cell r="GK1328">
            <v>13.082262702206542</v>
          </cell>
        </row>
        <row r="1329">
          <cell r="A1329">
            <v>41319</v>
          </cell>
          <cell r="FR1329">
            <v>19.071005806165481</v>
          </cell>
          <cell r="FS1329">
            <v>22.314663874962239</v>
          </cell>
          <cell r="FT1329">
            <v>20.116606119778133</v>
          </cell>
          <cell r="FU1329">
            <v>17.065595346429742</v>
          </cell>
          <cell r="FV1329">
            <v>23.167616893126525</v>
          </cell>
          <cell r="GG1329">
            <v>9.3870432147184353</v>
          </cell>
          <cell r="GH1329">
            <v>13.982143405445317</v>
          </cell>
          <cell r="GI1329">
            <v>10.408007395026372</v>
          </cell>
          <cell r="GJ1329">
            <v>7.7337520878462023</v>
          </cell>
          <cell r="GK1329">
            <v>13.082262702206542</v>
          </cell>
        </row>
        <row r="1330">
          <cell r="A1330">
            <v>41320</v>
          </cell>
          <cell r="FR1330">
            <v>19.637211241518376</v>
          </cell>
          <cell r="FS1330">
            <v>22.314663874962239</v>
          </cell>
          <cell r="FT1330">
            <v>20.116606119778133</v>
          </cell>
          <cell r="FU1330">
            <v>17.065595346429742</v>
          </cell>
          <cell r="FV1330">
            <v>23.167616893126525</v>
          </cell>
          <cell r="GG1330">
            <v>9.7074153339997515</v>
          </cell>
          <cell r="GH1330">
            <v>13.982143405445317</v>
          </cell>
          <cell r="GI1330">
            <v>10.408007395026372</v>
          </cell>
          <cell r="GJ1330">
            <v>7.7337520878462023</v>
          </cell>
          <cell r="GK1330">
            <v>13.082262702206542</v>
          </cell>
        </row>
        <row r="1331">
          <cell r="A1331">
            <v>41323</v>
          </cell>
          <cell r="FR1331">
            <v>19.637211241518376</v>
          </cell>
          <cell r="FS1331">
            <v>22.314663874962239</v>
          </cell>
          <cell r="FT1331">
            <v>20.116606119778133</v>
          </cell>
          <cell r="FU1331">
            <v>17.065595346429742</v>
          </cell>
          <cell r="FV1331">
            <v>23.167616893126525</v>
          </cell>
          <cell r="GG1331">
            <v>9.7074153339997515</v>
          </cell>
          <cell r="GH1331">
            <v>13.982143405445317</v>
          </cell>
          <cell r="GI1331">
            <v>10.408007395026372</v>
          </cell>
          <cell r="GJ1331">
            <v>7.7337520878462023</v>
          </cell>
          <cell r="GK1331">
            <v>13.082262702206542</v>
          </cell>
        </row>
        <row r="1332">
          <cell r="A1332">
            <v>41324</v>
          </cell>
          <cell r="FR1332">
            <v>19.699446194880167</v>
          </cell>
          <cell r="FS1332">
            <v>22.314663874962239</v>
          </cell>
          <cell r="FT1332">
            <v>20.116606119778133</v>
          </cell>
          <cell r="FU1332">
            <v>17.065595346429742</v>
          </cell>
          <cell r="FV1332">
            <v>23.167616893126525</v>
          </cell>
          <cell r="GG1332">
            <v>9.7208879586910886</v>
          </cell>
          <cell r="GH1332">
            <v>13.982143405445317</v>
          </cell>
          <cell r="GI1332">
            <v>10.408007395026372</v>
          </cell>
          <cell r="GJ1332">
            <v>7.7337520878462023</v>
          </cell>
          <cell r="GK1332">
            <v>13.082262702206542</v>
          </cell>
        </row>
        <row r="1333">
          <cell r="A1333">
            <v>41325</v>
          </cell>
          <cell r="FR1333">
            <v>19.719044785181399</v>
          </cell>
          <cell r="FS1333">
            <v>22.314663874962239</v>
          </cell>
          <cell r="FT1333">
            <v>20.116606119778133</v>
          </cell>
          <cell r="FU1333">
            <v>17.065595346429742</v>
          </cell>
          <cell r="FV1333">
            <v>23.167616893126525</v>
          </cell>
          <cell r="GG1333">
            <v>9.7015858475621073</v>
          </cell>
          <cell r="GH1333">
            <v>13.982143405445317</v>
          </cell>
          <cell r="GI1333">
            <v>10.408007395026372</v>
          </cell>
          <cell r="GJ1333">
            <v>7.7337520878462023</v>
          </cell>
          <cell r="GK1333">
            <v>13.082262702206542</v>
          </cell>
        </row>
        <row r="1334">
          <cell r="A1334">
            <v>41326</v>
          </cell>
          <cell r="FR1334">
            <v>18.866802432514589</v>
          </cell>
          <cell r="FS1334">
            <v>22.314663874962239</v>
          </cell>
          <cell r="FT1334">
            <v>20.116606119778133</v>
          </cell>
          <cell r="FU1334">
            <v>17.065595346429742</v>
          </cell>
          <cell r="FV1334">
            <v>23.167616893126525</v>
          </cell>
          <cell r="GG1334">
            <v>9.473808153969296</v>
          </cell>
          <cell r="GH1334">
            <v>13.982143405445317</v>
          </cell>
          <cell r="GI1334">
            <v>10.408007395026372</v>
          </cell>
          <cell r="GJ1334">
            <v>7.7337520878462023</v>
          </cell>
          <cell r="GK1334">
            <v>13.082262702206542</v>
          </cell>
        </row>
        <row r="1335">
          <cell r="A1335">
            <v>41327</v>
          </cell>
          <cell r="FR1335">
            <v>18.876403607334922</v>
          </cell>
          <cell r="FS1335">
            <v>22.314663874962239</v>
          </cell>
          <cell r="FT1335">
            <v>20.116606119778133</v>
          </cell>
          <cell r="FU1335">
            <v>17.065595346429742</v>
          </cell>
          <cell r="FV1335">
            <v>23.167616893126525</v>
          </cell>
          <cell r="GG1335">
            <v>9.3943479035071622</v>
          </cell>
          <cell r="GH1335">
            <v>13.982143405445317</v>
          </cell>
          <cell r="GI1335">
            <v>10.408007395026372</v>
          </cell>
          <cell r="GJ1335">
            <v>7.7337520878462023</v>
          </cell>
          <cell r="GK1335">
            <v>13.082262702206542</v>
          </cell>
        </row>
        <row r="1336">
          <cell r="A1336">
            <v>41330</v>
          </cell>
          <cell r="FR1336">
            <v>19.053810762864213</v>
          </cell>
          <cell r="FS1336">
            <v>22.314663874962239</v>
          </cell>
          <cell r="FT1336">
            <v>20.116606119778133</v>
          </cell>
          <cell r="FU1336">
            <v>17.065595346429742</v>
          </cell>
          <cell r="FV1336">
            <v>23.167616893126525</v>
          </cell>
          <cell r="GG1336">
            <v>9.6090315997157632</v>
          </cell>
          <cell r="GH1336">
            <v>13.982143405445317</v>
          </cell>
          <cell r="GI1336">
            <v>10.408007395026372</v>
          </cell>
          <cell r="GJ1336">
            <v>7.7337520878462023</v>
          </cell>
          <cell r="GK1336">
            <v>13.082262702206542</v>
          </cell>
        </row>
        <row r="1337">
          <cell r="A1337">
            <v>41331</v>
          </cell>
          <cell r="FR1337">
            <v>18.929624778239717</v>
          </cell>
          <cell r="FS1337">
            <v>22.314663874962239</v>
          </cell>
          <cell r="FT1337">
            <v>20.116606119778133</v>
          </cell>
          <cell r="FU1337">
            <v>17.065595346429742</v>
          </cell>
          <cell r="FV1337">
            <v>23.167616893126525</v>
          </cell>
          <cell r="GG1337">
            <v>9.5215533182753749</v>
          </cell>
          <cell r="GH1337">
            <v>13.982143405445317</v>
          </cell>
          <cell r="GI1337">
            <v>10.408007395026372</v>
          </cell>
          <cell r="GJ1337">
            <v>7.7337520878462023</v>
          </cell>
          <cell r="GK1337">
            <v>13.082262702206542</v>
          </cell>
        </row>
        <row r="1338">
          <cell r="A1338">
            <v>41332</v>
          </cell>
          <cell r="FR1338">
            <v>18.929624778239717</v>
          </cell>
          <cell r="FS1338">
            <v>22.314663874962239</v>
          </cell>
          <cell r="FT1338">
            <v>20.116606119778133</v>
          </cell>
          <cell r="FU1338">
            <v>17.065595346429742</v>
          </cell>
          <cell r="FV1338">
            <v>23.167616893126525</v>
          </cell>
          <cell r="GG1338">
            <v>9.4976534286337913</v>
          </cell>
          <cell r="GH1338">
            <v>13.982143405445317</v>
          </cell>
          <cell r="GI1338">
            <v>10.408007395026372</v>
          </cell>
          <cell r="GJ1338">
            <v>7.7337520878462023</v>
          </cell>
          <cell r="GK1338">
            <v>13.082262702206542</v>
          </cell>
        </row>
        <row r="1339">
          <cell r="A1339">
            <v>41333</v>
          </cell>
          <cell r="FR1339">
            <v>19.018321703136237</v>
          </cell>
          <cell r="FS1339">
            <v>22.314663874962239</v>
          </cell>
          <cell r="FT1339">
            <v>20.116606119778133</v>
          </cell>
          <cell r="FU1339">
            <v>17.065595346429742</v>
          </cell>
          <cell r="FV1339">
            <v>23.167616893126525</v>
          </cell>
          <cell r="GG1339">
            <v>9.4786320471209482</v>
          </cell>
          <cell r="GH1339">
            <v>13.982143405445317</v>
          </cell>
          <cell r="GI1339">
            <v>10.408007395026372</v>
          </cell>
          <cell r="GJ1339">
            <v>7.7337520878462023</v>
          </cell>
          <cell r="GK1339">
            <v>13.082262702206542</v>
          </cell>
        </row>
        <row r="1340">
          <cell r="A1340">
            <v>41334</v>
          </cell>
          <cell r="FR1340">
            <v>18.813333890635349</v>
          </cell>
          <cell r="FS1340">
            <v>22.314663874962239</v>
          </cell>
          <cell r="FT1340">
            <v>20.116606119778133</v>
          </cell>
          <cell r="FU1340">
            <v>17.065595346429742</v>
          </cell>
          <cell r="FV1340">
            <v>23.167616893126525</v>
          </cell>
          <cell r="GG1340">
            <v>9.480205515537218</v>
          </cell>
          <cell r="GH1340">
            <v>13.982143405445317</v>
          </cell>
          <cell r="GI1340">
            <v>10.408007395026372</v>
          </cell>
          <cell r="GJ1340">
            <v>7.7337520878462023</v>
          </cell>
          <cell r="GK1340">
            <v>13.082262702206542</v>
          </cell>
        </row>
        <row r="1341">
          <cell r="A1341">
            <v>41337</v>
          </cell>
          <cell r="FR1341">
            <v>18.382166922218975</v>
          </cell>
          <cell r="FS1341">
            <v>22.314663874962239</v>
          </cell>
          <cell r="FT1341">
            <v>20.116606119778133</v>
          </cell>
          <cell r="FU1341">
            <v>17.065595346429742</v>
          </cell>
          <cell r="FV1341">
            <v>23.167616893126525</v>
          </cell>
          <cell r="GG1341">
            <v>9.2499357314770432</v>
          </cell>
          <cell r="GH1341">
            <v>13.982143405445317</v>
          </cell>
          <cell r="GI1341">
            <v>10.408007395026372</v>
          </cell>
          <cell r="GJ1341">
            <v>7.7337520878462023</v>
          </cell>
          <cell r="GK1341">
            <v>13.082262702206542</v>
          </cell>
        </row>
        <row r="1342">
          <cell r="A1342">
            <v>41338</v>
          </cell>
          <cell r="FR1342">
            <v>18.883471865307929</v>
          </cell>
          <cell r="FS1342">
            <v>22.314663874962239</v>
          </cell>
          <cell r="FT1342">
            <v>20.116606119778133</v>
          </cell>
          <cell r="FU1342">
            <v>17.065595346429742</v>
          </cell>
          <cell r="FV1342">
            <v>23.167616893126525</v>
          </cell>
          <cell r="GG1342">
            <v>9.4753320548767022</v>
          </cell>
          <cell r="GH1342">
            <v>13.982143405445317</v>
          </cell>
          <cell r="GI1342">
            <v>10.408007395026372</v>
          </cell>
          <cell r="GJ1342">
            <v>7.7337520878462023</v>
          </cell>
          <cell r="GK1342">
            <v>13.082262702206542</v>
          </cell>
        </row>
        <row r="1343">
          <cell r="A1343">
            <v>41339</v>
          </cell>
          <cell r="FR1343">
            <v>18.564463447053608</v>
          </cell>
          <cell r="FS1343">
            <v>22.314663874962239</v>
          </cell>
          <cell r="FT1343">
            <v>20.116606119778133</v>
          </cell>
          <cell r="FU1343">
            <v>17.065595346429742</v>
          </cell>
          <cell r="FV1343">
            <v>23.167616893126525</v>
          </cell>
          <cell r="GG1343">
            <v>9.350745273049716</v>
          </cell>
          <cell r="GH1343">
            <v>13.982143405445317</v>
          </cell>
          <cell r="GI1343">
            <v>10.408007395026372</v>
          </cell>
          <cell r="GJ1343">
            <v>7.7337520878462023</v>
          </cell>
          <cell r="GK1343">
            <v>13.082262702206542</v>
          </cell>
        </row>
        <row r="1344">
          <cell r="A1344">
            <v>41340</v>
          </cell>
          <cell r="FR1344">
            <v>18.591046521931766</v>
          </cell>
          <cell r="FS1344">
            <v>22.314663874962239</v>
          </cell>
          <cell r="FT1344">
            <v>20.116606119778133</v>
          </cell>
          <cell r="FU1344">
            <v>17.065595346429742</v>
          </cell>
          <cell r="FV1344">
            <v>23.167616893126525</v>
          </cell>
          <cell r="GG1344">
            <v>9.2895416996298597</v>
          </cell>
          <cell r="GH1344">
            <v>13.982143405445317</v>
          </cell>
          <cell r="GI1344">
            <v>10.408007395026372</v>
          </cell>
          <cell r="GJ1344">
            <v>7.7337520878462023</v>
          </cell>
          <cell r="GK1344">
            <v>13.082262702206542</v>
          </cell>
        </row>
        <row r="1345">
          <cell r="A1345">
            <v>41341</v>
          </cell>
          <cell r="FR1345">
            <v>18.644212671688081</v>
          </cell>
          <cell r="FS1345">
            <v>22.314663874962239</v>
          </cell>
          <cell r="FT1345">
            <v>20.116606119778133</v>
          </cell>
          <cell r="FU1345">
            <v>17.065595346429742</v>
          </cell>
          <cell r="FV1345">
            <v>23.167616893126525</v>
          </cell>
          <cell r="GG1345">
            <v>9.3967953572561207</v>
          </cell>
          <cell r="GH1345">
            <v>13.982143405445317</v>
          </cell>
          <cell r="GI1345">
            <v>10.408007395026372</v>
          </cell>
          <cell r="GJ1345">
            <v>7.7337520878462023</v>
          </cell>
          <cell r="GK1345">
            <v>13.082262702206542</v>
          </cell>
        </row>
        <row r="1346">
          <cell r="A1346">
            <v>41344</v>
          </cell>
          <cell r="FR1346">
            <v>18.750544085068675</v>
          </cell>
          <cell r="FS1346">
            <v>22.314663874962239</v>
          </cell>
          <cell r="FT1346">
            <v>20.116606119778133</v>
          </cell>
          <cell r="FU1346">
            <v>17.065595346429742</v>
          </cell>
          <cell r="FV1346">
            <v>23.167616893126525</v>
          </cell>
          <cell r="GG1346">
            <v>9.4141284814568458</v>
          </cell>
          <cell r="GH1346">
            <v>13.982143405445317</v>
          </cell>
          <cell r="GI1346">
            <v>10.408007395026372</v>
          </cell>
          <cell r="GJ1346">
            <v>7.7337520878462023</v>
          </cell>
          <cell r="GK1346">
            <v>13.082262702206542</v>
          </cell>
        </row>
        <row r="1347">
          <cell r="A1347">
            <v>41345</v>
          </cell>
          <cell r="FR1347">
            <v>18.5821763402747</v>
          </cell>
          <cell r="FS1347">
            <v>22.314663874962239</v>
          </cell>
          <cell r="FT1347">
            <v>20.116606119778133</v>
          </cell>
          <cell r="FU1347">
            <v>17.065595346429742</v>
          </cell>
          <cell r="FV1347">
            <v>23.167616893126525</v>
          </cell>
          <cell r="GG1347">
            <v>9.3594143539004584</v>
          </cell>
          <cell r="GH1347">
            <v>13.982143405445317</v>
          </cell>
          <cell r="GI1347">
            <v>10.408007395026372</v>
          </cell>
          <cell r="GJ1347">
            <v>7.7337520878462023</v>
          </cell>
          <cell r="GK1347">
            <v>13.082262702206542</v>
          </cell>
        </row>
        <row r="1348">
          <cell r="A1348">
            <v>41346</v>
          </cell>
          <cell r="FR1348">
            <v>18.520154186973858</v>
          </cell>
          <cell r="FS1348">
            <v>22.314663874962239</v>
          </cell>
          <cell r="FT1348">
            <v>20.116606119778133</v>
          </cell>
          <cell r="FU1348">
            <v>17.065595346429742</v>
          </cell>
          <cell r="FV1348">
            <v>23.167616893126525</v>
          </cell>
          <cell r="GG1348">
            <v>9.3545435486216153</v>
          </cell>
          <cell r="GH1348">
            <v>13.982143405445317</v>
          </cell>
          <cell r="GI1348">
            <v>10.408007395026372</v>
          </cell>
          <cell r="GJ1348">
            <v>7.7337520878462023</v>
          </cell>
          <cell r="GK1348">
            <v>13.082262702206542</v>
          </cell>
        </row>
        <row r="1349">
          <cell r="A1349">
            <v>41347</v>
          </cell>
          <cell r="FR1349">
            <v>18.52901107665042</v>
          </cell>
          <cell r="FS1349">
            <v>22.314663874962239</v>
          </cell>
          <cell r="FT1349">
            <v>20.116606119778133</v>
          </cell>
          <cell r="FU1349">
            <v>17.065595346429742</v>
          </cell>
          <cell r="FV1349">
            <v>23.167616893126525</v>
          </cell>
          <cell r="GG1349">
            <v>9.3756699108934818</v>
          </cell>
          <cell r="GH1349">
            <v>13.982143405445317</v>
          </cell>
          <cell r="GI1349">
            <v>10.408007395026372</v>
          </cell>
          <cell r="GJ1349">
            <v>7.7337520878462023</v>
          </cell>
          <cell r="GK1349">
            <v>13.082262702206542</v>
          </cell>
        </row>
        <row r="1350">
          <cell r="A1350">
            <v>41348</v>
          </cell>
          <cell r="FR1350">
            <v>18.404953478068233</v>
          </cell>
          <cell r="FS1350">
            <v>22.314663874962239</v>
          </cell>
          <cell r="FT1350">
            <v>20.116606119778133</v>
          </cell>
          <cell r="FU1350">
            <v>17.065595346429742</v>
          </cell>
          <cell r="FV1350">
            <v>23.167616893126525</v>
          </cell>
          <cell r="GG1350">
            <v>9.2799911843736744</v>
          </cell>
          <cell r="GH1350">
            <v>13.982143405445317</v>
          </cell>
          <cell r="GI1350">
            <v>10.408007395026372</v>
          </cell>
          <cell r="GJ1350">
            <v>7.7337520878462023</v>
          </cell>
          <cell r="GK1350">
            <v>13.082262702206542</v>
          </cell>
        </row>
        <row r="1351">
          <cell r="A1351">
            <v>41351</v>
          </cell>
          <cell r="FR1351">
            <v>18.263168808152415</v>
          </cell>
          <cell r="FS1351">
            <v>22.314663874962239</v>
          </cell>
          <cell r="FT1351">
            <v>20.116606119778133</v>
          </cell>
          <cell r="FU1351">
            <v>17.065595346429742</v>
          </cell>
          <cell r="FV1351">
            <v>23.167616893126525</v>
          </cell>
          <cell r="GG1351">
            <v>9.2924466339763399</v>
          </cell>
          <cell r="GH1351">
            <v>13.982143405445317</v>
          </cell>
          <cell r="GI1351">
            <v>10.408007395026372</v>
          </cell>
          <cell r="GJ1351">
            <v>7.7337520878462023</v>
          </cell>
          <cell r="GK1351">
            <v>13.082262702206542</v>
          </cell>
        </row>
        <row r="1352">
          <cell r="A1352">
            <v>41352</v>
          </cell>
          <cell r="FR1352">
            <v>18.227729729729727</v>
          </cell>
          <cell r="FS1352">
            <v>22.314663874962239</v>
          </cell>
          <cell r="FT1352">
            <v>20.116606119778133</v>
          </cell>
          <cell r="FU1352">
            <v>17.065595346429742</v>
          </cell>
          <cell r="FV1352">
            <v>23.167616893126525</v>
          </cell>
          <cell r="GG1352">
            <v>9.2648260173175547</v>
          </cell>
          <cell r="GH1352">
            <v>13.982143405445317</v>
          </cell>
          <cell r="GI1352">
            <v>10.408007395026372</v>
          </cell>
          <cell r="GJ1352">
            <v>7.7337520878462023</v>
          </cell>
          <cell r="GK1352">
            <v>13.082262702206542</v>
          </cell>
        </row>
        <row r="1353">
          <cell r="A1353">
            <v>41353</v>
          </cell>
          <cell r="FR1353">
            <v>18.413822773593264</v>
          </cell>
          <cell r="FS1353">
            <v>22.314663874962239</v>
          </cell>
          <cell r="FT1353">
            <v>20.116606119778133</v>
          </cell>
          <cell r="FU1353">
            <v>17.065595346429742</v>
          </cell>
          <cell r="FV1353">
            <v>23.167616893126525</v>
          </cell>
          <cell r="GG1353">
            <v>9.32278246354395</v>
          </cell>
          <cell r="GH1353">
            <v>13.982143405445317</v>
          </cell>
          <cell r="GI1353">
            <v>10.408007395026372</v>
          </cell>
          <cell r="GJ1353">
            <v>7.7337520878462023</v>
          </cell>
          <cell r="GK1353">
            <v>13.082262702206542</v>
          </cell>
        </row>
        <row r="1354">
          <cell r="A1354">
            <v>41354</v>
          </cell>
          <cell r="FR1354">
            <v>18.068232166592821</v>
          </cell>
          <cell r="FS1354">
            <v>22.314663874962239</v>
          </cell>
          <cell r="FT1354">
            <v>20.116606119778133</v>
          </cell>
          <cell r="FU1354">
            <v>17.065595346429742</v>
          </cell>
          <cell r="FV1354">
            <v>23.167616893126525</v>
          </cell>
          <cell r="GG1354">
            <v>9.2111960973107774</v>
          </cell>
          <cell r="GH1354">
            <v>13.982143405445317</v>
          </cell>
          <cell r="GI1354">
            <v>10.408007395026372</v>
          </cell>
          <cell r="GJ1354">
            <v>7.7337520878462023</v>
          </cell>
          <cell r="GK1354">
            <v>13.082262702206542</v>
          </cell>
        </row>
        <row r="1355">
          <cell r="A1355">
            <v>41355</v>
          </cell>
          <cell r="FR1355">
            <v>18.211172627395204</v>
          </cell>
          <cell r="FS1355">
            <v>22.314663874962239</v>
          </cell>
          <cell r="FT1355">
            <v>20.116606119778133</v>
          </cell>
          <cell r="FU1355">
            <v>17.065595346429742</v>
          </cell>
          <cell r="FV1355">
            <v>23.167616893126525</v>
          </cell>
          <cell r="GG1355">
            <v>9.2122805338376956</v>
          </cell>
          <cell r="GH1355">
            <v>13.982143405445317</v>
          </cell>
          <cell r="GI1355">
            <v>10.408007395026372</v>
          </cell>
          <cell r="GJ1355">
            <v>7.7337520878462023</v>
          </cell>
          <cell r="GK1355">
            <v>13.082262702206542</v>
          </cell>
        </row>
        <row r="1356">
          <cell r="A1356">
            <v>41358</v>
          </cell>
          <cell r="FR1356">
            <v>17.949054263565888</v>
          </cell>
          <cell r="FS1356">
            <v>22.314663874962239</v>
          </cell>
          <cell r="FT1356">
            <v>20.116606119778133</v>
          </cell>
          <cell r="FU1356">
            <v>17.065595346429742</v>
          </cell>
          <cell r="FV1356">
            <v>23.167616893126525</v>
          </cell>
          <cell r="GG1356">
            <v>9.1023961510885432</v>
          </cell>
          <cell r="GH1356">
            <v>13.982143405445317</v>
          </cell>
          <cell r="GI1356">
            <v>10.408007395026372</v>
          </cell>
          <cell r="GJ1356">
            <v>7.7337520878462023</v>
          </cell>
          <cell r="GK1356">
            <v>13.082262702206542</v>
          </cell>
        </row>
        <row r="1357">
          <cell r="A1357">
            <v>41359</v>
          </cell>
          <cell r="FR1357">
            <v>18.073084385382057</v>
          </cell>
          <cell r="FS1357">
            <v>22.314663874962239</v>
          </cell>
          <cell r="FT1357">
            <v>20.116606119778133</v>
          </cell>
          <cell r="FU1357">
            <v>17.065595346429742</v>
          </cell>
          <cell r="FV1357">
            <v>23.167616893126525</v>
          </cell>
          <cell r="GG1357">
            <v>9.1960710020708269</v>
          </cell>
          <cell r="GH1357">
            <v>13.982143405445317</v>
          </cell>
          <cell r="GI1357">
            <v>10.408007395026372</v>
          </cell>
          <cell r="GJ1357">
            <v>7.7337520878462023</v>
          </cell>
          <cell r="GK1357">
            <v>13.082262702206542</v>
          </cell>
        </row>
        <row r="1358">
          <cell r="A1358">
            <v>41360</v>
          </cell>
          <cell r="FR1358">
            <v>18.135092801771869</v>
          </cell>
          <cell r="FS1358">
            <v>22.314663874962239</v>
          </cell>
          <cell r="FT1358">
            <v>20.116606119778133</v>
          </cell>
          <cell r="FU1358">
            <v>17.065595346429742</v>
          </cell>
          <cell r="FV1358">
            <v>23.167616893126525</v>
          </cell>
          <cell r="GG1358">
            <v>9.2962376867620993</v>
          </cell>
          <cell r="GH1358">
            <v>13.982143405445317</v>
          </cell>
          <cell r="GI1358">
            <v>10.408007395026372</v>
          </cell>
          <cell r="GJ1358">
            <v>7.7337520878462023</v>
          </cell>
          <cell r="GK1358">
            <v>13.082262702206542</v>
          </cell>
        </row>
        <row r="1359">
          <cell r="A1359">
            <v>41361</v>
          </cell>
          <cell r="FR1359">
            <v>18.67084162767679</v>
          </cell>
          <cell r="FS1359">
            <v>22.314663874962239</v>
          </cell>
          <cell r="FT1359">
            <v>20.116606119778133</v>
          </cell>
          <cell r="FU1359">
            <v>17.065595346429742</v>
          </cell>
          <cell r="FV1359">
            <v>23.167616893126525</v>
          </cell>
          <cell r="GG1359">
            <v>9.5160657835181865</v>
          </cell>
          <cell r="GH1359">
            <v>13.982143405445317</v>
          </cell>
          <cell r="GI1359">
            <v>10.408007395026372</v>
          </cell>
          <cell r="GJ1359">
            <v>7.7337520878462023</v>
          </cell>
          <cell r="GK1359">
            <v>13.082262702206542</v>
          </cell>
        </row>
        <row r="1360">
          <cell r="A1360">
            <v>41362</v>
          </cell>
          <cell r="FR1360">
            <v>18.67084162767679</v>
          </cell>
          <cell r="FS1360">
            <v>22.314663874962239</v>
          </cell>
          <cell r="FT1360">
            <v>20.116606119778133</v>
          </cell>
          <cell r="FU1360">
            <v>17.065595346429742</v>
          </cell>
          <cell r="FV1360">
            <v>23.167616893126525</v>
          </cell>
          <cell r="GG1360">
            <v>9.5160657835181865</v>
          </cell>
          <cell r="GH1360">
            <v>13.982143405445317</v>
          </cell>
          <cell r="GI1360">
            <v>10.408007395026372</v>
          </cell>
          <cell r="GJ1360">
            <v>7.7337520878462023</v>
          </cell>
          <cell r="GK1360">
            <v>13.082262702206542</v>
          </cell>
        </row>
        <row r="1361">
          <cell r="A1361">
            <v>41365</v>
          </cell>
          <cell r="FR1361">
            <v>18.375407756753845</v>
          </cell>
          <cell r="FS1361">
            <v>22.314663874962239</v>
          </cell>
          <cell r="FT1361">
            <v>20.116606119778133</v>
          </cell>
          <cell r="FU1361">
            <v>17.065595346429742</v>
          </cell>
          <cell r="FV1361">
            <v>23.167616893126525</v>
          </cell>
          <cell r="GG1361">
            <v>9.4211807080405432</v>
          </cell>
          <cell r="GH1361">
            <v>13.982143405445317</v>
          </cell>
          <cell r="GI1361">
            <v>10.408007395026372</v>
          </cell>
          <cell r="GJ1361">
            <v>7.7337520878462023</v>
          </cell>
          <cell r="GK1361">
            <v>13.082262702206542</v>
          </cell>
        </row>
        <row r="1362">
          <cell r="A1362">
            <v>41366</v>
          </cell>
          <cell r="FR1362">
            <v>18.524799636770261</v>
          </cell>
          <cell r="FS1362">
            <v>22.314663874962239</v>
          </cell>
          <cell r="FT1362">
            <v>20.116606119778133</v>
          </cell>
          <cell r="FU1362">
            <v>17.065595346429742</v>
          </cell>
          <cell r="FV1362">
            <v>23.167616893126525</v>
          </cell>
          <cell r="GG1362">
            <v>9.4211807080405432</v>
          </cell>
          <cell r="GH1362">
            <v>13.982143405445317</v>
          </cell>
          <cell r="GI1362">
            <v>10.408007395026372</v>
          </cell>
          <cell r="GJ1362">
            <v>7.7337520878462023</v>
          </cell>
          <cell r="GK1362">
            <v>13.082262702206542</v>
          </cell>
        </row>
        <row r="1363">
          <cell r="A1363">
            <v>41367</v>
          </cell>
          <cell r="FR1363">
            <v>18.379714913567614</v>
          </cell>
          <cell r="FS1363">
            <v>22.314663874962239</v>
          </cell>
          <cell r="FT1363">
            <v>20.116606119778133</v>
          </cell>
          <cell r="FU1363">
            <v>17.065595346429742</v>
          </cell>
          <cell r="FV1363">
            <v>23.167616893126525</v>
          </cell>
          <cell r="GG1363">
            <v>9.4211807080405432</v>
          </cell>
          <cell r="GH1363">
            <v>13.982143405445317</v>
          </cell>
          <cell r="GI1363">
            <v>10.408007395026372</v>
          </cell>
          <cell r="GJ1363">
            <v>7.7337520878462023</v>
          </cell>
          <cell r="GK1363">
            <v>13.082262702206542</v>
          </cell>
        </row>
        <row r="1364">
          <cell r="A1364">
            <v>41368</v>
          </cell>
          <cell r="FR1364">
            <v>18.318192499269337</v>
          </cell>
          <cell r="FS1364">
            <v>22.314663874962239</v>
          </cell>
          <cell r="FT1364">
            <v>20.116606119778133</v>
          </cell>
          <cell r="FU1364">
            <v>17.065595346429742</v>
          </cell>
          <cell r="FV1364">
            <v>23.167616893126525</v>
          </cell>
          <cell r="GG1364">
            <v>9.4211807080405432</v>
          </cell>
          <cell r="GH1364">
            <v>13.982143405445317</v>
          </cell>
          <cell r="GI1364">
            <v>10.408007395026372</v>
          </cell>
          <cell r="GJ1364">
            <v>7.7337520878462023</v>
          </cell>
          <cell r="GK1364">
            <v>13.082262702206542</v>
          </cell>
        </row>
        <row r="1365">
          <cell r="A1365">
            <v>41369</v>
          </cell>
          <cell r="FR1365">
            <v>17.979956646554026</v>
          </cell>
          <cell r="FS1365">
            <v>22.314663874962239</v>
          </cell>
          <cell r="FT1365">
            <v>20.116606119778133</v>
          </cell>
          <cell r="FU1365">
            <v>17.065595346429742</v>
          </cell>
          <cell r="FV1365">
            <v>23.167616893126525</v>
          </cell>
          <cell r="GG1365">
            <v>9.4211807080405432</v>
          </cell>
          <cell r="GH1365">
            <v>13.982143405445317</v>
          </cell>
          <cell r="GI1365">
            <v>10.408007395026372</v>
          </cell>
          <cell r="GJ1365">
            <v>7.7337520878462023</v>
          </cell>
          <cell r="GK1365">
            <v>13.082262702206542</v>
          </cell>
        </row>
        <row r="1366">
          <cell r="A1366">
            <v>41372</v>
          </cell>
          <cell r="FR1366">
            <v>17.979956646554026</v>
          </cell>
          <cell r="FS1366">
            <v>22.314663874962239</v>
          </cell>
          <cell r="FT1366">
            <v>20.116606119778133</v>
          </cell>
          <cell r="FU1366">
            <v>17.065595346429742</v>
          </cell>
          <cell r="FV1366">
            <v>23.167616893126525</v>
          </cell>
          <cell r="GG1366">
            <v>9.4211807080405432</v>
          </cell>
          <cell r="GH1366">
            <v>13.982143405445317</v>
          </cell>
          <cell r="GI1366">
            <v>10.408007395026372</v>
          </cell>
          <cell r="GJ1366">
            <v>7.7337520878462023</v>
          </cell>
          <cell r="GK1366">
            <v>13.082262702206542</v>
          </cell>
        </row>
        <row r="1367">
          <cell r="A1367">
            <v>41373</v>
          </cell>
          <cell r="FR1367">
            <v>17.936628019495455</v>
          </cell>
          <cell r="FS1367">
            <v>22.314663874962239</v>
          </cell>
          <cell r="FT1367">
            <v>20.116606119778133</v>
          </cell>
          <cell r="FU1367">
            <v>17.065595346429742</v>
          </cell>
          <cell r="FV1367">
            <v>23.167616893126525</v>
          </cell>
          <cell r="GG1367">
            <v>9.4211807080405432</v>
          </cell>
          <cell r="GH1367">
            <v>13.982143405445317</v>
          </cell>
          <cell r="GI1367">
            <v>10.408007395026372</v>
          </cell>
          <cell r="GJ1367">
            <v>7.7337520878462023</v>
          </cell>
          <cell r="GK1367">
            <v>13.082262702206542</v>
          </cell>
        </row>
        <row r="1368">
          <cell r="A1368">
            <v>41374</v>
          </cell>
          <cell r="FR1368">
            <v>18.158357771262814</v>
          </cell>
          <cell r="FS1368">
            <v>22.314663874962239</v>
          </cell>
          <cell r="FT1368">
            <v>20.116606119778133</v>
          </cell>
          <cell r="FU1368">
            <v>17.065595346429742</v>
          </cell>
          <cell r="FV1368">
            <v>23.167616893126525</v>
          </cell>
          <cell r="GG1368">
            <v>9.398917090227723</v>
          </cell>
          <cell r="GH1368">
            <v>13.982143405445317</v>
          </cell>
          <cell r="GI1368">
            <v>10.408007395026372</v>
          </cell>
          <cell r="GJ1368">
            <v>7.7337520878462023</v>
          </cell>
          <cell r="GK1368">
            <v>13.082262702206542</v>
          </cell>
        </row>
        <row r="1369">
          <cell r="A1369">
            <v>41375</v>
          </cell>
          <cell r="FR1369">
            <v>18.431082404693925</v>
          </cell>
          <cell r="FS1369">
            <v>22.314663874962239</v>
          </cell>
          <cell r="FT1369">
            <v>20.116606119778133</v>
          </cell>
          <cell r="FU1369">
            <v>17.065595346429742</v>
          </cell>
          <cell r="FV1369">
            <v>23.167616893126525</v>
          </cell>
          <cell r="GG1369">
            <v>9.398917090227723</v>
          </cell>
          <cell r="GH1369">
            <v>13.982143405445317</v>
          </cell>
          <cell r="GI1369">
            <v>10.408007395026372</v>
          </cell>
          <cell r="GJ1369">
            <v>7.7337520878462023</v>
          </cell>
          <cell r="GK1369">
            <v>13.082262702206542</v>
          </cell>
        </row>
        <row r="1370">
          <cell r="A1370">
            <v>41376</v>
          </cell>
          <cell r="FR1370">
            <v>18.256684586080993</v>
          </cell>
          <cell r="FS1370">
            <v>22.314663874962239</v>
          </cell>
          <cell r="FT1370">
            <v>20.116606119778133</v>
          </cell>
          <cell r="FU1370">
            <v>17.065595346429742</v>
          </cell>
          <cell r="FV1370">
            <v>23.167616893126525</v>
          </cell>
          <cell r="GG1370">
            <v>9.398917090227723</v>
          </cell>
          <cell r="GH1370">
            <v>13.982143405445317</v>
          </cell>
          <cell r="GI1370">
            <v>10.408007395026372</v>
          </cell>
          <cell r="GJ1370">
            <v>7.7337520878462023</v>
          </cell>
          <cell r="GK1370">
            <v>13.082262702206542</v>
          </cell>
        </row>
        <row r="1371">
          <cell r="A1371">
            <v>41379</v>
          </cell>
          <cell r="FR1371">
            <v>18.064060542217327</v>
          </cell>
          <cell r="FS1371">
            <v>22.314663874962239</v>
          </cell>
          <cell r="FT1371">
            <v>20.116606119778133</v>
          </cell>
          <cell r="FU1371">
            <v>17.065595346429742</v>
          </cell>
          <cell r="FV1371">
            <v>23.167616893126525</v>
          </cell>
          <cell r="GG1371">
            <v>9.3459421145594419</v>
          </cell>
          <cell r="GH1371">
            <v>13.982143405445317</v>
          </cell>
          <cell r="GI1371">
            <v>10.408007395026372</v>
          </cell>
          <cell r="GJ1371">
            <v>7.7337520878462023</v>
          </cell>
          <cell r="GK1371">
            <v>13.082262702206542</v>
          </cell>
        </row>
        <row r="1372">
          <cell r="A1372">
            <v>41380</v>
          </cell>
          <cell r="FR1372">
            <v>18.318757110981625</v>
          </cell>
          <cell r="FS1372">
            <v>22.314663874962239</v>
          </cell>
          <cell r="FT1372">
            <v>20.116606119778133</v>
          </cell>
          <cell r="FU1372">
            <v>17.065595346429742</v>
          </cell>
          <cell r="FV1372">
            <v>23.167616893126525</v>
          </cell>
          <cell r="GG1372">
            <v>9.368412540204007</v>
          </cell>
          <cell r="GH1372">
            <v>13.982143405445317</v>
          </cell>
          <cell r="GI1372">
            <v>10.408007395026372</v>
          </cell>
          <cell r="GJ1372">
            <v>7.7337520878462023</v>
          </cell>
          <cell r="GK1372">
            <v>13.082262702206542</v>
          </cell>
        </row>
        <row r="1373">
          <cell r="A1373">
            <v>41381</v>
          </cell>
          <cell r="FR1373">
            <v>17.868950706028368</v>
          </cell>
          <cell r="FS1373">
            <v>22.314663874962239</v>
          </cell>
          <cell r="FT1373">
            <v>20.116606119778133</v>
          </cell>
          <cell r="FU1373">
            <v>17.065595346429742</v>
          </cell>
          <cell r="FV1373">
            <v>23.167616893126525</v>
          </cell>
          <cell r="GG1373">
            <v>9.368412540204007</v>
          </cell>
          <cell r="GH1373">
            <v>13.982143405445317</v>
          </cell>
          <cell r="GI1373">
            <v>10.408007395026372</v>
          </cell>
          <cell r="GJ1373">
            <v>7.7337520878462023</v>
          </cell>
          <cell r="GK1373">
            <v>13.082262702206542</v>
          </cell>
        </row>
        <row r="1374">
          <cell r="A1374">
            <v>41382</v>
          </cell>
          <cell r="FR1374">
            <v>17.610216931218691</v>
          </cell>
          <cell r="FS1374">
            <v>22.314663874962239</v>
          </cell>
          <cell r="FT1374">
            <v>20.116606119778133</v>
          </cell>
          <cell r="FU1374">
            <v>17.065595346429742</v>
          </cell>
          <cell r="FV1374">
            <v>23.167616893126525</v>
          </cell>
          <cell r="GG1374">
            <v>9.368412540204007</v>
          </cell>
          <cell r="GH1374">
            <v>13.982143405445317</v>
          </cell>
          <cell r="GI1374">
            <v>10.408007395026372</v>
          </cell>
          <cell r="GJ1374">
            <v>7.7337520878462023</v>
          </cell>
          <cell r="GK1374">
            <v>13.082262702206542</v>
          </cell>
        </row>
        <row r="1375">
          <cell r="A1375">
            <v>41383</v>
          </cell>
          <cell r="FR1375">
            <v>18.201638648654452</v>
          </cell>
          <cell r="FS1375">
            <v>22.314663874962239</v>
          </cell>
          <cell r="FT1375">
            <v>20.116606119778133</v>
          </cell>
          <cell r="FU1375">
            <v>17.065595346429742</v>
          </cell>
          <cell r="FV1375">
            <v>23.167616893126525</v>
          </cell>
          <cell r="GG1375">
            <v>9.368412540204007</v>
          </cell>
          <cell r="GH1375">
            <v>13.982143405445317</v>
          </cell>
          <cell r="GI1375">
            <v>10.408007395026372</v>
          </cell>
          <cell r="GJ1375">
            <v>7.7337520878462023</v>
          </cell>
          <cell r="GK1375">
            <v>13.082262702206542</v>
          </cell>
        </row>
        <row r="1376">
          <cell r="A1376">
            <v>41386</v>
          </cell>
          <cell r="FR1376">
            <v>18.148600179749284</v>
          </cell>
          <cell r="FS1376">
            <v>22.314663874962239</v>
          </cell>
          <cell r="FT1376">
            <v>20.116606119778133</v>
          </cell>
          <cell r="FU1376">
            <v>17.065595346429742</v>
          </cell>
          <cell r="FV1376">
            <v>23.167616893126525</v>
          </cell>
          <cell r="GG1376">
            <v>9.368412540204007</v>
          </cell>
          <cell r="GH1376">
            <v>13.982143405445317</v>
          </cell>
          <cell r="GI1376">
            <v>10.408007395026372</v>
          </cell>
          <cell r="GJ1376">
            <v>7.7337520878462023</v>
          </cell>
          <cell r="GK1376">
            <v>13.082262702206542</v>
          </cell>
        </row>
        <row r="1377">
          <cell r="A1377">
            <v>41387</v>
          </cell>
          <cell r="FR1377">
            <v>18.298280721202733</v>
          </cell>
          <cell r="FS1377">
            <v>22.314663874962239</v>
          </cell>
          <cell r="FT1377">
            <v>20.116606119778133</v>
          </cell>
          <cell r="FU1377">
            <v>17.065595346429742</v>
          </cell>
          <cell r="FV1377">
            <v>23.167616893126525</v>
          </cell>
          <cell r="GG1377">
            <v>9.426634861085498</v>
          </cell>
          <cell r="GH1377">
            <v>13.982143405445317</v>
          </cell>
          <cell r="GI1377">
            <v>10.408007395026372</v>
          </cell>
          <cell r="GJ1377">
            <v>7.7337520878462023</v>
          </cell>
          <cell r="GK1377">
            <v>13.082262702206542</v>
          </cell>
        </row>
        <row r="1378">
          <cell r="A1378">
            <v>41388</v>
          </cell>
          <cell r="FR1378">
            <v>18.076127766304552</v>
          </cell>
          <cell r="FS1378">
            <v>22.314663874962239</v>
          </cell>
          <cell r="FT1378">
            <v>20.116606119778133</v>
          </cell>
          <cell r="FU1378">
            <v>17.065595346429742</v>
          </cell>
          <cell r="FV1378">
            <v>23.167616893126525</v>
          </cell>
          <cell r="GG1378">
            <v>9.426634861085498</v>
          </cell>
          <cell r="GH1378">
            <v>13.982143405445317</v>
          </cell>
          <cell r="GI1378">
            <v>10.408007395026372</v>
          </cell>
          <cell r="GJ1378">
            <v>7.7337520878462023</v>
          </cell>
          <cell r="GK1378">
            <v>13.082262702206542</v>
          </cell>
        </row>
        <row r="1379">
          <cell r="A1379">
            <v>41389</v>
          </cell>
          <cell r="FR1379">
            <v>18.253168486280963</v>
          </cell>
          <cell r="FS1379">
            <v>22.314663874962239</v>
          </cell>
          <cell r="FT1379">
            <v>20.116606119778133</v>
          </cell>
          <cell r="FU1379">
            <v>17.065595346429742</v>
          </cell>
          <cell r="FV1379">
            <v>23.167616893126525</v>
          </cell>
          <cell r="GG1379">
            <v>9.426634861085498</v>
          </cell>
          <cell r="GH1379">
            <v>13.982143405445317</v>
          </cell>
          <cell r="GI1379">
            <v>10.408007395026372</v>
          </cell>
          <cell r="GJ1379">
            <v>7.7337520878462023</v>
          </cell>
          <cell r="GK1379">
            <v>13.082262702206542</v>
          </cell>
        </row>
        <row r="1380">
          <cell r="A1380">
            <v>41390</v>
          </cell>
          <cell r="FR1380">
            <v>18.270067716095834</v>
          </cell>
          <cell r="FS1380">
            <v>22.314663874962239</v>
          </cell>
          <cell r="FT1380">
            <v>20.116606119778133</v>
          </cell>
          <cell r="FU1380">
            <v>17.065595346429742</v>
          </cell>
          <cell r="FV1380">
            <v>23.167616893126525</v>
          </cell>
          <cell r="GG1380">
            <v>9.426634861085498</v>
          </cell>
          <cell r="GH1380">
            <v>13.982143405445317</v>
          </cell>
          <cell r="GI1380">
            <v>10.408007395026372</v>
          </cell>
          <cell r="GJ1380">
            <v>7.7337520878462023</v>
          </cell>
          <cell r="GK1380">
            <v>13.082262702206542</v>
          </cell>
        </row>
        <row r="1381">
          <cell r="A1381">
            <v>41393</v>
          </cell>
          <cell r="FR1381">
            <v>18.376284614138125</v>
          </cell>
          <cell r="FS1381">
            <v>22.314663874962239</v>
          </cell>
          <cell r="FT1381">
            <v>20.116606119778133</v>
          </cell>
          <cell r="FU1381">
            <v>17.065595346429742</v>
          </cell>
          <cell r="FV1381">
            <v>23.167616893126525</v>
          </cell>
          <cell r="GG1381">
            <v>9.426634861085498</v>
          </cell>
          <cell r="GH1381">
            <v>13.982143405445317</v>
          </cell>
          <cell r="GI1381">
            <v>10.408007395026372</v>
          </cell>
          <cell r="GJ1381">
            <v>7.7337520878462023</v>
          </cell>
          <cell r="GK1381">
            <v>13.082262702206542</v>
          </cell>
        </row>
        <row r="1382">
          <cell r="A1382">
            <v>41394</v>
          </cell>
          <cell r="FR1382">
            <v>17.667176183072193</v>
          </cell>
          <cell r="FS1382">
            <v>22.314663874962239</v>
          </cell>
          <cell r="FT1382">
            <v>20.116606119778133</v>
          </cell>
          <cell r="FU1382">
            <v>17.065595346429742</v>
          </cell>
          <cell r="FV1382">
            <v>23.167616893126525</v>
          </cell>
          <cell r="GG1382">
            <v>9.4692094938188678</v>
          </cell>
          <cell r="GH1382">
            <v>13.982143405445317</v>
          </cell>
          <cell r="GI1382">
            <v>10.408007395026372</v>
          </cell>
          <cell r="GJ1382">
            <v>7.7337520878462023</v>
          </cell>
          <cell r="GK1382">
            <v>13.082262702206542</v>
          </cell>
        </row>
        <row r="1383">
          <cell r="A1383">
            <v>41395</v>
          </cell>
          <cell r="FR1383">
            <v>17.070074625755822</v>
          </cell>
          <cell r="FS1383">
            <v>22.314663874962239</v>
          </cell>
          <cell r="FT1383">
            <v>20.116606119778133</v>
          </cell>
          <cell r="FU1383">
            <v>17.065595346429742</v>
          </cell>
          <cell r="FV1383">
            <v>23.167616893126525</v>
          </cell>
          <cell r="GG1383">
            <v>9.4747356089025718</v>
          </cell>
          <cell r="GH1383">
            <v>13.982143405445317</v>
          </cell>
          <cell r="GI1383">
            <v>10.408007395026372</v>
          </cell>
          <cell r="GJ1383">
            <v>7.7337520878462023</v>
          </cell>
          <cell r="GK1383">
            <v>13.082262702206542</v>
          </cell>
        </row>
        <row r="1384">
          <cell r="A1384">
            <v>41396</v>
          </cell>
          <cell r="FR1384">
            <v>16.971582196378385</v>
          </cell>
          <cell r="FS1384">
            <v>22.314663874962239</v>
          </cell>
          <cell r="FT1384">
            <v>20.116606119778133</v>
          </cell>
          <cell r="FU1384">
            <v>17.065595346429742</v>
          </cell>
          <cell r="FV1384">
            <v>23.167616893126525</v>
          </cell>
          <cell r="GG1384">
            <v>9.4747356089025718</v>
          </cell>
          <cell r="GH1384">
            <v>13.982143405445317</v>
          </cell>
          <cell r="GI1384">
            <v>10.408007395026372</v>
          </cell>
          <cell r="GJ1384">
            <v>7.7337520878462023</v>
          </cell>
          <cell r="GK1384">
            <v>13.082262702206542</v>
          </cell>
        </row>
        <row r="1385">
          <cell r="A1385">
            <v>41397</v>
          </cell>
          <cell r="FR1385">
            <v>17.129740906998709</v>
          </cell>
          <cell r="FS1385">
            <v>22.314663874962239</v>
          </cell>
          <cell r="FT1385">
            <v>20.116606119778133</v>
          </cell>
          <cell r="FU1385">
            <v>17.065595346429742</v>
          </cell>
          <cell r="FV1385">
            <v>23.167616893126525</v>
          </cell>
          <cell r="GG1385">
            <v>8.7010035924936666</v>
          </cell>
          <cell r="GH1385">
            <v>13.982143405445317</v>
          </cell>
          <cell r="GI1385">
            <v>10.408007395026372</v>
          </cell>
          <cell r="GJ1385">
            <v>7.7337520878462023</v>
          </cell>
          <cell r="GK1385">
            <v>13.082262702206542</v>
          </cell>
        </row>
        <row r="1386">
          <cell r="A1386">
            <v>41400</v>
          </cell>
          <cell r="FR1386">
            <v>17.20178744394795</v>
          </cell>
          <cell r="FS1386">
            <v>22.314663874962239</v>
          </cell>
          <cell r="FT1386">
            <v>20.116606119778133</v>
          </cell>
          <cell r="FU1386">
            <v>17.065595346429742</v>
          </cell>
          <cell r="FV1386">
            <v>23.167616893126525</v>
          </cell>
          <cell r="GG1386">
            <v>8.7061707179895986</v>
          </cell>
          <cell r="GH1386">
            <v>13.982143405445317</v>
          </cell>
          <cell r="GI1386">
            <v>10.408007395026372</v>
          </cell>
          <cell r="GJ1386">
            <v>7.7337520878462023</v>
          </cell>
          <cell r="GK1386">
            <v>13.082262702206542</v>
          </cell>
        </row>
        <row r="1387">
          <cell r="A1387">
            <v>41401</v>
          </cell>
          <cell r="FR1387">
            <v>17.159649350038553</v>
          </cell>
          <cell r="FS1387">
            <v>22.314663874962239</v>
          </cell>
          <cell r="FT1387">
            <v>20.116606119778133</v>
          </cell>
          <cell r="FU1387">
            <v>17.065595346429742</v>
          </cell>
          <cell r="FV1387">
            <v>23.167616893126525</v>
          </cell>
          <cell r="GG1387">
            <v>8.6660485046504387</v>
          </cell>
          <cell r="GH1387">
            <v>13.982143405445317</v>
          </cell>
          <cell r="GI1387">
            <v>10.408007395026372</v>
          </cell>
          <cell r="GJ1387">
            <v>7.7337520878462023</v>
          </cell>
          <cell r="GK1387">
            <v>13.082262702206542</v>
          </cell>
        </row>
        <row r="1388">
          <cell r="A1388">
            <v>41402</v>
          </cell>
          <cell r="FR1388">
            <v>17.029153967896836</v>
          </cell>
          <cell r="FS1388">
            <v>22.314663874962239</v>
          </cell>
          <cell r="FT1388">
            <v>20.116606119778133</v>
          </cell>
          <cell r="FU1388">
            <v>17.065595346429742</v>
          </cell>
          <cell r="FV1388">
            <v>23.167616893126525</v>
          </cell>
          <cell r="GG1388">
            <v>8.6321019883716339</v>
          </cell>
          <cell r="GH1388">
            <v>13.982143405445317</v>
          </cell>
          <cell r="GI1388">
            <v>10.408007395026372</v>
          </cell>
          <cell r="GJ1388">
            <v>7.7337520878462023</v>
          </cell>
          <cell r="GK1388">
            <v>13.082262702206542</v>
          </cell>
        </row>
        <row r="1389">
          <cell r="A1389">
            <v>41403</v>
          </cell>
          <cell r="FR1389">
            <v>16.902543974679553</v>
          </cell>
          <cell r="FS1389">
            <v>22.314663874962239</v>
          </cell>
          <cell r="FT1389">
            <v>20.116606119778133</v>
          </cell>
          <cell r="FU1389">
            <v>17.065595346429742</v>
          </cell>
          <cell r="FV1389">
            <v>23.167616893126525</v>
          </cell>
          <cell r="GG1389">
            <v>8.6188893243534643</v>
          </cell>
          <cell r="GH1389">
            <v>13.982143405445317</v>
          </cell>
          <cell r="GI1389">
            <v>10.408007395026372</v>
          </cell>
          <cell r="GJ1389">
            <v>7.7337520878462023</v>
          </cell>
          <cell r="GK1389">
            <v>13.082262702206542</v>
          </cell>
        </row>
        <row r="1390">
          <cell r="A1390">
            <v>41404</v>
          </cell>
          <cell r="FR1390">
            <v>16.97997965657455</v>
          </cell>
          <cell r="FS1390">
            <v>22.314663874962239</v>
          </cell>
          <cell r="FT1390">
            <v>20.116606119778133</v>
          </cell>
          <cell r="FU1390">
            <v>17.065595346429742</v>
          </cell>
          <cell r="FV1390">
            <v>23.167616893126525</v>
          </cell>
          <cell r="GG1390">
            <v>8.6513799426284894</v>
          </cell>
          <cell r="GH1390">
            <v>13.982143405445317</v>
          </cell>
          <cell r="GI1390">
            <v>10.408007395026372</v>
          </cell>
          <cell r="GJ1390">
            <v>7.7337520878462023</v>
          </cell>
          <cell r="GK1390">
            <v>13.082262702206542</v>
          </cell>
        </row>
        <row r="1391">
          <cell r="A1391">
            <v>41407</v>
          </cell>
          <cell r="FR1391">
            <v>16.767371601210179</v>
          </cell>
          <cell r="FS1391">
            <v>22.314663874962239</v>
          </cell>
          <cell r="FT1391">
            <v>20.116606119778133</v>
          </cell>
          <cell r="FU1391">
            <v>17.065595346429742</v>
          </cell>
          <cell r="FV1391">
            <v>23.167616893126525</v>
          </cell>
          <cell r="GG1391">
            <v>8.5951179944493497</v>
          </cell>
          <cell r="GH1391">
            <v>13.982143405445317</v>
          </cell>
          <cell r="GI1391">
            <v>10.408007395026372</v>
          </cell>
          <cell r="GJ1391">
            <v>7.7337520878462023</v>
          </cell>
          <cell r="GK1391">
            <v>13.082262702206542</v>
          </cell>
        </row>
        <row r="1392">
          <cell r="A1392">
            <v>41408</v>
          </cell>
          <cell r="FR1392">
            <v>17.193340785500251</v>
          </cell>
          <cell r="FS1392">
            <v>22.314663874962239</v>
          </cell>
          <cell r="FT1392">
            <v>20.116606119778133</v>
          </cell>
          <cell r="FU1392">
            <v>17.065595346429742</v>
          </cell>
          <cell r="FV1392">
            <v>23.167616893126525</v>
          </cell>
          <cell r="GG1392">
            <v>8.7723408368986959</v>
          </cell>
          <cell r="GH1392">
            <v>13.982143405445317</v>
          </cell>
          <cell r="GI1392">
            <v>10.408007395026372</v>
          </cell>
          <cell r="GJ1392">
            <v>7.7337520878462023</v>
          </cell>
          <cell r="GK1392">
            <v>13.082262702206542</v>
          </cell>
        </row>
        <row r="1393">
          <cell r="A1393">
            <v>41409</v>
          </cell>
          <cell r="FR1393">
            <v>17.066453474321989</v>
          </cell>
          <cell r="FS1393">
            <v>22.314663874962239</v>
          </cell>
          <cell r="FT1393">
            <v>20.116606119778133</v>
          </cell>
          <cell r="FU1393">
            <v>17.065595346429742</v>
          </cell>
          <cell r="FV1393">
            <v>23.167616893126525</v>
          </cell>
          <cell r="GG1393">
            <v>8.7894035244902078</v>
          </cell>
          <cell r="GH1393">
            <v>13.982143405445317</v>
          </cell>
          <cell r="GI1393">
            <v>10.408007395026372</v>
          </cell>
          <cell r="GJ1393">
            <v>7.7337520878462023</v>
          </cell>
          <cell r="GK1393">
            <v>13.082262702206542</v>
          </cell>
        </row>
        <row r="1394">
          <cell r="A1394">
            <v>41410</v>
          </cell>
          <cell r="FR1394">
            <v>16.857997885198102</v>
          </cell>
          <cell r="FS1394">
            <v>22.314663874962239</v>
          </cell>
          <cell r="FT1394">
            <v>20.116606119778133</v>
          </cell>
          <cell r="FU1394">
            <v>17.065595346429742</v>
          </cell>
          <cell r="FV1394">
            <v>23.167616893126525</v>
          </cell>
          <cell r="GG1394">
            <v>8.6820762785307739</v>
          </cell>
          <cell r="GH1394">
            <v>13.982143405445317</v>
          </cell>
          <cell r="GI1394">
            <v>10.408007395026372</v>
          </cell>
          <cell r="GJ1394">
            <v>7.7337520878462023</v>
          </cell>
          <cell r="GK1394">
            <v>13.082262702206542</v>
          </cell>
        </row>
        <row r="1395">
          <cell r="A1395">
            <v>41411</v>
          </cell>
          <cell r="FR1395">
            <v>16.903317824775147</v>
          </cell>
          <cell r="FS1395">
            <v>22.314663874962239</v>
          </cell>
          <cell r="FT1395">
            <v>20.116606119778133</v>
          </cell>
          <cell r="FU1395">
            <v>17.065595346429742</v>
          </cell>
          <cell r="FV1395">
            <v>23.167616893126525</v>
          </cell>
          <cell r="GG1395">
            <v>8.7174132329938328</v>
          </cell>
          <cell r="GH1395">
            <v>13.982143405445317</v>
          </cell>
          <cell r="GI1395">
            <v>10.408007395026372</v>
          </cell>
          <cell r="GJ1395">
            <v>7.7337520878462023</v>
          </cell>
          <cell r="GK1395">
            <v>13.082262702206542</v>
          </cell>
        </row>
        <row r="1396">
          <cell r="A1396">
            <v>41414</v>
          </cell>
          <cell r="FR1396">
            <v>16.776430513596885</v>
          </cell>
          <cell r="FS1396">
            <v>22.314663874962239</v>
          </cell>
          <cell r="FT1396">
            <v>20.116606119778133</v>
          </cell>
          <cell r="FU1396">
            <v>17.065595346429742</v>
          </cell>
          <cell r="FV1396">
            <v>23.167616893126525</v>
          </cell>
          <cell r="GG1396">
            <v>8.654190045208118</v>
          </cell>
          <cell r="GH1396">
            <v>13.982143405445317</v>
          </cell>
          <cell r="GI1396">
            <v>10.408007395026372</v>
          </cell>
          <cell r="GJ1396">
            <v>7.7337520878462023</v>
          </cell>
          <cell r="GK1396">
            <v>13.082262702206542</v>
          </cell>
        </row>
        <row r="1397">
          <cell r="A1397">
            <v>41415</v>
          </cell>
          <cell r="FR1397">
            <v>16.839867371602935</v>
          </cell>
          <cell r="FS1397">
            <v>22.314663874962239</v>
          </cell>
          <cell r="FT1397">
            <v>20.116606119778133</v>
          </cell>
          <cell r="FU1397">
            <v>17.065595346429742</v>
          </cell>
          <cell r="FV1397">
            <v>23.167616893126525</v>
          </cell>
          <cell r="GG1397">
            <v>8.6294513770646368</v>
          </cell>
          <cell r="GH1397">
            <v>13.982143405445317</v>
          </cell>
          <cell r="GI1397">
            <v>10.408007395026372</v>
          </cell>
          <cell r="GJ1397">
            <v>7.7337520878462023</v>
          </cell>
          <cell r="GK1397">
            <v>13.082262702206542</v>
          </cell>
        </row>
        <row r="1398">
          <cell r="A1398">
            <v>41416</v>
          </cell>
          <cell r="FR1398">
            <v>16.930507250757021</v>
          </cell>
          <cell r="FS1398">
            <v>22.314663874962239</v>
          </cell>
          <cell r="FT1398">
            <v>20.116606119778133</v>
          </cell>
          <cell r="FU1398">
            <v>17.065595346429742</v>
          </cell>
          <cell r="FV1398">
            <v>23.167616893126525</v>
          </cell>
          <cell r="GG1398">
            <v>8.780629749822765</v>
          </cell>
          <cell r="GH1398">
            <v>13.982143405445317</v>
          </cell>
          <cell r="GI1398">
            <v>10.408007395026372</v>
          </cell>
          <cell r="GJ1398">
            <v>7.7337520878462023</v>
          </cell>
          <cell r="GK1398">
            <v>13.082262702206542</v>
          </cell>
        </row>
        <row r="1399">
          <cell r="A1399">
            <v>41417</v>
          </cell>
          <cell r="FR1399">
            <v>17.157093353476078</v>
          </cell>
          <cell r="FS1399">
            <v>22.314663874962239</v>
          </cell>
          <cell r="FT1399">
            <v>20.116606119778133</v>
          </cell>
          <cell r="FU1399">
            <v>17.065595346429742</v>
          </cell>
          <cell r="FV1399">
            <v>23.167616893126525</v>
          </cell>
          <cell r="GG1399">
            <v>8.6668328885079191</v>
          </cell>
          <cell r="GH1399">
            <v>13.982143405445317</v>
          </cell>
          <cell r="GI1399">
            <v>10.408007395026372</v>
          </cell>
          <cell r="GJ1399">
            <v>7.7337520878462023</v>
          </cell>
          <cell r="GK1399">
            <v>13.082262702206542</v>
          </cell>
        </row>
        <row r="1400">
          <cell r="A1400">
            <v>41418</v>
          </cell>
          <cell r="FR1400">
            <v>17.202413293053123</v>
          </cell>
          <cell r="FS1400">
            <v>22.314663874962239</v>
          </cell>
          <cell r="FT1400">
            <v>20.116606119778133</v>
          </cell>
          <cell r="FU1400">
            <v>17.065595346429742</v>
          </cell>
          <cell r="FV1400">
            <v>23.167616893126525</v>
          </cell>
          <cell r="GG1400">
            <v>8.7657898614117684</v>
          </cell>
          <cell r="GH1400">
            <v>13.982143405445317</v>
          </cell>
          <cell r="GI1400">
            <v>10.408007395026372</v>
          </cell>
          <cell r="GJ1400">
            <v>7.7337520878462023</v>
          </cell>
          <cell r="GK1400">
            <v>13.082262702206542</v>
          </cell>
        </row>
        <row r="1401">
          <cell r="A1401">
            <v>41421</v>
          </cell>
          <cell r="FR1401">
            <v>17.202413293053123</v>
          </cell>
          <cell r="FS1401">
            <v>22.314663874962239</v>
          </cell>
          <cell r="FT1401">
            <v>20.116606119778133</v>
          </cell>
          <cell r="FU1401">
            <v>17.065595346429742</v>
          </cell>
          <cell r="FV1401">
            <v>23.167616893126525</v>
          </cell>
          <cell r="GG1401">
            <v>8.7657898614117684</v>
          </cell>
          <cell r="GH1401">
            <v>13.982143405445317</v>
          </cell>
          <cell r="GI1401">
            <v>10.408007395026372</v>
          </cell>
          <cell r="GJ1401">
            <v>7.7337520878462023</v>
          </cell>
          <cell r="GK1401">
            <v>13.082262702206542</v>
          </cell>
        </row>
        <row r="1402">
          <cell r="A1402">
            <v>41422</v>
          </cell>
          <cell r="FR1402">
            <v>17.374621450152837</v>
          </cell>
          <cell r="FS1402">
            <v>22.314663874962239</v>
          </cell>
          <cell r="FT1402">
            <v>20.116606119778133</v>
          </cell>
          <cell r="FU1402">
            <v>17.065595346429742</v>
          </cell>
          <cell r="FV1402">
            <v>23.167616893126525</v>
          </cell>
          <cell r="GG1402">
            <v>8.9125695432876562</v>
          </cell>
          <cell r="GH1402">
            <v>13.982143405445317</v>
          </cell>
          <cell r="GI1402">
            <v>10.408007395026372</v>
          </cell>
          <cell r="GJ1402">
            <v>7.7337520878462023</v>
          </cell>
          <cell r="GK1402">
            <v>13.082262702206542</v>
          </cell>
        </row>
        <row r="1403">
          <cell r="A1403">
            <v>41423</v>
          </cell>
          <cell r="FR1403">
            <v>17.138962839880911</v>
          </cell>
          <cell r="FS1403">
            <v>22.314663874962239</v>
          </cell>
          <cell r="FT1403">
            <v>20.116606119778133</v>
          </cell>
          <cell r="FU1403">
            <v>17.065595346429742</v>
          </cell>
          <cell r="FV1403">
            <v>23.167616893126525</v>
          </cell>
          <cell r="GG1403">
            <v>8.7157632063387585</v>
          </cell>
          <cell r="GH1403">
            <v>13.982143405445317</v>
          </cell>
          <cell r="GI1403">
            <v>10.408007395026372</v>
          </cell>
          <cell r="GJ1403">
            <v>7.7337520878462023</v>
          </cell>
          <cell r="GK1403">
            <v>13.082262702206542</v>
          </cell>
        </row>
        <row r="1404">
          <cell r="A1404">
            <v>41424</v>
          </cell>
          <cell r="FR1404">
            <v>17.148035347433783</v>
          </cell>
          <cell r="FS1404">
            <v>22.314663874962239</v>
          </cell>
          <cell r="FT1404">
            <v>20.116606119778133</v>
          </cell>
          <cell r="FU1404">
            <v>17.065595346429742</v>
          </cell>
          <cell r="FV1404">
            <v>23.167616893126525</v>
          </cell>
          <cell r="GG1404">
            <v>8.7047699296280445</v>
          </cell>
          <cell r="GH1404">
            <v>13.982143405445317</v>
          </cell>
          <cell r="GI1404">
            <v>10.408007395026372</v>
          </cell>
          <cell r="GJ1404">
            <v>7.7337520878462023</v>
          </cell>
          <cell r="GK1404">
            <v>13.082262702206542</v>
          </cell>
        </row>
        <row r="1405">
          <cell r="A1405">
            <v>41425</v>
          </cell>
          <cell r="FR1405">
            <v>16.930507250757021</v>
          </cell>
          <cell r="FS1405">
            <v>22.314663874962239</v>
          </cell>
          <cell r="FT1405">
            <v>20.116606119778133</v>
          </cell>
          <cell r="FU1405">
            <v>17.065595346429742</v>
          </cell>
          <cell r="FV1405">
            <v>23.167616893126525</v>
          </cell>
          <cell r="GG1405">
            <v>8.7020196551699307</v>
          </cell>
          <cell r="GH1405">
            <v>13.982143405445317</v>
          </cell>
          <cell r="GI1405">
            <v>10.408007395026372</v>
          </cell>
          <cell r="GJ1405">
            <v>7.7337520878462023</v>
          </cell>
          <cell r="GK1405">
            <v>13.082262702206542</v>
          </cell>
        </row>
        <row r="1406">
          <cell r="A1406">
            <v>41428</v>
          </cell>
          <cell r="FR1406">
            <v>16.744600719424458</v>
          </cell>
          <cell r="FS1406">
            <v>22.314663874962239</v>
          </cell>
          <cell r="FT1406">
            <v>20.116606119778133</v>
          </cell>
          <cell r="FU1406">
            <v>17.065595346429742</v>
          </cell>
          <cell r="FV1406">
            <v>23.167616893126525</v>
          </cell>
          <cell r="GG1406">
            <v>8.3774983520594972</v>
          </cell>
          <cell r="GH1406">
            <v>13.982143405445317</v>
          </cell>
          <cell r="GI1406">
            <v>10.408007395026372</v>
          </cell>
          <cell r="GJ1406">
            <v>7.7337520878462023</v>
          </cell>
          <cell r="GK1406">
            <v>13.082262702206542</v>
          </cell>
        </row>
        <row r="1407">
          <cell r="A1407">
            <v>41429</v>
          </cell>
          <cell r="FR1407">
            <v>16.609699640287769</v>
          </cell>
          <cell r="FS1407">
            <v>22.314663874962239</v>
          </cell>
          <cell r="FT1407">
            <v>20.116606119778133</v>
          </cell>
          <cell r="FU1407">
            <v>17.065595346429742</v>
          </cell>
          <cell r="FV1407">
            <v>23.167616893126525</v>
          </cell>
          <cell r="GG1407">
            <v>8.4310070087452242</v>
          </cell>
          <cell r="GH1407">
            <v>13.982143405445317</v>
          </cell>
          <cell r="GI1407">
            <v>10.408007395026372</v>
          </cell>
          <cell r="GJ1407">
            <v>7.7337520878462023</v>
          </cell>
          <cell r="GK1407">
            <v>13.082262702206542</v>
          </cell>
        </row>
        <row r="1408">
          <cell r="A1408">
            <v>41430</v>
          </cell>
          <cell r="FR1408">
            <v>16.591723920863309</v>
          </cell>
          <cell r="FS1408">
            <v>22.314663874962239</v>
          </cell>
          <cell r="FT1408">
            <v>20.116606119778133</v>
          </cell>
          <cell r="FU1408">
            <v>17.065595346429742</v>
          </cell>
          <cell r="FV1408">
            <v>23.167616893126525</v>
          </cell>
          <cell r="GG1408">
            <v>8.3884191995064761</v>
          </cell>
          <cell r="GH1408">
            <v>13.982143405445317</v>
          </cell>
          <cell r="GI1408">
            <v>10.408007395026372</v>
          </cell>
          <cell r="GJ1408">
            <v>7.7337520878462023</v>
          </cell>
          <cell r="GK1408">
            <v>13.082262702206542</v>
          </cell>
        </row>
        <row r="1409">
          <cell r="A1409">
            <v>41431</v>
          </cell>
          <cell r="FR1409">
            <v>16.7535881294964</v>
          </cell>
          <cell r="FS1409">
            <v>22.314663874962239</v>
          </cell>
          <cell r="FT1409">
            <v>20.116606119778133</v>
          </cell>
          <cell r="FU1409">
            <v>17.065595346429742</v>
          </cell>
          <cell r="FV1409">
            <v>23.167616893126525</v>
          </cell>
          <cell r="GG1409">
            <v>8.5009048192977552</v>
          </cell>
          <cell r="GH1409">
            <v>13.982143405445317</v>
          </cell>
          <cell r="GI1409">
            <v>10.408007395026372</v>
          </cell>
          <cell r="GJ1409">
            <v>7.7337520878462023</v>
          </cell>
          <cell r="GK1409">
            <v>13.082262702206542</v>
          </cell>
        </row>
        <row r="1410">
          <cell r="A1410">
            <v>41432</v>
          </cell>
          <cell r="FR1410">
            <v>16.922382671480143</v>
          </cell>
          <cell r="FS1410">
            <v>22.314663874962239</v>
          </cell>
          <cell r="FT1410">
            <v>20.116606119778133</v>
          </cell>
          <cell r="FU1410">
            <v>17.065595346429742</v>
          </cell>
          <cell r="FV1410">
            <v>23.167616893126525</v>
          </cell>
          <cell r="GG1410">
            <v>8.437563812711705</v>
          </cell>
          <cell r="GH1410">
            <v>13.982143405445317</v>
          </cell>
          <cell r="GI1410">
            <v>10.408007395026372</v>
          </cell>
          <cell r="GJ1410">
            <v>7.7337520878462023</v>
          </cell>
          <cell r="GK1410">
            <v>13.082262702206542</v>
          </cell>
        </row>
        <row r="1411">
          <cell r="A1411">
            <v>41435</v>
          </cell>
          <cell r="FR1411">
            <v>16.823104693140792</v>
          </cell>
          <cell r="FS1411">
            <v>22.314663874962239</v>
          </cell>
          <cell r="FT1411">
            <v>20.116606119778133</v>
          </cell>
          <cell r="FU1411">
            <v>17.065595346429742</v>
          </cell>
          <cell r="FV1411">
            <v>23.167616893126525</v>
          </cell>
          <cell r="GG1411">
            <v>8.3867816550235048</v>
          </cell>
          <cell r="GH1411">
            <v>13.982143405445317</v>
          </cell>
          <cell r="GI1411">
            <v>10.408007395026372</v>
          </cell>
          <cell r="GJ1411">
            <v>7.7337520878462023</v>
          </cell>
          <cell r="GK1411">
            <v>13.082262702206542</v>
          </cell>
        </row>
        <row r="1412">
          <cell r="A1412">
            <v>41436</v>
          </cell>
          <cell r="FR1412">
            <v>16.70577166064982</v>
          </cell>
          <cell r="FS1412">
            <v>22.314663874962239</v>
          </cell>
          <cell r="FT1412">
            <v>20.116606119778133</v>
          </cell>
          <cell r="FU1412">
            <v>17.065595346429742</v>
          </cell>
          <cell r="FV1412">
            <v>23.167616893126525</v>
          </cell>
          <cell r="GG1412">
            <v>8.315250184215186</v>
          </cell>
          <cell r="GH1412">
            <v>13.982143405445317</v>
          </cell>
          <cell r="GI1412">
            <v>10.408007395026372</v>
          </cell>
          <cell r="GJ1412">
            <v>7.7337520878462023</v>
          </cell>
          <cell r="GK1412">
            <v>13.082262702206542</v>
          </cell>
        </row>
        <row r="1413">
          <cell r="A1413">
            <v>41437</v>
          </cell>
          <cell r="FR1413">
            <v>17.120925992779782</v>
          </cell>
          <cell r="FS1413">
            <v>22.314663874962239</v>
          </cell>
          <cell r="FT1413">
            <v>20.116606119778133</v>
          </cell>
          <cell r="FU1413">
            <v>17.065595346429742</v>
          </cell>
          <cell r="FV1413">
            <v>23.167616893126525</v>
          </cell>
          <cell r="GG1413">
            <v>8.599188333609419</v>
          </cell>
          <cell r="GH1413">
            <v>13.982143405445317</v>
          </cell>
          <cell r="GI1413">
            <v>10.408007395026372</v>
          </cell>
          <cell r="GJ1413">
            <v>7.7337520878462023</v>
          </cell>
          <cell r="GK1413">
            <v>13.082262702206542</v>
          </cell>
        </row>
        <row r="1414">
          <cell r="A1414">
            <v>41438</v>
          </cell>
          <cell r="FR1414">
            <v>16.923146351369645</v>
          </cell>
          <cell r="FS1414">
            <v>22.314663874962239</v>
          </cell>
          <cell r="FT1414">
            <v>20.116606119778133</v>
          </cell>
          <cell r="FU1414">
            <v>17.065595346429742</v>
          </cell>
          <cell r="FV1414">
            <v>23.167616893126525</v>
          </cell>
          <cell r="GG1414">
            <v>8.437563812711705</v>
          </cell>
          <cell r="GH1414">
            <v>13.982143405445317</v>
          </cell>
          <cell r="GI1414">
            <v>10.408007395026372</v>
          </cell>
          <cell r="GJ1414">
            <v>7.7337520878462023</v>
          </cell>
          <cell r="GK1414">
            <v>13.082262702206542</v>
          </cell>
        </row>
        <row r="1415">
          <cell r="A1415">
            <v>41439</v>
          </cell>
          <cell r="FR1415">
            <v>17.262859981933151</v>
          </cell>
          <cell r="FS1415">
            <v>22.314663874962239</v>
          </cell>
          <cell r="FT1415">
            <v>20.116606119778133</v>
          </cell>
          <cell r="FU1415">
            <v>17.065595346429742</v>
          </cell>
          <cell r="FV1415">
            <v>23.167616893126525</v>
          </cell>
          <cell r="GG1415">
            <v>8.5762709864353575</v>
          </cell>
          <cell r="GH1415">
            <v>13.982143405445317</v>
          </cell>
          <cell r="GI1415">
            <v>10.408007395026372</v>
          </cell>
          <cell r="GJ1415">
            <v>7.7337520878462023</v>
          </cell>
          <cell r="GK1415">
            <v>13.082262702206542</v>
          </cell>
        </row>
        <row r="1416">
          <cell r="A1416">
            <v>41442</v>
          </cell>
          <cell r="FR1416">
            <v>17.579035230352304</v>
          </cell>
          <cell r="FS1416">
            <v>22.314663874962239</v>
          </cell>
          <cell r="FT1416">
            <v>20.116606119778133</v>
          </cell>
          <cell r="FU1416">
            <v>17.065595346429742</v>
          </cell>
          <cell r="FV1416">
            <v>23.167616893126525</v>
          </cell>
          <cell r="GG1416">
            <v>8.6675413839984543</v>
          </cell>
          <cell r="GH1416">
            <v>13.982143405445317</v>
          </cell>
          <cell r="GI1416">
            <v>10.408007395026372</v>
          </cell>
          <cell r="GJ1416">
            <v>7.7337520878462023</v>
          </cell>
          <cell r="GK1416">
            <v>13.082262702206542</v>
          </cell>
        </row>
        <row r="1417">
          <cell r="A1417">
            <v>41443</v>
          </cell>
          <cell r="FR1417">
            <v>17.723573622402892</v>
          </cell>
          <cell r="FS1417">
            <v>22.314663874962239</v>
          </cell>
          <cell r="FT1417">
            <v>20.116606119778133</v>
          </cell>
          <cell r="FU1417">
            <v>17.065595346429742</v>
          </cell>
          <cell r="FV1417">
            <v>23.167616893126525</v>
          </cell>
          <cell r="GG1417">
            <v>8.7254765806074648</v>
          </cell>
          <cell r="GH1417">
            <v>13.982143405445317</v>
          </cell>
          <cell r="GI1417">
            <v>10.408007395026372</v>
          </cell>
          <cell r="GJ1417">
            <v>7.7337520878462023</v>
          </cell>
          <cell r="GK1417">
            <v>13.082262702206542</v>
          </cell>
        </row>
        <row r="1418">
          <cell r="A1418">
            <v>41444</v>
          </cell>
          <cell r="FR1418">
            <v>17.615176151761517</v>
          </cell>
          <cell r="FS1418">
            <v>22.314663874962239</v>
          </cell>
          <cell r="FT1418">
            <v>20.116606119778133</v>
          </cell>
          <cell r="FU1418">
            <v>17.065595346429742</v>
          </cell>
          <cell r="FV1418">
            <v>23.167616893126525</v>
          </cell>
          <cell r="GG1418">
            <v>8.7320328442072697</v>
          </cell>
          <cell r="GH1418">
            <v>13.982143405445317</v>
          </cell>
          <cell r="GI1418">
            <v>10.408007395026372</v>
          </cell>
          <cell r="GJ1418">
            <v>7.7337520878462023</v>
          </cell>
          <cell r="GK1418">
            <v>13.082262702206542</v>
          </cell>
        </row>
        <row r="1419">
          <cell r="A1419">
            <v>41445</v>
          </cell>
          <cell r="FR1419">
            <v>17.163504968383016</v>
          </cell>
          <cell r="FS1419">
            <v>22.314663874962239</v>
          </cell>
          <cell r="FT1419">
            <v>20.116606119778133</v>
          </cell>
          <cell r="FU1419">
            <v>17.065595346429742</v>
          </cell>
          <cell r="FV1419">
            <v>23.167616893126525</v>
          </cell>
          <cell r="GG1419">
            <v>8.5128735708413323</v>
          </cell>
          <cell r="GH1419">
            <v>13.982143405445317</v>
          </cell>
          <cell r="GI1419">
            <v>10.408007395026372</v>
          </cell>
          <cell r="GJ1419">
            <v>7.7337520878462023</v>
          </cell>
          <cell r="GK1419">
            <v>13.082262702206542</v>
          </cell>
        </row>
        <row r="1420">
          <cell r="A1420">
            <v>41446</v>
          </cell>
          <cell r="FR1420">
            <v>17.470638663053297</v>
          </cell>
          <cell r="FS1420">
            <v>22.314663874962239</v>
          </cell>
          <cell r="FT1420">
            <v>20.116606119778133</v>
          </cell>
          <cell r="FU1420">
            <v>17.065595346429742</v>
          </cell>
          <cell r="FV1420">
            <v>23.167616893126525</v>
          </cell>
          <cell r="GG1420">
            <v>8.6724645847650166</v>
          </cell>
          <cell r="GH1420">
            <v>13.982143405445317</v>
          </cell>
          <cell r="GI1420">
            <v>10.408007395026372</v>
          </cell>
          <cell r="GJ1420">
            <v>7.7337520878462023</v>
          </cell>
          <cell r="GK1420">
            <v>13.082262702206542</v>
          </cell>
        </row>
        <row r="1421">
          <cell r="A1421">
            <v>41449</v>
          </cell>
          <cell r="FR1421">
            <v>17.479666666666667</v>
          </cell>
          <cell r="FS1421">
            <v>22.314663874962239</v>
          </cell>
          <cell r="FT1421">
            <v>20.116606119778133</v>
          </cell>
          <cell r="FU1421">
            <v>17.065595346429742</v>
          </cell>
          <cell r="FV1421">
            <v>23.167616893126525</v>
          </cell>
          <cell r="GG1421">
            <v>8.6719152755750653</v>
          </cell>
          <cell r="GH1421">
            <v>13.982143405445317</v>
          </cell>
          <cell r="GI1421">
            <v>10.408007395026372</v>
          </cell>
          <cell r="GJ1421">
            <v>7.7337520878462023</v>
          </cell>
          <cell r="GK1421">
            <v>13.082262702206542</v>
          </cell>
        </row>
        <row r="1422">
          <cell r="A1422">
            <v>41450</v>
          </cell>
          <cell r="FR1422">
            <v>17.362227642276423</v>
          </cell>
          <cell r="FS1422">
            <v>22.314663874962239</v>
          </cell>
          <cell r="FT1422">
            <v>20.116606119778133</v>
          </cell>
          <cell r="FU1422">
            <v>17.065595346429742</v>
          </cell>
          <cell r="FV1422">
            <v>23.167616893126525</v>
          </cell>
          <cell r="GG1422">
            <v>8.6724641273885066</v>
          </cell>
          <cell r="GH1422">
            <v>13.982143405445317</v>
          </cell>
          <cell r="GI1422">
            <v>10.408007395026372</v>
          </cell>
          <cell r="GJ1422">
            <v>7.7337520878462023</v>
          </cell>
          <cell r="GK1422">
            <v>13.082262702206542</v>
          </cell>
        </row>
        <row r="1423">
          <cell r="A1423">
            <v>41451</v>
          </cell>
          <cell r="FR1423">
            <v>17.425468834688346</v>
          </cell>
          <cell r="FS1423">
            <v>22.314663874962239</v>
          </cell>
          <cell r="FT1423">
            <v>20.116606119778133</v>
          </cell>
          <cell r="FU1423">
            <v>17.065595346429742</v>
          </cell>
          <cell r="FV1423">
            <v>23.167616893126525</v>
          </cell>
          <cell r="GG1423">
            <v>8.7948855243764541</v>
          </cell>
          <cell r="GH1423">
            <v>13.982143405445317</v>
          </cell>
          <cell r="GI1423">
            <v>10.408007395026372</v>
          </cell>
          <cell r="GJ1423">
            <v>7.7337520878462023</v>
          </cell>
          <cell r="GK1423">
            <v>13.082262702206542</v>
          </cell>
        </row>
        <row r="1424">
          <cell r="A1424">
            <v>41452</v>
          </cell>
          <cell r="FR1424">
            <v>17.786800361336947</v>
          </cell>
          <cell r="FS1424">
            <v>22.314663874962239</v>
          </cell>
          <cell r="FT1424">
            <v>20.116606119778133</v>
          </cell>
          <cell r="FU1424">
            <v>17.065595346429742</v>
          </cell>
          <cell r="FV1424">
            <v>23.167616893126525</v>
          </cell>
          <cell r="GG1424">
            <v>8.9315171521908923</v>
          </cell>
          <cell r="GH1424">
            <v>13.982143405445317</v>
          </cell>
          <cell r="GI1424">
            <v>10.408007395026372</v>
          </cell>
          <cell r="GJ1424">
            <v>7.7337520878462023</v>
          </cell>
          <cell r="GK1424">
            <v>13.082262702206542</v>
          </cell>
        </row>
        <row r="1425">
          <cell r="A1425">
            <v>41453</v>
          </cell>
          <cell r="FR1425">
            <v>17.985536585365853</v>
          </cell>
          <cell r="FS1425">
            <v>22.314663874962239</v>
          </cell>
          <cell r="FT1425">
            <v>20.116606119778133</v>
          </cell>
          <cell r="FU1425">
            <v>17.065595346429742</v>
          </cell>
          <cell r="FV1425">
            <v>23.167616893126525</v>
          </cell>
          <cell r="GG1425">
            <v>9.0588567188037779</v>
          </cell>
          <cell r="GH1425">
            <v>13.982143405445317</v>
          </cell>
          <cell r="GI1425">
            <v>10.408007395026372</v>
          </cell>
          <cell r="GJ1425">
            <v>7.7337520878462023</v>
          </cell>
          <cell r="GK1425">
            <v>13.082262702206542</v>
          </cell>
        </row>
        <row r="1426">
          <cell r="A1426">
            <v>41456</v>
          </cell>
          <cell r="FR1426">
            <v>17.973991931870874</v>
          </cell>
          <cell r="FS1426">
            <v>22.314663874962239</v>
          </cell>
          <cell r="FT1426">
            <v>20.116606119778133</v>
          </cell>
          <cell r="FU1426">
            <v>17.065595346429742</v>
          </cell>
          <cell r="FV1426">
            <v>23.167616893126525</v>
          </cell>
          <cell r="GG1426">
            <v>8.9982972354893214</v>
          </cell>
          <cell r="GH1426">
            <v>13.982143405445317</v>
          </cell>
          <cell r="GI1426">
            <v>10.408007395026372</v>
          </cell>
          <cell r="GJ1426">
            <v>7.7337520878462023</v>
          </cell>
          <cell r="GK1426">
            <v>13.082262702206542</v>
          </cell>
        </row>
        <row r="1427">
          <cell r="A1427">
            <v>41457</v>
          </cell>
          <cell r="FR1427">
            <v>17.803662931422629</v>
          </cell>
          <cell r="FS1427">
            <v>22.314663874962239</v>
          </cell>
          <cell r="FT1427">
            <v>20.116606119778133</v>
          </cell>
          <cell r="FU1427">
            <v>17.065595346429742</v>
          </cell>
          <cell r="FV1427">
            <v>23.167616893126525</v>
          </cell>
          <cell r="GG1427">
            <v>8.9982972354893214</v>
          </cell>
          <cell r="GH1427">
            <v>13.982143405445317</v>
          </cell>
          <cell r="GI1427">
            <v>10.408007395026372</v>
          </cell>
          <cell r="GJ1427">
            <v>7.7337520878462023</v>
          </cell>
          <cell r="GK1427">
            <v>13.082262702206542</v>
          </cell>
        </row>
        <row r="1428">
          <cell r="A1428">
            <v>41458</v>
          </cell>
          <cell r="FR1428">
            <v>17.696092335277392</v>
          </cell>
          <cell r="FS1428">
            <v>22.314663874962239</v>
          </cell>
          <cell r="FT1428">
            <v>20.116606119778133</v>
          </cell>
          <cell r="FU1428">
            <v>17.065595346429742</v>
          </cell>
          <cell r="FV1428">
            <v>23.167616893126525</v>
          </cell>
          <cell r="GG1428">
            <v>8.9982972354893214</v>
          </cell>
          <cell r="GH1428">
            <v>13.982143405445317</v>
          </cell>
          <cell r="GI1428">
            <v>10.408007395026372</v>
          </cell>
          <cell r="GJ1428">
            <v>7.7337520878462023</v>
          </cell>
          <cell r="GK1428">
            <v>13.082262702206542</v>
          </cell>
        </row>
        <row r="1429">
          <cell r="A1429">
            <v>41459</v>
          </cell>
          <cell r="FR1429">
            <v>17.696092335277392</v>
          </cell>
          <cell r="FS1429">
            <v>22.314663874962239</v>
          </cell>
          <cell r="FT1429">
            <v>20.116606119778133</v>
          </cell>
          <cell r="FU1429">
            <v>17.065595346429742</v>
          </cell>
          <cell r="FV1429">
            <v>23.167616893126525</v>
          </cell>
          <cell r="GG1429">
            <v>8.9982972354893214</v>
          </cell>
          <cell r="GH1429">
            <v>13.982143405445317</v>
          </cell>
          <cell r="GI1429">
            <v>10.408007395026372</v>
          </cell>
          <cell r="GJ1429">
            <v>7.7337520878462023</v>
          </cell>
          <cell r="GK1429">
            <v>13.082262702206542</v>
          </cell>
        </row>
        <row r="1430">
          <cell r="A1430">
            <v>41460</v>
          </cell>
          <cell r="FR1430">
            <v>17.67880581315341</v>
          </cell>
          <cell r="FS1430">
            <v>22.314663874962239</v>
          </cell>
          <cell r="FT1430">
            <v>20.116606119778133</v>
          </cell>
          <cell r="FU1430">
            <v>17.065595346429742</v>
          </cell>
          <cell r="FV1430">
            <v>23.167616893126525</v>
          </cell>
          <cell r="GG1430">
            <v>8.9982972354893214</v>
          </cell>
          <cell r="GH1430">
            <v>13.982143405445317</v>
          </cell>
          <cell r="GI1430">
            <v>10.408007395026372</v>
          </cell>
          <cell r="GJ1430">
            <v>7.7337520878462023</v>
          </cell>
          <cell r="GK1430">
            <v>13.082262702206542</v>
          </cell>
        </row>
        <row r="1431">
          <cell r="A1431">
            <v>41463</v>
          </cell>
          <cell r="FR1431">
            <v>17.732606975753871</v>
          </cell>
          <cell r="FS1431">
            <v>22.314663874962239</v>
          </cell>
          <cell r="FT1431">
            <v>20.116606119778133</v>
          </cell>
          <cell r="FU1431">
            <v>17.065595346429742</v>
          </cell>
          <cell r="FV1431">
            <v>23.167616893126525</v>
          </cell>
          <cell r="GG1431">
            <v>8.9982972354893214</v>
          </cell>
          <cell r="GH1431">
            <v>13.982143405445317</v>
          </cell>
          <cell r="GI1431">
            <v>10.408007395026372</v>
          </cell>
          <cell r="GJ1431">
            <v>7.7337520878462023</v>
          </cell>
          <cell r="GK1431">
            <v>13.082262702206542</v>
          </cell>
        </row>
        <row r="1432">
          <cell r="A1432">
            <v>41464</v>
          </cell>
          <cell r="FR1432">
            <v>17.67880581315341</v>
          </cell>
          <cell r="FS1432">
            <v>22.314663874962239</v>
          </cell>
          <cell r="FT1432">
            <v>20.116606119778133</v>
          </cell>
          <cell r="FU1432">
            <v>17.065595346429742</v>
          </cell>
          <cell r="FV1432">
            <v>23.167616893126525</v>
          </cell>
          <cell r="GG1432">
            <v>8.9982972354893214</v>
          </cell>
          <cell r="GH1432">
            <v>13.982143405445317</v>
          </cell>
          <cell r="GI1432">
            <v>10.408007395026372</v>
          </cell>
          <cell r="GJ1432">
            <v>7.7337520878462023</v>
          </cell>
          <cell r="GK1432">
            <v>13.082262702206542</v>
          </cell>
        </row>
        <row r="1433">
          <cell r="A1433">
            <v>41465</v>
          </cell>
          <cell r="FR1433">
            <v>17.886690647483768</v>
          </cell>
          <cell r="FS1433">
            <v>22.314663874962239</v>
          </cell>
          <cell r="FT1433">
            <v>20.116606119778133</v>
          </cell>
          <cell r="FU1433">
            <v>17.065595346429742</v>
          </cell>
          <cell r="FV1433">
            <v>23.167616893126525</v>
          </cell>
          <cell r="GG1433">
            <v>8.9982972354893214</v>
          </cell>
          <cell r="GH1433">
            <v>13.982143405445317</v>
          </cell>
          <cell r="GI1433">
            <v>10.408007395026372</v>
          </cell>
          <cell r="GJ1433">
            <v>7.7337520878462023</v>
          </cell>
          <cell r="GK1433">
            <v>13.082262702206542</v>
          </cell>
        </row>
        <row r="1434">
          <cell r="A1434">
            <v>41466</v>
          </cell>
          <cell r="FR1434">
            <v>17.913668165469382</v>
          </cell>
          <cell r="FS1434">
            <v>22.314663874962239</v>
          </cell>
          <cell r="FT1434">
            <v>20.116606119778133</v>
          </cell>
          <cell r="FU1434">
            <v>17.065595346429742</v>
          </cell>
          <cell r="FV1434">
            <v>23.167616893126525</v>
          </cell>
          <cell r="GG1434">
            <v>8.9982972354893214</v>
          </cell>
          <cell r="GH1434">
            <v>13.982143405445317</v>
          </cell>
          <cell r="GI1434">
            <v>10.408007395026372</v>
          </cell>
          <cell r="GJ1434">
            <v>7.7337520878462023</v>
          </cell>
          <cell r="GK1434">
            <v>13.082262702206542</v>
          </cell>
        </row>
        <row r="1435">
          <cell r="A1435">
            <v>41467</v>
          </cell>
          <cell r="FR1435">
            <v>18.516864303322304</v>
          </cell>
          <cell r="FS1435">
            <v>22.314663874962239</v>
          </cell>
          <cell r="FT1435">
            <v>20.116606119778133</v>
          </cell>
          <cell r="FU1435">
            <v>17.065595346429742</v>
          </cell>
          <cell r="FV1435">
            <v>23.167616893126525</v>
          </cell>
          <cell r="GG1435">
            <v>8.9982972354893214</v>
          </cell>
          <cell r="GH1435">
            <v>13.982143405445317</v>
          </cell>
          <cell r="GI1435">
            <v>10.408007395026372</v>
          </cell>
          <cell r="GJ1435">
            <v>7.7337520878462023</v>
          </cell>
          <cell r="GK1435">
            <v>13.082262702206542</v>
          </cell>
        </row>
        <row r="1436">
          <cell r="A1436">
            <v>41470</v>
          </cell>
          <cell r="FR1436">
            <v>18.444917416783447</v>
          </cell>
          <cell r="FS1436">
            <v>22.314663874962239</v>
          </cell>
          <cell r="FT1436">
            <v>20.116606119778133</v>
          </cell>
          <cell r="FU1436">
            <v>17.065595346429742</v>
          </cell>
          <cell r="FV1436">
            <v>23.167616893126525</v>
          </cell>
          <cell r="GG1436">
            <v>8.9982972354893214</v>
          </cell>
          <cell r="GH1436">
            <v>13.982143405445317</v>
          </cell>
          <cell r="GI1436">
            <v>10.408007395026372</v>
          </cell>
          <cell r="GJ1436">
            <v>7.7337520878462023</v>
          </cell>
          <cell r="GK1436">
            <v>13.082262702206542</v>
          </cell>
        </row>
        <row r="1437">
          <cell r="A1437">
            <v>41471</v>
          </cell>
          <cell r="FR1437">
            <v>18.485278295467861</v>
          </cell>
          <cell r="FS1437">
            <v>22.314663874962239</v>
          </cell>
          <cell r="FT1437">
            <v>20.116606119778133</v>
          </cell>
          <cell r="FU1437">
            <v>17.065595346429742</v>
          </cell>
          <cell r="FV1437">
            <v>23.167616893126525</v>
          </cell>
          <cell r="GG1437">
            <v>9.0075936224292228</v>
          </cell>
          <cell r="GH1437">
            <v>13.982143405445317</v>
          </cell>
          <cell r="GI1437">
            <v>10.408007395026372</v>
          </cell>
          <cell r="GJ1437">
            <v>7.7337520878462023</v>
          </cell>
          <cell r="GK1437">
            <v>13.082262702206542</v>
          </cell>
        </row>
        <row r="1438">
          <cell r="A1438">
            <v>41472</v>
          </cell>
          <cell r="FR1438">
            <v>18.487843384340245</v>
          </cell>
          <cell r="FS1438">
            <v>22.314663874962239</v>
          </cell>
          <cell r="FT1438">
            <v>20.116606119778133</v>
          </cell>
          <cell r="FU1438">
            <v>17.065595346429742</v>
          </cell>
          <cell r="FV1438">
            <v>23.167616893126525</v>
          </cell>
          <cell r="GG1438">
            <v>9.0075936224292228</v>
          </cell>
          <cell r="GH1438">
            <v>13.982143405445317</v>
          </cell>
          <cell r="GI1438">
            <v>10.408007395026372</v>
          </cell>
          <cell r="GJ1438">
            <v>7.7337520878462023</v>
          </cell>
          <cell r="GK1438">
            <v>13.082262702206542</v>
          </cell>
        </row>
        <row r="1439">
          <cell r="A1439">
            <v>41473</v>
          </cell>
          <cell r="FR1439">
            <v>18.685864086410472</v>
          </cell>
          <cell r="FS1439">
            <v>22.314663874962239</v>
          </cell>
          <cell r="FT1439">
            <v>20.116606119778133</v>
          </cell>
          <cell r="FU1439">
            <v>17.065595346429742</v>
          </cell>
          <cell r="FV1439">
            <v>23.167616893126525</v>
          </cell>
          <cell r="GG1439">
            <v>9.0075936224292228</v>
          </cell>
          <cell r="GH1439">
            <v>13.982143405445317</v>
          </cell>
          <cell r="GI1439">
            <v>10.408007395026372</v>
          </cell>
          <cell r="GJ1439">
            <v>7.7337520878462023</v>
          </cell>
          <cell r="GK1439">
            <v>13.082262702206542</v>
          </cell>
        </row>
        <row r="1440">
          <cell r="A1440">
            <v>41474</v>
          </cell>
          <cell r="FR1440">
            <v>18.610513094663791</v>
          </cell>
          <cell r="FS1440">
            <v>22.314663874962239</v>
          </cell>
          <cell r="FT1440">
            <v>20.116606119778133</v>
          </cell>
          <cell r="FU1440">
            <v>17.065595346429742</v>
          </cell>
          <cell r="FV1440">
            <v>23.167616893126525</v>
          </cell>
          <cell r="GG1440">
            <v>9.0075936224292228</v>
          </cell>
          <cell r="GH1440">
            <v>13.982143405445317</v>
          </cell>
          <cell r="GI1440">
            <v>10.408007395026372</v>
          </cell>
          <cell r="GJ1440">
            <v>7.7337520878462023</v>
          </cell>
          <cell r="GK1440">
            <v>13.082262702206542</v>
          </cell>
        </row>
        <row r="1441">
          <cell r="A1441">
            <v>41477</v>
          </cell>
          <cell r="FR1441">
            <v>18.637522199589906</v>
          </cell>
          <cell r="FS1441">
            <v>22.314663874962239</v>
          </cell>
          <cell r="FT1441">
            <v>20.116606119778133</v>
          </cell>
          <cell r="FU1441">
            <v>17.065595346429742</v>
          </cell>
          <cell r="FV1441">
            <v>23.167616893126525</v>
          </cell>
          <cell r="GG1441">
            <v>9.0075936224292228</v>
          </cell>
          <cell r="GH1441">
            <v>13.982143405445317</v>
          </cell>
          <cell r="GI1441">
            <v>10.408007395026372</v>
          </cell>
          <cell r="GJ1441">
            <v>7.7337520878462023</v>
          </cell>
          <cell r="GK1441">
            <v>13.082262702206542</v>
          </cell>
        </row>
        <row r="1442">
          <cell r="A1442">
            <v>41478</v>
          </cell>
          <cell r="FR1442">
            <v>18.700541343569295</v>
          </cell>
          <cell r="FS1442">
            <v>22.314663874962239</v>
          </cell>
          <cell r="FT1442">
            <v>20.116606119778133</v>
          </cell>
          <cell r="FU1442">
            <v>17.065595346429742</v>
          </cell>
          <cell r="FV1442">
            <v>23.167616893126525</v>
          </cell>
          <cell r="GG1442">
            <v>9.0075936224292228</v>
          </cell>
          <cell r="GH1442">
            <v>13.982143405445317</v>
          </cell>
          <cell r="GI1442">
            <v>10.408007395026372</v>
          </cell>
          <cell r="GJ1442">
            <v>7.7337520878462023</v>
          </cell>
          <cell r="GK1442">
            <v>13.082262702206542</v>
          </cell>
        </row>
        <row r="1443">
          <cell r="A1443">
            <v>41479</v>
          </cell>
          <cell r="FR1443">
            <v>18.757062146894494</v>
          </cell>
          <cell r="FS1443">
            <v>22.314663874962239</v>
          </cell>
          <cell r="FT1443">
            <v>20.116606119778133</v>
          </cell>
          <cell r="FU1443">
            <v>17.065595346429742</v>
          </cell>
          <cell r="FV1443">
            <v>23.167616893126525</v>
          </cell>
          <cell r="GG1443">
            <v>9.054867089681494</v>
          </cell>
          <cell r="GH1443">
            <v>13.982143405445317</v>
          </cell>
          <cell r="GI1443">
            <v>10.408007395026372</v>
          </cell>
          <cell r="GJ1443">
            <v>7.7337520878462023</v>
          </cell>
          <cell r="GK1443">
            <v>13.082262702206542</v>
          </cell>
        </row>
        <row r="1444">
          <cell r="A1444">
            <v>41480</v>
          </cell>
          <cell r="FR1444">
            <v>18.838415367233484</v>
          </cell>
          <cell r="FS1444">
            <v>22.314663874962239</v>
          </cell>
          <cell r="FT1444">
            <v>20.116606119778133</v>
          </cell>
          <cell r="FU1444">
            <v>17.065595346429742</v>
          </cell>
          <cell r="FV1444">
            <v>23.167616893126525</v>
          </cell>
          <cell r="GG1444">
            <v>9.054867089681494</v>
          </cell>
          <cell r="GH1444">
            <v>13.982143405445317</v>
          </cell>
          <cell r="GI1444">
            <v>10.408007395026372</v>
          </cell>
          <cell r="GJ1444">
            <v>7.7337520878462023</v>
          </cell>
          <cell r="GK1444">
            <v>13.082262702206542</v>
          </cell>
        </row>
        <row r="1445">
          <cell r="A1445">
            <v>41481</v>
          </cell>
          <cell r="FR1445">
            <v>18.772672913677813</v>
          </cell>
          <cell r="FS1445">
            <v>22.314663874962239</v>
          </cell>
          <cell r="FT1445">
            <v>20.116606119778133</v>
          </cell>
          <cell r="FU1445">
            <v>17.065595346429742</v>
          </cell>
          <cell r="FV1445">
            <v>23.167616893126525</v>
          </cell>
          <cell r="GG1445">
            <v>9.2166238885416192</v>
          </cell>
          <cell r="GH1445">
            <v>13.982143405445317</v>
          </cell>
          <cell r="GI1445">
            <v>10.408007395026372</v>
          </cell>
          <cell r="GJ1445">
            <v>7.7337520878462023</v>
          </cell>
          <cell r="GK1445">
            <v>13.082262702206542</v>
          </cell>
        </row>
        <row r="1446">
          <cell r="A1446">
            <v>41484</v>
          </cell>
          <cell r="FR1446">
            <v>18.635549033980773</v>
          </cell>
          <cell r="FS1446">
            <v>22.314663874962239</v>
          </cell>
          <cell r="FT1446">
            <v>20.116606119778133</v>
          </cell>
          <cell r="FU1446">
            <v>17.065595346429742</v>
          </cell>
          <cell r="FV1446">
            <v>23.167616893126525</v>
          </cell>
          <cell r="GG1446">
            <v>9.2182624040179491</v>
          </cell>
          <cell r="GH1446">
            <v>13.982143405445317</v>
          </cell>
          <cell r="GI1446">
            <v>10.408007395026372</v>
          </cell>
          <cell r="GJ1446">
            <v>7.7337520878462023</v>
          </cell>
          <cell r="GK1446">
            <v>13.082262702206542</v>
          </cell>
        </row>
        <row r="1447">
          <cell r="A1447">
            <v>41485</v>
          </cell>
          <cell r="FR1447">
            <v>18.823283838391742</v>
          </cell>
          <cell r="FS1447">
            <v>22.314663874962239</v>
          </cell>
          <cell r="FT1447">
            <v>20.116606119778133</v>
          </cell>
          <cell r="FU1447">
            <v>17.065595346429742</v>
          </cell>
          <cell r="FV1447">
            <v>23.167616893126525</v>
          </cell>
          <cell r="GG1447">
            <v>9.2636671231481209</v>
          </cell>
          <cell r="GH1447">
            <v>13.982143405445317</v>
          </cell>
          <cell r="GI1447">
            <v>10.408007395026372</v>
          </cell>
          <cell r="GJ1447">
            <v>7.7337520878462023</v>
          </cell>
          <cell r="GK1447">
            <v>13.082262702206542</v>
          </cell>
        </row>
        <row r="1448">
          <cell r="A1448">
            <v>41486</v>
          </cell>
          <cell r="FR1448">
            <v>18.823283838391742</v>
          </cell>
          <cell r="FS1448">
            <v>22.314663874962239</v>
          </cell>
          <cell r="FT1448">
            <v>20.116606119778133</v>
          </cell>
          <cell r="FU1448">
            <v>17.065595346429742</v>
          </cell>
          <cell r="FV1448">
            <v>23.167616893126525</v>
          </cell>
          <cell r="GG1448">
            <v>9.2636671231481209</v>
          </cell>
          <cell r="GH1448">
            <v>13.982143405445317</v>
          </cell>
          <cell r="GI1448">
            <v>10.408007395026372</v>
          </cell>
          <cell r="GJ1448">
            <v>7.7337520878462023</v>
          </cell>
          <cell r="GK1448">
            <v>13.082262702206542</v>
          </cell>
        </row>
        <row r="1449">
          <cell r="A1449">
            <v>41487</v>
          </cell>
          <cell r="FR1449">
            <v>19.306211124403848</v>
          </cell>
          <cell r="FS1449">
            <v>22.314663874962239</v>
          </cell>
          <cell r="FT1449">
            <v>20.116606119778133</v>
          </cell>
          <cell r="FU1449">
            <v>17.065595346429742</v>
          </cell>
          <cell r="FV1449">
            <v>23.167616893126525</v>
          </cell>
          <cell r="GG1449">
            <v>9.4965785068265784</v>
          </cell>
          <cell r="GH1449">
            <v>13.982143405445317</v>
          </cell>
          <cell r="GI1449">
            <v>10.408007395026372</v>
          </cell>
          <cell r="GJ1449">
            <v>7.7337520878462023</v>
          </cell>
          <cell r="GK1449">
            <v>13.082262702206542</v>
          </cell>
        </row>
        <row r="1450">
          <cell r="A1450">
            <v>41488</v>
          </cell>
          <cell r="FR1450">
            <v>19.470540918386703</v>
          </cell>
          <cell r="FS1450">
            <v>22.314663874962239</v>
          </cell>
          <cell r="FT1450">
            <v>20.116606119778133</v>
          </cell>
          <cell r="FU1450">
            <v>17.065595346429742</v>
          </cell>
          <cell r="FV1450">
            <v>23.167616893126525</v>
          </cell>
          <cell r="GG1450">
            <v>9.6598240675387679</v>
          </cell>
          <cell r="GH1450">
            <v>13.982143405445317</v>
          </cell>
          <cell r="GI1450">
            <v>10.408007395026372</v>
          </cell>
          <cell r="GJ1450">
            <v>7.7337520878462023</v>
          </cell>
          <cell r="GK1450">
            <v>13.082262702206542</v>
          </cell>
        </row>
        <row r="1451">
          <cell r="A1451">
            <v>41491</v>
          </cell>
          <cell r="FR1451">
            <v>19.337724003597977</v>
          </cell>
          <cell r="FS1451">
            <v>22.314663874962239</v>
          </cell>
          <cell r="FT1451">
            <v>20.116606119778133</v>
          </cell>
          <cell r="FU1451">
            <v>17.065595346429742</v>
          </cell>
          <cell r="FV1451">
            <v>23.167616893126525</v>
          </cell>
          <cell r="GG1451">
            <v>9.5877238327063043</v>
          </cell>
          <cell r="GH1451">
            <v>13.982143405445317</v>
          </cell>
          <cell r="GI1451">
            <v>10.408007395026372</v>
          </cell>
          <cell r="GJ1451">
            <v>7.7337520878462023</v>
          </cell>
          <cell r="GK1451">
            <v>13.082262702206542</v>
          </cell>
        </row>
        <row r="1452">
          <cell r="A1452">
            <v>41492</v>
          </cell>
          <cell r="FR1452">
            <v>19.148925382081625</v>
          </cell>
          <cell r="FS1452">
            <v>22.314663874962239</v>
          </cell>
          <cell r="FT1452">
            <v>20.116606119778133</v>
          </cell>
          <cell r="FU1452">
            <v>17.065595346429742</v>
          </cell>
          <cell r="FV1452">
            <v>23.167616893126525</v>
          </cell>
          <cell r="GG1452">
            <v>9.5442798059112093</v>
          </cell>
          <cell r="GH1452">
            <v>13.982143405445317</v>
          </cell>
          <cell r="GI1452">
            <v>10.408007395026372</v>
          </cell>
          <cell r="GJ1452">
            <v>7.7337520878462023</v>
          </cell>
          <cell r="GK1452">
            <v>13.082262702206542</v>
          </cell>
        </row>
        <row r="1453">
          <cell r="A1453">
            <v>41493</v>
          </cell>
          <cell r="FR1453">
            <v>19.580460593349276</v>
          </cell>
          <cell r="FS1453">
            <v>22.314663874962239</v>
          </cell>
          <cell r="FT1453">
            <v>20.116606119778133</v>
          </cell>
          <cell r="FU1453">
            <v>17.065595346429742</v>
          </cell>
          <cell r="FV1453">
            <v>23.167616893126525</v>
          </cell>
          <cell r="GG1453">
            <v>9.6510749607979047</v>
          </cell>
          <cell r="GH1453">
            <v>13.982143405445317</v>
          </cell>
          <cell r="GI1453">
            <v>10.408007395026372</v>
          </cell>
          <cell r="GJ1453">
            <v>7.7337520878462023</v>
          </cell>
          <cell r="GK1453">
            <v>13.082262702206542</v>
          </cell>
        </row>
        <row r="1454">
          <cell r="A1454">
            <v>41494</v>
          </cell>
          <cell r="FR1454">
            <v>19.364693437220996</v>
          </cell>
          <cell r="FS1454">
            <v>22.314663874962239</v>
          </cell>
          <cell r="FT1454">
            <v>20.116606119778133</v>
          </cell>
          <cell r="FU1454">
            <v>17.065595346429742</v>
          </cell>
          <cell r="FV1454">
            <v>23.167616893126525</v>
          </cell>
          <cell r="GG1454">
            <v>9.6015756994062862</v>
          </cell>
          <cell r="GH1454">
            <v>13.982143405445317</v>
          </cell>
          <cell r="GI1454">
            <v>10.408007395026372</v>
          </cell>
          <cell r="GJ1454">
            <v>7.7337520878462023</v>
          </cell>
          <cell r="GK1454">
            <v>13.082262702206542</v>
          </cell>
        </row>
        <row r="1455">
          <cell r="A1455">
            <v>41495</v>
          </cell>
          <cell r="FR1455">
            <v>19.34589798450363</v>
          </cell>
          <cell r="FS1455">
            <v>22.314663874962239</v>
          </cell>
          <cell r="FT1455">
            <v>20.116606119778133</v>
          </cell>
          <cell r="FU1455">
            <v>17.065595346429742</v>
          </cell>
          <cell r="FV1455">
            <v>23.167616893126525</v>
          </cell>
          <cell r="GG1455">
            <v>9.6309564046826051</v>
          </cell>
          <cell r="GH1455">
            <v>13.982143405445317</v>
          </cell>
          <cell r="GI1455">
            <v>10.408007395026372</v>
          </cell>
          <cell r="GJ1455">
            <v>7.7337520878462023</v>
          </cell>
          <cell r="GK1455">
            <v>13.082262702206542</v>
          </cell>
        </row>
        <row r="1456">
          <cell r="A1456">
            <v>41498</v>
          </cell>
          <cell r="FR1456">
            <v>19.906401638663542</v>
          </cell>
          <cell r="FS1456">
            <v>22.314663874962239</v>
          </cell>
          <cell r="FT1456">
            <v>20.116606119778133</v>
          </cell>
          <cell r="FU1456">
            <v>17.065595346429742</v>
          </cell>
          <cell r="FV1456">
            <v>23.167616893126525</v>
          </cell>
          <cell r="GG1456">
            <v>9.598237428429524</v>
          </cell>
          <cell r="GH1456">
            <v>13.982143405445317</v>
          </cell>
          <cell r="GI1456">
            <v>10.408007395026372</v>
          </cell>
          <cell r="GJ1456">
            <v>7.7337520878462023</v>
          </cell>
          <cell r="GK1456">
            <v>13.082262702206542</v>
          </cell>
        </row>
        <row r="1457">
          <cell r="A1457">
            <v>41499</v>
          </cell>
          <cell r="FR1457">
            <v>19.809673418004721</v>
          </cell>
          <cell r="FS1457">
            <v>22.314663874962239</v>
          </cell>
          <cell r="FT1457">
            <v>20.116606119778133</v>
          </cell>
          <cell r="FU1457">
            <v>17.065595346429742</v>
          </cell>
          <cell r="FV1457">
            <v>23.167616893126525</v>
          </cell>
          <cell r="GG1457">
            <v>9.8749561406113191</v>
          </cell>
          <cell r="GH1457">
            <v>13.982143405445317</v>
          </cell>
          <cell r="GI1457">
            <v>10.408007395026372</v>
          </cell>
          <cell r="GJ1457">
            <v>7.7337520878462023</v>
          </cell>
          <cell r="GK1457">
            <v>13.082262702206542</v>
          </cell>
        </row>
        <row r="1458">
          <cell r="A1458">
            <v>41500</v>
          </cell>
          <cell r="FR1458">
            <v>19.732590133704139</v>
          </cell>
          <cell r="FS1458">
            <v>22.314663874962239</v>
          </cell>
          <cell r="FT1458">
            <v>20.116606119778133</v>
          </cell>
          <cell r="FU1458">
            <v>17.065595346429742</v>
          </cell>
          <cell r="FV1458">
            <v>23.167616893126525</v>
          </cell>
          <cell r="GG1458">
            <v>9.8727207501593846</v>
          </cell>
          <cell r="GH1458">
            <v>13.982143405445317</v>
          </cell>
          <cell r="GI1458">
            <v>10.408007395026372</v>
          </cell>
          <cell r="GJ1458">
            <v>7.7337520878462023</v>
          </cell>
          <cell r="GK1458">
            <v>13.082262702206542</v>
          </cell>
        </row>
        <row r="1459">
          <cell r="A1459">
            <v>41501</v>
          </cell>
          <cell r="FR1459">
            <v>19.264018399265954</v>
          </cell>
          <cell r="FS1459">
            <v>22.314663874962239</v>
          </cell>
          <cell r="FT1459">
            <v>20.116606119778133</v>
          </cell>
          <cell r="FU1459">
            <v>17.065595346429742</v>
          </cell>
          <cell r="FV1459">
            <v>23.167616893126525</v>
          </cell>
          <cell r="GG1459">
            <v>9.7385716369522068</v>
          </cell>
          <cell r="GH1459">
            <v>13.982143405445317</v>
          </cell>
          <cell r="GI1459">
            <v>10.408007395026372</v>
          </cell>
          <cell r="GJ1459">
            <v>7.7337520878462023</v>
          </cell>
          <cell r="GK1459">
            <v>13.082262702206542</v>
          </cell>
        </row>
        <row r="1460">
          <cell r="A1460">
            <v>41502</v>
          </cell>
          <cell r="FR1460">
            <v>19.264018399265954</v>
          </cell>
          <cell r="FS1460">
            <v>22.314663874962239</v>
          </cell>
          <cell r="FT1460">
            <v>20.116606119778133</v>
          </cell>
          <cell r="FU1460">
            <v>17.065595346429742</v>
          </cell>
          <cell r="FV1460">
            <v>23.167616893126525</v>
          </cell>
          <cell r="GG1460">
            <v>9.6659049848150378</v>
          </cell>
          <cell r="GH1460">
            <v>13.982143405445317</v>
          </cell>
          <cell r="GI1460">
            <v>10.408007395026372</v>
          </cell>
          <cell r="GJ1460">
            <v>7.7337520878462023</v>
          </cell>
          <cell r="GK1460">
            <v>13.082262702206542</v>
          </cell>
        </row>
        <row r="1461">
          <cell r="A1461">
            <v>41505</v>
          </cell>
          <cell r="FR1461">
            <v>19.328422263111406</v>
          </cell>
          <cell r="FS1461">
            <v>22.314663874962239</v>
          </cell>
          <cell r="FT1461">
            <v>20.116606119778133</v>
          </cell>
          <cell r="FU1461">
            <v>17.065595346429742</v>
          </cell>
          <cell r="FV1461">
            <v>23.167616893126525</v>
          </cell>
          <cell r="GG1461">
            <v>9.6547259309660927</v>
          </cell>
          <cell r="GH1461">
            <v>13.982143405445317</v>
          </cell>
          <cell r="GI1461">
            <v>10.408007395026372</v>
          </cell>
          <cell r="GJ1461">
            <v>7.7337520878462023</v>
          </cell>
          <cell r="GK1461">
            <v>13.082262702206542</v>
          </cell>
        </row>
        <row r="1462">
          <cell r="A1462">
            <v>41506</v>
          </cell>
          <cell r="FR1462">
            <v>19.337617295310121</v>
          </cell>
          <cell r="FS1462">
            <v>22.314663874962239</v>
          </cell>
          <cell r="FT1462">
            <v>20.116606119778133</v>
          </cell>
          <cell r="FU1462">
            <v>17.065595346429742</v>
          </cell>
          <cell r="FV1462">
            <v>23.167616893126525</v>
          </cell>
          <cell r="GG1462">
            <v>9.6172749096715435</v>
          </cell>
          <cell r="GH1462">
            <v>13.982143405445317</v>
          </cell>
          <cell r="GI1462">
            <v>10.408007395026372</v>
          </cell>
          <cell r="GJ1462">
            <v>7.7337520878462023</v>
          </cell>
          <cell r="GK1462">
            <v>13.082262702206542</v>
          </cell>
        </row>
        <row r="1463">
          <cell r="A1463">
            <v>41507</v>
          </cell>
          <cell r="FR1463">
            <v>19.346825206993653</v>
          </cell>
          <cell r="FS1463">
            <v>22.314663874962239</v>
          </cell>
          <cell r="FT1463">
            <v>20.116606119778133</v>
          </cell>
          <cell r="FU1463">
            <v>17.065595346429742</v>
          </cell>
          <cell r="FV1463">
            <v>23.167616893126525</v>
          </cell>
          <cell r="GG1463">
            <v>9.6368404722514232</v>
          </cell>
          <cell r="GH1463">
            <v>13.982143405445317</v>
          </cell>
          <cell r="GI1463">
            <v>10.408007395026372</v>
          </cell>
          <cell r="GJ1463">
            <v>7.7337520878462023</v>
          </cell>
          <cell r="GK1463">
            <v>13.082262702206542</v>
          </cell>
        </row>
        <row r="1464">
          <cell r="A1464">
            <v>41508</v>
          </cell>
          <cell r="FR1464">
            <v>19.22722539098628</v>
          </cell>
          <cell r="FS1464">
            <v>22.314663874962239</v>
          </cell>
          <cell r="FT1464">
            <v>20.116606119778133</v>
          </cell>
          <cell r="FU1464">
            <v>17.065595346429742</v>
          </cell>
          <cell r="FV1464">
            <v>23.167616893126525</v>
          </cell>
          <cell r="GG1464">
            <v>9.6375020469336175</v>
          </cell>
          <cell r="GH1464">
            <v>13.982143405445317</v>
          </cell>
          <cell r="GI1464">
            <v>10.408007395026372</v>
          </cell>
          <cell r="GJ1464">
            <v>7.7337520878462023</v>
          </cell>
          <cell r="GK1464">
            <v>13.082262702206542</v>
          </cell>
        </row>
        <row r="1465">
          <cell r="A1465">
            <v>41509</v>
          </cell>
          <cell r="FR1465">
            <v>19.2839279036282</v>
          </cell>
          <cell r="FS1465">
            <v>22.314663874962239</v>
          </cell>
          <cell r="FT1465">
            <v>20.116606119778133</v>
          </cell>
          <cell r="FU1465">
            <v>17.065595346429742</v>
          </cell>
          <cell r="FV1465">
            <v>23.167616893126525</v>
          </cell>
          <cell r="GG1465">
            <v>9.7400856912889502</v>
          </cell>
          <cell r="GH1465">
            <v>13.982143405445317</v>
          </cell>
          <cell r="GI1465">
            <v>10.408007395026372</v>
          </cell>
          <cell r="GJ1465">
            <v>7.7337520878462023</v>
          </cell>
          <cell r="GK1465">
            <v>13.082262702206542</v>
          </cell>
        </row>
        <row r="1466">
          <cell r="A1466">
            <v>41512</v>
          </cell>
          <cell r="FR1466">
            <v>19.30474272588248</v>
          </cell>
          <cell r="FS1466">
            <v>22.314663874962239</v>
          </cell>
          <cell r="FT1466">
            <v>20.116606119778133</v>
          </cell>
          <cell r="FU1466">
            <v>17.065595346429742</v>
          </cell>
          <cell r="FV1466">
            <v>23.167616893126525</v>
          </cell>
          <cell r="GG1466">
            <v>9.7621955733176726</v>
          </cell>
          <cell r="GH1466">
            <v>13.982143405445317</v>
          </cell>
          <cell r="GI1466">
            <v>10.408007395026372</v>
          </cell>
          <cell r="GJ1466">
            <v>7.7337520878462023</v>
          </cell>
          <cell r="GK1466">
            <v>13.082262702206542</v>
          </cell>
        </row>
        <row r="1467">
          <cell r="A1467">
            <v>41513</v>
          </cell>
          <cell r="FR1467">
            <v>18.836140888210153</v>
          </cell>
          <cell r="FS1467">
            <v>22.314663874962239</v>
          </cell>
          <cell r="FT1467">
            <v>20.116606119778133</v>
          </cell>
          <cell r="FU1467">
            <v>17.065595346429742</v>
          </cell>
          <cell r="FV1467">
            <v>23.167616893126525</v>
          </cell>
          <cell r="GG1467">
            <v>9.4859937544681099</v>
          </cell>
          <cell r="GH1467">
            <v>13.982143405445317</v>
          </cell>
          <cell r="GI1467">
            <v>10.408007395026372</v>
          </cell>
          <cell r="GJ1467">
            <v>7.7337520878462023</v>
          </cell>
          <cell r="GK1467">
            <v>13.082262702206542</v>
          </cell>
        </row>
        <row r="1468">
          <cell r="A1468">
            <v>41514</v>
          </cell>
          <cell r="FR1468">
            <v>18.716688514550111</v>
          </cell>
          <cell r="FS1468">
            <v>22.314663874962239</v>
          </cell>
          <cell r="FT1468">
            <v>20.116606119778133</v>
          </cell>
          <cell r="FU1468">
            <v>17.065595346429742</v>
          </cell>
          <cell r="FV1468">
            <v>23.167616893126525</v>
          </cell>
          <cell r="GG1468">
            <v>9.5154842317680313</v>
          </cell>
          <cell r="GH1468">
            <v>13.982143405445317</v>
          </cell>
          <cell r="GI1468">
            <v>10.408007395026372</v>
          </cell>
          <cell r="GJ1468">
            <v>7.7337520878462023</v>
          </cell>
          <cell r="GK1468">
            <v>13.082262702206542</v>
          </cell>
        </row>
        <row r="1469">
          <cell r="A1469">
            <v>41515</v>
          </cell>
          <cell r="FR1469">
            <v>18.735068912712439</v>
          </cell>
          <cell r="FS1469">
            <v>22.314663874962239</v>
          </cell>
          <cell r="FT1469">
            <v>20.116606119778133</v>
          </cell>
          <cell r="FU1469">
            <v>17.065595346429742</v>
          </cell>
          <cell r="FV1469">
            <v>23.167616893126525</v>
          </cell>
          <cell r="GG1469">
            <v>9.5926184578092588</v>
          </cell>
          <cell r="GH1469">
            <v>13.982143405445317</v>
          </cell>
          <cell r="GI1469">
            <v>10.408007395026372</v>
          </cell>
          <cell r="GJ1469">
            <v>7.7337520878462023</v>
          </cell>
          <cell r="GK1469">
            <v>13.082262702206542</v>
          </cell>
        </row>
        <row r="1470">
          <cell r="A1470">
            <v>41516</v>
          </cell>
          <cell r="FR1470">
            <v>18.521251386323478</v>
          </cell>
          <cell r="FS1470">
            <v>22.314663874962239</v>
          </cell>
          <cell r="FT1470">
            <v>20.116606119778133</v>
          </cell>
          <cell r="FU1470">
            <v>17.065595346429742</v>
          </cell>
          <cell r="FV1470">
            <v>23.167616893126525</v>
          </cell>
          <cell r="GG1470">
            <v>9.5049905386756386</v>
          </cell>
          <cell r="GH1470">
            <v>13.982143405445317</v>
          </cell>
          <cell r="GI1470">
            <v>10.408007395026372</v>
          </cell>
          <cell r="GJ1470">
            <v>7.7337520878462023</v>
          </cell>
          <cell r="GK1470">
            <v>13.082262702206542</v>
          </cell>
        </row>
        <row r="1471">
          <cell r="A1471">
            <v>41519</v>
          </cell>
          <cell r="FR1471">
            <v>18.385315596330273</v>
          </cell>
          <cell r="FS1471">
            <v>22.314663874962239</v>
          </cell>
          <cell r="FT1471">
            <v>20.116606119778133</v>
          </cell>
          <cell r="FU1471">
            <v>17.065595346429742</v>
          </cell>
          <cell r="FV1471">
            <v>23.167616893126525</v>
          </cell>
          <cell r="GG1471">
            <v>9.4564012146159424</v>
          </cell>
          <cell r="GH1471">
            <v>13.982143405445317</v>
          </cell>
          <cell r="GI1471">
            <v>10.408007395026372</v>
          </cell>
          <cell r="GJ1471">
            <v>7.7337520878462023</v>
          </cell>
          <cell r="GK1471">
            <v>13.082262702206542</v>
          </cell>
        </row>
        <row r="1472">
          <cell r="A1472">
            <v>41520</v>
          </cell>
          <cell r="FR1472">
            <v>18.651364220183485</v>
          </cell>
          <cell r="FS1472">
            <v>22.314663874962239</v>
          </cell>
          <cell r="FT1472">
            <v>20.116606119778133</v>
          </cell>
          <cell r="FU1472">
            <v>17.065595346429742</v>
          </cell>
          <cell r="FV1472">
            <v>23.167616893126525</v>
          </cell>
          <cell r="GG1472">
            <v>9.5348488543427479</v>
          </cell>
          <cell r="GH1472">
            <v>13.982143405445317</v>
          </cell>
          <cell r="GI1472">
            <v>10.408007395026372</v>
          </cell>
          <cell r="GJ1472">
            <v>7.7337520878462023</v>
          </cell>
          <cell r="GK1472">
            <v>13.082262702206542</v>
          </cell>
        </row>
        <row r="1473">
          <cell r="A1473">
            <v>41521</v>
          </cell>
          <cell r="FR1473">
            <v>19.082557798165137</v>
          </cell>
          <cell r="FS1473">
            <v>22.314663874962239</v>
          </cell>
          <cell r="FT1473">
            <v>20.116606119778133</v>
          </cell>
          <cell r="FU1473">
            <v>17.065595346429742</v>
          </cell>
          <cell r="FV1473">
            <v>23.167616893126525</v>
          </cell>
          <cell r="GG1473">
            <v>9.6403766299594285</v>
          </cell>
          <cell r="GH1473">
            <v>13.982143405445317</v>
          </cell>
          <cell r="GI1473">
            <v>10.408007395026372</v>
          </cell>
          <cell r="GJ1473">
            <v>7.7337520878462023</v>
          </cell>
          <cell r="GK1473">
            <v>13.082262702206542</v>
          </cell>
        </row>
        <row r="1474">
          <cell r="A1474">
            <v>41522</v>
          </cell>
          <cell r="FR1474">
            <v>19.256872477064217</v>
          </cell>
          <cell r="FS1474">
            <v>22.314663874962239</v>
          </cell>
          <cell r="FT1474">
            <v>20.116606119778133</v>
          </cell>
          <cell r="FU1474">
            <v>17.065595346429742</v>
          </cell>
          <cell r="FV1474">
            <v>23.167616893126525</v>
          </cell>
          <cell r="GG1474">
            <v>9.7927456261331027</v>
          </cell>
          <cell r="GH1474">
            <v>13.982143405445317</v>
          </cell>
          <cell r="GI1474">
            <v>10.408007395026372</v>
          </cell>
          <cell r="GJ1474">
            <v>7.7337520878462023</v>
          </cell>
          <cell r="GK1474">
            <v>13.082262702206542</v>
          </cell>
        </row>
        <row r="1475">
          <cell r="A1475">
            <v>41523</v>
          </cell>
          <cell r="FR1475">
            <v>18.895242722897091</v>
          </cell>
          <cell r="FS1475">
            <v>22.314663874962239</v>
          </cell>
          <cell r="FT1475">
            <v>20.116606119778133</v>
          </cell>
          <cell r="FU1475">
            <v>17.065595346429742</v>
          </cell>
          <cell r="FV1475">
            <v>23.167616893126525</v>
          </cell>
          <cell r="GG1475">
            <v>9.4680378149111082</v>
          </cell>
          <cell r="GH1475">
            <v>13.982143405445317</v>
          </cell>
          <cell r="GI1475">
            <v>10.408007395026372</v>
          </cell>
          <cell r="GJ1475">
            <v>7.7337520878462023</v>
          </cell>
          <cell r="GK1475">
            <v>13.082262702206542</v>
          </cell>
        </row>
        <row r="1476">
          <cell r="A1476">
            <v>41526</v>
          </cell>
          <cell r="FR1476">
            <v>19.07861379784552</v>
          </cell>
          <cell r="FS1476">
            <v>22.314663874962239</v>
          </cell>
          <cell r="FT1476">
            <v>20.116606119778133</v>
          </cell>
          <cell r="FU1476">
            <v>17.065595346429742</v>
          </cell>
          <cell r="FV1476">
            <v>23.167616893126525</v>
          </cell>
          <cell r="GG1476">
            <v>9.3395914843694054</v>
          </cell>
          <cell r="GH1476">
            <v>13.982143405445317</v>
          </cell>
          <cell r="GI1476">
            <v>10.408007395026372</v>
          </cell>
          <cell r="GJ1476">
            <v>7.7337520878462023</v>
          </cell>
          <cell r="GK1476">
            <v>13.082262702206542</v>
          </cell>
        </row>
        <row r="1477">
          <cell r="A1477">
            <v>41527</v>
          </cell>
          <cell r="FR1477">
            <v>19.197788677515472</v>
          </cell>
          <cell r="FS1477">
            <v>22.314663874962239</v>
          </cell>
          <cell r="FT1477">
            <v>20.116606119778133</v>
          </cell>
          <cell r="FU1477">
            <v>17.065595346429742</v>
          </cell>
          <cell r="FV1477">
            <v>23.167616893126525</v>
          </cell>
          <cell r="GG1477">
            <v>9.4429981685960254</v>
          </cell>
          <cell r="GH1477">
            <v>13.982143405445317</v>
          </cell>
          <cell r="GI1477">
            <v>10.408007395026372</v>
          </cell>
          <cell r="GJ1477">
            <v>7.7337520878462023</v>
          </cell>
          <cell r="GK1477">
            <v>13.082262702206542</v>
          </cell>
        </row>
        <row r="1478">
          <cell r="A1478">
            <v>41528</v>
          </cell>
          <cell r="FR1478">
            <v>19.234468026587212</v>
          </cell>
          <cell r="FS1478">
            <v>22.314663874962239</v>
          </cell>
          <cell r="FT1478">
            <v>20.116606119778133</v>
          </cell>
          <cell r="FU1478">
            <v>17.065595346429742</v>
          </cell>
          <cell r="FV1478">
            <v>23.167616893126525</v>
          </cell>
          <cell r="GG1478">
            <v>9.3923832101976572</v>
          </cell>
          <cell r="GH1478">
            <v>13.982143405445317</v>
          </cell>
          <cell r="GI1478">
            <v>10.408007395026372</v>
          </cell>
          <cell r="GJ1478">
            <v>7.7337520878462023</v>
          </cell>
          <cell r="GK1478">
            <v>13.082262702206542</v>
          </cell>
        </row>
        <row r="1479">
          <cell r="A1479">
            <v>41529</v>
          </cell>
          <cell r="FR1479">
            <v>19.096939720375889</v>
          </cell>
          <cell r="FS1479">
            <v>22.314663874962239</v>
          </cell>
          <cell r="FT1479">
            <v>20.116606119778133</v>
          </cell>
          <cell r="FU1479">
            <v>17.065595346429742</v>
          </cell>
          <cell r="FV1479">
            <v>23.167616893126525</v>
          </cell>
          <cell r="GG1479">
            <v>9.3434036694014573</v>
          </cell>
          <cell r="GH1479">
            <v>13.982143405445317</v>
          </cell>
          <cell r="GI1479">
            <v>10.408007395026372</v>
          </cell>
          <cell r="GJ1479">
            <v>7.7337520878462023</v>
          </cell>
          <cell r="GK1479">
            <v>13.082262702206542</v>
          </cell>
        </row>
        <row r="1480">
          <cell r="A1480">
            <v>41530</v>
          </cell>
          <cell r="FR1480">
            <v>19.179462754985103</v>
          </cell>
          <cell r="FS1480">
            <v>22.314663874962239</v>
          </cell>
          <cell r="FT1480">
            <v>20.116606119778133</v>
          </cell>
          <cell r="FU1480">
            <v>17.065595346429742</v>
          </cell>
          <cell r="FV1480">
            <v>23.167616893126525</v>
          </cell>
          <cell r="GG1480">
            <v>9.3259912779243628</v>
          </cell>
          <cell r="GH1480">
            <v>13.982143405445317</v>
          </cell>
          <cell r="GI1480">
            <v>10.408007395026372</v>
          </cell>
          <cell r="GJ1480">
            <v>7.7337520878462023</v>
          </cell>
          <cell r="GK1480">
            <v>13.082262702206542</v>
          </cell>
        </row>
        <row r="1481">
          <cell r="A1481">
            <v>41533</v>
          </cell>
          <cell r="FR1481">
            <v>19.61035984414394</v>
          </cell>
          <cell r="FS1481">
            <v>22.314663874962239</v>
          </cell>
          <cell r="FT1481">
            <v>20.116606119778133</v>
          </cell>
          <cell r="FU1481">
            <v>17.065595346429742</v>
          </cell>
          <cell r="FV1481">
            <v>23.167616893126525</v>
          </cell>
          <cell r="GG1481">
            <v>9.383136980604851</v>
          </cell>
          <cell r="GH1481">
            <v>13.982143405445317</v>
          </cell>
          <cell r="GI1481">
            <v>10.408007395026372</v>
          </cell>
          <cell r="GJ1481">
            <v>7.7337520878462023</v>
          </cell>
          <cell r="GK1481">
            <v>13.082262702206542</v>
          </cell>
        </row>
        <row r="1482">
          <cell r="A1482">
            <v>41534</v>
          </cell>
          <cell r="FR1482">
            <v>19.665365115746049</v>
          </cell>
          <cell r="FS1482">
            <v>22.314663874962239</v>
          </cell>
          <cell r="FT1482">
            <v>20.116606119778133</v>
          </cell>
          <cell r="FU1482">
            <v>17.065595346429742</v>
          </cell>
          <cell r="FV1482">
            <v>23.167616893126525</v>
          </cell>
          <cell r="GG1482">
            <v>9.5899461901159651</v>
          </cell>
          <cell r="GH1482">
            <v>13.982143405445317</v>
          </cell>
          <cell r="GI1482">
            <v>10.408007395026372</v>
          </cell>
          <cell r="GJ1482">
            <v>7.7337520878462023</v>
          </cell>
          <cell r="GK1482">
            <v>13.082262702206542</v>
          </cell>
        </row>
        <row r="1483">
          <cell r="A1483">
            <v>41535</v>
          </cell>
          <cell r="FR1483">
            <v>19.812043089617237</v>
          </cell>
          <cell r="FS1483">
            <v>22.314663874962239</v>
          </cell>
          <cell r="FT1483">
            <v>20.116606119778133</v>
          </cell>
          <cell r="FU1483">
            <v>17.065595346429742</v>
          </cell>
          <cell r="FV1483">
            <v>23.167616893126525</v>
          </cell>
          <cell r="GG1483">
            <v>9.5817825183044665</v>
          </cell>
          <cell r="GH1483">
            <v>13.982143405445317</v>
          </cell>
          <cell r="GI1483">
            <v>10.408007395026372</v>
          </cell>
          <cell r="GJ1483">
            <v>7.7337520878462023</v>
          </cell>
          <cell r="GK1483">
            <v>13.082262702206542</v>
          </cell>
        </row>
        <row r="1484">
          <cell r="A1484">
            <v>41536</v>
          </cell>
          <cell r="FR1484">
            <v>19.509510887004357</v>
          </cell>
          <cell r="FS1484">
            <v>22.314663874962239</v>
          </cell>
          <cell r="FT1484">
            <v>20.116606119778133</v>
          </cell>
          <cell r="FU1484">
            <v>17.065595346429742</v>
          </cell>
          <cell r="FV1484">
            <v>23.167616893126525</v>
          </cell>
          <cell r="GG1484">
            <v>9.4702161465941668</v>
          </cell>
          <cell r="GH1484">
            <v>13.982143405445317</v>
          </cell>
          <cell r="GI1484">
            <v>10.408007395026372</v>
          </cell>
          <cell r="GJ1484">
            <v>7.7337520878462023</v>
          </cell>
          <cell r="GK1484">
            <v>13.082262702206542</v>
          </cell>
        </row>
        <row r="1485">
          <cell r="A1485">
            <v>41537</v>
          </cell>
          <cell r="FR1485">
            <v>19.395390040028794</v>
          </cell>
          <cell r="FS1485">
            <v>22.314663874962239</v>
          </cell>
          <cell r="FT1485">
            <v>20.116606119778133</v>
          </cell>
          <cell r="FU1485">
            <v>17.065595346429742</v>
          </cell>
          <cell r="FV1485">
            <v>23.167616893126525</v>
          </cell>
          <cell r="GG1485">
            <v>9.4293977875366757</v>
          </cell>
          <cell r="GH1485">
            <v>13.982143405445317</v>
          </cell>
          <cell r="GI1485">
            <v>10.408007395026372</v>
          </cell>
          <cell r="GJ1485">
            <v>7.7337520878462023</v>
          </cell>
          <cell r="GK1485">
            <v>13.082262702206542</v>
          </cell>
        </row>
        <row r="1486">
          <cell r="A1486">
            <v>41540</v>
          </cell>
          <cell r="FR1486">
            <v>19.257839545514987</v>
          </cell>
          <cell r="FS1486">
            <v>22.314663874962239</v>
          </cell>
          <cell r="FT1486">
            <v>20.116606119778133</v>
          </cell>
          <cell r="FU1486">
            <v>17.065595346429742</v>
          </cell>
          <cell r="FV1486">
            <v>23.167616893126525</v>
          </cell>
          <cell r="GG1486">
            <v>9.3395973976101914</v>
          </cell>
          <cell r="GH1486">
            <v>13.982143405445317</v>
          </cell>
          <cell r="GI1486">
            <v>10.408007395026372</v>
          </cell>
          <cell r="GJ1486">
            <v>7.7337520878462023</v>
          </cell>
          <cell r="GK1486">
            <v>13.082262702206542</v>
          </cell>
        </row>
        <row r="1487">
          <cell r="A1487">
            <v>41541</v>
          </cell>
          <cell r="FR1487">
            <v>19.386225142485088</v>
          </cell>
          <cell r="FS1487">
            <v>22.314663874962239</v>
          </cell>
          <cell r="FT1487">
            <v>20.116606119778133</v>
          </cell>
          <cell r="FU1487">
            <v>17.065595346429742</v>
          </cell>
          <cell r="FV1487">
            <v>23.167616893126525</v>
          </cell>
          <cell r="GG1487">
            <v>9.323270053987196</v>
          </cell>
          <cell r="GH1487">
            <v>13.982143405445317</v>
          </cell>
          <cell r="GI1487">
            <v>10.408007395026372</v>
          </cell>
          <cell r="GJ1487">
            <v>7.7337520878462023</v>
          </cell>
          <cell r="GK1487">
            <v>13.082262702206542</v>
          </cell>
        </row>
        <row r="1488">
          <cell r="A1488">
            <v>41542</v>
          </cell>
          <cell r="FR1488">
            <v>19.413735424795846</v>
          </cell>
          <cell r="FS1488">
            <v>22.314663874962239</v>
          </cell>
          <cell r="FT1488">
            <v>20.116606119778133</v>
          </cell>
          <cell r="FU1488">
            <v>17.065595346429742</v>
          </cell>
          <cell r="FV1488">
            <v>23.167616893126525</v>
          </cell>
          <cell r="GG1488">
            <v>9.2933365906783703</v>
          </cell>
          <cell r="GH1488">
            <v>13.982143405445317</v>
          </cell>
          <cell r="GI1488">
            <v>10.408007395026372</v>
          </cell>
          <cell r="GJ1488">
            <v>7.7337520878462023</v>
          </cell>
          <cell r="GK1488">
            <v>13.082262702206542</v>
          </cell>
        </row>
        <row r="1489">
          <cell r="A1489">
            <v>41543</v>
          </cell>
          <cell r="FR1489">
            <v>19.698015066966843</v>
          </cell>
          <cell r="FS1489">
            <v>22.314663874962239</v>
          </cell>
          <cell r="FT1489">
            <v>20.116606119778133</v>
          </cell>
          <cell r="FU1489">
            <v>17.065595346429742</v>
          </cell>
          <cell r="FV1489">
            <v>23.167616893126525</v>
          </cell>
          <cell r="GG1489">
            <v>9.3640884130446871</v>
          </cell>
          <cell r="GH1489">
            <v>13.982143405445317</v>
          </cell>
          <cell r="GI1489">
            <v>10.408007395026372</v>
          </cell>
          <cell r="GJ1489">
            <v>7.7337520878462023</v>
          </cell>
          <cell r="GK1489">
            <v>13.082262702206542</v>
          </cell>
        </row>
        <row r="1490">
          <cell r="A1490">
            <v>41544</v>
          </cell>
          <cell r="FR1490">
            <v>20.064825556070115</v>
          </cell>
          <cell r="FS1490">
            <v>22.314663874962239</v>
          </cell>
          <cell r="FT1490">
            <v>20.116606119778133</v>
          </cell>
          <cell r="FU1490">
            <v>17.065595346429742</v>
          </cell>
          <cell r="FV1490">
            <v>23.167616893126525</v>
          </cell>
          <cell r="GG1490">
            <v>9.4538888029711714</v>
          </cell>
          <cell r="GH1490">
            <v>13.982143405445317</v>
          </cell>
          <cell r="GI1490">
            <v>10.408007395026372</v>
          </cell>
          <cell r="GJ1490">
            <v>7.7337520878462023</v>
          </cell>
          <cell r="GK1490">
            <v>13.082262702206542</v>
          </cell>
        </row>
        <row r="1491">
          <cell r="A1491">
            <v>41547</v>
          </cell>
          <cell r="FR1491">
            <v>19.624650034618259</v>
          </cell>
          <cell r="FS1491">
            <v>22.314663874962239</v>
          </cell>
          <cell r="FT1491">
            <v>20.116606119778133</v>
          </cell>
          <cell r="FU1491">
            <v>17.065595346429742</v>
          </cell>
          <cell r="FV1491">
            <v>23.167616893126525</v>
          </cell>
          <cell r="GG1491">
            <v>9.560297645548868</v>
          </cell>
          <cell r="GH1491">
            <v>13.982143405445317</v>
          </cell>
          <cell r="GI1491">
            <v>10.408007395026372</v>
          </cell>
          <cell r="GJ1491">
            <v>7.7337520878462023</v>
          </cell>
          <cell r="GK1491">
            <v>13.082262702206542</v>
          </cell>
        </row>
        <row r="1492">
          <cell r="A1492">
            <v>41548</v>
          </cell>
          <cell r="FR1492">
            <v>20.045203380317798</v>
          </cell>
          <cell r="FS1492">
            <v>22.314663874962239</v>
          </cell>
          <cell r="FT1492">
            <v>20.116606119778133</v>
          </cell>
          <cell r="FU1492">
            <v>17.065595346429742</v>
          </cell>
          <cell r="FV1492">
            <v>23.167616893126525</v>
          </cell>
          <cell r="GG1492">
            <v>9.4612784923578719</v>
          </cell>
          <cell r="GH1492">
            <v>13.982143405445317</v>
          </cell>
          <cell r="GI1492">
            <v>10.408007395026372</v>
          </cell>
          <cell r="GJ1492">
            <v>7.7337520878462023</v>
          </cell>
          <cell r="GK1492">
            <v>13.082262702206542</v>
          </cell>
        </row>
        <row r="1493">
          <cell r="A1493">
            <v>41549</v>
          </cell>
          <cell r="FR1493">
            <v>19.726600112274497</v>
          </cell>
          <cell r="FS1493">
            <v>22.314663874962239</v>
          </cell>
          <cell r="FT1493">
            <v>20.116606119778133</v>
          </cell>
          <cell r="FU1493">
            <v>17.065595346429742</v>
          </cell>
          <cell r="FV1493">
            <v>23.167616893126525</v>
          </cell>
          <cell r="GG1493">
            <v>9.5508177279761526</v>
          </cell>
          <cell r="GH1493">
            <v>13.982143405445317</v>
          </cell>
          <cell r="GI1493">
            <v>10.408007395026372</v>
          </cell>
          <cell r="GJ1493">
            <v>7.7337520878462023</v>
          </cell>
          <cell r="GK1493">
            <v>13.082262702206542</v>
          </cell>
        </row>
        <row r="1494">
          <cell r="A1494">
            <v>41550</v>
          </cell>
          <cell r="FR1494">
            <v>19.435290922609617</v>
          </cell>
          <cell r="FS1494">
            <v>22.314663874962239</v>
          </cell>
          <cell r="FT1494">
            <v>20.116606119778133</v>
          </cell>
          <cell r="FU1494">
            <v>17.065595346429742</v>
          </cell>
          <cell r="FV1494">
            <v>23.167616893126525</v>
          </cell>
          <cell r="GG1494">
            <v>9.5426777481289005</v>
          </cell>
          <cell r="GH1494">
            <v>13.982143405445317</v>
          </cell>
          <cell r="GI1494">
            <v>10.408007395026372</v>
          </cell>
          <cell r="GJ1494">
            <v>7.7337520878462023</v>
          </cell>
          <cell r="GK1494">
            <v>13.082262702206542</v>
          </cell>
        </row>
        <row r="1495">
          <cell r="A1495">
            <v>41551</v>
          </cell>
          <cell r="FR1495">
            <v>19.298748615559187</v>
          </cell>
          <cell r="FS1495">
            <v>22.314663874962239</v>
          </cell>
          <cell r="FT1495">
            <v>20.116606119778133</v>
          </cell>
          <cell r="FU1495">
            <v>17.065595346429742</v>
          </cell>
          <cell r="FV1495">
            <v>23.167616893126525</v>
          </cell>
          <cell r="GG1495">
            <v>9.3853002819028131</v>
          </cell>
          <cell r="GH1495">
            <v>13.982143405445317</v>
          </cell>
          <cell r="GI1495">
            <v>10.408007395026372</v>
          </cell>
          <cell r="GJ1495">
            <v>7.7337520878462023</v>
          </cell>
          <cell r="GK1495">
            <v>13.082262702206542</v>
          </cell>
        </row>
        <row r="1496">
          <cell r="A1496">
            <v>41554</v>
          </cell>
          <cell r="FR1496">
            <v>19.134884920576546</v>
          </cell>
          <cell r="FS1496">
            <v>22.314663874962239</v>
          </cell>
          <cell r="FT1496">
            <v>20.116606119778133</v>
          </cell>
          <cell r="FU1496">
            <v>17.065595346429742</v>
          </cell>
          <cell r="FV1496">
            <v>23.167616893126525</v>
          </cell>
          <cell r="GG1496">
            <v>9.2496249060902098</v>
          </cell>
          <cell r="GH1496">
            <v>13.982143405445317</v>
          </cell>
          <cell r="GI1496">
            <v>10.408007395026372</v>
          </cell>
          <cell r="GJ1496">
            <v>7.7337520878462023</v>
          </cell>
          <cell r="GK1496">
            <v>13.082262702206542</v>
          </cell>
        </row>
        <row r="1497">
          <cell r="A1497">
            <v>41555</v>
          </cell>
          <cell r="FR1497">
            <v>18.925515316109895</v>
          </cell>
          <cell r="FS1497">
            <v>22.314663874962239</v>
          </cell>
          <cell r="FT1497">
            <v>20.116606119778133</v>
          </cell>
          <cell r="FU1497">
            <v>17.065595346429742</v>
          </cell>
          <cell r="FV1497">
            <v>23.167616893126525</v>
          </cell>
          <cell r="GG1497">
            <v>9.233343860992699</v>
          </cell>
          <cell r="GH1497">
            <v>13.982143405445317</v>
          </cell>
          <cell r="GI1497">
            <v>10.408007395026372</v>
          </cell>
          <cell r="GJ1497">
            <v>7.7337520878462023</v>
          </cell>
          <cell r="GK1497">
            <v>13.082262702206542</v>
          </cell>
        </row>
        <row r="1498">
          <cell r="A1498">
            <v>41556</v>
          </cell>
          <cell r="FR1498">
            <v>18.934613038796549</v>
          </cell>
          <cell r="FS1498">
            <v>22.314663874962239</v>
          </cell>
          <cell r="FT1498">
            <v>20.116606119778133</v>
          </cell>
          <cell r="FU1498">
            <v>17.065595346429742</v>
          </cell>
          <cell r="FV1498">
            <v>23.167616893126525</v>
          </cell>
          <cell r="GG1498">
            <v>9.1193765453101108</v>
          </cell>
          <cell r="GH1498">
            <v>13.982143405445317</v>
          </cell>
          <cell r="GI1498">
            <v>10.408007395026372</v>
          </cell>
          <cell r="GJ1498">
            <v>7.7337520878462023</v>
          </cell>
          <cell r="GK1498">
            <v>13.082262702206542</v>
          </cell>
        </row>
        <row r="1499">
          <cell r="A1499">
            <v>41557</v>
          </cell>
          <cell r="FR1499">
            <v>18.961921682270326</v>
          </cell>
          <cell r="FS1499">
            <v>22.314663874962239</v>
          </cell>
          <cell r="FT1499">
            <v>20.116606119778133</v>
          </cell>
          <cell r="FU1499">
            <v>17.065595346429742</v>
          </cell>
          <cell r="FV1499">
            <v>23.167616893126525</v>
          </cell>
          <cell r="GG1499">
            <v>9.122090052826362</v>
          </cell>
          <cell r="GH1499">
            <v>13.982143405445317</v>
          </cell>
          <cell r="GI1499">
            <v>10.408007395026372</v>
          </cell>
          <cell r="GJ1499">
            <v>7.7337520878462023</v>
          </cell>
          <cell r="GK1499">
            <v>13.082262702206542</v>
          </cell>
        </row>
        <row r="1500">
          <cell r="A1500">
            <v>41558</v>
          </cell>
          <cell r="FR1500">
            <v>18.886394162113852</v>
          </cell>
          <cell r="FS1500">
            <v>22.314663874962239</v>
          </cell>
          <cell r="FT1500">
            <v>20.116606119778133</v>
          </cell>
          <cell r="FU1500">
            <v>17.065595346429742</v>
          </cell>
          <cell r="FV1500">
            <v>23.167616893126525</v>
          </cell>
          <cell r="GG1500">
            <v>9.176360203151404</v>
          </cell>
          <cell r="GH1500">
            <v>13.982143405445317</v>
          </cell>
          <cell r="GI1500">
            <v>10.408007395026372</v>
          </cell>
          <cell r="GJ1500">
            <v>7.7337520878462023</v>
          </cell>
          <cell r="GK1500">
            <v>13.082262702206542</v>
          </cell>
        </row>
        <row r="1501">
          <cell r="A1501">
            <v>41561</v>
          </cell>
          <cell r="FR1501">
            <v>18.806101436267511</v>
          </cell>
          <cell r="FS1501">
            <v>22.314663874962239</v>
          </cell>
          <cell r="FT1501">
            <v>20.116606119778133</v>
          </cell>
          <cell r="FU1501">
            <v>17.065595346429742</v>
          </cell>
          <cell r="FV1501">
            <v>23.167616893126525</v>
          </cell>
          <cell r="GG1501">
            <v>9.1938801865319206</v>
          </cell>
          <cell r="GH1501">
            <v>13.982143405445317</v>
          </cell>
          <cell r="GI1501">
            <v>10.408007395026372</v>
          </cell>
          <cell r="GJ1501">
            <v>7.7337520878462023</v>
          </cell>
          <cell r="GK1501">
            <v>13.082262702206542</v>
          </cell>
        </row>
        <row r="1502">
          <cell r="A1502">
            <v>41562</v>
          </cell>
          <cell r="FR1502">
            <v>18.518842010773767</v>
          </cell>
          <cell r="FS1502">
            <v>22.314663874962239</v>
          </cell>
          <cell r="FT1502">
            <v>20.116606119778133</v>
          </cell>
          <cell r="FU1502">
            <v>17.065595346429742</v>
          </cell>
          <cell r="FV1502">
            <v>23.167616893126525</v>
          </cell>
          <cell r="GG1502">
            <v>9.1369056666032868</v>
          </cell>
          <cell r="GH1502">
            <v>13.982143405445317</v>
          </cell>
          <cell r="GI1502">
            <v>10.408007395026372</v>
          </cell>
          <cell r="GJ1502">
            <v>7.7337520878462023</v>
          </cell>
          <cell r="GK1502">
            <v>13.082262702206542</v>
          </cell>
        </row>
        <row r="1503">
          <cell r="A1503">
            <v>41563</v>
          </cell>
          <cell r="FR1503">
            <v>18.698372531420102</v>
          </cell>
          <cell r="FS1503">
            <v>22.314663874962239</v>
          </cell>
          <cell r="FT1503">
            <v>20.116606119778133</v>
          </cell>
          <cell r="FU1503">
            <v>17.065595346429742</v>
          </cell>
          <cell r="FV1503">
            <v>23.167616893126525</v>
          </cell>
          <cell r="GG1503">
            <v>9.0880703638073186</v>
          </cell>
          <cell r="GH1503">
            <v>13.982143405445317</v>
          </cell>
          <cell r="GI1503">
            <v>10.408007395026372</v>
          </cell>
          <cell r="GJ1503">
            <v>7.7337520878462023</v>
          </cell>
          <cell r="GK1503">
            <v>13.082262702206542</v>
          </cell>
        </row>
        <row r="1504">
          <cell r="A1504">
            <v>41564</v>
          </cell>
          <cell r="FR1504">
            <v>18.949718132856393</v>
          </cell>
          <cell r="FS1504">
            <v>22.314663874962239</v>
          </cell>
          <cell r="FT1504">
            <v>20.116606119778133</v>
          </cell>
          <cell r="FU1504">
            <v>17.065595346429742</v>
          </cell>
          <cell r="FV1504">
            <v>23.167616893126525</v>
          </cell>
          <cell r="GG1504">
            <v>9.0880703638073186</v>
          </cell>
          <cell r="GH1504">
            <v>13.982143405445317</v>
          </cell>
          <cell r="GI1504">
            <v>10.408007395026372</v>
          </cell>
          <cell r="GJ1504">
            <v>7.7337520878462023</v>
          </cell>
          <cell r="GK1504">
            <v>13.082262702206542</v>
          </cell>
        </row>
        <row r="1505">
          <cell r="A1505">
            <v>41565</v>
          </cell>
          <cell r="FR1505">
            <v>18.868931777380624</v>
          </cell>
          <cell r="FS1505">
            <v>22.314663874962239</v>
          </cell>
          <cell r="FT1505">
            <v>20.116606119778133</v>
          </cell>
          <cell r="FU1505">
            <v>17.065595346429742</v>
          </cell>
          <cell r="FV1505">
            <v>23.167616893126525</v>
          </cell>
          <cell r="GG1505">
            <v>9.1963084469776906</v>
          </cell>
          <cell r="GH1505">
            <v>13.982143405445317</v>
          </cell>
          <cell r="GI1505">
            <v>10.408007395026372</v>
          </cell>
          <cell r="GJ1505">
            <v>7.7337520878462023</v>
          </cell>
          <cell r="GK1505">
            <v>13.082262702206542</v>
          </cell>
        </row>
        <row r="1506">
          <cell r="A1506">
            <v>41568</v>
          </cell>
          <cell r="FR1506">
            <v>18.829158856117989</v>
          </cell>
          <cell r="FS1506">
            <v>22.314663874962239</v>
          </cell>
          <cell r="FT1506">
            <v>20.116606119778133</v>
          </cell>
          <cell r="FU1506">
            <v>17.065595346429742</v>
          </cell>
          <cell r="FV1506">
            <v>23.167616893126525</v>
          </cell>
          <cell r="GG1506">
            <v>9.2003875794473835</v>
          </cell>
          <cell r="GH1506">
            <v>13.982143405445317</v>
          </cell>
          <cell r="GI1506">
            <v>10.408007395026372</v>
          </cell>
          <cell r="GJ1506">
            <v>7.7337520878462023</v>
          </cell>
          <cell r="GK1506">
            <v>13.082262702206542</v>
          </cell>
        </row>
        <row r="1507">
          <cell r="A1507">
            <v>41569</v>
          </cell>
          <cell r="FR1507">
            <v>19.287305884116236</v>
          </cell>
          <cell r="FS1507">
            <v>22.314663874962239</v>
          </cell>
          <cell r="FT1507">
            <v>20.116606119778133</v>
          </cell>
          <cell r="FU1507">
            <v>17.065595346429742</v>
          </cell>
          <cell r="FV1507">
            <v>23.167616893126525</v>
          </cell>
          <cell r="GG1507">
            <v>9.2085663467267462</v>
          </cell>
          <cell r="GH1507">
            <v>13.982143405445317</v>
          </cell>
          <cell r="GI1507">
            <v>10.408007395026372</v>
          </cell>
          <cell r="GJ1507">
            <v>7.7337520878462023</v>
          </cell>
          <cell r="GK1507">
            <v>13.082262702206542</v>
          </cell>
        </row>
        <row r="1508">
          <cell r="A1508">
            <v>41570</v>
          </cell>
          <cell r="FR1508">
            <v>19.628678844140222</v>
          </cell>
          <cell r="FS1508">
            <v>22.314663874962239</v>
          </cell>
          <cell r="FT1508">
            <v>20.116606119778133</v>
          </cell>
          <cell r="FU1508">
            <v>17.065595346429742</v>
          </cell>
          <cell r="FV1508">
            <v>23.167616893126525</v>
          </cell>
          <cell r="GG1508">
            <v>9.3530579019955109</v>
          </cell>
          <cell r="GH1508">
            <v>13.982143405445317</v>
          </cell>
          <cell r="GI1508">
            <v>10.408007395026372</v>
          </cell>
          <cell r="GJ1508">
            <v>7.7337520878462023</v>
          </cell>
          <cell r="GK1508">
            <v>13.082262702206542</v>
          </cell>
        </row>
        <row r="1509">
          <cell r="A1509">
            <v>41571</v>
          </cell>
          <cell r="FR1509">
            <v>19.691569696064171</v>
          </cell>
          <cell r="FS1509">
            <v>22.314663874962239</v>
          </cell>
          <cell r="FT1509">
            <v>20.116606119778133</v>
          </cell>
          <cell r="FU1509">
            <v>17.065595346429742</v>
          </cell>
          <cell r="FV1509">
            <v>23.167616893126525</v>
          </cell>
          <cell r="GG1509">
            <v>9.3912254826325405</v>
          </cell>
          <cell r="GH1509">
            <v>13.982143405445317</v>
          </cell>
          <cell r="GI1509">
            <v>10.408007395026372</v>
          </cell>
          <cell r="GJ1509">
            <v>7.7337520878462023</v>
          </cell>
          <cell r="GK1509">
            <v>13.082262702206542</v>
          </cell>
        </row>
        <row r="1510">
          <cell r="A1510">
            <v>41572</v>
          </cell>
          <cell r="FR1510">
            <v>19.655268574167568</v>
          </cell>
          <cell r="FS1510">
            <v>22.314663874962239</v>
          </cell>
          <cell r="FT1510">
            <v>20.116606119778133</v>
          </cell>
          <cell r="FU1510">
            <v>17.065595346429742</v>
          </cell>
          <cell r="FV1510">
            <v>23.167616893126525</v>
          </cell>
          <cell r="GG1510">
            <v>9.4757394111859679</v>
          </cell>
          <cell r="GH1510">
            <v>13.982143405445317</v>
          </cell>
          <cell r="GI1510">
            <v>10.408007395026372</v>
          </cell>
          <cell r="GJ1510">
            <v>7.7337520878462023</v>
          </cell>
          <cell r="GK1510">
            <v>13.082262702206542</v>
          </cell>
        </row>
        <row r="1511">
          <cell r="A1511">
            <v>41575</v>
          </cell>
          <cell r="FR1511">
            <v>19.659763645754914</v>
          </cell>
          <cell r="FS1511">
            <v>22.314663874962239</v>
          </cell>
          <cell r="FT1511">
            <v>20.116606119778133</v>
          </cell>
          <cell r="FU1511">
            <v>17.065595346429742</v>
          </cell>
          <cell r="FV1511">
            <v>23.167616893126525</v>
          </cell>
          <cell r="GG1511">
            <v>9.4686267631524466</v>
          </cell>
          <cell r="GH1511">
            <v>13.982143405445317</v>
          </cell>
          <cell r="GI1511">
            <v>10.408007395026372</v>
          </cell>
          <cell r="GJ1511">
            <v>7.7337520878462023</v>
          </cell>
          <cell r="GK1511">
            <v>13.082262702206542</v>
          </cell>
        </row>
        <row r="1512">
          <cell r="A1512">
            <v>41576</v>
          </cell>
          <cell r="FR1512">
            <v>19.686706233676752</v>
          </cell>
          <cell r="FS1512">
            <v>22.314663874962239</v>
          </cell>
          <cell r="FT1512">
            <v>20.116606119778133</v>
          </cell>
          <cell r="FU1512">
            <v>17.065595346429742</v>
          </cell>
          <cell r="FV1512">
            <v>23.167616893126525</v>
          </cell>
          <cell r="GG1512">
            <v>9.4985758331711203</v>
          </cell>
          <cell r="GH1512">
            <v>13.982143405445317</v>
          </cell>
          <cell r="GI1512">
            <v>10.408007395026372</v>
          </cell>
          <cell r="GJ1512">
            <v>7.7337520878462023</v>
          </cell>
          <cell r="GK1512">
            <v>13.082262702206542</v>
          </cell>
        </row>
        <row r="1513">
          <cell r="A1513">
            <v>41577</v>
          </cell>
          <cell r="FR1513">
            <v>19.815254199638463</v>
          </cell>
          <cell r="FS1513">
            <v>22.314663874962239</v>
          </cell>
          <cell r="FT1513">
            <v>20.116606119778133</v>
          </cell>
          <cell r="FU1513">
            <v>17.065595346429742</v>
          </cell>
          <cell r="FV1513">
            <v>23.167616893126525</v>
          </cell>
          <cell r="GG1513">
            <v>9.5249878865009343</v>
          </cell>
          <cell r="GH1513">
            <v>13.982143405445317</v>
          </cell>
          <cell r="GI1513">
            <v>10.408007395026372</v>
          </cell>
          <cell r="GJ1513">
            <v>7.7337520878462023</v>
          </cell>
          <cell r="GK1513">
            <v>13.082262702206542</v>
          </cell>
        </row>
        <row r="1514">
          <cell r="A1514">
            <v>41578</v>
          </cell>
          <cell r="FR1514">
            <v>20.489521380125812</v>
          </cell>
          <cell r="FS1514">
            <v>22.314663874962239</v>
          </cell>
          <cell r="FT1514">
            <v>20.116606119778133</v>
          </cell>
          <cell r="FU1514">
            <v>17.065595346429742</v>
          </cell>
          <cell r="FV1514">
            <v>23.167616893126525</v>
          </cell>
          <cell r="GG1514">
            <v>9.5081557094439848</v>
          </cell>
          <cell r="GH1514">
            <v>13.982143405445317</v>
          </cell>
          <cell r="GI1514">
            <v>10.408007395026372</v>
          </cell>
          <cell r="GJ1514">
            <v>7.7337520878462023</v>
          </cell>
          <cell r="GK1514">
            <v>13.082262702206542</v>
          </cell>
        </row>
        <row r="1515">
          <cell r="A1515">
            <v>41579</v>
          </cell>
          <cell r="FR1515">
            <v>20.455265287930018</v>
          </cell>
          <cell r="FS1515">
            <v>22.314663874962239</v>
          </cell>
          <cell r="FT1515">
            <v>20.116606119778133</v>
          </cell>
          <cell r="FU1515">
            <v>17.065595346429742</v>
          </cell>
          <cell r="FV1515">
            <v>23.167616893126525</v>
          </cell>
          <cell r="GG1515">
            <v>10.050589146618682</v>
          </cell>
          <cell r="GH1515">
            <v>13.982143405445317</v>
          </cell>
          <cell r="GI1515">
            <v>10.408007395026372</v>
          </cell>
          <cell r="GJ1515">
            <v>7.7337520878462023</v>
          </cell>
          <cell r="GK1515">
            <v>13.082262702206542</v>
          </cell>
        </row>
        <row r="1516">
          <cell r="A1516">
            <v>41582</v>
          </cell>
          <cell r="FR1516">
            <v>20.420066395300363</v>
          </cell>
          <cell r="FS1516">
            <v>22.314663874962239</v>
          </cell>
          <cell r="FT1516">
            <v>20.116606119778133</v>
          </cell>
          <cell r="FU1516">
            <v>17.065595346429742</v>
          </cell>
          <cell r="FV1516">
            <v>23.167616893126525</v>
          </cell>
          <cell r="GG1516">
            <v>10.234961147215369</v>
          </cell>
          <cell r="GH1516">
            <v>13.982143405445317</v>
          </cell>
          <cell r="GI1516">
            <v>10.408007395026372</v>
          </cell>
          <cell r="GJ1516">
            <v>7.7337520878462023</v>
          </cell>
          <cell r="GK1516">
            <v>13.082262702206542</v>
          </cell>
        </row>
        <row r="1517">
          <cell r="A1517">
            <v>41583</v>
          </cell>
          <cell r="FR1517">
            <v>20.190510193091381</v>
          </cell>
          <cell r="FS1517">
            <v>22.314663874962239</v>
          </cell>
          <cell r="FT1517">
            <v>20.116606119778133</v>
          </cell>
          <cell r="FU1517">
            <v>17.065595346429742</v>
          </cell>
          <cell r="FV1517">
            <v>23.167616893126525</v>
          </cell>
          <cell r="GG1517">
            <v>10.061439277225118</v>
          </cell>
          <cell r="GH1517">
            <v>13.982143405445317</v>
          </cell>
          <cell r="GI1517">
            <v>10.408007395026372</v>
          </cell>
          <cell r="GJ1517">
            <v>7.7337520878462023</v>
          </cell>
          <cell r="GK1517">
            <v>13.082262702206542</v>
          </cell>
        </row>
        <row r="1518">
          <cell r="A1518">
            <v>41584</v>
          </cell>
          <cell r="FR1518">
            <v>20.14653865855491</v>
          </cell>
          <cell r="FS1518">
            <v>22.314663874962239</v>
          </cell>
          <cell r="FT1518">
            <v>20.116606119778133</v>
          </cell>
          <cell r="FU1518">
            <v>17.065595346429742</v>
          </cell>
          <cell r="FV1518">
            <v>23.167616893126525</v>
          </cell>
          <cell r="GG1518">
            <v>10.118692933906258</v>
          </cell>
          <cell r="GH1518">
            <v>13.982143405445317</v>
          </cell>
          <cell r="GI1518">
            <v>10.408007395026372</v>
          </cell>
          <cell r="GJ1518">
            <v>7.7337520878462023</v>
          </cell>
          <cell r="GK1518">
            <v>13.082262702206542</v>
          </cell>
        </row>
        <row r="1519">
          <cell r="A1519">
            <v>41585</v>
          </cell>
          <cell r="FR1519">
            <v>19.873933259614091</v>
          </cell>
          <cell r="FS1519">
            <v>22.314663874962239</v>
          </cell>
          <cell r="FT1519">
            <v>20.116606119778133</v>
          </cell>
          <cell r="FU1519">
            <v>17.065595346429742</v>
          </cell>
          <cell r="FV1519">
            <v>23.167616893126525</v>
          </cell>
          <cell r="GG1519">
            <v>10.075074579240512</v>
          </cell>
          <cell r="GH1519">
            <v>13.982143405445317</v>
          </cell>
          <cell r="GI1519">
            <v>10.408007395026372</v>
          </cell>
          <cell r="GJ1519">
            <v>7.7337520878462023</v>
          </cell>
          <cell r="GK1519">
            <v>13.082262702206542</v>
          </cell>
        </row>
        <row r="1520">
          <cell r="A1520">
            <v>41586</v>
          </cell>
          <cell r="FR1520">
            <v>19.992693817524312</v>
          </cell>
          <cell r="FS1520">
            <v>22.314663874962239</v>
          </cell>
          <cell r="FT1520">
            <v>20.116606119778133</v>
          </cell>
          <cell r="FU1520">
            <v>17.065595346429742</v>
          </cell>
          <cell r="FV1520">
            <v>23.167616893126525</v>
          </cell>
          <cell r="GG1520">
            <v>10.050540958540413</v>
          </cell>
          <cell r="GH1520">
            <v>13.982143405445317</v>
          </cell>
          <cell r="GI1520">
            <v>10.408007395026372</v>
          </cell>
          <cell r="GJ1520">
            <v>7.7337520878462023</v>
          </cell>
          <cell r="GK1520">
            <v>13.082262702206542</v>
          </cell>
        </row>
        <row r="1521">
          <cell r="A1521">
            <v>41589</v>
          </cell>
          <cell r="FR1521">
            <v>20.150790964285463</v>
          </cell>
          <cell r="FS1521">
            <v>22.314663874962239</v>
          </cell>
          <cell r="FT1521">
            <v>20.116606119778133</v>
          </cell>
          <cell r="FU1521">
            <v>17.065595346429742</v>
          </cell>
          <cell r="FV1521">
            <v>23.167616893126525</v>
          </cell>
          <cell r="GG1521">
            <v>10.080524011190766</v>
          </cell>
          <cell r="GH1521">
            <v>13.982143405445317</v>
          </cell>
          <cell r="GI1521">
            <v>10.408007395026372</v>
          </cell>
          <cell r="GJ1521">
            <v>7.7337520878462023</v>
          </cell>
          <cell r="GK1521">
            <v>13.082262702206542</v>
          </cell>
        </row>
        <row r="1522">
          <cell r="A1522">
            <v>41590</v>
          </cell>
          <cell r="FR1522">
            <v>20.386230410656815</v>
          </cell>
          <cell r="FS1522">
            <v>22.314663874962239</v>
          </cell>
          <cell r="FT1522">
            <v>20.116606119778133</v>
          </cell>
          <cell r="FU1522">
            <v>17.065595346429742</v>
          </cell>
          <cell r="FV1522">
            <v>23.167616893126525</v>
          </cell>
          <cell r="GG1522">
            <v>10.072345774146862</v>
          </cell>
          <cell r="GH1522">
            <v>13.982143405445317</v>
          </cell>
          <cell r="GI1522">
            <v>10.408007395026372</v>
          </cell>
          <cell r="GJ1522">
            <v>7.7337520878462023</v>
          </cell>
          <cell r="GK1522">
            <v>13.082262702206542</v>
          </cell>
        </row>
        <row r="1523">
          <cell r="A1523">
            <v>41591</v>
          </cell>
          <cell r="FR1523">
            <v>20.412866592676796</v>
          </cell>
          <cell r="FS1523">
            <v>22.314663874962239</v>
          </cell>
          <cell r="FT1523">
            <v>20.116606119778133</v>
          </cell>
          <cell r="FU1523">
            <v>17.065595346429742</v>
          </cell>
          <cell r="FV1523">
            <v>23.167616893126525</v>
          </cell>
          <cell r="GG1523">
            <v>10.088701703018865</v>
          </cell>
          <cell r="GH1523">
            <v>13.982143405445317</v>
          </cell>
          <cell r="GI1523">
            <v>10.408007395026372</v>
          </cell>
          <cell r="GJ1523">
            <v>7.7337520878462023</v>
          </cell>
          <cell r="GK1523">
            <v>13.082262702206542</v>
          </cell>
        </row>
        <row r="1524">
          <cell r="A1524">
            <v>41592</v>
          </cell>
          <cell r="FR1524">
            <v>20.918977136517022</v>
          </cell>
          <cell r="FS1524">
            <v>22.314663874962239</v>
          </cell>
          <cell r="FT1524">
            <v>20.116606119778133</v>
          </cell>
          <cell r="FU1524">
            <v>17.065595346429742</v>
          </cell>
          <cell r="FV1524">
            <v>23.167616893126525</v>
          </cell>
          <cell r="GG1524">
            <v>10.135048862778261</v>
          </cell>
          <cell r="GH1524">
            <v>13.982143405445317</v>
          </cell>
          <cell r="GI1524">
            <v>10.408007395026372</v>
          </cell>
          <cell r="GJ1524">
            <v>7.7337520878462023</v>
          </cell>
          <cell r="GK1524">
            <v>13.082262702206542</v>
          </cell>
        </row>
        <row r="1525">
          <cell r="A1525">
            <v>41593</v>
          </cell>
          <cell r="FR1525">
            <v>21.894628042897256</v>
          </cell>
          <cell r="FS1525">
            <v>22.314663874962239</v>
          </cell>
          <cell r="FT1525">
            <v>20.116606119778133</v>
          </cell>
          <cell r="FU1525">
            <v>17.065595346429742</v>
          </cell>
          <cell r="FV1525">
            <v>23.167616893126525</v>
          </cell>
          <cell r="GG1525">
            <v>10.323148860003794</v>
          </cell>
          <cell r="GH1525">
            <v>13.982143405445317</v>
          </cell>
          <cell r="GI1525">
            <v>10.408007395026372</v>
          </cell>
          <cell r="GJ1525">
            <v>7.7337520878462023</v>
          </cell>
          <cell r="GK1525">
            <v>13.082262702206542</v>
          </cell>
        </row>
        <row r="1526">
          <cell r="A1526">
            <v>41596</v>
          </cell>
          <cell r="FR1526">
            <v>21.201817891129927</v>
          </cell>
          <cell r="FS1526">
            <v>22.314663874962239</v>
          </cell>
          <cell r="FT1526">
            <v>20.116606119778133</v>
          </cell>
          <cell r="FU1526">
            <v>17.065595346429742</v>
          </cell>
          <cell r="FV1526">
            <v>23.167616893126525</v>
          </cell>
          <cell r="GG1526">
            <v>10.23570811869636</v>
          </cell>
          <cell r="GH1526">
            <v>13.982143405445317</v>
          </cell>
          <cell r="GI1526">
            <v>10.408007395026372</v>
          </cell>
          <cell r="GJ1526">
            <v>7.7337520878462023</v>
          </cell>
          <cell r="GK1526">
            <v>13.082262702206542</v>
          </cell>
        </row>
        <row r="1527">
          <cell r="A1527">
            <v>41597</v>
          </cell>
          <cell r="FR1527">
            <v>20.665232834281824</v>
          </cell>
          <cell r="FS1527">
            <v>22.314663874962239</v>
          </cell>
          <cell r="FT1527">
            <v>20.116606119778133</v>
          </cell>
          <cell r="FU1527">
            <v>17.065595346429742</v>
          </cell>
          <cell r="FV1527">
            <v>23.167616893126525</v>
          </cell>
          <cell r="GG1527">
            <v>9.9526246118108368</v>
          </cell>
          <cell r="GH1527">
            <v>13.982143405445317</v>
          </cell>
          <cell r="GI1527">
            <v>10.408007395026372</v>
          </cell>
          <cell r="GJ1527">
            <v>7.7337520878462023</v>
          </cell>
          <cell r="GK1527">
            <v>13.082262702206542</v>
          </cell>
        </row>
        <row r="1528">
          <cell r="A1528">
            <v>41598</v>
          </cell>
          <cell r="FR1528">
            <v>20.736036285863804</v>
          </cell>
          <cell r="FS1528">
            <v>22.314663874962239</v>
          </cell>
          <cell r="FT1528">
            <v>20.116606119778133</v>
          </cell>
          <cell r="FU1528">
            <v>17.065595346429742</v>
          </cell>
          <cell r="FV1528">
            <v>23.167616893126525</v>
          </cell>
          <cell r="GG1528">
            <v>9.9711381592902395</v>
          </cell>
          <cell r="GH1528">
            <v>13.982143405445317</v>
          </cell>
          <cell r="GI1528">
            <v>10.408007395026372</v>
          </cell>
          <cell r="GJ1528">
            <v>7.7337520878462023</v>
          </cell>
          <cell r="GK1528">
            <v>13.082262702206542</v>
          </cell>
        </row>
        <row r="1529">
          <cell r="A1529">
            <v>41599</v>
          </cell>
          <cell r="FR1529">
            <v>20.842234383068625</v>
          </cell>
          <cell r="FS1529">
            <v>22.314663874962239</v>
          </cell>
          <cell r="FT1529">
            <v>20.116606119778133</v>
          </cell>
          <cell r="FU1529">
            <v>17.065595346429742</v>
          </cell>
          <cell r="FV1529">
            <v>23.167616893126525</v>
          </cell>
          <cell r="GG1529">
            <v>10.05315431756622</v>
          </cell>
          <cell r="GH1529">
            <v>13.982143405445317</v>
          </cell>
          <cell r="GI1529">
            <v>10.408007395026372</v>
          </cell>
          <cell r="GJ1529">
            <v>7.7337520878462023</v>
          </cell>
          <cell r="GK1529">
            <v>13.082262702206542</v>
          </cell>
        </row>
        <row r="1530">
          <cell r="A1530">
            <v>41600</v>
          </cell>
          <cell r="FR1530">
            <v>20.851754720448213</v>
          </cell>
          <cell r="FS1530">
            <v>22.314663874962239</v>
          </cell>
          <cell r="FT1530">
            <v>20.116606119778133</v>
          </cell>
          <cell r="FU1530">
            <v>17.065595346429742</v>
          </cell>
          <cell r="FV1530">
            <v>23.167616893126525</v>
          </cell>
          <cell r="GG1530">
            <v>10.005533841432792</v>
          </cell>
          <cell r="GH1530">
            <v>13.982143405445317</v>
          </cell>
          <cell r="GI1530">
            <v>10.408007395026372</v>
          </cell>
          <cell r="GJ1530">
            <v>7.7337520878462023</v>
          </cell>
          <cell r="GK1530">
            <v>13.082262702206542</v>
          </cell>
        </row>
        <row r="1531">
          <cell r="A1531">
            <v>41603</v>
          </cell>
          <cell r="FR1531">
            <v>20.736693913888217</v>
          </cell>
          <cell r="FS1531">
            <v>22.314663874962239</v>
          </cell>
          <cell r="FT1531">
            <v>20.116606119778133</v>
          </cell>
          <cell r="FU1531">
            <v>17.065595346429742</v>
          </cell>
          <cell r="FV1531">
            <v>23.167616893126525</v>
          </cell>
          <cell r="GG1531">
            <v>10.050513909371345</v>
          </cell>
          <cell r="GH1531">
            <v>13.982143405445317</v>
          </cell>
          <cell r="GI1531">
            <v>10.408007395026372</v>
          </cell>
          <cell r="GJ1531">
            <v>7.7337520878462023</v>
          </cell>
          <cell r="GK1531">
            <v>13.082262702206542</v>
          </cell>
        </row>
        <row r="1532">
          <cell r="A1532">
            <v>41604</v>
          </cell>
          <cell r="FR1532">
            <v>20.71676095789757</v>
          </cell>
          <cell r="FS1532">
            <v>22.314663874962239</v>
          </cell>
          <cell r="FT1532">
            <v>20.116606119778133</v>
          </cell>
          <cell r="FU1532">
            <v>17.065595346429742</v>
          </cell>
          <cell r="FV1532">
            <v>23.167616893126525</v>
          </cell>
          <cell r="GG1532">
            <v>9.9765741818054039</v>
          </cell>
          <cell r="GH1532">
            <v>13.982143405445317</v>
          </cell>
          <cell r="GI1532">
            <v>10.408007395026372</v>
          </cell>
          <cell r="GJ1532">
            <v>7.7337520878462023</v>
          </cell>
          <cell r="GK1532">
            <v>13.082262702206542</v>
          </cell>
        </row>
        <row r="1533">
          <cell r="A1533">
            <v>41605</v>
          </cell>
          <cell r="FR1533">
            <v>20.902752122938608</v>
          </cell>
          <cell r="FS1533">
            <v>22.314663874962239</v>
          </cell>
          <cell r="FT1533">
            <v>20.116606119778133</v>
          </cell>
          <cell r="FU1533">
            <v>17.065595346429742</v>
          </cell>
          <cell r="FV1533">
            <v>23.167616893126525</v>
          </cell>
          <cell r="GG1533">
            <v>9.9161530942146552</v>
          </cell>
          <cell r="GH1533">
            <v>13.982143405445317</v>
          </cell>
          <cell r="GI1533">
            <v>10.408007395026372</v>
          </cell>
          <cell r="GJ1533">
            <v>7.7337520878462023</v>
          </cell>
          <cell r="GK1533">
            <v>13.082262702206542</v>
          </cell>
        </row>
        <row r="1534">
          <cell r="A1534">
            <v>41606</v>
          </cell>
          <cell r="FR1534">
            <v>20.805163972967062</v>
          </cell>
          <cell r="FS1534">
            <v>22.314663874962239</v>
          </cell>
          <cell r="FT1534">
            <v>20.116606119778133</v>
          </cell>
          <cell r="FU1534">
            <v>17.065595346429742</v>
          </cell>
          <cell r="FV1534">
            <v>23.167616893126525</v>
          </cell>
          <cell r="GG1534">
            <v>10.25219697368345</v>
          </cell>
          <cell r="GH1534">
            <v>13.982143405445317</v>
          </cell>
          <cell r="GI1534">
            <v>10.408007395026372</v>
          </cell>
          <cell r="GJ1534">
            <v>7.7337520878462023</v>
          </cell>
          <cell r="GK1534">
            <v>13.082262702206542</v>
          </cell>
        </row>
        <row r="1535">
          <cell r="A1535">
            <v>41607</v>
          </cell>
          <cell r="FR1535">
            <v>20.540177709185116</v>
          </cell>
          <cell r="FS1535">
            <v>22.314663874962239</v>
          </cell>
          <cell r="FT1535">
            <v>20.116606119778133</v>
          </cell>
          <cell r="FU1535">
            <v>17.065595346429742</v>
          </cell>
          <cell r="FV1535">
            <v>23.167616893126525</v>
          </cell>
          <cell r="GG1535">
            <v>10.312458708042934</v>
          </cell>
          <cell r="GH1535">
            <v>13.982143405445317</v>
          </cell>
          <cell r="GI1535">
            <v>10.408007395026372</v>
          </cell>
          <cell r="GJ1535">
            <v>7.7337520878462023</v>
          </cell>
          <cell r="GK1535">
            <v>13.082262702206542</v>
          </cell>
        </row>
        <row r="1536">
          <cell r="A1536">
            <v>41610</v>
          </cell>
          <cell r="FR1536">
            <v>20.656674679275518</v>
          </cell>
          <cell r="FS1536">
            <v>22.314663874962239</v>
          </cell>
          <cell r="FT1536">
            <v>20.116606119778133</v>
          </cell>
          <cell r="FU1536">
            <v>17.065595346429742</v>
          </cell>
          <cell r="FV1536">
            <v>23.167616893126525</v>
          </cell>
          <cell r="GG1536">
            <v>9.8259192948270258</v>
          </cell>
          <cell r="GH1536">
            <v>13.982143405445317</v>
          </cell>
          <cell r="GI1536">
            <v>10.408007395026372</v>
          </cell>
          <cell r="GJ1536">
            <v>7.7337520878462023</v>
          </cell>
          <cell r="GK1536">
            <v>13.082262702206542</v>
          </cell>
        </row>
        <row r="1537">
          <cell r="A1537">
            <v>41611</v>
          </cell>
          <cell r="FR1537">
            <v>20.586232400876984</v>
          </cell>
          <cell r="FS1537">
            <v>22.314663874962239</v>
          </cell>
          <cell r="FT1537">
            <v>20.116606119778133</v>
          </cell>
          <cell r="FU1537">
            <v>17.065595346429742</v>
          </cell>
          <cell r="FV1537">
            <v>23.167616893126525</v>
          </cell>
          <cell r="GG1537">
            <v>9.8706638399437701</v>
          </cell>
          <cell r="GH1537">
            <v>13.982143405445317</v>
          </cell>
          <cell r="GI1537">
            <v>10.408007395026372</v>
          </cell>
          <cell r="GJ1537">
            <v>7.7337520878462023</v>
          </cell>
          <cell r="GK1537">
            <v>13.082262702206542</v>
          </cell>
        </row>
        <row r="1538">
          <cell r="A1538">
            <v>41612</v>
          </cell>
          <cell r="FR1538">
            <v>20.198656045608757</v>
          </cell>
          <cell r="FS1538">
            <v>22.314663874962239</v>
          </cell>
          <cell r="FT1538">
            <v>20.116606119778133</v>
          </cell>
          <cell r="FU1538">
            <v>17.065595346429742</v>
          </cell>
          <cell r="FV1538">
            <v>23.167616893126525</v>
          </cell>
          <cell r="GG1538">
            <v>9.7890627321964736</v>
          </cell>
          <cell r="GH1538">
            <v>13.982143405445317</v>
          </cell>
          <cell r="GI1538">
            <v>10.408007395026372</v>
          </cell>
          <cell r="GJ1538">
            <v>7.7337520878462023</v>
          </cell>
          <cell r="GK1538">
            <v>13.082262702206542</v>
          </cell>
        </row>
        <row r="1539">
          <cell r="A1539">
            <v>41613</v>
          </cell>
          <cell r="FR1539">
            <v>19.97386149825784</v>
          </cell>
          <cell r="FS1539">
            <v>22.314663874962239</v>
          </cell>
          <cell r="FT1539">
            <v>20.116606119778133</v>
          </cell>
          <cell r="FU1539">
            <v>17.065595346429742</v>
          </cell>
          <cell r="FV1539">
            <v>23.167616893126525</v>
          </cell>
          <cell r="GG1539">
            <v>9.694303755779524</v>
          </cell>
          <cell r="GH1539">
            <v>13.982143405445317</v>
          </cell>
          <cell r="GI1539">
            <v>10.408007395026372</v>
          </cell>
          <cell r="GJ1539">
            <v>7.7337520878462023</v>
          </cell>
          <cell r="GK1539">
            <v>13.082262702206542</v>
          </cell>
        </row>
        <row r="1540">
          <cell r="A1540">
            <v>41614</v>
          </cell>
          <cell r="FR1540">
            <v>20.461664634146342</v>
          </cell>
          <cell r="FS1540">
            <v>22.314663874962239</v>
          </cell>
          <cell r="FT1540">
            <v>20.116606119778133</v>
          </cell>
          <cell r="FU1540">
            <v>17.065595346429742</v>
          </cell>
          <cell r="FV1540">
            <v>23.167616893126525</v>
          </cell>
          <cell r="GG1540">
            <v>9.6232261000723103</v>
          </cell>
          <cell r="GH1540">
            <v>13.982143405445317</v>
          </cell>
          <cell r="GI1540">
            <v>10.408007395026372</v>
          </cell>
          <cell r="GJ1540">
            <v>7.7337520878462023</v>
          </cell>
          <cell r="GK1540">
            <v>13.082262702206542</v>
          </cell>
        </row>
        <row r="1541">
          <cell r="A1541">
            <v>41617</v>
          </cell>
          <cell r="FR1541">
            <v>20.252613240418121</v>
          </cell>
          <cell r="FS1541">
            <v>22.314663874962239</v>
          </cell>
          <cell r="FT1541">
            <v>20.116606119778133</v>
          </cell>
          <cell r="FU1541">
            <v>17.065595346429742</v>
          </cell>
          <cell r="FV1541">
            <v>23.167616893126525</v>
          </cell>
          <cell r="GG1541">
            <v>9.8022290242606296</v>
          </cell>
          <cell r="GH1541">
            <v>13.982143405445317</v>
          </cell>
          <cell r="GI1541">
            <v>10.408007395026372</v>
          </cell>
          <cell r="GJ1541">
            <v>7.7337520878462023</v>
          </cell>
          <cell r="GK1541">
            <v>13.082262702206542</v>
          </cell>
        </row>
        <row r="1542">
          <cell r="A1542">
            <v>41618</v>
          </cell>
          <cell r="FR1542">
            <v>19.982567944250871</v>
          </cell>
          <cell r="FS1542">
            <v>22.314663874962239</v>
          </cell>
          <cell r="FT1542">
            <v>20.116606119778133</v>
          </cell>
          <cell r="FU1542">
            <v>17.065595346429742</v>
          </cell>
          <cell r="FV1542">
            <v>23.167616893126525</v>
          </cell>
          <cell r="GG1542">
            <v>9.6969381724090979</v>
          </cell>
          <cell r="GH1542">
            <v>13.982143405445317</v>
          </cell>
          <cell r="GI1542">
            <v>10.408007395026372</v>
          </cell>
          <cell r="GJ1542">
            <v>7.7337520878462023</v>
          </cell>
          <cell r="GK1542">
            <v>13.082262702206542</v>
          </cell>
        </row>
        <row r="1543">
          <cell r="A1543">
            <v>41619</v>
          </cell>
          <cell r="FR1543">
            <v>19.355388501742162</v>
          </cell>
          <cell r="FS1543">
            <v>22.314663874962239</v>
          </cell>
          <cell r="FT1543">
            <v>20.116606119778133</v>
          </cell>
          <cell r="FU1543">
            <v>17.065595346429742</v>
          </cell>
          <cell r="FV1543">
            <v>23.167616893126525</v>
          </cell>
          <cell r="GG1543">
            <v>9.5074117961806941</v>
          </cell>
          <cell r="GH1543">
            <v>13.982143405445317</v>
          </cell>
          <cell r="GI1543">
            <v>10.408007395026372</v>
          </cell>
          <cell r="GJ1543">
            <v>7.7337520878462023</v>
          </cell>
          <cell r="GK1543">
            <v>13.082262702206542</v>
          </cell>
        </row>
        <row r="1544">
          <cell r="A1544">
            <v>41620</v>
          </cell>
          <cell r="FR1544">
            <v>19.442502613240421</v>
          </cell>
          <cell r="FS1544">
            <v>22.314663874962239</v>
          </cell>
          <cell r="FT1544">
            <v>20.116606119778133</v>
          </cell>
          <cell r="FU1544">
            <v>17.065595346429742</v>
          </cell>
          <cell r="FV1544">
            <v>23.167616893126525</v>
          </cell>
          <cell r="GG1544">
            <v>9.5074117961806941</v>
          </cell>
          <cell r="GH1544">
            <v>13.982143405445317</v>
          </cell>
          <cell r="GI1544">
            <v>10.408007395026372</v>
          </cell>
          <cell r="GJ1544">
            <v>7.7337520878462023</v>
          </cell>
          <cell r="GK1544">
            <v>13.082262702206542</v>
          </cell>
        </row>
        <row r="1545">
          <cell r="A1545">
            <v>41621</v>
          </cell>
          <cell r="FR1545">
            <v>19.429395781443226</v>
          </cell>
          <cell r="FS1545">
            <v>22.314663874962239</v>
          </cell>
          <cell r="FT1545">
            <v>20.116606119778133</v>
          </cell>
          <cell r="FU1545">
            <v>17.065595346429742</v>
          </cell>
          <cell r="FV1545">
            <v>23.167616893126525</v>
          </cell>
          <cell r="GG1545">
            <v>9.325781825832987</v>
          </cell>
          <cell r="GH1545">
            <v>13.982143405445317</v>
          </cell>
          <cell r="GI1545">
            <v>10.408007395026372</v>
          </cell>
          <cell r="GJ1545">
            <v>7.7337520878462023</v>
          </cell>
          <cell r="GK1545">
            <v>13.082262702206542</v>
          </cell>
        </row>
        <row r="1546">
          <cell r="A1546">
            <v>41624</v>
          </cell>
          <cell r="FR1546">
            <v>19.708071342727255</v>
          </cell>
          <cell r="FS1546">
            <v>22.314663874962239</v>
          </cell>
          <cell r="FT1546">
            <v>20.116606119778133</v>
          </cell>
          <cell r="FU1546">
            <v>17.065595346429742</v>
          </cell>
          <cell r="FV1546">
            <v>23.167616893126525</v>
          </cell>
          <cell r="GG1546">
            <v>9.3205119396495242</v>
          </cell>
          <cell r="GH1546">
            <v>13.982143405445317</v>
          </cell>
          <cell r="GI1546">
            <v>10.408007395026372</v>
          </cell>
          <cell r="GJ1546">
            <v>7.7337520878462023</v>
          </cell>
          <cell r="GK1546">
            <v>13.082262702206542</v>
          </cell>
        </row>
        <row r="1547">
          <cell r="A1547">
            <v>41625</v>
          </cell>
          <cell r="FR1547">
            <v>19.594865274415202</v>
          </cell>
          <cell r="FS1547">
            <v>22.314663874962239</v>
          </cell>
          <cell r="FT1547">
            <v>20.116606119778133</v>
          </cell>
          <cell r="FU1547">
            <v>17.065595346429742</v>
          </cell>
          <cell r="FV1547">
            <v>23.167616893126525</v>
          </cell>
          <cell r="GG1547">
            <v>9.444231072816331</v>
          </cell>
          <cell r="GH1547">
            <v>13.982143405445317</v>
          </cell>
          <cell r="GI1547">
            <v>10.408007395026372</v>
          </cell>
          <cell r="GJ1547">
            <v>7.7337520878462023</v>
          </cell>
          <cell r="GK1547">
            <v>13.082262702206542</v>
          </cell>
        </row>
        <row r="1548">
          <cell r="A1548">
            <v>41626</v>
          </cell>
          <cell r="FR1548">
            <v>20.130773321708805</v>
          </cell>
          <cell r="FS1548">
            <v>22.314663874962239</v>
          </cell>
          <cell r="FT1548">
            <v>20.116606119778133</v>
          </cell>
          <cell r="FU1548">
            <v>17.065595346429742</v>
          </cell>
          <cell r="FV1548">
            <v>23.167616893126525</v>
          </cell>
          <cell r="GG1548">
            <v>9.3968510581456997</v>
          </cell>
          <cell r="GH1548">
            <v>13.982143405445317</v>
          </cell>
          <cell r="GI1548">
            <v>10.408007395026372</v>
          </cell>
          <cell r="GJ1548">
            <v>7.7337520878462023</v>
          </cell>
          <cell r="GK1548">
            <v>13.082262702206542</v>
          </cell>
        </row>
        <row r="1549">
          <cell r="A1549">
            <v>41627</v>
          </cell>
          <cell r="FR1549">
            <v>20.061024411508281</v>
          </cell>
          <cell r="FS1549">
            <v>22.314663874962239</v>
          </cell>
          <cell r="FT1549">
            <v>20.116606119778133</v>
          </cell>
          <cell r="FU1549">
            <v>17.065595346429742</v>
          </cell>
          <cell r="FV1549">
            <v>23.167616893126525</v>
          </cell>
          <cell r="GG1549">
            <v>9.6205990539129189</v>
          </cell>
          <cell r="GH1549">
            <v>13.982143405445317</v>
          </cell>
          <cell r="GI1549">
            <v>10.408007395026372</v>
          </cell>
          <cell r="GJ1549">
            <v>7.7337520878462023</v>
          </cell>
          <cell r="GK1549">
            <v>13.082262702206542</v>
          </cell>
        </row>
        <row r="1550">
          <cell r="A1550">
            <v>41628</v>
          </cell>
          <cell r="FR1550">
            <v>20.357446381865735</v>
          </cell>
          <cell r="FS1550">
            <v>22.314663874962239</v>
          </cell>
          <cell r="FT1550">
            <v>20.116606119778133</v>
          </cell>
          <cell r="FU1550">
            <v>17.065595346429742</v>
          </cell>
          <cell r="FV1550">
            <v>23.167616893126525</v>
          </cell>
          <cell r="GG1550">
            <v>9.7048351047519468</v>
          </cell>
          <cell r="GH1550">
            <v>13.982143405445317</v>
          </cell>
          <cell r="GI1550">
            <v>10.408007395026372</v>
          </cell>
          <cell r="GJ1550">
            <v>7.7337520878462023</v>
          </cell>
          <cell r="GK1550">
            <v>13.082262702206542</v>
          </cell>
        </row>
        <row r="1551">
          <cell r="A1551">
            <v>41631</v>
          </cell>
          <cell r="FR1551">
            <v>20.374887532693986</v>
          </cell>
          <cell r="FS1551">
            <v>22.314663874962239</v>
          </cell>
          <cell r="FT1551">
            <v>20.116606119778133</v>
          </cell>
          <cell r="FU1551">
            <v>17.065595346429742</v>
          </cell>
          <cell r="FV1551">
            <v>23.167616893126525</v>
          </cell>
          <cell r="GG1551">
            <v>9.7469447067769597</v>
          </cell>
          <cell r="GH1551">
            <v>13.982143405445317</v>
          </cell>
          <cell r="GI1551">
            <v>10.408007395026372</v>
          </cell>
          <cell r="GJ1551">
            <v>7.7337520878462023</v>
          </cell>
          <cell r="GK1551">
            <v>13.082262702206542</v>
          </cell>
        </row>
        <row r="1552">
          <cell r="A1552">
            <v>41632</v>
          </cell>
          <cell r="FR1552">
            <v>20.392327811682652</v>
          </cell>
          <cell r="FS1552">
            <v>22.314663874962239</v>
          </cell>
          <cell r="FT1552">
            <v>20.116606119778133</v>
          </cell>
          <cell r="FU1552">
            <v>17.065595346429742</v>
          </cell>
          <cell r="FV1552">
            <v>23.167616893126525</v>
          </cell>
          <cell r="GG1552">
            <v>9.7469447067769597</v>
          </cell>
          <cell r="GH1552">
            <v>13.982143405445317</v>
          </cell>
          <cell r="GI1552">
            <v>10.408007395026372</v>
          </cell>
          <cell r="GJ1552">
            <v>7.7337520878462023</v>
          </cell>
          <cell r="GK1552">
            <v>13.082262702206542</v>
          </cell>
        </row>
        <row r="1553">
          <cell r="A1553">
            <v>41633</v>
          </cell>
          <cell r="FR1553">
            <v>20.392327811682652</v>
          </cell>
          <cell r="FS1553">
            <v>22.314663874962239</v>
          </cell>
          <cell r="FT1553">
            <v>20.116606119778133</v>
          </cell>
          <cell r="FU1553">
            <v>17.065595346429742</v>
          </cell>
          <cell r="FV1553">
            <v>23.167616893126525</v>
          </cell>
          <cell r="GG1553">
            <v>9.7469447067769597</v>
          </cell>
          <cell r="GH1553">
            <v>13.982143405445317</v>
          </cell>
          <cell r="GI1553">
            <v>10.408007395026372</v>
          </cell>
          <cell r="GJ1553">
            <v>7.7337520878462023</v>
          </cell>
          <cell r="GK1553">
            <v>13.082262702206542</v>
          </cell>
        </row>
        <row r="1554">
          <cell r="A1554">
            <v>41634</v>
          </cell>
          <cell r="FR1554">
            <v>20.287698343504793</v>
          </cell>
          <cell r="FS1554">
            <v>22.314663874962239</v>
          </cell>
          <cell r="FT1554">
            <v>20.116606119778133</v>
          </cell>
          <cell r="FU1554">
            <v>17.065595346429742</v>
          </cell>
          <cell r="FV1554">
            <v>23.167616893126525</v>
          </cell>
          <cell r="GG1554">
            <v>9.7469447067769597</v>
          </cell>
          <cell r="GH1554">
            <v>13.982143405445317</v>
          </cell>
          <cell r="GI1554">
            <v>10.408007395026372</v>
          </cell>
          <cell r="GJ1554">
            <v>7.7337520878462023</v>
          </cell>
          <cell r="GK1554">
            <v>13.082262702206542</v>
          </cell>
        </row>
        <row r="1555">
          <cell r="A1555">
            <v>41635</v>
          </cell>
          <cell r="FR1555">
            <v>20.261544027898868</v>
          </cell>
          <cell r="FS1555">
            <v>22.314663874962239</v>
          </cell>
          <cell r="FT1555">
            <v>20.116606119778133</v>
          </cell>
          <cell r="FU1555">
            <v>17.065595346429742</v>
          </cell>
          <cell r="FV1555">
            <v>23.167616893126525</v>
          </cell>
          <cell r="GG1555">
            <v>9.7811663263157804</v>
          </cell>
          <cell r="GH1555">
            <v>13.982143405445317</v>
          </cell>
          <cell r="GI1555">
            <v>10.408007395026372</v>
          </cell>
          <cell r="GJ1555">
            <v>7.7337520878462023</v>
          </cell>
          <cell r="GK1555">
            <v>13.082262702206542</v>
          </cell>
        </row>
        <row r="1556">
          <cell r="A1556">
            <v>41638</v>
          </cell>
          <cell r="FR1556">
            <v>20.575406277244987</v>
          </cell>
          <cell r="FS1556">
            <v>22.314663874962239</v>
          </cell>
          <cell r="FT1556">
            <v>20.116606119778133</v>
          </cell>
          <cell r="FU1556">
            <v>17.065595346429742</v>
          </cell>
          <cell r="FV1556">
            <v>23.167616893126525</v>
          </cell>
          <cell r="GG1556">
            <v>9.7074621509113346</v>
          </cell>
          <cell r="GH1556">
            <v>13.982143405445317</v>
          </cell>
          <cell r="GI1556">
            <v>10.408007395026372</v>
          </cell>
          <cell r="GJ1556">
            <v>7.7337520878462023</v>
          </cell>
          <cell r="GK1556">
            <v>13.082262702206542</v>
          </cell>
        </row>
        <row r="1557">
          <cell r="A1557">
            <v>41639</v>
          </cell>
          <cell r="FR1557">
            <v>20.758498692240629</v>
          </cell>
          <cell r="FS1557">
            <v>22.314663874962239</v>
          </cell>
          <cell r="FT1557">
            <v>20.116606119778133</v>
          </cell>
          <cell r="FU1557">
            <v>17.065595346429742</v>
          </cell>
          <cell r="FV1557">
            <v>23.167616893126525</v>
          </cell>
          <cell r="GG1557">
            <v>9.7074621509113346</v>
          </cell>
          <cell r="GH1557">
            <v>13.982143405445317</v>
          </cell>
          <cell r="GI1557">
            <v>10.408007395026372</v>
          </cell>
          <cell r="GJ1557">
            <v>7.7337520878462023</v>
          </cell>
          <cell r="GK1557">
            <v>13.082262702206542</v>
          </cell>
        </row>
        <row r="1558">
          <cell r="A1558">
            <v>41640</v>
          </cell>
          <cell r="FR1558">
            <v>20.608769186384102</v>
          </cell>
          <cell r="FS1558">
            <v>22.314663874962239</v>
          </cell>
          <cell r="FT1558">
            <v>20.116606119778133</v>
          </cell>
          <cell r="FU1558">
            <v>17.065595346429742</v>
          </cell>
          <cell r="FV1558">
            <v>23.167616893126525</v>
          </cell>
          <cell r="GG1558">
            <v>9.6258872532969519</v>
          </cell>
          <cell r="GH1558">
            <v>13.982143405445317</v>
          </cell>
          <cell r="GI1558">
            <v>10.408007395026372</v>
          </cell>
          <cell r="GJ1558">
            <v>7.7337520878462023</v>
          </cell>
          <cell r="GK1558">
            <v>13.082262702206542</v>
          </cell>
        </row>
        <row r="1559">
          <cell r="A1559">
            <v>41641</v>
          </cell>
          <cell r="FR1559">
            <v>20.366415753031507</v>
          </cell>
          <cell r="FS1559">
            <v>22.314663874962239</v>
          </cell>
          <cell r="FT1559">
            <v>20.116606119778133</v>
          </cell>
          <cell r="FU1559">
            <v>17.065595346429742</v>
          </cell>
          <cell r="FV1559">
            <v>23.167616893126525</v>
          </cell>
          <cell r="GG1559">
            <v>9.7877175065342907</v>
          </cell>
          <cell r="GH1559">
            <v>13.982143405445317</v>
          </cell>
          <cell r="GI1559">
            <v>10.408007395026372</v>
          </cell>
          <cell r="GJ1559">
            <v>7.7337520878462023</v>
          </cell>
          <cell r="GK1559">
            <v>13.082262702206542</v>
          </cell>
        </row>
        <row r="1560">
          <cell r="A1560">
            <v>41642</v>
          </cell>
          <cell r="FR1560">
            <v>20.276309313295737</v>
          </cell>
          <cell r="FS1560">
            <v>22.314663874962239</v>
          </cell>
          <cell r="FT1560">
            <v>20.116606119778133</v>
          </cell>
          <cell r="FU1560">
            <v>17.065595346429742</v>
          </cell>
          <cell r="FV1560">
            <v>23.167616893126525</v>
          </cell>
          <cell r="GG1560">
            <v>9.8608023222679062</v>
          </cell>
          <cell r="GH1560">
            <v>13.982143405445317</v>
          </cell>
          <cell r="GI1560">
            <v>10.408007395026372</v>
          </cell>
          <cell r="GJ1560">
            <v>7.7337520878462023</v>
          </cell>
          <cell r="GK1560">
            <v>13.082262702206542</v>
          </cell>
        </row>
        <row r="1561">
          <cell r="A1561">
            <v>41645</v>
          </cell>
          <cell r="FR1561">
            <v>20.423488313202682</v>
          </cell>
          <cell r="FS1561">
            <v>22.314663874962239</v>
          </cell>
          <cell r="FT1561">
            <v>20.116606119778133</v>
          </cell>
          <cell r="FU1561">
            <v>17.065595346429742</v>
          </cell>
          <cell r="FV1561">
            <v>23.167616893126525</v>
          </cell>
          <cell r="GG1561">
            <v>9.7851125362808542</v>
          </cell>
          <cell r="GH1561">
            <v>13.982143405445317</v>
          </cell>
          <cell r="GI1561">
            <v>10.408007395026372</v>
          </cell>
          <cell r="GJ1561">
            <v>7.7337520878462023</v>
          </cell>
          <cell r="GK1561">
            <v>13.082262702206542</v>
          </cell>
        </row>
        <row r="1562">
          <cell r="A1562">
            <v>41646</v>
          </cell>
          <cell r="FR1562">
            <v>20.778456203994615</v>
          </cell>
          <cell r="FS1562">
            <v>22.314663874962239</v>
          </cell>
          <cell r="FT1562">
            <v>20.116606119778133</v>
          </cell>
          <cell r="FU1562">
            <v>17.065595346429742</v>
          </cell>
          <cell r="FV1562">
            <v>23.167616893126525</v>
          </cell>
          <cell r="GG1562">
            <v>10.040906520138812</v>
          </cell>
          <cell r="GH1562">
            <v>13.982143405445317</v>
          </cell>
          <cell r="GI1562">
            <v>10.408007395026372</v>
          </cell>
          <cell r="GJ1562">
            <v>7.7337520878462023</v>
          </cell>
          <cell r="GK1562">
            <v>13.082262702206542</v>
          </cell>
        </row>
        <row r="1563">
          <cell r="A1563">
            <v>41647</v>
          </cell>
          <cell r="FR1563">
            <v>21.124758612780475</v>
          </cell>
          <cell r="FS1563">
            <v>22.314663874962239</v>
          </cell>
          <cell r="FT1563">
            <v>20.116606119778133</v>
          </cell>
          <cell r="FU1563">
            <v>17.065595346429742</v>
          </cell>
          <cell r="FV1563">
            <v>23.167616893126525</v>
          </cell>
          <cell r="GG1563">
            <v>9.9704339831924091</v>
          </cell>
          <cell r="GH1563">
            <v>13.982143405445317</v>
          </cell>
          <cell r="GI1563">
            <v>10.408007395026372</v>
          </cell>
          <cell r="GJ1563">
            <v>7.7337520878462023</v>
          </cell>
          <cell r="GK1563">
            <v>13.082262702206542</v>
          </cell>
        </row>
        <row r="1564">
          <cell r="A1564">
            <v>41648</v>
          </cell>
          <cell r="FR1564">
            <v>20.816492787076562</v>
          </cell>
          <cell r="FS1564">
            <v>22.314663874962239</v>
          </cell>
          <cell r="FT1564">
            <v>20.116606119778133</v>
          </cell>
          <cell r="FU1564">
            <v>17.065595346429742</v>
          </cell>
          <cell r="FV1564">
            <v>23.167616893126525</v>
          </cell>
          <cell r="GG1564">
            <v>9.9704339831924091</v>
          </cell>
          <cell r="GH1564">
            <v>13.982143405445317</v>
          </cell>
          <cell r="GI1564">
            <v>10.408007395026372</v>
          </cell>
          <cell r="GJ1564">
            <v>7.7337520878462023</v>
          </cell>
          <cell r="GK1564">
            <v>13.082262702206542</v>
          </cell>
        </row>
        <row r="1565">
          <cell r="A1565">
            <v>41649</v>
          </cell>
          <cell r="FR1565">
            <v>20.899663865184586</v>
          </cell>
          <cell r="FS1565">
            <v>22.314663874962239</v>
          </cell>
          <cell r="FT1565">
            <v>20.116606119778133</v>
          </cell>
          <cell r="FU1565">
            <v>17.065595346429742</v>
          </cell>
          <cell r="FV1565">
            <v>23.167616893126525</v>
          </cell>
          <cell r="GG1565">
            <v>10.053962171655479</v>
          </cell>
          <cell r="GH1565">
            <v>13.982143405445317</v>
          </cell>
          <cell r="GI1565">
            <v>10.408007395026372</v>
          </cell>
          <cell r="GJ1565">
            <v>7.7337520878462023</v>
          </cell>
          <cell r="GK1565">
            <v>13.082262702206542</v>
          </cell>
        </row>
        <row r="1566">
          <cell r="A1566">
            <v>41652</v>
          </cell>
          <cell r="FR1566">
            <v>20.591815146523558</v>
          </cell>
          <cell r="FS1566">
            <v>22.314663874962239</v>
          </cell>
          <cell r="FT1566">
            <v>20.116606119778133</v>
          </cell>
          <cell r="FU1566">
            <v>17.065595346429742</v>
          </cell>
          <cell r="FV1566">
            <v>23.167616893126525</v>
          </cell>
          <cell r="GG1566">
            <v>9.8349537988028946</v>
          </cell>
          <cell r="GH1566">
            <v>13.982143405445317</v>
          </cell>
          <cell r="GI1566">
            <v>10.408007395026372</v>
          </cell>
          <cell r="GJ1566">
            <v>7.7337520878462023</v>
          </cell>
          <cell r="GK1566">
            <v>13.082262702206542</v>
          </cell>
        </row>
        <row r="1567">
          <cell r="A1567">
            <v>41653</v>
          </cell>
          <cell r="FR1567">
            <v>21.066766602441451</v>
          </cell>
          <cell r="FS1567">
            <v>22.314663874962239</v>
          </cell>
          <cell r="FT1567">
            <v>20.116606119778133</v>
          </cell>
          <cell r="FU1567">
            <v>17.065595346429742</v>
          </cell>
          <cell r="FV1567">
            <v>23.167616893126525</v>
          </cell>
          <cell r="GG1567">
            <v>10.006423084170113</v>
          </cell>
          <cell r="GH1567">
            <v>13.982143405445317</v>
          </cell>
          <cell r="GI1567">
            <v>10.408007395026372</v>
          </cell>
          <cell r="GJ1567">
            <v>7.7337520878462023</v>
          </cell>
          <cell r="GK1567">
            <v>13.082262702206542</v>
          </cell>
        </row>
        <row r="1568">
          <cell r="A1568">
            <v>41654</v>
          </cell>
          <cell r="FR1568">
            <v>21.323182073813104</v>
          </cell>
          <cell r="FS1568">
            <v>22.314663874962239</v>
          </cell>
          <cell r="FT1568">
            <v>20.116606119778133</v>
          </cell>
          <cell r="FU1568">
            <v>17.065595346429742</v>
          </cell>
          <cell r="FV1568">
            <v>23.167616893126525</v>
          </cell>
          <cell r="GG1568">
            <v>9.9874372220927139</v>
          </cell>
          <cell r="GH1568">
            <v>13.982143405445317</v>
          </cell>
          <cell r="GI1568">
            <v>10.408007395026372</v>
          </cell>
          <cell r="GJ1568">
            <v>7.7337520878462023</v>
          </cell>
          <cell r="GK1568">
            <v>13.082262702206542</v>
          </cell>
        </row>
        <row r="1569">
          <cell r="A1569">
            <v>41655</v>
          </cell>
          <cell r="FR1569">
            <v>21.284922175375574</v>
          </cell>
          <cell r="FS1569">
            <v>22.314663874962239</v>
          </cell>
          <cell r="FT1569">
            <v>20.116606119778133</v>
          </cell>
          <cell r="FU1569">
            <v>17.065595346429742</v>
          </cell>
          <cell r="FV1569">
            <v>23.167616893126525</v>
          </cell>
          <cell r="GG1569">
            <v>9.974937771340084</v>
          </cell>
          <cell r="GH1569">
            <v>13.982143405445317</v>
          </cell>
          <cell r="GI1569">
            <v>10.408007395026372</v>
          </cell>
          <cell r="GJ1569">
            <v>7.7337520878462023</v>
          </cell>
          <cell r="GK1569">
            <v>13.082262702206542</v>
          </cell>
        </row>
        <row r="1570">
          <cell r="A1570">
            <v>41656</v>
          </cell>
          <cell r="FR1570">
            <v>20.767902528365699</v>
          </cell>
          <cell r="FS1570">
            <v>22.314663874962239</v>
          </cell>
          <cell r="FT1570">
            <v>20.116606119778133</v>
          </cell>
          <cell r="FU1570">
            <v>17.065595346429742</v>
          </cell>
          <cell r="FV1570">
            <v>23.167616893126525</v>
          </cell>
          <cell r="GG1570">
            <v>10.07432573161689</v>
          </cell>
          <cell r="GH1570">
            <v>13.982143405445317</v>
          </cell>
          <cell r="GI1570">
            <v>10.408007395026372</v>
          </cell>
          <cell r="GJ1570">
            <v>7.7337520878462023</v>
          </cell>
          <cell r="GK1570">
            <v>13.082262702206542</v>
          </cell>
        </row>
        <row r="1571">
          <cell r="A1571">
            <v>41659</v>
          </cell>
          <cell r="FR1571">
            <v>20.767902528365699</v>
          </cell>
          <cell r="FS1571">
            <v>22.314663874962239</v>
          </cell>
          <cell r="FT1571">
            <v>20.116606119778133</v>
          </cell>
          <cell r="FU1571">
            <v>17.065595346429742</v>
          </cell>
          <cell r="FV1571">
            <v>23.167616893126525</v>
          </cell>
          <cell r="GG1571">
            <v>10.07432573161689</v>
          </cell>
          <cell r="GH1571">
            <v>13.982143405445317</v>
          </cell>
          <cell r="GI1571">
            <v>10.408007395026372</v>
          </cell>
          <cell r="GJ1571">
            <v>7.7337520878462023</v>
          </cell>
          <cell r="GK1571">
            <v>13.082262702206542</v>
          </cell>
        </row>
        <row r="1572">
          <cell r="A1572">
            <v>41660</v>
          </cell>
          <cell r="FR1572">
            <v>20.91809231861173</v>
          </cell>
          <cell r="FS1572">
            <v>22.314663874962239</v>
          </cell>
          <cell r="FT1572">
            <v>20.116606119778133</v>
          </cell>
          <cell r="FU1572">
            <v>17.065595346429742</v>
          </cell>
          <cell r="FV1572">
            <v>23.167616893126525</v>
          </cell>
          <cell r="GG1572">
            <v>10.082023750336814</v>
          </cell>
          <cell r="GH1572">
            <v>13.982143405445317</v>
          </cell>
          <cell r="GI1572">
            <v>10.408007395026372</v>
          </cell>
          <cell r="GJ1572">
            <v>7.7337520878462023</v>
          </cell>
          <cell r="GK1572">
            <v>13.082262702206542</v>
          </cell>
        </row>
        <row r="1573">
          <cell r="A1573">
            <v>41661</v>
          </cell>
          <cell r="FR1573">
            <v>21.0788652482291</v>
          </cell>
          <cell r="FS1573">
            <v>22.314663874962239</v>
          </cell>
          <cell r="FT1573">
            <v>20.116606119778133</v>
          </cell>
          <cell r="FU1573">
            <v>17.065595346429742</v>
          </cell>
          <cell r="FV1573">
            <v>23.167616893126525</v>
          </cell>
          <cell r="GG1573">
            <v>9.9856476875814852</v>
          </cell>
          <cell r="GH1573">
            <v>13.982143405445317</v>
          </cell>
          <cell r="GI1573">
            <v>10.408007395026372</v>
          </cell>
          <cell r="GJ1573">
            <v>7.7337520878462023</v>
          </cell>
          <cell r="GK1573">
            <v>13.082262702206542</v>
          </cell>
        </row>
        <row r="1574">
          <cell r="A1574">
            <v>41662</v>
          </cell>
          <cell r="FR1574">
            <v>20.941316140126787</v>
          </cell>
          <cell r="FS1574">
            <v>22.314663874962239</v>
          </cell>
          <cell r="FT1574">
            <v>20.116606119778133</v>
          </cell>
          <cell r="FU1574">
            <v>17.065595346429742</v>
          </cell>
          <cell r="FV1574">
            <v>23.167616893126525</v>
          </cell>
          <cell r="GG1574">
            <v>9.9856476875814852</v>
          </cell>
          <cell r="GH1574">
            <v>13.982143405445317</v>
          </cell>
          <cell r="GI1574">
            <v>10.408007395026372</v>
          </cell>
          <cell r="GJ1574">
            <v>7.7337520878462023</v>
          </cell>
          <cell r="GK1574">
            <v>13.082262702206542</v>
          </cell>
        </row>
        <row r="1575">
          <cell r="A1575">
            <v>41663</v>
          </cell>
          <cell r="FR1575">
            <v>20.522658094678516</v>
          </cell>
          <cell r="FS1575">
            <v>22.314663874962239</v>
          </cell>
          <cell r="FT1575">
            <v>20.116606119778133</v>
          </cell>
          <cell r="FU1575">
            <v>17.065595346429742</v>
          </cell>
          <cell r="FV1575">
            <v>23.167616893126525</v>
          </cell>
          <cell r="GG1575">
            <v>9.941210833797042</v>
          </cell>
          <cell r="GH1575">
            <v>13.982143405445317</v>
          </cell>
          <cell r="GI1575">
            <v>10.408007395026372</v>
          </cell>
          <cell r="GJ1575">
            <v>7.7337520878462023</v>
          </cell>
          <cell r="GK1575">
            <v>13.082262702206542</v>
          </cell>
        </row>
        <row r="1576">
          <cell r="A1576">
            <v>41666</v>
          </cell>
          <cell r="FR1576">
            <v>19.868436397249816</v>
          </cell>
          <cell r="FS1576">
            <v>22.314663874962239</v>
          </cell>
          <cell r="FT1576">
            <v>20.116606119778133</v>
          </cell>
          <cell r="FU1576">
            <v>17.065595346429742</v>
          </cell>
          <cell r="FV1576">
            <v>23.167616893126525</v>
          </cell>
          <cell r="GG1576">
            <v>9.5846153007773118</v>
          </cell>
          <cell r="GH1576">
            <v>13.982143405445317</v>
          </cell>
          <cell r="GI1576">
            <v>10.408007395026372</v>
          </cell>
          <cell r="GJ1576">
            <v>7.7337520878462023</v>
          </cell>
          <cell r="GK1576">
            <v>13.082262702206542</v>
          </cell>
        </row>
        <row r="1577">
          <cell r="A1577">
            <v>41667</v>
          </cell>
          <cell r="FR1577">
            <v>20.059191878939671</v>
          </cell>
          <cell r="FS1577">
            <v>22.314663874962239</v>
          </cell>
          <cell r="FT1577">
            <v>20.116606119778133</v>
          </cell>
          <cell r="FU1577">
            <v>17.065595346429742</v>
          </cell>
          <cell r="FV1577">
            <v>23.167616893126525</v>
          </cell>
          <cell r="GG1577">
            <v>9.2003932135129389</v>
          </cell>
          <cell r="GH1577">
            <v>13.982143405445317</v>
          </cell>
          <cell r="GI1577">
            <v>10.408007395026372</v>
          </cell>
          <cell r="GJ1577">
            <v>7.7337520878462023</v>
          </cell>
          <cell r="GK1577">
            <v>13.082262702206542</v>
          </cell>
        </row>
        <row r="1578">
          <cell r="A1578">
            <v>41668</v>
          </cell>
          <cell r="FR1578">
            <v>19.578650432635413</v>
          </cell>
          <cell r="FS1578">
            <v>22.314663874962239</v>
          </cell>
          <cell r="FT1578">
            <v>20.116606119778133</v>
          </cell>
          <cell r="FU1578">
            <v>17.065595346429742</v>
          </cell>
          <cell r="FV1578">
            <v>23.167616893126525</v>
          </cell>
          <cell r="GG1578">
            <v>9.25253426489909</v>
          </cell>
          <cell r="GH1578">
            <v>13.982143405445317</v>
          </cell>
          <cell r="GI1578">
            <v>10.408007395026372</v>
          </cell>
          <cell r="GJ1578">
            <v>7.7337520878462023</v>
          </cell>
          <cell r="GK1578">
            <v>13.082262702206542</v>
          </cell>
        </row>
        <row r="1579">
          <cell r="A1579">
            <v>41669</v>
          </cell>
          <cell r="FR1579">
            <v>19.423879311289213</v>
          </cell>
          <cell r="FS1579">
            <v>22.314663874962239</v>
          </cell>
          <cell r="FT1579">
            <v>20.116606119778133</v>
          </cell>
          <cell r="FU1579">
            <v>17.065595346429742</v>
          </cell>
          <cell r="FV1579">
            <v>23.167616893126525</v>
          </cell>
          <cell r="GG1579">
            <v>9.237859750863505</v>
          </cell>
          <cell r="GH1579">
            <v>13.982143405445317</v>
          </cell>
          <cell r="GI1579">
            <v>10.408007395026372</v>
          </cell>
          <cell r="GJ1579">
            <v>7.7337520878462023</v>
          </cell>
          <cell r="GK1579">
            <v>13.082262702206542</v>
          </cell>
        </row>
        <row r="1580">
          <cell r="A1580">
            <v>41670</v>
          </cell>
          <cell r="FR1580">
            <v>19.486736991406062</v>
          </cell>
          <cell r="FS1580">
            <v>22.314663874962239</v>
          </cell>
          <cell r="FT1580">
            <v>20.116606119778133</v>
          </cell>
          <cell r="FU1580">
            <v>17.065595346429742</v>
          </cell>
          <cell r="FV1580">
            <v>23.167616893126525</v>
          </cell>
          <cell r="GG1580">
            <v>9.1483602749883453</v>
          </cell>
          <cell r="GH1580">
            <v>13.982143405445317</v>
          </cell>
          <cell r="GI1580">
            <v>10.408007395026372</v>
          </cell>
          <cell r="GJ1580">
            <v>7.7337520878462023</v>
          </cell>
          <cell r="GK1580">
            <v>13.082262702206542</v>
          </cell>
        </row>
        <row r="1581">
          <cell r="A1581">
            <v>41673</v>
          </cell>
          <cell r="FR1581">
            <v>19.445834811971103</v>
          </cell>
          <cell r="FS1581">
            <v>22.314663874962239</v>
          </cell>
          <cell r="FT1581">
            <v>20.116606119778133</v>
          </cell>
          <cell r="FU1581">
            <v>17.065595346429742</v>
          </cell>
          <cell r="FV1581">
            <v>23.167616893126525</v>
          </cell>
          <cell r="GG1581">
            <v>8.9785125084547577</v>
          </cell>
          <cell r="GH1581">
            <v>13.982143405445317</v>
          </cell>
          <cell r="GI1581">
            <v>10.408007395026372</v>
          </cell>
          <cell r="GJ1581">
            <v>7.7337520878462023</v>
          </cell>
          <cell r="GK1581">
            <v>13.082262702206542</v>
          </cell>
        </row>
        <row r="1582">
          <cell r="A1582">
            <v>41674</v>
          </cell>
          <cell r="FR1582">
            <v>19.211964095383561</v>
          </cell>
          <cell r="FS1582">
            <v>22.314663874962239</v>
          </cell>
          <cell r="FT1582">
            <v>20.116606119778133</v>
          </cell>
          <cell r="FU1582">
            <v>17.065595346429742</v>
          </cell>
          <cell r="FV1582">
            <v>23.167616893126525</v>
          </cell>
          <cell r="GG1582">
            <v>8.9441860511983577</v>
          </cell>
          <cell r="GH1582">
            <v>13.982143405445317</v>
          </cell>
          <cell r="GI1582">
            <v>10.408007395026372</v>
          </cell>
          <cell r="GJ1582">
            <v>7.7337520878462023</v>
          </cell>
          <cell r="GK1582">
            <v>13.082262702206542</v>
          </cell>
        </row>
        <row r="1583">
          <cell r="A1583">
            <v>41675</v>
          </cell>
          <cell r="FR1583">
            <v>18.991744404219631</v>
          </cell>
          <cell r="FS1583">
            <v>22.314663874962239</v>
          </cell>
          <cell r="FT1583">
            <v>20.116606119778133</v>
          </cell>
          <cell r="FU1583">
            <v>17.065595346429742</v>
          </cell>
          <cell r="FV1583">
            <v>23.167616893126525</v>
          </cell>
          <cell r="GG1583">
            <v>8.9772218581670629</v>
          </cell>
          <cell r="GH1583">
            <v>13.982143405445317</v>
          </cell>
          <cell r="GI1583">
            <v>10.408007395026372</v>
          </cell>
          <cell r="GJ1583">
            <v>7.7337520878462023</v>
          </cell>
          <cell r="GK1583">
            <v>13.082262702206542</v>
          </cell>
        </row>
        <row r="1584">
          <cell r="A1584">
            <v>41676</v>
          </cell>
          <cell r="FR1584">
            <v>19.271548832429684</v>
          </cell>
          <cell r="FS1584">
            <v>22.314663874962239</v>
          </cell>
          <cell r="FT1584">
            <v>20.116606119778133</v>
          </cell>
          <cell r="FU1584">
            <v>17.065595346429742</v>
          </cell>
          <cell r="FV1584">
            <v>23.167616893126525</v>
          </cell>
          <cell r="GG1584">
            <v>8.988848466367136</v>
          </cell>
          <cell r="GH1584">
            <v>13.982143405445317</v>
          </cell>
          <cell r="GI1584">
            <v>10.408007395026372</v>
          </cell>
          <cell r="GJ1584">
            <v>7.7337520878462023</v>
          </cell>
          <cell r="GK1584">
            <v>13.082262702206542</v>
          </cell>
        </row>
        <row r="1585">
          <cell r="A1585">
            <v>41677</v>
          </cell>
          <cell r="FR1585">
            <v>19.951470890066659</v>
          </cell>
          <cell r="FS1585">
            <v>22.314663874962239</v>
          </cell>
          <cell r="FT1585">
            <v>20.116606119778133</v>
          </cell>
          <cell r="FU1585">
            <v>17.065595346429742</v>
          </cell>
          <cell r="FV1585">
            <v>23.167616893126525</v>
          </cell>
          <cell r="GG1585">
            <v>8.9875102003498952</v>
          </cell>
          <cell r="GH1585">
            <v>13.982143405445317</v>
          </cell>
          <cell r="GI1585">
            <v>10.408007395026372</v>
          </cell>
          <cell r="GJ1585">
            <v>7.7337520878462023</v>
          </cell>
          <cell r="GK1585">
            <v>13.082262702206542</v>
          </cell>
        </row>
        <row r="1586">
          <cell r="A1586">
            <v>41680</v>
          </cell>
          <cell r="FR1586">
            <v>19.990605477924699</v>
          </cell>
          <cell r="FS1586">
            <v>22.314663874962239</v>
          </cell>
          <cell r="FT1586">
            <v>20.116606119778133</v>
          </cell>
          <cell r="FU1586">
            <v>17.065595346429742</v>
          </cell>
          <cell r="FV1586">
            <v>23.167616893126525</v>
          </cell>
          <cell r="GG1586">
            <v>9.1124548196747668</v>
          </cell>
          <cell r="GH1586">
            <v>13.982143405445317</v>
          </cell>
          <cell r="GI1586">
            <v>10.408007395026372</v>
          </cell>
          <cell r="GJ1586">
            <v>7.7337520878462023</v>
          </cell>
          <cell r="GK1586">
            <v>13.082262702206542</v>
          </cell>
        </row>
        <row r="1587">
          <cell r="A1587">
            <v>41681</v>
          </cell>
          <cell r="FR1587">
            <v>20.052625982474872</v>
          </cell>
          <cell r="FS1587">
            <v>22.314663874962239</v>
          </cell>
          <cell r="FT1587">
            <v>20.116606119778133</v>
          </cell>
          <cell r="FU1587">
            <v>17.065595346429742</v>
          </cell>
          <cell r="FV1587">
            <v>23.167616893126525</v>
          </cell>
          <cell r="GG1587">
            <v>9.2042435502006317</v>
          </cell>
          <cell r="GH1587">
            <v>13.982143405445317</v>
          </cell>
          <cell r="GI1587">
            <v>10.408007395026372</v>
          </cell>
          <cell r="GJ1587">
            <v>7.7337520878462023</v>
          </cell>
          <cell r="GK1587">
            <v>13.082262702206542</v>
          </cell>
        </row>
        <row r="1588">
          <cell r="A1588">
            <v>41682</v>
          </cell>
          <cell r="FR1588">
            <v>19.760208412715951</v>
          </cell>
          <cell r="FS1588">
            <v>22.314663874962239</v>
          </cell>
          <cell r="FT1588">
            <v>20.116606119778133</v>
          </cell>
          <cell r="FU1588">
            <v>17.065595346429742</v>
          </cell>
          <cell r="FV1588">
            <v>23.167616893126525</v>
          </cell>
          <cell r="GG1588">
            <v>9.2093482220076677</v>
          </cell>
          <cell r="GH1588">
            <v>13.982143405445317</v>
          </cell>
          <cell r="GI1588">
            <v>10.408007395026372</v>
          </cell>
          <cell r="GJ1588">
            <v>7.7337520878462023</v>
          </cell>
          <cell r="GK1588">
            <v>13.082262702206542</v>
          </cell>
        </row>
        <row r="1589">
          <cell r="A1589">
            <v>41683</v>
          </cell>
          <cell r="FR1589">
            <v>20.19082815193854</v>
          </cell>
          <cell r="FS1589">
            <v>22.314663874962239</v>
          </cell>
          <cell r="FT1589">
            <v>20.116606119778133</v>
          </cell>
          <cell r="FU1589">
            <v>17.065595346429742</v>
          </cell>
          <cell r="FV1589">
            <v>23.167616893126525</v>
          </cell>
          <cell r="GG1589">
            <v>9.2315267898383144</v>
          </cell>
          <cell r="GH1589">
            <v>13.982143405445317</v>
          </cell>
          <cell r="GI1589">
            <v>10.408007395026372</v>
          </cell>
          <cell r="GJ1589">
            <v>7.7337520878462023</v>
          </cell>
          <cell r="GK1589">
            <v>13.082262702206542</v>
          </cell>
        </row>
        <row r="1590">
          <cell r="A1590">
            <v>41684</v>
          </cell>
          <cell r="FR1590">
            <v>20.30604351044099</v>
          </cell>
          <cell r="FS1590">
            <v>22.314663874962239</v>
          </cell>
          <cell r="FT1590">
            <v>20.116606119778133</v>
          </cell>
          <cell r="FU1590">
            <v>17.065595346429742</v>
          </cell>
          <cell r="FV1590">
            <v>23.167616893126525</v>
          </cell>
          <cell r="GG1590">
            <v>9.3862116970033984</v>
          </cell>
          <cell r="GH1590">
            <v>13.982143405445317</v>
          </cell>
          <cell r="GI1590">
            <v>10.408007395026372</v>
          </cell>
          <cell r="GJ1590">
            <v>7.7337520878462023</v>
          </cell>
          <cell r="GK1590">
            <v>13.082262702206542</v>
          </cell>
        </row>
        <row r="1591">
          <cell r="A1591">
            <v>41687</v>
          </cell>
          <cell r="FR1591">
            <v>20.400702582370787</v>
          </cell>
          <cell r="FS1591">
            <v>22.314663874962239</v>
          </cell>
          <cell r="FT1591">
            <v>20.116606119778133</v>
          </cell>
          <cell r="FU1591">
            <v>17.065595346429742</v>
          </cell>
          <cell r="FV1591">
            <v>23.167616893126525</v>
          </cell>
          <cell r="GG1591">
            <v>9.3862116970033984</v>
          </cell>
          <cell r="GH1591">
            <v>13.982143405445317</v>
          </cell>
          <cell r="GI1591">
            <v>10.408007395026372</v>
          </cell>
          <cell r="GJ1591">
            <v>7.7337520878462023</v>
          </cell>
          <cell r="GK1591">
            <v>13.082262702206542</v>
          </cell>
        </row>
        <row r="1592">
          <cell r="A1592">
            <v>41688</v>
          </cell>
          <cell r="FR1592">
            <v>20.302749777384136</v>
          </cell>
          <cell r="FS1592">
            <v>22.314663874962239</v>
          </cell>
          <cell r="FT1592">
            <v>20.116606119778133</v>
          </cell>
          <cell r="FU1592">
            <v>17.065595346429742</v>
          </cell>
          <cell r="FV1592">
            <v>23.167616893126525</v>
          </cell>
          <cell r="GG1592">
            <v>9.3913729651264592</v>
          </cell>
          <cell r="GH1592">
            <v>13.982143405445317</v>
          </cell>
          <cell r="GI1592">
            <v>10.408007395026372</v>
          </cell>
          <cell r="GJ1592">
            <v>7.7337520878462023</v>
          </cell>
          <cell r="GK1592">
            <v>13.082262702206542</v>
          </cell>
        </row>
        <row r="1593">
          <cell r="A1593">
            <v>41689</v>
          </cell>
          <cell r="FR1593">
            <v>19.768474621551487</v>
          </cell>
          <cell r="FS1593">
            <v>22.314663874962239</v>
          </cell>
          <cell r="FT1593">
            <v>20.116606119778133</v>
          </cell>
          <cell r="FU1593">
            <v>17.065595346429742</v>
          </cell>
          <cell r="FV1593">
            <v>23.167616893126525</v>
          </cell>
          <cell r="GG1593">
            <v>9.3294939492706526</v>
          </cell>
          <cell r="GH1593">
            <v>13.982143405445317</v>
          </cell>
          <cell r="GI1593">
            <v>10.408007395026372</v>
          </cell>
          <cell r="GJ1593">
            <v>7.7337520878462023</v>
          </cell>
          <cell r="GK1593">
            <v>13.082262702206542</v>
          </cell>
        </row>
        <row r="1594">
          <cell r="A1594">
            <v>41690</v>
          </cell>
          <cell r="FR1594">
            <v>19.688322350848008</v>
          </cell>
          <cell r="FS1594">
            <v>22.314663874962239</v>
          </cell>
          <cell r="FT1594">
            <v>20.116606119778133</v>
          </cell>
          <cell r="FU1594">
            <v>17.065595346429742</v>
          </cell>
          <cell r="FV1594">
            <v>23.167616893126525</v>
          </cell>
          <cell r="GG1594">
            <v>9.3294939492706526</v>
          </cell>
          <cell r="GH1594">
            <v>13.982143405445317</v>
          </cell>
          <cell r="GI1594">
            <v>10.408007395026372</v>
          </cell>
          <cell r="GJ1594">
            <v>7.7337520878462023</v>
          </cell>
          <cell r="GK1594">
            <v>13.082262702206542</v>
          </cell>
        </row>
        <row r="1595">
          <cell r="A1595">
            <v>41691</v>
          </cell>
          <cell r="FR1595">
            <v>19.588709095527108</v>
          </cell>
          <cell r="FS1595">
            <v>22.314663874962239</v>
          </cell>
          <cell r="FT1595">
            <v>20.116606119778133</v>
          </cell>
          <cell r="FU1595">
            <v>17.065595346429742</v>
          </cell>
          <cell r="FV1595">
            <v>23.167616893126525</v>
          </cell>
          <cell r="GG1595">
            <v>9.1387203829178336</v>
          </cell>
          <cell r="GH1595">
            <v>13.982143405445317</v>
          </cell>
          <cell r="GI1595">
            <v>10.408007395026372</v>
          </cell>
          <cell r="GJ1595">
            <v>7.7337520878462023</v>
          </cell>
          <cell r="GK1595">
            <v>13.082262702206542</v>
          </cell>
        </row>
        <row r="1596">
          <cell r="A1596">
            <v>41694</v>
          </cell>
          <cell r="FR1596">
            <v>19.900494840036465</v>
          </cell>
          <cell r="FS1596">
            <v>22.314663874962239</v>
          </cell>
          <cell r="FT1596">
            <v>20.116606119778133</v>
          </cell>
          <cell r="FU1596">
            <v>17.065595346429742</v>
          </cell>
          <cell r="FV1596">
            <v>23.167616893126525</v>
          </cell>
          <cell r="GG1596">
            <v>8.9659942398260881</v>
          </cell>
          <cell r="GH1596">
            <v>13.982143405445317</v>
          </cell>
          <cell r="GI1596">
            <v>10.408007395026372</v>
          </cell>
          <cell r="GJ1596">
            <v>7.7337520878462023</v>
          </cell>
          <cell r="GK1596">
            <v>13.082262702206542</v>
          </cell>
        </row>
        <row r="1597">
          <cell r="A1597">
            <v>41695</v>
          </cell>
          <cell r="FR1597">
            <v>19.544166366023322</v>
          </cell>
          <cell r="FS1597">
            <v>22.314663874962239</v>
          </cell>
          <cell r="FT1597">
            <v>20.116606119778133</v>
          </cell>
          <cell r="FU1597">
            <v>17.065595346429742</v>
          </cell>
          <cell r="FV1597">
            <v>23.167616893126525</v>
          </cell>
          <cell r="GG1597">
            <v>9.1052046236236119</v>
          </cell>
          <cell r="GH1597">
            <v>13.982143405445317</v>
          </cell>
          <cell r="GI1597">
            <v>10.408007395026372</v>
          </cell>
          <cell r="GJ1597">
            <v>7.7337520878462023</v>
          </cell>
          <cell r="GK1597">
            <v>13.082262702206542</v>
          </cell>
        </row>
        <row r="1598">
          <cell r="A1598">
            <v>41696</v>
          </cell>
          <cell r="FR1598">
            <v>19.597625124157457</v>
          </cell>
          <cell r="FS1598">
            <v>22.314663874962239</v>
          </cell>
          <cell r="FT1598">
            <v>20.116606119778133</v>
          </cell>
          <cell r="FU1598">
            <v>17.065595346429742</v>
          </cell>
          <cell r="FV1598">
            <v>23.167616893126525</v>
          </cell>
          <cell r="GG1598">
            <v>9.0191634193625863</v>
          </cell>
          <cell r="GH1598">
            <v>13.982143405445317</v>
          </cell>
          <cell r="GI1598">
            <v>10.408007395026372</v>
          </cell>
          <cell r="GJ1598">
            <v>7.7337520878462023</v>
          </cell>
          <cell r="GK1598">
            <v>13.082262702206542</v>
          </cell>
        </row>
        <row r="1599">
          <cell r="A1599">
            <v>41697</v>
          </cell>
          <cell r="FR1599">
            <v>19.61543223898618</v>
          </cell>
          <cell r="FS1599">
            <v>22.314663874962239</v>
          </cell>
          <cell r="FT1599">
            <v>20.116606119778133</v>
          </cell>
          <cell r="FU1599">
            <v>17.065595346429742</v>
          </cell>
          <cell r="FV1599">
            <v>23.167616893126525</v>
          </cell>
          <cell r="GG1599">
            <v>9.0758881350423746</v>
          </cell>
          <cell r="GH1599">
            <v>13.982143405445317</v>
          </cell>
          <cell r="GI1599">
            <v>10.408007395026372</v>
          </cell>
          <cell r="GJ1599">
            <v>7.7337520878462023</v>
          </cell>
          <cell r="GK1599">
            <v>13.082262702206542</v>
          </cell>
        </row>
        <row r="1600">
          <cell r="A1600">
            <v>41698</v>
          </cell>
          <cell r="FR1600">
            <v>19.813000890474022</v>
          </cell>
          <cell r="FS1600">
            <v>22.314663874962239</v>
          </cell>
          <cell r="FT1600">
            <v>20.116606119778133</v>
          </cell>
          <cell r="FU1600">
            <v>17.065595346429742</v>
          </cell>
          <cell r="FV1600">
            <v>23.167616893126525</v>
          </cell>
          <cell r="GG1600">
            <v>9.1068298267078092</v>
          </cell>
          <cell r="GH1600">
            <v>13.982143405445317</v>
          </cell>
          <cell r="GI1600">
            <v>10.408007395026372</v>
          </cell>
          <cell r="GJ1600">
            <v>7.7337520878462023</v>
          </cell>
          <cell r="GK1600">
            <v>13.082262702206542</v>
          </cell>
        </row>
        <row r="1601">
          <cell r="A1601">
            <v>41701</v>
          </cell>
          <cell r="FR1601">
            <v>18.97479982324348</v>
          </cell>
          <cell r="FS1601">
            <v>22.314663874962239</v>
          </cell>
          <cell r="FT1601">
            <v>20.116606119778133</v>
          </cell>
          <cell r="FU1601">
            <v>17.065595346429742</v>
          </cell>
          <cell r="FV1601">
            <v>23.167616893126525</v>
          </cell>
          <cell r="GG1601">
            <v>8.9702327576369978</v>
          </cell>
          <cell r="GH1601">
            <v>13.982143405445317</v>
          </cell>
          <cell r="GI1601">
            <v>10.408007395026372</v>
          </cell>
          <cell r="GJ1601">
            <v>7.7337520878462023</v>
          </cell>
          <cell r="GK1601">
            <v>13.082262702206542</v>
          </cell>
        </row>
        <row r="1602">
          <cell r="A1602">
            <v>41702</v>
          </cell>
          <cell r="FR1602">
            <v>19.31064162615996</v>
          </cell>
          <cell r="FS1602">
            <v>22.314663874962239</v>
          </cell>
          <cell r="FT1602">
            <v>20.116606119778133</v>
          </cell>
          <cell r="FU1602">
            <v>17.065595346429742</v>
          </cell>
          <cell r="FV1602">
            <v>23.167616893126525</v>
          </cell>
          <cell r="GG1602">
            <v>8.635327182856015</v>
          </cell>
          <cell r="GH1602">
            <v>13.982143405445317</v>
          </cell>
          <cell r="GI1602">
            <v>10.408007395026372</v>
          </cell>
          <cell r="GJ1602">
            <v>7.7337520878462023</v>
          </cell>
          <cell r="GK1602">
            <v>13.082262702206542</v>
          </cell>
        </row>
        <row r="1603">
          <cell r="A1603">
            <v>41703</v>
          </cell>
          <cell r="FR1603">
            <v>19.407858594785679</v>
          </cell>
          <cell r="FS1603">
            <v>22.314663874962239</v>
          </cell>
          <cell r="FT1603">
            <v>20.116606119778133</v>
          </cell>
          <cell r="FU1603">
            <v>17.065595346429742</v>
          </cell>
          <cell r="FV1603">
            <v>23.167616893126525</v>
          </cell>
          <cell r="GG1603">
            <v>8.8577453890082687</v>
          </cell>
          <cell r="GH1603">
            <v>13.982143405445317</v>
          </cell>
          <cell r="GI1603">
            <v>10.408007395026372</v>
          </cell>
          <cell r="GJ1603">
            <v>7.7337520878462023</v>
          </cell>
          <cell r="GK1603">
            <v>13.082262702206542</v>
          </cell>
        </row>
        <row r="1604">
          <cell r="A1604">
            <v>41704</v>
          </cell>
          <cell r="FR1604">
            <v>19.452050375607598</v>
          </cell>
          <cell r="FS1604">
            <v>22.314663874962239</v>
          </cell>
          <cell r="FT1604">
            <v>20.116606119778133</v>
          </cell>
          <cell r="FU1604">
            <v>17.065595346429742</v>
          </cell>
          <cell r="FV1604">
            <v>23.167616893126525</v>
          </cell>
          <cell r="GG1604">
            <v>8.9344413221642203</v>
          </cell>
          <cell r="GH1604">
            <v>13.982143405445317</v>
          </cell>
          <cell r="GI1604">
            <v>10.408007395026372</v>
          </cell>
          <cell r="GJ1604">
            <v>7.7337520878462023</v>
          </cell>
          <cell r="GK1604">
            <v>13.082262702206542</v>
          </cell>
        </row>
        <row r="1605">
          <cell r="A1605">
            <v>41705</v>
          </cell>
          <cell r="FR1605">
            <v>19.319475033141842</v>
          </cell>
          <cell r="FS1605">
            <v>22.314663874962239</v>
          </cell>
          <cell r="FT1605">
            <v>20.116606119778133</v>
          </cell>
          <cell r="FU1605">
            <v>17.065595346429742</v>
          </cell>
          <cell r="FV1605">
            <v>23.167616893126525</v>
          </cell>
          <cell r="GG1605">
            <v>8.8986498866914427</v>
          </cell>
          <cell r="GH1605">
            <v>13.982143405445317</v>
          </cell>
          <cell r="GI1605">
            <v>10.408007395026372</v>
          </cell>
          <cell r="GJ1605">
            <v>7.7337520878462023</v>
          </cell>
          <cell r="GK1605">
            <v>13.082262702206542</v>
          </cell>
        </row>
        <row r="1606">
          <cell r="A1606">
            <v>41708</v>
          </cell>
          <cell r="FR1606">
            <v>19.169233760494915</v>
          </cell>
          <cell r="FS1606">
            <v>22.314663874962239</v>
          </cell>
          <cell r="FT1606">
            <v>20.116606119778133</v>
          </cell>
          <cell r="FU1606">
            <v>17.065595346429742</v>
          </cell>
          <cell r="FV1606">
            <v>23.167616893126525</v>
          </cell>
          <cell r="GG1606">
            <v>8.7708233314315258</v>
          </cell>
          <cell r="GH1606">
            <v>13.982143405445317</v>
          </cell>
          <cell r="GI1606">
            <v>10.408007395026372</v>
          </cell>
          <cell r="GJ1606">
            <v>7.7337520878462023</v>
          </cell>
          <cell r="GK1606">
            <v>13.082262702206542</v>
          </cell>
        </row>
        <row r="1607">
          <cell r="A1607">
            <v>41709</v>
          </cell>
          <cell r="FR1607">
            <v>19.142721166593013</v>
          </cell>
          <cell r="FS1607">
            <v>22.314663874962239</v>
          </cell>
          <cell r="FT1607">
            <v>20.116606119778133</v>
          </cell>
          <cell r="FU1607">
            <v>17.065595346429742</v>
          </cell>
          <cell r="FV1607">
            <v>23.167616893126525</v>
          </cell>
          <cell r="GG1607">
            <v>8.7350318959587501</v>
          </cell>
          <cell r="GH1607">
            <v>13.982143405445317</v>
          </cell>
          <cell r="GI1607">
            <v>10.408007395026372</v>
          </cell>
          <cell r="GJ1607">
            <v>7.7337520878462023</v>
          </cell>
          <cell r="GK1607">
            <v>13.082262702206542</v>
          </cell>
        </row>
        <row r="1608">
          <cell r="A1608">
            <v>41710</v>
          </cell>
          <cell r="FR1608">
            <v>19.045504197967297</v>
          </cell>
          <cell r="FS1608">
            <v>22.314663874962239</v>
          </cell>
          <cell r="FT1608">
            <v>20.116606119778133</v>
          </cell>
          <cell r="FU1608">
            <v>17.065595346429742</v>
          </cell>
          <cell r="FV1608">
            <v>23.167616893126525</v>
          </cell>
          <cell r="GG1608">
            <v>8.6532229005924037</v>
          </cell>
          <cell r="GH1608">
            <v>13.982143405445317</v>
          </cell>
          <cell r="GI1608">
            <v>10.408007395026372</v>
          </cell>
          <cell r="GJ1608">
            <v>7.7337520878462023</v>
          </cell>
          <cell r="GK1608">
            <v>13.082262702206542</v>
          </cell>
        </row>
        <row r="1609">
          <cell r="A1609">
            <v>41711</v>
          </cell>
          <cell r="FR1609">
            <v>18.409179849756956</v>
          </cell>
          <cell r="FS1609">
            <v>22.314663874962239</v>
          </cell>
          <cell r="FT1609">
            <v>20.116606119778133</v>
          </cell>
          <cell r="FU1609">
            <v>17.065595346429742</v>
          </cell>
          <cell r="FV1609">
            <v>23.167616893126525</v>
          </cell>
          <cell r="GG1609">
            <v>8.6532229005924037</v>
          </cell>
          <cell r="GH1609">
            <v>13.982143405445317</v>
          </cell>
          <cell r="GI1609">
            <v>10.408007395026372</v>
          </cell>
          <cell r="GJ1609">
            <v>7.7337520878462023</v>
          </cell>
          <cell r="GK1609">
            <v>13.082262702206542</v>
          </cell>
        </row>
        <row r="1610">
          <cell r="A1610">
            <v>41712</v>
          </cell>
          <cell r="FR1610">
            <v>18.100861472177435</v>
          </cell>
          <cell r="FS1610">
            <v>22.314663874962239</v>
          </cell>
          <cell r="FT1610">
            <v>20.116606119778133</v>
          </cell>
          <cell r="FU1610">
            <v>17.065595346429742</v>
          </cell>
          <cell r="FV1610">
            <v>23.167616893126525</v>
          </cell>
          <cell r="GG1610">
            <v>8.4510050233034342</v>
          </cell>
          <cell r="GH1610">
            <v>13.982143405445317</v>
          </cell>
          <cell r="GI1610">
            <v>10.408007395026372</v>
          </cell>
          <cell r="GJ1610">
            <v>7.7337520878462023</v>
          </cell>
          <cell r="GK1610">
            <v>13.082262702206542</v>
          </cell>
        </row>
        <row r="1611">
          <cell r="A1611">
            <v>41715</v>
          </cell>
          <cell r="FR1611">
            <v>18.366272756025328</v>
          </cell>
          <cell r="FS1611">
            <v>22.314663874962239</v>
          </cell>
          <cell r="FT1611">
            <v>20.116606119778133</v>
          </cell>
          <cell r="FU1611">
            <v>17.065595346429742</v>
          </cell>
          <cell r="FV1611">
            <v>23.167616893126525</v>
          </cell>
          <cell r="GG1611">
            <v>8.328281714535585</v>
          </cell>
          <cell r="GH1611">
            <v>13.982143405445317</v>
          </cell>
          <cell r="GI1611">
            <v>10.408007395026372</v>
          </cell>
          <cell r="GJ1611">
            <v>7.7337520878462023</v>
          </cell>
          <cell r="GK1611">
            <v>13.082262702206542</v>
          </cell>
        </row>
        <row r="1612">
          <cell r="A1612">
            <v>41716</v>
          </cell>
          <cell r="FR1612">
            <v>19.223781681593888</v>
          </cell>
          <cell r="FS1612">
            <v>22.314663874962239</v>
          </cell>
          <cell r="FT1612">
            <v>20.116606119778133</v>
          </cell>
          <cell r="FU1612">
            <v>17.065595346429742</v>
          </cell>
          <cell r="FV1612">
            <v>23.167616893126525</v>
          </cell>
          <cell r="GG1612">
            <v>8.7194793856433037</v>
          </cell>
          <cell r="GH1612">
            <v>13.982143405445317</v>
          </cell>
          <cell r="GI1612">
            <v>10.408007395026372</v>
          </cell>
          <cell r="GJ1612">
            <v>7.7337520878462023</v>
          </cell>
          <cell r="GK1612">
            <v>13.082262702206542</v>
          </cell>
        </row>
        <row r="1613">
          <cell r="A1613">
            <v>41717</v>
          </cell>
          <cell r="FR1613">
            <v>19.048721244864751</v>
          </cell>
          <cell r="FS1613">
            <v>22.314663874962239</v>
          </cell>
          <cell r="FT1613">
            <v>20.116606119778133</v>
          </cell>
          <cell r="FU1613">
            <v>17.065595346429742</v>
          </cell>
          <cell r="FV1613">
            <v>23.167616893126525</v>
          </cell>
          <cell r="GG1613">
            <v>8.6937611565774926</v>
          </cell>
          <cell r="GH1613">
            <v>13.982143405445317</v>
          </cell>
          <cell r="GI1613">
            <v>10.408007395026372</v>
          </cell>
          <cell r="GJ1613">
            <v>7.7337520878462023</v>
          </cell>
          <cell r="GK1613">
            <v>13.082262702206542</v>
          </cell>
        </row>
        <row r="1614">
          <cell r="A1614">
            <v>41718</v>
          </cell>
          <cell r="FR1614">
            <v>18.994786095054877</v>
          </cell>
          <cell r="FS1614">
            <v>22.314663874962239</v>
          </cell>
          <cell r="FT1614">
            <v>20.116606119778133</v>
          </cell>
          <cell r="FU1614">
            <v>17.065595346429742</v>
          </cell>
          <cell r="FV1614">
            <v>23.167616893126525</v>
          </cell>
          <cell r="GG1614">
            <v>8.6423246984458704</v>
          </cell>
          <cell r="GH1614">
            <v>13.982143405445317</v>
          </cell>
          <cell r="GI1614">
            <v>10.408007395026372</v>
          </cell>
          <cell r="GJ1614">
            <v>7.7337520878462023</v>
          </cell>
          <cell r="GK1614">
            <v>13.082262702206542</v>
          </cell>
        </row>
        <row r="1615">
          <cell r="A1615">
            <v>41719</v>
          </cell>
          <cell r="FR1615">
            <v>18.779047293713646</v>
          </cell>
          <cell r="FS1615">
            <v>22.314663874962239</v>
          </cell>
          <cell r="FT1615">
            <v>20.116606119778133</v>
          </cell>
          <cell r="FU1615">
            <v>17.065595346429742</v>
          </cell>
          <cell r="FV1615">
            <v>23.167616893126525</v>
          </cell>
          <cell r="GG1615">
            <v>8.6526119900721952</v>
          </cell>
          <cell r="GH1615">
            <v>13.982143405445317</v>
          </cell>
          <cell r="GI1615">
            <v>10.408007395026372</v>
          </cell>
          <cell r="GJ1615">
            <v>7.7337520878462023</v>
          </cell>
          <cell r="GK1615">
            <v>13.082262702206542</v>
          </cell>
        </row>
        <row r="1616">
          <cell r="A1616">
            <v>41722</v>
          </cell>
          <cell r="FR1616">
            <v>18.716114562076932</v>
          </cell>
          <cell r="FS1616">
            <v>22.314663874962239</v>
          </cell>
          <cell r="FT1616">
            <v>20.116606119778133</v>
          </cell>
          <cell r="FU1616">
            <v>17.065595346429742</v>
          </cell>
          <cell r="FV1616">
            <v>23.167616893126525</v>
          </cell>
          <cell r="GG1616">
            <v>8.5394517821826259</v>
          </cell>
          <cell r="GH1616">
            <v>13.982143405445317</v>
          </cell>
          <cell r="GI1616">
            <v>10.408007395026372</v>
          </cell>
          <cell r="GJ1616">
            <v>7.7337520878462023</v>
          </cell>
          <cell r="GK1616">
            <v>13.082262702206542</v>
          </cell>
        </row>
        <row r="1617">
          <cell r="A1617">
            <v>41723</v>
          </cell>
          <cell r="FR1617">
            <v>18.73409714044282</v>
          </cell>
          <cell r="FS1617">
            <v>22.314663874962239</v>
          </cell>
          <cell r="FT1617">
            <v>20.116606119778133</v>
          </cell>
          <cell r="FU1617">
            <v>17.065595346429742</v>
          </cell>
          <cell r="FV1617">
            <v>23.167616893126525</v>
          </cell>
          <cell r="GG1617">
            <v>8.441722511732543</v>
          </cell>
          <cell r="GH1617">
            <v>13.982143405445317</v>
          </cell>
          <cell r="GI1617">
            <v>10.408007395026372</v>
          </cell>
          <cell r="GJ1617">
            <v>7.7337520878462023</v>
          </cell>
          <cell r="GK1617">
            <v>13.082262702206542</v>
          </cell>
        </row>
        <row r="1618">
          <cell r="A1618">
            <v>41724</v>
          </cell>
          <cell r="FR1618">
            <v>18.648696074289155</v>
          </cell>
          <cell r="FS1618">
            <v>22.314663874962239</v>
          </cell>
          <cell r="FT1618">
            <v>20.116606119778133</v>
          </cell>
          <cell r="FU1618">
            <v>17.065595346429742</v>
          </cell>
          <cell r="FV1618">
            <v>23.167616893126525</v>
          </cell>
          <cell r="GG1618">
            <v>8.4545816262654494</v>
          </cell>
          <cell r="GH1618">
            <v>13.982143405445317</v>
          </cell>
          <cell r="GI1618">
            <v>10.408007395026372</v>
          </cell>
          <cell r="GJ1618">
            <v>7.7337520878462023</v>
          </cell>
          <cell r="GK1618">
            <v>13.082262702206542</v>
          </cell>
        </row>
        <row r="1619">
          <cell r="A1619">
            <v>41725</v>
          </cell>
          <cell r="FR1619">
            <v>18.626213356586149</v>
          </cell>
          <cell r="FS1619">
            <v>22.314663874962239</v>
          </cell>
          <cell r="FT1619">
            <v>20.116606119778133</v>
          </cell>
          <cell r="FU1619">
            <v>17.065595346429742</v>
          </cell>
          <cell r="FV1619">
            <v>23.167616893126525</v>
          </cell>
          <cell r="GG1619">
            <v>8.5214490218365579</v>
          </cell>
          <cell r="GH1619">
            <v>13.982143405445317</v>
          </cell>
          <cell r="GI1619">
            <v>10.408007395026372</v>
          </cell>
          <cell r="GJ1619">
            <v>7.7337520878462023</v>
          </cell>
          <cell r="GK1619">
            <v>13.082262702206542</v>
          </cell>
        </row>
        <row r="1620">
          <cell r="A1620">
            <v>41726</v>
          </cell>
          <cell r="FR1620">
            <v>18.626213356586149</v>
          </cell>
          <cell r="FS1620">
            <v>22.314663874962239</v>
          </cell>
          <cell r="FT1620">
            <v>20.116606119778133</v>
          </cell>
          <cell r="FU1620">
            <v>17.065595346429742</v>
          </cell>
          <cell r="FV1620">
            <v>23.167616893126525</v>
          </cell>
          <cell r="GG1620">
            <v>8.4648689178917742</v>
          </cell>
          <cell r="GH1620">
            <v>13.982143405445317</v>
          </cell>
          <cell r="GI1620">
            <v>10.408007395026372</v>
          </cell>
          <cell r="GJ1620">
            <v>7.7337520878462023</v>
          </cell>
          <cell r="GK1620">
            <v>13.082262702206542</v>
          </cell>
        </row>
        <row r="1621">
          <cell r="A1621">
            <v>41729</v>
          </cell>
          <cell r="FR1621">
            <v>18.958834422560024</v>
          </cell>
          <cell r="FS1621">
            <v>22.314663874962239</v>
          </cell>
          <cell r="FT1621">
            <v>20.116606119778133</v>
          </cell>
          <cell r="FU1621">
            <v>17.065595346429742</v>
          </cell>
          <cell r="FV1621">
            <v>23.167616893126525</v>
          </cell>
          <cell r="GG1621">
            <v>8.583172771594505</v>
          </cell>
          <cell r="GH1621">
            <v>13.982143405445317</v>
          </cell>
          <cell r="GI1621">
            <v>10.408007395026372</v>
          </cell>
          <cell r="GJ1621">
            <v>7.7337520878462023</v>
          </cell>
          <cell r="GK1621">
            <v>13.082262702206542</v>
          </cell>
        </row>
        <row r="1622">
          <cell r="A1622">
            <v>41730</v>
          </cell>
          <cell r="FR1622">
            <v>18.805186297542694</v>
          </cell>
          <cell r="FS1622">
            <v>22.314663874962239</v>
          </cell>
          <cell r="FT1622">
            <v>20.116606119778133</v>
          </cell>
          <cell r="FU1622">
            <v>17.065595346429742</v>
          </cell>
          <cell r="FV1622">
            <v>23.167616893126525</v>
          </cell>
          <cell r="GG1622">
            <v>8.4962161245145786</v>
          </cell>
          <cell r="GH1622">
            <v>13.982143405445317</v>
          </cell>
          <cell r="GI1622">
            <v>10.408007395026372</v>
          </cell>
          <cell r="GJ1622">
            <v>7.7337520878462023</v>
          </cell>
          <cell r="GK1622">
            <v>13.082262702206542</v>
          </cell>
        </row>
        <row r="1623">
          <cell r="A1623">
            <v>41731</v>
          </cell>
          <cell r="FR1623">
            <v>18.903316780161873</v>
          </cell>
          <cell r="FS1623">
            <v>22.314663874962239</v>
          </cell>
          <cell r="FT1623">
            <v>20.116606119778133</v>
          </cell>
          <cell r="FU1623">
            <v>17.065595346429742</v>
          </cell>
          <cell r="FV1623">
            <v>23.167616893126525</v>
          </cell>
          <cell r="GG1623">
            <v>8.6160826999260358</v>
          </cell>
          <cell r="GH1623">
            <v>13.982143405445317</v>
          </cell>
          <cell r="GI1623">
            <v>10.408007395026372</v>
          </cell>
          <cell r="GJ1623">
            <v>7.7337520878462023</v>
          </cell>
          <cell r="GK1623">
            <v>13.082262702206542</v>
          </cell>
        </row>
        <row r="1624">
          <cell r="A1624">
            <v>41732</v>
          </cell>
          <cell r="FR1624">
            <v>19.001446370693863</v>
          </cell>
          <cell r="FS1624">
            <v>22.314663874962239</v>
          </cell>
          <cell r="FT1624">
            <v>20.116606119778133</v>
          </cell>
          <cell r="FU1624">
            <v>17.065595346429742</v>
          </cell>
          <cell r="FV1624">
            <v>23.167616893126525</v>
          </cell>
          <cell r="GG1624">
            <v>8.6135323472577063</v>
          </cell>
          <cell r="GH1624">
            <v>13.982143405445317</v>
          </cell>
          <cell r="GI1624">
            <v>10.408007395026372</v>
          </cell>
          <cell r="GJ1624">
            <v>7.7337520878462023</v>
          </cell>
          <cell r="GK1624">
            <v>13.082262702206542</v>
          </cell>
        </row>
        <row r="1625">
          <cell r="A1625">
            <v>41733</v>
          </cell>
          <cell r="FR1625">
            <v>18.52864194594137</v>
          </cell>
          <cell r="FS1625">
            <v>22.314663874962239</v>
          </cell>
          <cell r="FT1625">
            <v>20.116606119778133</v>
          </cell>
          <cell r="FU1625">
            <v>17.065595346429742</v>
          </cell>
          <cell r="FV1625">
            <v>23.167616893126525</v>
          </cell>
          <cell r="GG1625">
            <v>8.6339351686043386</v>
          </cell>
          <cell r="GH1625">
            <v>13.982143405445317</v>
          </cell>
          <cell r="GI1625">
            <v>10.408007395026372</v>
          </cell>
          <cell r="GJ1625">
            <v>7.7337520878462023</v>
          </cell>
          <cell r="GK1625">
            <v>13.082262702206542</v>
          </cell>
        </row>
        <row r="1626">
          <cell r="A1626">
            <v>41736</v>
          </cell>
          <cell r="FR1626">
            <v>18.510809123080147</v>
          </cell>
          <cell r="FS1626">
            <v>22.314663874962239</v>
          </cell>
          <cell r="FT1626">
            <v>20.116606119778133</v>
          </cell>
          <cell r="FU1626">
            <v>17.065595346429742</v>
          </cell>
          <cell r="FV1626">
            <v>23.167616893126525</v>
          </cell>
          <cell r="GG1626">
            <v>8.5599749412228014</v>
          </cell>
          <cell r="GH1626">
            <v>13.982143405445317</v>
          </cell>
          <cell r="GI1626">
            <v>10.408007395026372</v>
          </cell>
          <cell r="GJ1626">
            <v>7.7337520878462023</v>
          </cell>
          <cell r="GK1626">
            <v>13.082262702206542</v>
          </cell>
        </row>
        <row r="1627">
          <cell r="A1627">
            <v>41737</v>
          </cell>
          <cell r="FR1627">
            <v>18.519725534510759</v>
          </cell>
          <cell r="FS1627">
            <v>22.314663874962239</v>
          </cell>
          <cell r="FT1627">
            <v>20.116606119778133</v>
          </cell>
          <cell r="FU1627">
            <v>17.065595346429742</v>
          </cell>
          <cell r="FV1627">
            <v>23.167616893126525</v>
          </cell>
          <cell r="GG1627">
            <v>8.483464361172933</v>
          </cell>
          <cell r="GH1627">
            <v>13.982143405445317</v>
          </cell>
          <cell r="GI1627">
            <v>10.408007395026372</v>
          </cell>
          <cell r="GJ1627">
            <v>7.7337520878462023</v>
          </cell>
          <cell r="GK1627">
            <v>13.082262702206542</v>
          </cell>
        </row>
        <row r="1628">
          <cell r="A1628">
            <v>41738</v>
          </cell>
          <cell r="FR1628">
            <v>18.814116090281107</v>
          </cell>
          <cell r="FS1628">
            <v>22.314663874962239</v>
          </cell>
          <cell r="FT1628">
            <v>20.116606119778133</v>
          </cell>
          <cell r="FU1628">
            <v>17.065595346429742</v>
          </cell>
          <cell r="FV1628">
            <v>23.167616893126525</v>
          </cell>
          <cell r="GG1628">
            <v>8.4732629504996169</v>
          </cell>
          <cell r="GH1628">
            <v>13.982143405445317</v>
          </cell>
          <cell r="GI1628">
            <v>10.408007395026372</v>
          </cell>
          <cell r="GJ1628">
            <v>7.7337520878462023</v>
          </cell>
          <cell r="GK1628">
            <v>13.082262702206542</v>
          </cell>
        </row>
        <row r="1629">
          <cell r="A1629">
            <v>41739</v>
          </cell>
          <cell r="FR1629">
            <v>18.189657735884541</v>
          </cell>
          <cell r="FS1629">
            <v>22.314663874962239</v>
          </cell>
          <cell r="FT1629">
            <v>20.116606119778133</v>
          </cell>
          <cell r="FU1629">
            <v>17.065595346429742</v>
          </cell>
          <cell r="FV1629">
            <v>23.167616893126525</v>
          </cell>
          <cell r="GG1629">
            <v>8.4936657718462492</v>
          </cell>
          <cell r="GH1629">
            <v>13.982143405445317</v>
          </cell>
          <cell r="GI1629">
            <v>10.408007395026372</v>
          </cell>
          <cell r="GJ1629">
            <v>7.7337520878462023</v>
          </cell>
          <cell r="GK1629">
            <v>13.082262702206542</v>
          </cell>
        </row>
        <row r="1630">
          <cell r="A1630">
            <v>41740</v>
          </cell>
          <cell r="FR1630">
            <v>17.957706146482511</v>
          </cell>
          <cell r="FS1630">
            <v>22.314663874962239</v>
          </cell>
          <cell r="FT1630">
            <v>20.116606119778133</v>
          </cell>
          <cell r="FU1630">
            <v>17.065595346429742</v>
          </cell>
          <cell r="FV1630">
            <v>23.167616893126525</v>
          </cell>
          <cell r="GG1630">
            <v>8.2659867412162438</v>
          </cell>
          <cell r="GH1630">
            <v>13.982143405445317</v>
          </cell>
          <cell r="GI1630">
            <v>10.408007395026372</v>
          </cell>
          <cell r="GJ1630">
            <v>7.7337520878462023</v>
          </cell>
          <cell r="GK1630">
            <v>13.082262702206542</v>
          </cell>
        </row>
        <row r="1631">
          <cell r="A1631">
            <v>41743</v>
          </cell>
          <cell r="FR1631">
            <v>18.029074905589244</v>
          </cell>
          <cell r="FS1631">
            <v>22.314663874962239</v>
          </cell>
          <cell r="FT1631">
            <v>20.116606119778133</v>
          </cell>
          <cell r="FU1631">
            <v>17.065595346429742</v>
          </cell>
          <cell r="FV1631">
            <v>23.167616893126525</v>
          </cell>
          <cell r="GG1631">
            <v>8.2353850919527929</v>
          </cell>
          <cell r="GH1631">
            <v>13.982143405445317</v>
          </cell>
          <cell r="GI1631">
            <v>10.408007395026372</v>
          </cell>
          <cell r="GJ1631">
            <v>7.7337520878462023</v>
          </cell>
          <cell r="GK1631">
            <v>13.082262702206542</v>
          </cell>
        </row>
        <row r="1632">
          <cell r="A1632">
            <v>41744</v>
          </cell>
          <cell r="FR1632">
            <v>17.85066014451991</v>
          </cell>
          <cell r="FS1632">
            <v>22.314663874962239</v>
          </cell>
          <cell r="FT1632">
            <v>20.116606119778133</v>
          </cell>
          <cell r="FU1632">
            <v>17.065595346429742</v>
          </cell>
          <cell r="FV1632">
            <v>23.167616893126525</v>
          </cell>
          <cell r="GG1632">
            <v>8.2353850919527929</v>
          </cell>
          <cell r="GH1632">
            <v>13.982143405445317</v>
          </cell>
          <cell r="GI1632">
            <v>10.408007395026372</v>
          </cell>
          <cell r="GJ1632">
            <v>7.7337520878462023</v>
          </cell>
          <cell r="GK1632">
            <v>13.082262702206542</v>
          </cell>
        </row>
        <row r="1633">
          <cell r="A1633">
            <v>41745</v>
          </cell>
          <cell r="FR1633">
            <v>18.140357693898839</v>
          </cell>
          <cell r="FS1633">
            <v>22.314663874962239</v>
          </cell>
          <cell r="FT1633">
            <v>20.116606119778133</v>
          </cell>
          <cell r="FU1633">
            <v>17.065595346429742</v>
          </cell>
          <cell r="FV1633">
            <v>23.167616893126525</v>
          </cell>
          <cell r="GG1633">
            <v>8.0798899921880754</v>
          </cell>
          <cell r="GH1633">
            <v>13.982143405445317</v>
          </cell>
          <cell r="GI1633">
            <v>10.408007395026372</v>
          </cell>
          <cell r="GJ1633">
            <v>7.7337520878462023</v>
          </cell>
          <cell r="GK1633">
            <v>13.082262702206542</v>
          </cell>
        </row>
        <row r="1634">
          <cell r="A1634">
            <v>41746</v>
          </cell>
          <cell r="FR1634">
            <v>18.327639523512651</v>
          </cell>
          <cell r="FS1634">
            <v>22.314663874962239</v>
          </cell>
          <cell r="FT1634">
            <v>20.116606119778133</v>
          </cell>
          <cell r="FU1634">
            <v>17.065595346429742</v>
          </cell>
          <cell r="FV1634">
            <v>23.167616893126525</v>
          </cell>
          <cell r="GG1634">
            <v>8.2608940403462885</v>
          </cell>
          <cell r="GH1634">
            <v>13.982143405445317</v>
          </cell>
          <cell r="GI1634">
            <v>10.408007395026372</v>
          </cell>
          <cell r="GJ1634">
            <v>7.7337520878462023</v>
          </cell>
          <cell r="GK1634">
            <v>13.082262702206542</v>
          </cell>
        </row>
        <row r="1635">
          <cell r="A1635">
            <v>41747</v>
          </cell>
          <cell r="FR1635">
            <v>18.327639523512651</v>
          </cell>
          <cell r="FS1635">
            <v>22.314663874962239</v>
          </cell>
          <cell r="FT1635">
            <v>20.116606119778133</v>
          </cell>
          <cell r="FU1635">
            <v>17.065595346429742</v>
          </cell>
          <cell r="FV1635">
            <v>23.167616893126525</v>
          </cell>
          <cell r="GG1635">
            <v>8.2608940403462885</v>
          </cell>
          <cell r="GH1635">
            <v>13.982143405445317</v>
          </cell>
          <cell r="GI1635">
            <v>10.408007395026372</v>
          </cell>
          <cell r="GJ1635">
            <v>7.7337520878462023</v>
          </cell>
          <cell r="GK1635">
            <v>13.082262702206542</v>
          </cell>
        </row>
        <row r="1636">
          <cell r="A1636">
            <v>41750</v>
          </cell>
          <cell r="FR1636">
            <v>18.648708740492442</v>
          </cell>
          <cell r="FS1636">
            <v>22.314663874962239</v>
          </cell>
          <cell r="FT1636">
            <v>20.116606119778133</v>
          </cell>
          <cell r="FU1636">
            <v>17.065595346429742</v>
          </cell>
          <cell r="FV1636">
            <v>23.167616893126525</v>
          </cell>
          <cell r="GG1636">
            <v>8.2608940403462885</v>
          </cell>
          <cell r="GH1636">
            <v>13.982143405445317</v>
          </cell>
          <cell r="GI1636">
            <v>10.408007395026372</v>
          </cell>
          <cell r="GJ1636">
            <v>7.7337520878462023</v>
          </cell>
          <cell r="GK1636">
            <v>13.082262702206542</v>
          </cell>
        </row>
        <row r="1637">
          <cell r="A1637">
            <v>41751</v>
          </cell>
          <cell r="FR1637">
            <v>18.698381909728838</v>
          </cell>
          <cell r="FS1637">
            <v>22.314663874962239</v>
          </cell>
          <cell r="FT1637">
            <v>20.116606119778133</v>
          </cell>
          <cell r="FU1637">
            <v>17.065595346429742</v>
          </cell>
          <cell r="FV1637">
            <v>23.167616893126525</v>
          </cell>
          <cell r="GG1637">
            <v>8.3936816768167848</v>
          </cell>
          <cell r="GH1637">
            <v>13.982143405445317</v>
          </cell>
          <cell r="GI1637">
            <v>10.408007395026372</v>
          </cell>
          <cell r="GJ1637">
            <v>7.7337520878462023</v>
          </cell>
          <cell r="GK1637">
            <v>13.082262702206542</v>
          </cell>
        </row>
        <row r="1638">
          <cell r="A1638">
            <v>41752</v>
          </cell>
          <cell r="FR1638">
            <v>18.68947052424647</v>
          </cell>
          <cell r="FS1638">
            <v>22.314663874962239</v>
          </cell>
          <cell r="FT1638">
            <v>20.116606119778133</v>
          </cell>
          <cell r="FU1638">
            <v>17.065595346429742</v>
          </cell>
          <cell r="FV1638">
            <v>23.167616893126525</v>
          </cell>
          <cell r="GG1638">
            <v>8.5416379147923163</v>
          </cell>
          <cell r="GH1638">
            <v>13.982143405445317</v>
          </cell>
          <cell r="GI1638">
            <v>10.408007395026372</v>
          </cell>
          <cell r="GJ1638">
            <v>7.7337520878462023</v>
          </cell>
          <cell r="GK1638">
            <v>13.082262702206542</v>
          </cell>
        </row>
        <row r="1639">
          <cell r="A1639">
            <v>41753</v>
          </cell>
          <cell r="FR1639">
            <v>18.814303929904447</v>
          </cell>
          <cell r="FS1639">
            <v>22.314663874962239</v>
          </cell>
          <cell r="FT1639">
            <v>20.116606119778133</v>
          </cell>
          <cell r="FU1639">
            <v>17.065595346429742</v>
          </cell>
          <cell r="FV1639">
            <v>23.167616893126525</v>
          </cell>
          <cell r="GG1639">
            <v>8.5314340363112464</v>
          </cell>
          <cell r="GH1639">
            <v>13.982143405445317</v>
          </cell>
          <cell r="GI1639">
            <v>10.408007395026372</v>
          </cell>
          <cell r="GJ1639">
            <v>7.7337520878462023</v>
          </cell>
          <cell r="GK1639">
            <v>13.082262702206542</v>
          </cell>
        </row>
        <row r="1640">
          <cell r="A1640">
            <v>41754</v>
          </cell>
          <cell r="FR1640">
            <v>18.903476635182571</v>
          </cell>
          <cell r="FS1640">
            <v>22.314663874962239</v>
          </cell>
          <cell r="FT1640">
            <v>20.116606119778133</v>
          </cell>
          <cell r="FU1640">
            <v>17.065595346429742</v>
          </cell>
          <cell r="FV1640">
            <v>23.167616893126525</v>
          </cell>
          <cell r="GG1640">
            <v>8.5314340363112464</v>
          </cell>
          <cell r="GH1640">
            <v>13.982143405445317</v>
          </cell>
          <cell r="GI1640">
            <v>10.408007395026372</v>
          </cell>
          <cell r="GJ1640">
            <v>7.7337520878462023</v>
          </cell>
          <cell r="GK1640">
            <v>13.082262702206542</v>
          </cell>
        </row>
        <row r="1641">
          <cell r="A1641">
            <v>41757</v>
          </cell>
          <cell r="FR1641">
            <v>19.160917596430679</v>
          </cell>
          <cell r="FS1641">
            <v>22.314663874962239</v>
          </cell>
          <cell r="FT1641">
            <v>20.116606119778133</v>
          </cell>
          <cell r="FU1641">
            <v>17.065595346429742</v>
          </cell>
          <cell r="FV1641">
            <v>23.167616893126525</v>
          </cell>
          <cell r="GG1641">
            <v>8.5314340363112464</v>
          </cell>
          <cell r="GH1641">
            <v>13.982143405445317</v>
          </cell>
          <cell r="GI1641">
            <v>10.408007395026372</v>
          </cell>
          <cell r="GJ1641">
            <v>7.7337520878462023</v>
          </cell>
          <cell r="GK1641">
            <v>13.082262702206542</v>
          </cell>
        </row>
        <row r="1642">
          <cell r="A1642">
            <v>41758</v>
          </cell>
          <cell r="FR1642">
            <v>19.437317292090889</v>
          </cell>
          <cell r="FS1642">
            <v>22.314663874962239</v>
          </cell>
          <cell r="FT1642">
            <v>20.116606119778133</v>
          </cell>
          <cell r="FU1642">
            <v>17.065595346429742</v>
          </cell>
          <cell r="FV1642">
            <v>23.167616893126525</v>
          </cell>
          <cell r="GG1642">
            <v>8.5314340363112464</v>
          </cell>
          <cell r="GH1642">
            <v>13.982143405445317</v>
          </cell>
          <cell r="GI1642">
            <v>10.408007395026372</v>
          </cell>
          <cell r="GJ1642">
            <v>7.7337520878462023</v>
          </cell>
          <cell r="GK1642">
            <v>13.082262702206542</v>
          </cell>
        </row>
        <row r="1643">
          <cell r="A1643">
            <v>41759</v>
          </cell>
          <cell r="FR1643">
            <v>19.526484696821242</v>
          </cell>
          <cell r="FS1643">
            <v>22.314663874962239</v>
          </cell>
          <cell r="FT1643">
            <v>20.116606119778133</v>
          </cell>
          <cell r="FU1643">
            <v>17.065595346429742</v>
          </cell>
          <cell r="FV1643">
            <v>23.167616893126525</v>
          </cell>
          <cell r="GG1643">
            <v>8.5314340363112464</v>
          </cell>
          <cell r="GH1643">
            <v>13.982143405445317</v>
          </cell>
          <cell r="GI1643">
            <v>10.408007395026372</v>
          </cell>
          <cell r="GJ1643">
            <v>7.7337520878462023</v>
          </cell>
          <cell r="GK1643">
            <v>13.082262702206542</v>
          </cell>
        </row>
        <row r="1644">
          <cell r="A1644">
            <v>41760</v>
          </cell>
          <cell r="FR1644">
            <v>19.464992873897593</v>
          </cell>
          <cell r="FS1644">
            <v>22.314663874962239</v>
          </cell>
          <cell r="FT1644">
            <v>20.116606119778133</v>
          </cell>
          <cell r="FU1644">
            <v>17.065595346429742</v>
          </cell>
          <cell r="FV1644">
            <v>23.167616893126525</v>
          </cell>
          <cell r="GG1644">
            <v>8.4602469755229457</v>
          </cell>
          <cell r="GH1644">
            <v>13.982143405445317</v>
          </cell>
          <cell r="GI1644">
            <v>10.408007395026372</v>
          </cell>
          <cell r="GJ1644">
            <v>7.7337520878462023</v>
          </cell>
          <cell r="GK1644">
            <v>13.082262702206542</v>
          </cell>
        </row>
        <row r="1645">
          <cell r="A1645">
            <v>41761</v>
          </cell>
          <cell r="FR1645">
            <v>19.233256561488254</v>
          </cell>
          <cell r="FS1645">
            <v>22.314663874962239</v>
          </cell>
          <cell r="FT1645">
            <v>20.116606119778133</v>
          </cell>
          <cell r="FU1645">
            <v>17.065595346429742</v>
          </cell>
          <cell r="FV1645">
            <v>23.167616893126525</v>
          </cell>
          <cell r="GG1645">
            <v>8.4602469755229457</v>
          </cell>
          <cell r="GH1645">
            <v>13.982143405445317</v>
          </cell>
          <cell r="GI1645">
            <v>10.408007395026372</v>
          </cell>
          <cell r="GJ1645">
            <v>7.7337520878462023</v>
          </cell>
          <cell r="GK1645">
            <v>13.082262702206542</v>
          </cell>
        </row>
        <row r="1646">
          <cell r="A1646">
            <v>41764</v>
          </cell>
          <cell r="FR1646">
            <v>19.551467097802128</v>
          </cell>
          <cell r="FS1646">
            <v>22.314663874962239</v>
          </cell>
          <cell r="FT1646">
            <v>20.116606119778133</v>
          </cell>
          <cell r="FU1646">
            <v>17.065595346429742</v>
          </cell>
          <cell r="FV1646">
            <v>23.167616893126525</v>
          </cell>
          <cell r="GG1646">
            <v>8.7100164360519265</v>
          </cell>
          <cell r="GH1646">
            <v>13.982143405445317</v>
          </cell>
          <cell r="GI1646">
            <v>10.408007395026372</v>
          </cell>
          <cell r="GJ1646">
            <v>7.7337520878462023</v>
          </cell>
          <cell r="GK1646">
            <v>13.082262702206542</v>
          </cell>
        </row>
        <row r="1647">
          <cell r="A1647">
            <v>41765</v>
          </cell>
          <cell r="FR1647">
            <v>19.59572387200139</v>
          </cell>
          <cell r="FS1647">
            <v>22.314663874962239</v>
          </cell>
          <cell r="FT1647">
            <v>20.116606119778133</v>
          </cell>
          <cell r="FU1647">
            <v>17.065595346429742</v>
          </cell>
          <cell r="FV1647">
            <v>23.167616893126525</v>
          </cell>
          <cell r="GG1647">
            <v>8.8072789045724491</v>
          </cell>
          <cell r="GH1647">
            <v>13.982143405445317</v>
          </cell>
          <cell r="GI1647">
            <v>10.408007395026372</v>
          </cell>
          <cell r="GJ1647">
            <v>7.7337520878462023</v>
          </cell>
          <cell r="GK1647">
            <v>13.082262702206542</v>
          </cell>
        </row>
        <row r="1648">
          <cell r="A1648">
            <v>41766</v>
          </cell>
          <cell r="FR1648">
            <v>19.726173690115782</v>
          </cell>
          <cell r="FS1648">
            <v>22.314663874962239</v>
          </cell>
          <cell r="FT1648">
            <v>20.116606119778133</v>
          </cell>
          <cell r="FU1648">
            <v>17.065595346429742</v>
          </cell>
          <cell r="FV1648">
            <v>23.167616893126525</v>
          </cell>
          <cell r="GG1648">
            <v>9.0578605077188392</v>
          </cell>
          <cell r="GH1648">
            <v>13.982143405445317</v>
          </cell>
          <cell r="GI1648">
            <v>10.408007395026372</v>
          </cell>
          <cell r="GJ1648">
            <v>7.7337520878462023</v>
          </cell>
          <cell r="GK1648">
            <v>13.082262702206542</v>
          </cell>
        </row>
        <row r="1649">
          <cell r="A1649">
            <v>41767</v>
          </cell>
          <cell r="FR1649">
            <v>19.632954373606491</v>
          </cell>
          <cell r="FS1649">
            <v>22.314663874962239</v>
          </cell>
          <cell r="FT1649">
            <v>20.116606119778133</v>
          </cell>
          <cell r="FU1649">
            <v>17.065595346429742</v>
          </cell>
          <cell r="FV1649">
            <v>23.167616893126525</v>
          </cell>
          <cell r="GG1649">
            <v>8.9834118391608442</v>
          </cell>
          <cell r="GH1649">
            <v>13.982143405445317</v>
          </cell>
          <cell r="GI1649">
            <v>10.408007395026372</v>
          </cell>
          <cell r="GJ1649">
            <v>7.7337520878462023</v>
          </cell>
          <cell r="GK1649">
            <v>13.082262702206542</v>
          </cell>
        </row>
        <row r="1650">
          <cell r="A1650">
            <v>41768</v>
          </cell>
          <cell r="FR1650">
            <v>19.864239011504267</v>
          </cell>
          <cell r="FS1650">
            <v>22.314663874962239</v>
          </cell>
          <cell r="FT1650">
            <v>20.116606119778133</v>
          </cell>
          <cell r="FU1650">
            <v>17.065595346429742</v>
          </cell>
          <cell r="FV1650">
            <v>23.167616893126525</v>
          </cell>
          <cell r="GG1650">
            <v>9.0180443504826844</v>
          </cell>
          <cell r="GH1650">
            <v>13.982143405445317</v>
          </cell>
          <cell r="GI1650">
            <v>10.408007395026372</v>
          </cell>
          <cell r="GJ1650">
            <v>7.7337520878462023</v>
          </cell>
          <cell r="GK1650">
            <v>13.082262702206542</v>
          </cell>
        </row>
        <row r="1651">
          <cell r="A1651">
            <v>41771</v>
          </cell>
          <cell r="FR1651">
            <v>20.020585364337212</v>
          </cell>
          <cell r="FS1651">
            <v>22.314663874962239</v>
          </cell>
          <cell r="FT1651">
            <v>20.116606119778133</v>
          </cell>
          <cell r="FU1651">
            <v>17.065595346429742</v>
          </cell>
          <cell r="FV1651">
            <v>23.167616893126525</v>
          </cell>
          <cell r="GG1651">
            <v>9.0719641584790551</v>
          </cell>
          <cell r="GH1651">
            <v>13.982143405445317</v>
          </cell>
          <cell r="GI1651">
            <v>10.408007395026372</v>
          </cell>
          <cell r="GJ1651">
            <v>7.7337520878462023</v>
          </cell>
          <cell r="GK1651">
            <v>13.082262702206542</v>
          </cell>
        </row>
        <row r="1652">
          <cell r="A1652">
            <v>41772</v>
          </cell>
          <cell r="FR1652">
            <v>19.77730898230763</v>
          </cell>
          <cell r="FS1652">
            <v>22.314663874962239</v>
          </cell>
          <cell r="FT1652">
            <v>20.116606119778133</v>
          </cell>
          <cell r="FU1652">
            <v>17.065595346429742</v>
          </cell>
          <cell r="FV1652">
            <v>23.167616893126525</v>
          </cell>
          <cell r="GG1652">
            <v>9.1957662680628118</v>
          </cell>
          <cell r="GH1652">
            <v>13.982143405445317</v>
          </cell>
          <cell r="GI1652">
            <v>10.408007395026372</v>
          </cell>
          <cell r="GJ1652">
            <v>7.7337520878462023</v>
          </cell>
          <cell r="GK1652">
            <v>13.082262702206542</v>
          </cell>
        </row>
        <row r="1653">
          <cell r="A1653">
            <v>41773</v>
          </cell>
          <cell r="FR1653">
            <v>19.786703578929423</v>
          </cell>
          <cell r="FS1653">
            <v>22.314663874962239</v>
          </cell>
          <cell r="FT1653">
            <v>20.116606119778133</v>
          </cell>
          <cell r="FU1653">
            <v>17.065595346429742</v>
          </cell>
          <cell r="FV1653">
            <v>23.167616893126525</v>
          </cell>
          <cell r="GG1653">
            <v>9.1481544204890159</v>
          </cell>
          <cell r="GH1653">
            <v>13.982143405445317</v>
          </cell>
          <cell r="GI1653">
            <v>10.408007395026372</v>
          </cell>
          <cell r="GJ1653">
            <v>7.7337520878462023</v>
          </cell>
          <cell r="GK1653">
            <v>13.082262702206542</v>
          </cell>
        </row>
        <row r="1654">
          <cell r="A1654">
            <v>41774</v>
          </cell>
          <cell r="FR1654">
            <v>19.916237352212857</v>
          </cell>
          <cell r="FS1654">
            <v>22.314663874962239</v>
          </cell>
          <cell r="FT1654">
            <v>20.116606119778133</v>
          </cell>
          <cell r="FU1654">
            <v>17.065595346429742</v>
          </cell>
          <cell r="FV1654">
            <v>23.167616893126525</v>
          </cell>
          <cell r="GG1654">
            <v>9.0751593185426795</v>
          </cell>
          <cell r="GH1654">
            <v>13.982143405445317</v>
          </cell>
          <cell r="GI1654">
            <v>10.408007395026372</v>
          </cell>
          <cell r="GJ1654">
            <v>7.7337520878462023</v>
          </cell>
          <cell r="GK1654">
            <v>13.082262702206542</v>
          </cell>
        </row>
        <row r="1655">
          <cell r="A1655">
            <v>41775</v>
          </cell>
          <cell r="FR1655">
            <v>20.071760477554236</v>
          </cell>
          <cell r="FS1655">
            <v>22.314663874962239</v>
          </cell>
          <cell r="FT1655">
            <v>20.116606119778133</v>
          </cell>
          <cell r="FU1655">
            <v>17.065595346429742</v>
          </cell>
          <cell r="FV1655">
            <v>23.167616893126525</v>
          </cell>
          <cell r="GG1655">
            <v>9.1441937782156408</v>
          </cell>
          <cell r="GH1655">
            <v>13.982143405445317</v>
          </cell>
          <cell r="GI1655">
            <v>10.408007395026372</v>
          </cell>
          <cell r="GJ1655">
            <v>7.7337520878462023</v>
          </cell>
          <cell r="GK1655">
            <v>13.082262702206542</v>
          </cell>
        </row>
        <row r="1656">
          <cell r="A1656">
            <v>41778</v>
          </cell>
          <cell r="FR1656">
            <v>20.160604907321584</v>
          </cell>
          <cell r="FS1656">
            <v>22.314663874962239</v>
          </cell>
          <cell r="FT1656">
            <v>20.116606119778133</v>
          </cell>
          <cell r="FU1656">
            <v>17.065595346429742</v>
          </cell>
          <cell r="FV1656">
            <v>23.167616893126525</v>
          </cell>
          <cell r="GG1656">
            <v>9.1725523095183199</v>
          </cell>
          <cell r="GH1656">
            <v>13.982143405445317</v>
          </cell>
          <cell r="GI1656">
            <v>10.408007395026372</v>
          </cell>
          <cell r="GJ1656">
            <v>7.7337520878462023</v>
          </cell>
          <cell r="GK1656">
            <v>13.082262702206542</v>
          </cell>
        </row>
        <row r="1657">
          <cell r="A1657">
            <v>41779</v>
          </cell>
          <cell r="FR1657">
            <v>19.858509322842888</v>
          </cell>
          <cell r="FS1657">
            <v>22.314663874962239</v>
          </cell>
          <cell r="FT1657">
            <v>20.116606119778133</v>
          </cell>
          <cell r="FU1657">
            <v>17.065595346429742</v>
          </cell>
          <cell r="FV1657">
            <v>23.167616893126525</v>
          </cell>
          <cell r="GG1657">
            <v>9.1880178341792611</v>
          </cell>
          <cell r="GH1657">
            <v>13.982143405445317</v>
          </cell>
          <cell r="GI1657">
            <v>10.408007395026372</v>
          </cell>
          <cell r="GJ1657">
            <v>7.7337520878462023</v>
          </cell>
          <cell r="GK1657">
            <v>13.082262702206542</v>
          </cell>
        </row>
        <row r="1658">
          <cell r="A1658">
            <v>41780</v>
          </cell>
          <cell r="FR1658">
            <v>19.795465475331209</v>
          </cell>
          <cell r="FS1658">
            <v>22.314663874962239</v>
          </cell>
          <cell r="FT1658">
            <v>20.116606119778133</v>
          </cell>
          <cell r="FU1658">
            <v>17.065595346429742</v>
          </cell>
          <cell r="FV1658">
            <v>23.167616893126525</v>
          </cell>
          <cell r="GG1658">
            <v>9.1363174523611352</v>
          </cell>
          <cell r="GH1658">
            <v>13.982143405445317</v>
          </cell>
          <cell r="GI1658">
            <v>10.408007395026372</v>
          </cell>
          <cell r="GJ1658">
            <v>7.7337520878462023</v>
          </cell>
          <cell r="GK1658">
            <v>13.082262702206542</v>
          </cell>
        </row>
        <row r="1659">
          <cell r="A1659">
            <v>41781</v>
          </cell>
          <cell r="FR1659">
            <v>19.931620804029027</v>
          </cell>
          <cell r="FS1659">
            <v>22.314663874962239</v>
          </cell>
          <cell r="FT1659">
            <v>20.116606119778133</v>
          </cell>
          <cell r="FU1659">
            <v>17.065595346429742</v>
          </cell>
          <cell r="FV1659">
            <v>23.167616893126525</v>
          </cell>
          <cell r="GG1659">
            <v>9.4726469576090704</v>
          </cell>
          <cell r="GH1659">
            <v>13.982143405445317</v>
          </cell>
          <cell r="GI1659">
            <v>10.408007395026372</v>
          </cell>
          <cell r="GJ1659">
            <v>7.7337520878462023</v>
          </cell>
          <cell r="GK1659">
            <v>13.082262702206542</v>
          </cell>
        </row>
        <row r="1660">
          <cell r="A1660">
            <v>41782</v>
          </cell>
          <cell r="FR1660">
            <v>19.949302945331482</v>
          </cell>
          <cell r="FS1660">
            <v>22.314663874962239</v>
          </cell>
          <cell r="FT1660">
            <v>20.116606119778133</v>
          </cell>
          <cell r="FU1660">
            <v>17.065595346429742</v>
          </cell>
          <cell r="FV1660">
            <v>23.167616893126525</v>
          </cell>
          <cell r="GG1660">
            <v>9.5202001382773851</v>
          </cell>
          <cell r="GH1660">
            <v>13.982143405445317</v>
          </cell>
          <cell r="GI1660">
            <v>10.408007395026372</v>
          </cell>
          <cell r="GJ1660">
            <v>7.7337520878462023</v>
          </cell>
          <cell r="GK1660">
            <v>13.082262702206542</v>
          </cell>
        </row>
        <row r="1661">
          <cell r="A1661">
            <v>41785</v>
          </cell>
          <cell r="FR1661">
            <v>19.949302945331482</v>
          </cell>
          <cell r="FS1661">
            <v>22.314663874962239</v>
          </cell>
          <cell r="FT1661">
            <v>20.116606119778133</v>
          </cell>
          <cell r="FU1661">
            <v>17.065595346429742</v>
          </cell>
          <cell r="FV1661">
            <v>23.167616893126525</v>
          </cell>
          <cell r="GG1661">
            <v>9.5202001382773851</v>
          </cell>
          <cell r="GH1661">
            <v>13.982143405445317</v>
          </cell>
          <cell r="GI1661">
            <v>10.408007395026372</v>
          </cell>
          <cell r="GJ1661">
            <v>7.7337520878462023</v>
          </cell>
          <cell r="GK1661">
            <v>13.082262702206542</v>
          </cell>
        </row>
        <row r="1662">
          <cell r="A1662">
            <v>41786</v>
          </cell>
          <cell r="FR1662">
            <v>20.311698895365438</v>
          </cell>
          <cell r="FS1662">
            <v>22.314663874962239</v>
          </cell>
          <cell r="FT1662">
            <v>20.116606119778133</v>
          </cell>
          <cell r="FU1662">
            <v>17.065595346429742</v>
          </cell>
          <cell r="FV1662">
            <v>23.167616893126525</v>
          </cell>
          <cell r="GG1662">
            <v>9.7579750242856331</v>
          </cell>
          <cell r="GH1662">
            <v>13.982143405445317</v>
          </cell>
          <cell r="GI1662">
            <v>10.408007395026372</v>
          </cell>
          <cell r="GJ1662">
            <v>7.7337520878462023</v>
          </cell>
          <cell r="GK1662">
            <v>13.082262702206542</v>
          </cell>
        </row>
        <row r="1663">
          <cell r="A1663">
            <v>41787</v>
          </cell>
          <cell r="FR1663">
            <v>20.357170385606807</v>
          </cell>
          <cell r="FS1663">
            <v>22.314663874962239</v>
          </cell>
          <cell r="FT1663">
            <v>20.116606119778133</v>
          </cell>
          <cell r="FU1663">
            <v>17.065595346429742</v>
          </cell>
          <cell r="FV1663">
            <v>23.167616893126525</v>
          </cell>
          <cell r="GG1663">
            <v>9.726273079970813</v>
          </cell>
          <cell r="GH1663">
            <v>13.982143405445317</v>
          </cell>
          <cell r="GI1663">
            <v>10.408007395026372</v>
          </cell>
          <cell r="GJ1663">
            <v>7.7337520878462023</v>
          </cell>
          <cell r="GK1663">
            <v>13.082262702206542</v>
          </cell>
        </row>
        <row r="1664">
          <cell r="A1664">
            <v>41788</v>
          </cell>
          <cell r="FR1664">
            <v>20.366005380258962</v>
          </cell>
          <cell r="FS1664">
            <v>22.314663874962239</v>
          </cell>
          <cell r="FT1664">
            <v>20.116606119778133</v>
          </cell>
          <cell r="FU1664">
            <v>17.065595346429742</v>
          </cell>
          <cell r="FV1664">
            <v>23.167616893126525</v>
          </cell>
          <cell r="GG1664">
            <v>9.726273079970813</v>
          </cell>
          <cell r="GH1664">
            <v>13.982143405445317</v>
          </cell>
          <cell r="GI1664">
            <v>10.408007395026372</v>
          </cell>
          <cell r="GJ1664">
            <v>7.7337520878462023</v>
          </cell>
          <cell r="GK1664">
            <v>13.082262702206542</v>
          </cell>
        </row>
        <row r="1665">
          <cell r="A1665">
            <v>41789</v>
          </cell>
          <cell r="FR1665">
            <v>20.300552017237518</v>
          </cell>
          <cell r="FS1665">
            <v>22.314663874962239</v>
          </cell>
          <cell r="FT1665">
            <v>20.116606119778133</v>
          </cell>
          <cell r="FU1665">
            <v>17.065595346429742</v>
          </cell>
          <cell r="FV1665">
            <v>23.167616893126525</v>
          </cell>
          <cell r="GG1665">
            <v>9.5875905780218904</v>
          </cell>
          <cell r="GH1665">
            <v>13.982143405445317</v>
          </cell>
          <cell r="GI1665">
            <v>10.408007395026372</v>
          </cell>
          <cell r="GJ1665">
            <v>7.7337520878462023</v>
          </cell>
          <cell r="GK1665">
            <v>13.082262702206542</v>
          </cell>
        </row>
        <row r="1666">
          <cell r="A1666">
            <v>41792</v>
          </cell>
          <cell r="FR1666">
            <v>20.016822733091342</v>
          </cell>
          <cell r="FS1666">
            <v>22.314663874962239</v>
          </cell>
          <cell r="FT1666">
            <v>20.116606119778133</v>
          </cell>
          <cell r="FU1666">
            <v>17.065595346429742</v>
          </cell>
          <cell r="FV1666">
            <v>23.167616893126525</v>
          </cell>
          <cell r="GG1666">
            <v>9.5142175322576001</v>
          </cell>
          <cell r="GH1666">
            <v>13.982143405445317</v>
          </cell>
          <cell r="GI1666">
            <v>10.408007395026372</v>
          </cell>
          <cell r="GJ1666">
            <v>7.7337520878462023</v>
          </cell>
          <cell r="GK1666">
            <v>13.082262702206542</v>
          </cell>
        </row>
        <row r="1667">
          <cell r="A1667">
            <v>41793</v>
          </cell>
          <cell r="FR1667">
            <v>19.920376312974554</v>
          </cell>
          <cell r="FS1667">
            <v>22.314663874962239</v>
          </cell>
          <cell r="FT1667">
            <v>20.116606119778133</v>
          </cell>
          <cell r="FU1667">
            <v>17.065595346429742</v>
          </cell>
          <cell r="FV1667">
            <v>23.167616893126525</v>
          </cell>
          <cell r="GG1667">
            <v>9.5974840430917325</v>
          </cell>
          <cell r="GH1667">
            <v>13.982143405445317</v>
          </cell>
          <cell r="GI1667">
            <v>10.408007395026372</v>
          </cell>
          <cell r="GJ1667">
            <v>7.7337520878462023</v>
          </cell>
          <cell r="GK1667">
            <v>13.082262702206542</v>
          </cell>
        </row>
        <row r="1668">
          <cell r="A1668">
            <v>41794</v>
          </cell>
          <cell r="FR1668">
            <v>20.113269153208126</v>
          </cell>
          <cell r="FS1668">
            <v>22.314663874962239</v>
          </cell>
          <cell r="FT1668">
            <v>20.116606119778133</v>
          </cell>
          <cell r="FU1668">
            <v>17.065595346429742</v>
          </cell>
          <cell r="FV1668">
            <v>23.167616893126525</v>
          </cell>
          <cell r="GG1668">
            <v>9.3476912758664863</v>
          </cell>
          <cell r="GH1668">
            <v>13.982143405445317</v>
          </cell>
          <cell r="GI1668">
            <v>10.408007395026372</v>
          </cell>
          <cell r="GJ1668">
            <v>7.7337520878462023</v>
          </cell>
          <cell r="GK1668">
            <v>13.082262702206542</v>
          </cell>
        </row>
        <row r="1669">
          <cell r="A1669">
            <v>41795</v>
          </cell>
          <cell r="FR1669">
            <v>20.227254633769967</v>
          </cell>
          <cell r="FS1669">
            <v>22.314663874962239</v>
          </cell>
          <cell r="FT1669">
            <v>20.116606119778133</v>
          </cell>
          <cell r="FU1669">
            <v>17.065595346429742</v>
          </cell>
          <cell r="FV1669">
            <v>23.167616893126525</v>
          </cell>
          <cell r="GG1669">
            <v>9.5662612482034142</v>
          </cell>
          <cell r="GH1669">
            <v>13.982143405445317</v>
          </cell>
          <cell r="GI1669">
            <v>10.408007395026372</v>
          </cell>
          <cell r="GJ1669">
            <v>7.7337520878462023</v>
          </cell>
          <cell r="GK1669">
            <v>13.082262702206542</v>
          </cell>
        </row>
        <row r="1670">
          <cell r="A1670">
            <v>41796</v>
          </cell>
          <cell r="FR1670">
            <v>20.277725176652112</v>
          </cell>
          <cell r="FS1670">
            <v>22.314663874962239</v>
          </cell>
          <cell r="FT1670">
            <v>20.116606119778133</v>
          </cell>
          <cell r="FU1670">
            <v>17.065595346429742</v>
          </cell>
          <cell r="FV1670">
            <v>23.167616893126525</v>
          </cell>
          <cell r="GG1670">
            <v>9.5376303998027527</v>
          </cell>
          <cell r="GH1670">
            <v>13.982143405445317</v>
          </cell>
          <cell r="GI1670">
            <v>10.408007395026372</v>
          </cell>
          <cell r="GJ1670">
            <v>7.7337520878462023</v>
          </cell>
          <cell r="GK1670">
            <v>13.082262702206542</v>
          </cell>
        </row>
        <row r="1671">
          <cell r="A1671">
            <v>41799</v>
          </cell>
          <cell r="FR1671">
            <v>20.295262391948519</v>
          </cell>
          <cell r="FS1671">
            <v>22.314663874962239</v>
          </cell>
          <cell r="FT1671">
            <v>20.116606119778133</v>
          </cell>
          <cell r="FU1671">
            <v>17.065595346429742</v>
          </cell>
          <cell r="FV1671">
            <v>23.167616893126525</v>
          </cell>
          <cell r="GG1671">
            <v>9.5324303649354789</v>
          </cell>
          <cell r="GH1671">
            <v>13.982143405445317</v>
          </cell>
          <cell r="GI1671">
            <v>10.408007395026372</v>
          </cell>
          <cell r="GJ1671">
            <v>7.7337520878462023</v>
          </cell>
          <cell r="GK1671">
            <v>13.082262702206542</v>
          </cell>
        </row>
        <row r="1672">
          <cell r="A1672">
            <v>41800</v>
          </cell>
          <cell r="FR1672">
            <v>20.30402486279873</v>
          </cell>
          <cell r="FS1672">
            <v>22.314663874962239</v>
          </cell>
          <cell r="FT1672">
            <v>20.116606119778133</v>
          </cell>
          <cell r="FU1672">
            <v>17.065595346429742</v>
          </cell>
          <cell r="FV1672">
            <v>23.167616893126525</v>
          </cell>
          <cell r="GG1672">
            <v>9.6026633521198335</v>
          </cell>
          <cell r="GH1672">
            <v>13.982143405445317</v>
          </cell>
          <cell r="GI1672">
            <v>10.408007395026372</v>
          </cell>
          <cell r="GJ1672">
            <v>7.7337520878462023</v>
          </cell>
          <cell r="GK1672">
            <v>13.082262702206542</v>
          </cell>
        </row>
        <row r="1673">
          <cell r="A1673">
            <v>41801</v>
          </cell>
          <cell r="FR1673">
            <v>20.569918456817188</v>
          </cell>
          <cell r="FS1673">
            <v>22.314663874962239</v>
          </cell>
          <cell r="FT1673">
            <v>20.116606119778133</v>
          </cell>
          <cell r="FU1673">
            <v>17.065595346429742</v>
          </cell>
          <cell r="FV1673">
            <v>23.167616893126525</v>
          </cell>
          <cell r="GG1673">
            <v>9.6492197517518381</v>
          </cell>
          <cell r="GH1673">
            <v>13.982143405445317</v>
          </cell>
          <cell r="GI1673">
            <v>10.408007395026372</v>
          </cell>
          <cell r="GJ1673">
            <v>7.7337520878462023</v>
          </cell>
          <cell r="GK1673">
            <v>13.082262702206542</v>
          </cell>
        </row>
        <row r="1674">
          <cell r="A1674">
            <v>41802</v>
          </cell>
          <cell r="FR1674">
            <v>20.631301183691367</v>
          </cell>
          <cell r="FS1674">
            <v>22.314663874962239</v>
          </cell>
          <cell r="FT1674">
            <v>20.116606119778133</v>
          </cell>
          <cell r="FU1674">
            <v>17.065595346429742</v>
          </cell>
          <cell r="FV1674">
            <v>23.167616893126525</v>
          </cell>
          <cell r="GG1674">
            <v>9.7688427334527432</v>
          </cell>
          <cell r="GH1674">
            <v>13.982143405445317</v>
          </cell>
          <cell r="GI1674">
            <v>10.408007395026372</v>
          </cell>
          <cell r="GJ1674">
            <v>7.7337520878462023</v>
          </cell>
          <cell r="GK1674">
            <v>13.082262702206542</v>
          </cell>
        </row>
        <row r="1675">
          <cell r="A1675">
            <v>41803</v>
          </cell>
          <cell r="FR1675">
            <v>20.499772029811488</v>
          </cell>
          <cell r="FS1675">
            <v>22.314663874962239</v>
          </cell>
          <cell r="FT1675">
            <v>20.116606119778133</v>
          </cell>
          <cell r="FU1675">
            <v>17.065595346429742</v>
          </cell>
          <cell r="FV1675">
            <v>23.167616893126525</v>
          </cell>
          <cell r="GG1675">
            <v>9.8000477110745674</v>
          </cell>
          <cell r="GH1675">
            <v>13.982143405445317</v>
          </cell>
          <cell r="GI1675">
            <v>10.408007395026372</v>
          </cell>
          <cell r="GJ1675">
            <v>7.7337520878462023</v>
          </cell>
          <cell r="GK1675">
            <v>13.082262702206542</v>
          </cell>
        </row>
        <row r="1676">
          <cell r="A1676">
            <v>41806</v>
          </cell>
          <cell r="FR1676">
            <v>20.535273555565293</v>
          </cell>
          <cell r="FS1676">
            <v>22.314663874962239</v>
          </cell>
          <cell r="FT1676">
            <v>20.116606119778133</v>
          </cell>
          <cell r="FU1676">
            <v>17.065595346429742</v>
          </cell>
          <cell r="FV1676">
            <v>23.167616893126525</v>
          </cell>
          <cell r="GG1676">
            <v>9.7194313414826699</v>
          </cell>
          <cell r="GH1676">
            <v>13.982143405445317</v>
          </cell>
          <cell r="GI1676">
            <v>10.408007395026372</v>
          </cell>
          <cell r="GJ1676">
            <v>7.7337520878462023</v>
          </cell>
          <cell r="GK1676">
            <v>13.082262702206542</v>
          </cell>
        </row>
        <row r="1677">
          <cell r="A1677">
            <v>41807</v>
          </cell>
          <cell r="FR1677">
            <v>20.604098044712316</v>
          </cell>
          <cell r="FS1677">
            <v>22.314663874962239</v>
          </cell>
          <cell r="FT1677">
            <v>20.116606119778133</v>
          </cell>
          <cell r="FU1677">
            <v>17.065595346429742</v>
          </cell>
          <cell r="FV1677">
            <v>23.167616893126525</v>
          </cell>
          <cell r="GG1677">
            <v>9.7897073124906928</v>
          </cell>
          <cell r="GH1677">
            <v>13.982143405445317</v>
          </cell>
          <cell r="GI1677">
            <v>10.408007395026372</v>
          </cell>
          <cell r="GJ1677">
            <v>7.7337520878462023</v>
          </cell>
          <cell r="GK1677">
            <v>13.082262702206542</v>
          </cell>
        </row>
        <row r="1678">
          <cell r="A1678">
            <v>41808</v>
          </cell>
          <cell r="FR1678">
            <v>21.199801142336536</v>
          </cell>
          <cell r="FS1678">
            <v>22.314663874962239</v>
          </cell>
          <cell r="FT1678">
            <v>20.116606119778133</v>
          </cell>
          <cell r="FU1678">
            <v>17.065595346429742</v>
          </cell>
          <cell r="FV1678">
            <v>23.167616893126525</v>
          </cell>
          <cell r="GG1678">
            <v>9.8313726685618992</v>
          </cell>
          <cell r="GH1678">
            <v>13.982143405445317</v>
          </cell>
          <cell r="GI1678">
            <v>10.408007395026372</v>
          </cell>
          <cell r="GJ1678">
            <v>7.7337520878462023</v>
          </cell>
          <cell r="GK1678">
            <v>13.082262702206542</v>
          </cell>
        </row>
        <row r="1679">
          <cell r="A1679">
            <v>41809</v>
          </cell>
          <cell r="FR1679">
            <v>21.243605017870912</v>
          </cell>
          <cell r="FS1679">
            <v>22.314663874962239</v>
          </cell>
          <cell r="FT1679">
            <v>20.116606119778133</v>
          </cell>
          <cell r="FU1679">
            <v>17.065595346429742</v>
          </cell>
          <cell r="FV1679">
            <v>23.167616893126525</v>
          </cell>
          <cell r="GG1679">
            <v>10.128234554740752</v>
          </cell>
          <cell r="GH1679">
            <v>13.982143405445317</v>
          </cell>
          <cell r="GI1679">
            <v>10.408007395026372</v>
          </cell>
          <cell r="GJ1679">
            <v>7.7337520878462023</v>
          </cell>
          <cell r="GK1679">
            <v>13.082262702206542</v>
          </cell>
        </row>
        <row r="1680">
          <cell r="A1680">
            <v>41810</v>
          </cell>
          <cell r="FR1680">
            <v>21.725408227626325</v>
          </cell>
          <cell r="FS1680">
            <v>22.314663874962239</v>
          </cell>
          <cell r="FT1680">
            <v>20.116606119778133</v>
          </cell>
          <cell r="FU1680">
            <v>17.065595346429742</v>
          </cell>
          <cell r="FV1680">
            <v>23.167616893126525</v>
          </cell>
          <cell r="GG1680">
            <v>10.029280766282445</v>
          </cell>
          <cell r="GH1680">
            <v>13.982143405445317</v>
          </cell>
          <cell r="GI1680">
            <v>10.408007395026372</v>
          </cell>
          <cell r="GJ1680">
            <v>7.7337520878462023</v>
          </cell>
          <cell r="GK1680">
            <v>13.082262702206542</v>
          </cell>
        </row>
        <row r="1681">
          <cell r="A1681">
            <v>41813</v>
          </cell>
          <cell r="FR1681">
            <v>21.226081014787304</v>
          </cell>
          <cell r="FS1681">
            <v>22.314663874962239</v>
          </cell>
          <cell r="FT1681">
            <v>20.116606119778133</v>
          </cell>
          <cell r="FU1681">
            <v>17.065595346429742</v>
          </cell>
          <cell r="FV1681">
            <v>23.167616893126525</v>
          </cell>
          <cell r="GG1681">
            <v>10.16468666346473</v>
          </cell>
          <cell r="GH1681">
            <v>13.982143405445317</v>
          </cell>
          <cell r="GI1681">
            <v>10.408007395026372</v>
          </cell>
          <cell r="GJ1681">
            <v>7.7337520878462023</v>
          </cell>
          <cell r="GK1681">
            <v>13.082262702206542</v>
          </cell>
        </row>
        <row r="1682">
          <cell r="A1682">
            <v>41814</v>
          </cell>
          <cell r="FR1682">
            <v>21.13261724050389</v>
          </cell>
          <cell r="FS1682">
            <v>22.314663874962239</v>
          </cell>
          <cell r="FT1682">
            <v>20.116606119778133</v>
          </cell>
          <cell r="FU1682">
            <v>17.065595346429742</v>
          </cell>
          <cell r="FV1682">
            <v>23.167616893126525</v>
          </cell>
          <cell r="GG1682">
            <v>10.086569198669544</v>
          </cell>
          <cell r="GH1682">
            <v>13.982143405445317</v>
          </cell>
          <cell r="GI1682">
            <v>10.408007395026372</v>
          </cell>
          <cell r="GJ1682">
            <v>7.7337520878462023</v>
          </cell>
          <cell r="GK1682">
            <v>13.082262702206542</v>
          </cell>
        </row>
        <row r="1683">
          <cell r="A1683">
            <v>41815</v>
          </cell>
          <cell r="FR1683">
            <v>21.211401458448229</v>
          </cell>
          <cell r="FS1683">
            <v>22.314663874962239</v>
          </cell>
          <cell r="FT1683">
            <v>20.116606119778133</v>
          </cell>
          <cell r="FU1683">
            <v>17.065595346429742</v>
          </cell>
          <cell r="FV1683">
            <v>23.167616893126525</v>
          </cell>
          <cell r="GG1683">
            <v>9.977197248379678</v>
          </cell>
          <cell r="GH1683">
            <v>13.982143405445317</v>
          </cell>
          <cell r="GI1683">
            <v>10.408007395026372</v>
          </cell>
          <cell r="GJ1683">
            <v>7.7337520878462023</v>
          </cell>
          <cell r="GK1683">
            <v>13.082262702206542</v>
          </cell>
        </row>
        <row r="1684">
          <cell r="A1684">
            <v>41816</v>
          </cell>
          <cell r="FR1684">
            <v>21.272673792578193</v>
          </cell>
          <cell r="FS1684">
            <v>22.314663874962239</v>
          </cell>
          <cell r="FT1684">
            <v>20.116606119778133</v>
          </cell>
          <cell r="FU1684">
            <v>17.065595346429742</v>
          </cell>
          <cell r="FV1684">
            <v>23.167616893126525</v>
          </cell>
          <cell r="GG1684">
            <v>9.9602743034883687</v>
          </cell>
          <cell r="GH1684">
            <v>13.982143405445317</v>
          </cell>
          <cell r="GI1684">
            <v>10.408007395026372</v>
          </cell>
          <cell r="GJ1684">
            <v>7.7337520878462023</v>
          </cell>
          <cell r="GK1684">
            <v>13.082262702206542</v>
          </cell>
        </row>
        <row r="1685">
          <cell r="A1685">
            <v>41817</v>
          </cell>
          <cell r="FR1685">
            <v>21.439006049146027</v>
          </cell>
          <cell r="FS1685">
            <v>22.314663874962239</v>
          </cell>
          <cell r="FT1685">
            <v>20.116606119778133</v>
          </cell>
          <cell r="FU1685">
            <v>17.065595346429742</v>
          </cell>
          <cell r="FV1685">
            <v>23.167616893126525</v>
          </cell>
          <cell r="GG1685">
            <v>10.051452310763406</v>
          </cell>
          <cell r="GH1685">
            <v>13.982143405445317</v>
          </cell>
          <cell r="GI1685">
            <v>10.408007395026372</v>
          </cell>
          <cell r="GJ1685">
            <v>7.7337520878462023</v>
          </cell>
          <cell r="GK1685">
            <v>13.082262702206542</v>
          </cell>
        </row>
        <row r="1686">
          <cell r="A1686">
            <v>41820</v>
          </cell>
          <cell r="FR1686">
            <v>21.403994537384769</v>
          </cell>
          <cell r="FS1686">
            <v>22.314663874962239</v>
          </cell>
          <cell r="FT1686">
            <v>20.116606119778133</v>
          </cell>
          <cell r="FU1686">
            <v>17.065595346429742</v>
          </cell>
          <cell r="FV1686">
            <v>23.167616893126525</v>
          </cell>
          <cell r="GG1686">
            <v>10.087918720397491</v>
          </cell>
          <cell r="GH1686">
            <v>13.982143405445317</v>
          </cell>
          <cell r="GI1686">
            <v>10.408007395026372</v>
          </cell>
          <cell r="GJ1686">
            <v>7.7337520878462023</v>
          </cell>
          <cell r="GK1686">
            <v>13.082262702206542</v>
          </cell>
        </row>
        <row r="1687">
          <cell r="A1687">
            <v>41821</v>
          </cell>
          <cell r="FR1687">
            <v>21.260948944188808</v>
          </cell>
          <cell r="FS1687">
            <v>22.314663874962239</v>
          </cell>
          <cell r="FT1687">
            <v>20.116606119778133</v>
          </cell>
          <cell r="FU1687">
            <v>17.065595346429742</v>
          </cell>
          <cell r="FV1687">
            <v>23.167616893126525</v>
          </cell>
          <cell r="GG1687">
            <v>9.9235146258415163</v>
          </cell>
          <cell r="GH1687">
            <v>13.982143405445317</v>
          </cell>
          <cell r="GI1687">
            <v>10.408007395026372</v>
          </cell>
          <cell r="GJ1687">
            <v>7.7337520878462023</v>
          </cell>
          <cell r="GK1687">
            <v>13.082262702206542</v>
          </cell>
        </row>
        <row r="1688">
          <cell r="A1688">
            <v>41822</v>
          </cell>
          <cell r="FR1688">
            <v>21.23009869754187</v>
          </cell>
          <cell r="FS1688">
            <v>22.314663874962239</v>
          </cell>
          <cell r="FT1688">
            <v>20.116606119778133</v>
          </cell>
          <cell r="FU1688">
            <v>17.065595346429742</v>
          </cell>
          <cell r="FV1688">
            <v>23.167616893126525</v>
          </cell>
          <cell r="GG1688">
            <v>9.9908047565328459</v>
          </cell>
          <cell r="GH1688">
            <v>13.982143405445317</v>
          </cell>
          <cell r="GI1688">
            <v>10.408007395026372</v>
          </cell>
          <cell r="GJ1688">
            <v>7.7337520878462023</v>
          </cell>
          <cell r="GK1688">
            <v>13.082262702206542</v>
          </cell>
        </row>
        <row r="1689">
          <cell r="A1689">
            <v>41823</v>
          </cell>
          <cell r="FR1689">
            <v>21.316921562954324</v>
          </cell>
          <cell r="FS1689">
            <v>22.314663874962239</v>
          </cell>
          <cell r="FT1689">
            <v>20.116606119778133</v>
          </cell>
          <cell r="FU1689">
            <v>17.065595346429742</v>
          </cell>
          <cell r="FV1689">
            <v>23.167616893126525</v>
          </cell>
          <cell r="GG1689">
            <v>10.071349419651474</v>
          </cell>
          <cell r="GH1689">
            <v>13.982143405445317</v>
          </cell>
          <cell r="GI1689">
            <v>10.408007395026372</v>
          </cell>
          <cell r="GJ1689">
            <v>7.7337520878462023</v>
          </cell>
          <cell r="GK1689">
            <v>13.082262702206542</v>
          </cell>
        </row>
        <row r="1690">
          <cell r="A1690">
            <v>41824</v>
          </cell>
          <cell r="FR1690">
            <v>21.316921562954324</v>
          </cell>
          <cell r="FS1690">
            <v>22.314663874962239</v>
          </cell>
          <cell r="FT1690">
            <v>20.116606119778133</v>
          </cell>
          <cell r="FU1690">
            <v>17.065595346429742</v>
          </cell>
          <cell r="FV1690">
            <v>23.167616893126525</v>
          </cell>
          <cell r="GG1690">
            <v>10.071349419651474</v>
          </cell>
          <cell r="GH1690">
            <v>13.982143405445317</v>
          </cell>
          <cell r="GI1690">
            <v>10.408007395026372</v>
          </cell>
          <cell r="GJ1690">
            <v>7.7337520878462023</v>
          </cell>
          <cell r="GK1690">
            <v>13.082262702206542</v>
          </cell>
        </row>
        <row r="1691">
          <cell r="A1691">
            <v>41827</v>
          </cell>
          <cell r="FR1691">
            <v>21.404702233602844</v>
          </cell>
          <cell r="FS1691">
            <v>22.314663874962239</v>
          </cell>
          <cell r="FT1691">
            <v>20.116606119778133</v>
          </cell>
          <cell r="FU1691">
            <v>17.065595346429742</v>
          </cell>
          <cell r="FV1691">
            <v>23.167616893126525</v>
          </cell>
          <cell r="GG1691">
            <v>10.068757436055456</v>
          </cell>
          <cell r="GH1691">
            <v>13.982143405445317</v>
          </cell>
          <cell r="GI1691">
            <v>10.408007395026372</v>
          </cell>
          <cell r="GJ1691">
            <v>7.7337520878462023</v>
          </cell>
          <cell r="GK1691">
            <v>13.082262702206542</v>
          </cell>
        </row>
        <row r="1692">
          <cell r="A1692">
            <v>41828</v>
          </cell>
          <cell r="FR1692">
            <v>21.302879102033149</v>
          </cell>
          <cell r="FS1692">
            <v>22.314663874962239</v>
          </cell>
          <cell r="FT1692">
            <v>20.116606119778133</v>
          </cell>
          <cell r="FU1692">
            <v>17.065595346429742</v>
          </cell>
          <cell r="FV1692">
            <v>23.167616893126525</v>
          </cell>
          <cell r="GG1692">
            <v>10.161972002168893</v>
          </cell>
          <cell r="GH1692">
            <v>13.982143405445317</v>
          </cell>
          <cell r="GI1692">
            <v>10.408007395026372</v>
          </cell>
          <cell r="GJ1692">
            <v>7.7337520878462023</v>
          </cell>
          <cell r="GK1692">
            <v>13.082262702206542</v>
          </cell>
        </row>
        <row r="1693">
          <cell r="A1693">
            <v>41829</v>
          </cell>
          <cell r="FR1693">
            <v>21.32893149079117</v>
          </cell>
          <cell r="FS1693">
            <v>22.314663874962239</v>
          </cell>
          <cell r="FT1693">
            <v>20.116606119778133</v>
          </cell>
          <cell r="FU1693">
            <v>17.065595346429742</v>
          </cell>
          <cell r="FV1693">
            <v>23.167616893126525</v>
          </cell>
          <cell r="GG1693">
            <v>10.112780762638184</v>
          </cell>
          <cell r="GH1693">
            <v>13.982143405445317</v>
          </cell>
          <cell r="GI1693">
            <v>10.408007395026372</v>
          </cell>
          <cell r="GJ1693">
            <v>7.7337520878462023</v>
          </cell>
          <cell r="GK1693">
            <v>13.082262702206542</v>
          </cell>
        </row>
        <row r="1694">
          <cell r="A1694">
            <v>41830</v>
          </cell>
          <cell r="FR1694">
            <v>21.285506790132235</v>
          </cell>
          <cell r="FS1694">
            <v>22.314663874962239</v>
          </cell>
          <cell r="FT1694">
            <v>20.116606119778133</v>
          </cell>
          <cell r="FU1694">
            <v>17.065595346429742</v>
          </cell>
          <cell r="FV1694">
            <v>23.167616893126525</v>
          </cell>
          <cell r="GG1694">
            <v>10.066652984889462</v>
          </cell>
          <cell r="GH1694">
            <v>13.982143405445317</v>
          </cell>
          <cell r="GI1694">
            <v>10.408007395026372</v>
          </cell>
          <cell r="GJ1694">
            <v>7.7337520878462023</v>
          </cell>
          <cell r="GK1694">
            <v>13.082262702206542</v>
          </cell>
        </row>
        <row r="1695">
          <cell r="A1695">
            <v>41831</v>
          </cell>
          <cell r="FR1695">
            <v>21.467871774554574</v>
          </cell>
          <cell r="FS1695">
            <v>22.314663874962239</v>
          </cell>
          <cell r="FT1695">
            <v>20.116606119778133</v>
          </cell>
          <cell r="FU1695">
            <v>17.065595346429742</v>
          </cell>
          <cell r="FV1695">
            <v>23.167616893126525</v>
          </cell>
          <cell r="GG1695">
            <v>10.007099212820769</v>
          </cell>
          <cell r="GH1695">
            <v>13.982143405445317</v>
          </cell>
          <cell r="GI1695">
            <v>10.408007395026372</v>
          </cell>
          <cell r="GJ1695">
            <v>7.7337520878462023</v>
          </cell>
          <cell r="GK1695">
            <v>13.082262702206542</v>
          </cell>
        </row>
        <row r="1696">
          <cell r="A1696">
            <v>41834</v>
          </cell>
          <cell r="FR1696">
            <v>21.791323548458536</v>
          </cell>
          <cell r="FS1696">
            <v>22.314663874962239</v>
          </cell>
          <cell r="FT1696">
            <v>20.116606119778133</v>
          </cell>
          <cell r="FU1696">
            <v>17.065595346429742</v>
          </cell>
          <cell r="FV1696">
            <v>23.167616893126525</v>
          </cell>
          <cell r="GG1696">
            <v>10.253291256613672</v>
          </cell>
          <cell r="GH1696">
            <v>13.982143405445317</v>
          </cell>
          <cell r="GI1696">
            <v>10.408007395026372</v>
          </cell>
          <cell r="GJ1696">
            <v>7.7337520878462023</v>
          </cell>
          <cell r="GK1696">
            <v>13.082262702206542</v>
          </cell>
        </row>
        <row r="1697">
          <cell r="A1697">
            <v>41835</v>
          </cell>
          <cell r="FR1697">
            <v>21.600322963160142</v>
          </cell>
          <cell r="FS1697">
            <v>22.314663874962239</v>
          </cell>
          <cell r="FT1697">
            <v>20.116606119778133</v>
          </cell>
          <cell r="FU1697">
            <v>17.065595346429742</v>
          </cell>
          <cell r="FV1697">
            <v>23.167616893126525</v>
          </cell>
          <cell r="GG1697">
            <v>10.263749850405372</v>
          </cell>
          <cell r="GH1697">
            <v>13.982143405445317</v>
          </cell>
          <cell r="GI1697">
            <v>10.408007395026372</v>
          </cell>
          <cell r="GJ1697">
            <v>7.7337520878462023</v>
          </cell>
          <cell r="GK1697">
            <v>13.082262702206542</v>
          </cell>
        </row>
        <row r="1698">
          <cell r="A1698">
            <v>41836</v>
          </cell>
          <cell r="FR1698">
            <v>21.548234735760502</v>
          </cell>
          <cell r="FS1698">
            <v>22.314663874962239</v>
          </cell>
          <cell r="FT1698">
            <v>20.116606119778133</v>
          </cell>
          <cell r="FU1698">
            <v>17.065595346429742</v>
          </cell>
          <cell r="FV1698">
            <v>23.167616893126525</v>
          </cell>
          <cell r="GG1698">
            <v>10.363082704072484</v>
          </cell>
          <cell r="GH1698">
            <v>13.982143405445317</v>
          </cell>
          <cell r="GI1698">
            <v>10.408007395026372</v>
          </cell>
          <cell r="GJ1698">
            <v>7.7337520878462023</v>
          </cell>
          <cell r="GK1698">
            <v>13.082262702206542</v>
          </cell>
        </row>
        <row r="1699">
          <cell r="A1699">
            <v>41837</v>
          </cell>
          <cell r="FR1699">
            <v>21.209644328142474</v>
          </cell>
          <cell r="FS1699">
            <v>22.314663874962239</v>
          </cell>
          <cell r="FT1699">
            <v>20.116606119778133</v>
          </cell>
          <cell r="FU1699">
            <v>17.065595346429742</v>
          </cell>
          <cell r="FV1699">
            <v>23.167616893126525</v>
          </cell>
          <cell r="GG1699">
            <v>10.378766150968621</v>
          </cell>
          <cell r="GH1699">
            <v>13.982143405445317</v>
          </cell>
          <cell r="GI1699">
            <v>10.408007395026372</v>
          </cell>
          <cell r="GJ1699">
            <v>7.7337520878462023</v>
          </cell>
          <cell r="GK1699">
            <v>13.082262702206542</v>
          </cell>
        </row>
        <row r="1700">
          <cell r="A1700">
            <v>41838</v>
          </cell>
          <cell r="FR1700">
            <v>21.860779727407913</v>
          </cell>
          <cell r="FS1700">
            <v>22.314663874962239</v>
          </cell>
          <cell r="FT1700">
            <v>20.116606119778133</v>
          </cell>
          <cell r="FU1700">
            <v>17.065595346429742</v>
          </cell>
          <cell r="FV1700">
            <v>23.167616893126525</v>
          </cell>
          <cell r="GG1700">
            <v>10.201016062820827</v>
          </cell>
          <cell r="GH1700">
            <v>13.982143405445317</v>
          </cell>
          <cell r="GI1700">
            <v>10.408007395026372</v>
          </cell>
          <cell r="GJ1700">
            <v>7.7337520878462023</v>
          </cell>
          <cell r="GK1700">
            <v>13.082262702206542</v>
          </cell>
        </row>
        <row r="1701">
          <cell r="A1701">
            <v>41841</v>
          </cell>
          <cell r="FR1701">
            <v>21.687146225478728</v>
          </cell>
          <cell r="FS1701">
            <v>22.314663874962239</v>
          </cell>
          <cell r="FT1701">
            <v>20.116606119778133</v>
          </cell>
          <cell r="FU1701">
            <v>17.065595346429742</v>
          </cell>
          <cell r="FV1701">
            <v>23.167616893126525</v>
          </cell>
          <cell r="GG1701">
            <v>10.462415557739599</v>
          </cell>
          <cell r="GH1701">
            <v>13.982143405445317</v>
          </cell>
          <cell r="GI1701">
            <v>10.408007395026372</v>
          </cell>
          <cell r="GJ1701">
            <v>7.7337520878462023</v>
          </cell>
          <cell r="GK1701">
            <v>13.082262702206542</v>
          </cell>
        </row>
        <row r="1702">
          <cell r="A1702">
            <v>41842</v>
          </cell>
          <cell r="FR1702">
            <v>21.643734594319433</v>
          </cell>
          <cell r="FS1702">
            <v>22.314663874962239</v>
          </cell>
          <cell r="FT1702">
            <v>20.116606119778133</v>
          </cell>
          <cell r="FU1702">
            <v>17.065595346429742</v>
          </cell>
          <cell r="FV1702">
            <v>23.167616893126525</v>
          </cell>
          <cell r="GG1702">
            <v>10.441499415754176</v>
          </cell>
          <cell r="GH1702">
            <v>13.982143405445317</v>
          </cell>
          <cell r="GI1702">
            <v>10.408007395026372</v>
          </cell>
          <cell r="GJ1702">
            <v>7.7337520878462023</v>
          </cell>
          <cell r="GK1702">
            <v>13.082262702206542</v>
          </cell>
        </row>
        <row r="1703">
          <cell r="A1703">
            <v>41843</v>
          </cell>
          <cell r="FR1703">
            <v>21.727256799897372</v>
          </cell>
          <cell r="FS1703">
            <v>22.314663874962239</v>
          </cell>
          <cell r="FT1703">
            <v>20.116606119778133</v>
          </cell>
          <cell r="FU1703">
            <v>17.065595346429742</v>
          </cell>
          <cell r="FV1703">
            <v>23.167616893126525</v>
          </cell>
          <cell r="GG1703">
            <v>10.45498013330293</v>
          </cell>
          <cell r="GH1703">
            <v>13.982143405445317</v>
          </cell>
          <cell r="GI1703">
            <v>10.408007395026372</v>
          </cell>
          <cell r="GJ1703">
            <v>7.7337520878462023</v>
          </cell>
          <cell r="GK1703">
            <v>13.082262702206542</v>
          </cell>
        </row>
        <row r="1704">
          <cell r="A1704">
            <v>41844</v>
          </cell>
          <cell r="FR1704">
            <v>21.597041690208563</v>
          </cell>
          <cell r="FS1704">
            <v>22.314663874962239</v>
          </cell>
          <cell r="FT1704">
            <v>20.116606119778133</v>
          </cell>
          <cell r="FU1704">
            <v>17.065595346429742</v>
          </cell>
          <cell r="FV1704">
            <v>23.167616893126525</v>
          </cell>
          <cell r="GG1704">
            <v>10.457587046264976</v>
          </cell>
          <cell r="GH1704">
            <v>13.982143405445317</v>
          </cell>
          <cell r="GI1704">
            <v>10.408007395026372</v>
          </cell>
          <cell r="GJ1704">
            <v>7.7337520878462023</v>
          </cell>
          <cell r="GK1704">
            <v>13.082262702206542</v>
          </cell>
        </row>
        <row r="1705">
          <cell r="A1705">
            <v>41845</v>
          </cell>
          <cell r="FR1705">
            <v>21.669187947108117</v>
          </cell>
          <cell r="FS1705">
            <v>22.314663874962239</v>
          </cell>
          <cell r="FT1705">
            <v>20.116606119778133</v>
          </cell>
          <cell r="FU1705">
            <v>17.065595346429742</v>
          </cell>
          <cell r="FV1705">
            <v>23.167616893126525</v>
          </cell>
          <cell r="GG1705">
            <v>10.415791805625771</v>
          </cell>
          <cell r="GH1705">
            <v>13.982143405445317</v>
          </cell>
          <cell r="GI1705">
            <v>10.408007395026372</v>
          </cell>
          <cell r="GJ1705">
            <v>7.7337520878462023</v>
          </cell>
          <cell r="GK1705">
            <v>13.082262702206542</v>
          </cell>
        </row>
        <row r="1706">
          <cell r="A1706">
            <v>41848</v>
          </cell>
          <cell r="FR1706">
            <v>21.605749681972728</v>
          </cell>
          <cell r="FS1706">
            <v>22.314663874962239</v>
          </cell>
          <cell r="FT1706">
            <v>20.116606119778133</v>
          </cell>
          <cell r="FU1706">
            <v>17.065595346429742</v>
          </cell>
          <cell r="FV1706">
            <v>23.167616893126525</v>
          </cell>
          <cell r="GG1706">
            <v>10.496767537530426</v>
          </cell>
          <cell r="GH1706">
            <v>13.982143405445317</v>
          </cell>
          <cell r="GI1706">
            <v>10.408007395026372</v>
          </cell>
          <cell r="GJ1706">
            <v>7.7337520878462023</v>
          </cell>
          <cell r="GK1706">
            <v>13.082262702206542</v>
          </cell>
        </row>
        <row r="1707">
          <cell r="A1707">
            <v>41849</v>
          </cell>
          <cell r="FR1707">
            <v>21.817073005193578</v>
          </cell>
          <cell r="FS1707">
            <v>22.314663874962239</v>
          </cell>
          <cell r="FT1707">
            <v>20.116606119778133</v>
          </cell>
          <cell r="FU1707">
            <v>17.065595346429742</v>
          </cell>
          <cell r="FV1707">
            <v>23.167616893126525</v>
          </cell>
          <cell r="GG1707">
            <v>10.436693605364953</v>
          </cell>
          <cell r="GH1707">
            <v>13.982143405445317</v>
          </cell>
          <cell r="GI1707">
            <v>10.408007395026372</v>
          </cell>
          <cell r="GJ1707">
            <v>7.7337520878462023</v>
          </cell>
          <cell r="GK1707">
            <v>13.082262702206542</v>
          </cell>
        </row>
        <row r="1708">
          <cell r="A1708">
            <v>41850</v>
          </cell>
          <cell r="FR1708">
            <v>21.248277916230354</v>
          </cell>
          <cell r="FS1708">
            <v>22.314663874962239</v>
          </cell>
          <cell r="FT1708">
            <v>20.116606119778133</v>
          </cell>
          <cell r="FU1708">
            <v>17.065595346429742</v>
          </cell>
          <cell r="FV1708">
            <v>23.167616893126525</v>
          </cell>
          <cell r="GG1708">
            <v>10.30412252317668</v>
          </cell>
          <cell r="GH1708">
            <v>13.982143405445317</v>
          </cell>
          <cell r="GI1708">
            <v>10.408007395026372</v>
          </cell>
          <cell r="GJ1708">
            <v>7.7337520878462023</v>
          </cell>
          <cell r="GK1708">
            <v>13.082262702206542</v>
          </cell>
        </row>
        <row r="1709">
          <cell r="A1709">
            <v>41851</v>
          </cell>
          <cell r="FR1709">
            <v>21.401798960573437</v>
          </cell>
          <cell r="FS1709">
            <v>22.314663874962239</v>
          </cell>
          <cell r="FT1709">
            <v>20.116606119778133</v>
          </cell>
          <cell r="FU1709">
            <v>17.065595346429742</v>
          </cell>
          <cell r="FV1709">
            <v>23.167616893126525</v>
          </cell>
          <cell r="GG1709">
            <v>10.211540698060112</v>
          </cell>
          <cell r="GH1709">
            <v>13.982143405445317</v>
          </cell>
          <cell r="GI1709">
            <v>10.408007395026372</v>
          </cell>
          <cell r="GJ1709">
            <v>7.7337520878462023</v>
          </cell>
          <cell r="GK1709">
            <v>13.082262702206542</v>
          </cell>
        </row>
        <row r="1710">
          <cell r="A1710">
            <v>41852</v>
          </cell>
          <cell r="FR1710">
            <v>20.838579213034091</v>
          </cell>
          <cell r="FS1710">
            <v>22.314663874962239</v>
          </cell>
          <cell r="FT1710">
            <v>20.116606119778133</v>
          </cell>
          <cell r="FU1710">
            <v>17.065595346429742</v>
          </cell>
          <cell r="FV1710">
            <v>23.167616893126525</v>
          </cell>
          <cell r="GG1710">
            <v>10.012414615930478</v>
          </cell>
          <cell r="GH1710">
            <v>13.982143405445317</v>
          </cell>
          <cell r="GI1710">
            <v>10.408007395026372</v>
          </cell>
          <cell r="GJ1710">
            <v>7.7337520878462023</v>
          </cell>
          <cell r="GK1710">
            <v>13.082262702206542</v>
          </cell>
        </row>
        <row r="1711">
          <cell r="A1711">
            <v>41855</v>
          </cell>
          <cell r="FR1711">
            <v>20.761476391351742</v>
          </cell>
          <cell r="FS1711">
            <v>22.314663874962239</v>
          </cell>
          <cell r="FT1711">
            <v>20.116606119778133</v>
          </cell>
          <cell r="FU1711">
            <v>17.065595346429742</v>
          </cell>
          <cell r="FV1711">
            <v>23.167616893126525</v>
          </cell>
          <cell r="GG1711">
            <v>9.8425645887283206</v>
          </cell>
          <cell r="GH1711">
            <v>13.982143405445317</v>
          </cell>
          <cell r="GI1711">
            <v>10.408007395026372</v>
          </cell>
          <cell r="GJ1711">
            <v>7.7337520878462023</v>
          </cell>
          <cell r="GK1711">
            <v>13.082262702206542</v>
          </cell>
        </row>
        <row r="1712">
          <cell r="A1712">
            <v>41856</v>
          </cell>
          <cell r="FR1712">
            <v>20.718400188377363</v>
          </cell>
          <cell r="FS1712">
            <v>22.314663874962239</v>
          </cell>
          <cell r="FT1712">
            <v>20.116606119778133</v>
          </cell>
          <cell r="FU1712">
            <v>17.065595346429742</v>
          </cell>
          <cell r="FV1712">
            <v>23.167616893126525</v>
          </cell>
          <cell r="GG1712">
            <v>9.8121444829286357</v>
          </cell>
          <cell r="GH1712">
            <v>13.982143405445317</v>
          </cell>
          <cell r="GI1712">
            <v>10.408007395026372</v>
          </cell>
          <cell r="GJ1712">
            <v>7.7337520878462023</v>
          </cell>
          <cell r="GK1712">
            <v>13.082262702206542</v>
          </cell>
        </row>
        <row r="1713">
          <cell r="A1713">
            <v>41857</v>
          </cell>
          <cell r="FR1713">
            <v>20.326158048322977</v>
          </cell>
          <cell r="FS1713">
            <v>22.314663874962239</v>
          </cell>
          <cell r="FT1713">
            <v>20.116606119778133</v>
          </cell>
          <cell r="FU1713">
            <v>17.065595346429742</v>
          </cell>
          <cell r="FV1713">
            <v>23.167616893126525</v>
          </cell>
          <cell r="GG1713">
            <v>9.7545698583427196</v>
          </cell>
          <cell r="GH1713">
            <v>13.982143405445317</v>
          </cell>
          <cell r="GI1713">
            <v>10.408007395026372</v>
          </cell>
          <cell r="GJ1713">
            <v>7.7337520878462023</v>
          </cell>
          <cell r="GK1713">
            <v>13.082262702206542</v>
          </cell>
        </row>
        <row r="1714">
          <cell r="A1714">
            <v>41858</v>
          </cell>
          <cell r="FR1714">
            <v>20.238789002732108</v>
          </cell>
          <cell r="FS1714">
            <v>22.314663874962239</v>
          </cell>
          <cell r="FT1714">
            <v>20.116606119778133</v>
          </cell>
          <cell r="FU1714">
            <v>17.065595346429742</v>
          </cell>
          <cell r="FV1714">
            <v>23.167616893126525</v>
          </cell>
          <cell r="GG1714">
            <v>9.6080495420986551</v>
          </cell>
          <cell r="GH1714">
            <v>13.982143405445317</v>
          </cell>
          <cell r="GI1714">
            <v>10.408007395026372</v>
          </cell>
          <cell r="GJ1714">
            <v>7.7337520878462023</v>
          </cell>
          <cell r="GK1714">
            <v>13.082262702206542</v>
          </cell>
        </row>
        <row r="1715">
          <cell r="A1715">
            <v>41859</v>
          </cell>
          <cell r="FR1715">
            <v>20.273640241838883</v>
          </cell>
          <cell r="FS1715">
            <v>22.314663874962239</v>
          </cell>
          <cell r="FT1715">
            <v>20.116606119778133</v>
          </cell>
          <cell r="FU1715">
            <v>17.065595346429742</v>
          </cell>
          <cell r="FV1715">
            <v>23.167616893126525</v>
          </cell>
          <cell r="GG1715">
            <v>9.5651098119595925</v>
          </cell>
          <cell r="GH1715">
            <v>13.982143405445317</v>
          </cell>
          <cell r="GI1715">
            <v>10.408007395026372</v>
          </cell>
          <cell r="GJ1715">
            <v>7.7337520878462023</v>
          </cell>
          <cell r="GK1715">
            <v>13.082262702206542</v>
          </cell>
        </row>
        <row r="1716">
          <cell r="A1716">
            <v>41862</v>
          </cell>
          <cell r="FR1716">
            <v>20.402821430008871</v>
          </cell>
          <cell r="FS1716">
            <v>22.314663874962239</v>
          </cell>
          <cell r="FT1716">
            <v>20.116606119778133</v>
          </cell>
          <cell r="FU1716">
            <v>17.065595346429742</v>
          </cell>
          <cell r="FV1716">
            <v>23.167616893126525</v>
          </cell>
          <cell r="GG1716">
            <v>9.6458993746715098</v>
          </cell>
          <cell r="GH1716">
            <v>13.982143405445317</v>
          </cell>
          <cell r="GI1716">
            <v>10.408007395026372</v>
          </cell>
          <cell r="GJ1716">
            <v>7.7337520878462023</v>
          </cell>
          <cell r="GK1716">
            <v>13.082262702206542</v>
          </cell>
        </row>
        <row r="1717">
          <cell r="A1717">
            <v>41863</v>
          </cell>
          <cell r="FR1717">
            <v>20.3167049441074</v>
          </cell>
          <cell r="FS1717">
            <v>22.314663874962239</v>
          </cell>
          <cell r="FT1717">
            <v>20.116606119778133</v>
          </cell>
          <cell r="FU1717">
            <v>17.065595346429742</v>
          </cell>
          <cell r="FV1717">
            <v>23.167616893126525</v>
          </cell>
          <cell r="GG1717">
            <v>9.6848552658153793</v>
          </cell>
          <cell r="GH1717">
            <v>13.982143405445317</v>
          </cell>
          <cell r="GI1717">
            <v>10.408007395026372</v>
          </cell>
          <cell r="GJ1717">
            <v>7.7337520878462023</v>
          </cell>
          <cell r="GK1717">
            <v>13.082262702206542</v>
          </cell>
        </row>
        <row r="1718">
          <cell r="A1718">
            <v>41864</v>
          </cell>
          <cell r="FR1718">
            <v>20.583687495336992</v>
          </cell>
          <cell r="FS1718">
            <v>22.314663874962239</v>
          </cell>
          <cell r="FT1718">
            <v>20.116606119778133</v>
          </cell>
          <cell r="FU1718">
            <v>17.065595346429742</v>
          </cell>
          <cell r="FV1718">
            <v>23.167616893126525</v>
          </cell>
          <cell r="GG1718">
            <v>9.6697210620995602</v>
          </cell>
          <cell r="GH1718">
            <v>13.982143405445317</v>
          </cell>
          <cell r="GI1718">
            <v>10.408007395026372</v>
          </cell>
          <cell r="GJ1718">
            <v>7.7337520878462023</v>
          </cell>
          <cell r="GK1718">
            <v>13.082262702206542</v>
          </cell>
        </row>
        <row r="1719">
          <cell r="A1719">
            <v>41865</v>
          </cell>
          <cell r="FR1719">
            <v>20.695653309756498</v>
          </cell>
          <cell r="FS1719">
            <v>22.314663874962239</v>
          </cell>
          <cell r="FT1719">
            <v>20.116606119778133</v>
          </cell>
          <cell r="FU1719">
            <v>17.065595346429742</v>
          </cell>
          <cell r="FV1719">
            <v>23.167616893126525</v>
          </cell>
          <cell r="GG1719">
            <v>9.7352997527565641</v>
          </cell>
          <cell r="GH1719">
            <v>13.982143405445317</v>
          </cell>
          <cell r="GI1719">
            <v>10.408007395026372</v>
          </cell>
          <cell r="GJ1719">
            <v>7.7337520878462023</v>
          </cell>
          <cell r="GK1719">
            <v>13.082262702206542</v>
          </cell>
        </row>
        <row r="1720">
          <cell r="A1720">
            <v>41866</v>
          </cell>
          <cell r="FR1720">
            <v>20.635360315101938</v>
          </cell>
          <cell r="FS1720">
            <v>22.314663874962239</v>
          </cell>
          <cell r="FT1720">
            <v>20.116606119778133</v>
          </cell>
          <cell r="FU1720">
            <v>17.065595346429742</v>
          </cell>
          <cell r="FV1720">
            <v>23.167616893126525</v>
          </cell>
          <cell r="GG1720">
            <v>9.7832268332327992</v>
          </cell>
          <cell r="GH1720">
            <v>13.982143405445317</v>
          </cell>
          <cell r="GI1720">
            <v>10.408007395026372</v>
          </cell>
          <cell r="GJ1720">
            <v>7.7337520878462023</v>
          </cell>
          <cell r="GK1720">
            <v>13.082262702206542</v>
          </cell>
        </row>
        <row r="1721">
          <cell r="A1721">
            <v>41869</v>
          </cell>
          <cell r="FR1721">
            <v>20.678425017370454</v>
          </cell>
          <cell r="FS1721">
            <v>22.314663874962239</v>
          </cell>
          <cell r="FT1721">
            <v>20.116606119778133</v>
          </cell>
          <cell r="FU1721">
            <v>17.065595346429742</v>
          </cell>
          <cell r="FV1721">
            <v>23.167616893126525</v>
          </cell>
          <cell r="GG1721">
            <v>9.8059278865613937</v>
          </cell>
          <cell r="GH1721">
            <v>13.982143405445317</v>
          </cell>
          <cell r="GI1721">
            <v>10.408007395026372</v>
          </cell>
          <cell r="GJ1721">
            <v>7.7337520878462023</v>
          </cell>
          <cell r="GK1721">
            <v>13.082262702206542</v>
          </cell>
        </row>
        <row r="1722">
          <cell r="A1722">
            <v>41870</v>
          </cell>
          <cell r="FR1722">
            <v>20.823519081781132</v>
          </cell>
          <cell r="FS1722">
            <v>22.314663874962239</v>
          </cell>
          <cell r="FT1722">
            <v>20.116606119778133</v>
          </cell>
          <cell r="FU1722">
            <v>17.065595346429742</v>
          </cell>
          <cell r="FV1722">
            <v>23.167616893126525</v>
          </cell>
          <cell r="GG1722">
            <v>9.8185446838122648</v>
          </cell>
          <cell r="GH1722">
            <v>13.982143405445317</v>
          </cell>
          <cell r="GI1722">
            <v>10.408007395026372</v>
          </cell>
          <cell r="GJ1722">
            <v>7.7337520878462023</v>
          </cell>
          <cell r="GK1722">
            <v>13.082262702206542</v>
          </cell>
        </row>
        <row r="1723">
          <cell r="A1723">
            <v>41871</v>
          </cell>
          <cell r="FR1723">
            <v>20.694399426113975</v>
          </cell>
          <cell r="FS1723">
            <v>22.314663874962239</v>
          </cell>
          <cell r="FT1723">
            <v>20.116606119778133</v>
          </cell>
          <cell r="FU1723">
            <v>17.065595346429742</v>
          </cell>
          <cell r="FV1723">
            <v>23.167616893126525</v>
          </cell>
          <cell r="GG1723">
            <v>9.9043075258231887</v>
          </cell>
          <cell r="GH1723">
            <v>13.982143405445317</v>
          </cell>
          <cell r="GI1723">
            <v>10.408007395026372</v>
          </cell>
          <cell r="GJ1723">
            <v>7.7337520878462023</v>
          </cell>
          <cell r="GK1723">
            <v>13.082262702206542</v>
          </cell>
        </row>
        <row r="1724">
          <cell r="A1724">
            <v>41872</v>
          </cell>
          <cell r="FR1724">
            <v>20.582486944047965</v>
          </cell>
          <cell r="FS1724">
            <v>22.314663874962239</v>
          </cell>
          <cell r="FT1724">
            <v>20.116606119778133</v>
          </cell>
          <cell r="FU1724">
            <v>17.065595346429742</v>
          </cell>
          <cell r="FV1724">
            <v>23.167616893126525</v>
          </cell>
          <cell r="GG1724">
            <v>9.9017825520041391</v>
          </cell>
          <cell r="GH1724">
            <v>13.982143405445317</v>
          </cell>
          <cell r="GI1724">
            <v>10.408007395026372</v>
          </cell>
          <cell r="GJ1724">
            <v>7.7337520878462023</v>
          </cell>
          <cell r="GK1724">
            <v>13.082262702206542</v>
          </cell>
        </row>
        <row r="1725">
          <cell r="A1725">
            <v>41873</v>
          </cell>
          <cell r="FR1725">
            <v>20.608311047347826</v>
          </cell>
          <cell r="FS1725">
            <v>22.314663874962239</v>
          </cell>
          <cell r="FT1725">
            <v>20.116606119778133</v>
          </cell>
          <cell r="FU1725">
            <v>17.065595346429742</v>
          </cell>
          <cell r="FV1725">
            <v>23.167616893126525</v>
          </cell>
          <cell r="GG1725">
            <v>9.863060644495425</v>
          </cell>
          <cell r="GH1725">
            <v>13.982143405445317</v>
          </cell>
          <cell r="GI1725">
            <v>10.408007395026372</v>
          </cell>
          <cell r="GJ1725">
            <v>7.7337520878462023</v>
          </cell>
          <cell r="GK1725">
            <v>13.082262702206542</v>
          </cell>
        </row>
        <row r="1726">
          <cell r="A1726">
            <v>41876</v>
          </cell>
          <cell r="FR1726">
            <v>20.668575322814114</v>
          </cell>
          <cell r="FS1726">
            <v>22.314663874962239</v>
          </cell>
          <cell r="FT1726">
            <v>20.116606119778133</v>
          </cell>
          <cell r="FU1726">
            <v>17.065595346429742</v>
          </cell>
          <cell r="FV1726">
            <v>23.167616893126525</v>
          </cell>
          <cell r="GG1726">
            <v>9.863060644495425</v>
          </cell>
          <cell r="GH1726">
            <v>13.982143405445317</v>
          </cell>
          <cell r="GI1726">
            <v>10.408007395026372</v>
          </cell>
          <cell r="GJ1726">
            <v>7.7337520878462023</v>
          </cell>
          <cell r="GK1726">
            <v>13.082262702206542</v>
          </cell>
        </row>
        <row r="1727">
          <cell r="A1727">
            <v>41877</v>
          </cell>
          <cell r="FR1727">
            <v>20.87517934003078</v>
          </cell>
          <cell r="FS1727">
            <v>22.314663874962239</v>
          </cell>
          <cell r="FT1727">
            <v>20.116606119778133</v>
          </cell>
          <cell r="FU1727">
            <v>17.065595346429742</v>
          </cell>
          <cell r="FV1727">
            <v>23.167616893126525</v>
          </cell>
          <cell r="GG1727">
            <v>9.9538724857790797</v>
          </cell>
          <cell r="GH1727">
            <v>13.982143405445317</v>
          </cell>
          <cell r="GI1727">
            <v>10.408007395026372</v>
          </cell>
          <cell r="GJ1727">
            <v>7.7337520878462023</v>
          </cell>
          <cell r="GK1727">
            <v>13.082262702206542</v>
          </cell>
        </row>
        <row r="1728">
          <cell r="A1728">
            <v>41878</v>
          </cell>
          <cell r="FR1728">
            <v>20.814915064564488</v>
          </cell>
          <cell r="FS1728">
            <v>22.314663874962239</v>
          </cell>
          <cell r="FT1728">
            <v>20.116606119778133</v>
          </cell>
          <cell r="FU1728">
            <v>17.065595346429742</v>
          </cell>
          <cell r="FV1728">
            <v>23.167616893126525</v>
          </cell>
          <cell r="GG1728">
            <v>10.047202239698613</v>
          </cell>
          <cell r="GH1728">
            <v>13.982143405445317</v>
          </cell>
          <cell r="GI1728">
            <v>10.408007395026372</v>
          </cell>
          <cell r="GJ1728">
            <v>7.7337520878462023</v>
          </cell>
          <cell r="GK1728">
            <v>13.082262702206542</v>
          </cell>
        </row>
        <row r="1729">
          <cell r="A1729">
            <v>41879</v>
          </cell>
          <cell r="FR1729">
            <v>20.69131705161125</v>
          </cell>
          <cell r="FS1729">
            <v>22.314663874962239</v>
          </cell>
          <cell r="FT1729">
            <v>20.116606119778133</v>
          </cell>
          <cell r="FU1729">
            <v>17.065595346429742</v>
          </cell>
          <cell r="FV1729">
            <v>23.167616893126525</v>
          </cell>
          <cell r="GG1729">
            <v>9.981615937909897</v>
          </cell>
          <cell r="GH1729">
            <v>13.982143405445317</v>
          </cell>
          <cell r="GI1729">
            <v>10.408007395026372</v>
          </cell>
          <cell r="GJ1729">
            <v>7.7337520878462023</v>
          </cell>
          <cell r="GK1729">
            <v>13.082262702206542</v>
          </cell>
        </row>
        <row r="1730">
          <cell r="A1730">
            <v>41880</v>
          </cell>
          <cell r="FR1730">
            <v>20.80755610536162</v>
          </cell>
          <cell r="FS1730">
            <v>22.314663874962239</v>
          </cell>
          <cell r="FT1730">
            <v>20.116606119778133</v>
          </cell>
          <cell r="FU1730">
            <v>17.065595346429742</v>
          </cell>
          <cell r="FV1730">
            <v>23.167616893126525</v>
          </cell>
          <cell r="GG1730">
            <v>10.039635385035108</v>
          </cell>
          <cell r="GH1730">
            <v>13.982143405445317</v>
          </cell>
          <cell r="GI1730">
            <v>10.408007395026372</v>
          </cell>
          <cell r="GJ1730">
            <v>7.7337520878462023</v>
          </cell>
          <cell r="GK1730">
            <v>13.082262702206542</v>
          </cell>
        </row>
        <row r="1731">
          <cell r="A1731">
            <v>41883</v>
          </cell>
          <cell r="FR1731">
            <v>20.633692313275287</v>
          </cell>
          <cell r="FS1731">
            <v>22.314663874962239</v>
          </cell>
          <cell r="FT1731">
            <v>20.116606119778133</v>
          </cell>
          <cell r="FU1731">
            <v>17.065595346429742</v>
          </cell>
          <cell r="FV1731">
            <v>23.167616893126525</v>
          </cell>
          <cell r="GG1731">
            <v>9.9786114279079019</v>
          </cell>
          <cell r="GH1731">
            <v>13.982143405445317</v>
          </cell>
          <cell r="GI1731">
            <v>10.408007395026372</v>
          </cell>
          <cell r="GJ1731">
            <v>7.7337520878462023</v>
          </cell>
          <cell r="GK1731">
            <v>13.082262702206542</v>
          </cell>
        </row>
        <row r="1732">
          <cell r="A1732">
            <v>41884</v>
          </cell>
          <cell r="FR1732">
            <v>20.603775226833548</v>
          </cell>
          <cell r="FS1732">
            <v>22.314663874962239</v>
          </cell>
          <cell r="FT1732">
            <v>20.116606119778133</v>
          </cell>
          <cell r="FU1732">
            <v>17.065595346429742</v>
          </cell>
          <cell r="FV1732">
            <v>23.167616893126525</v>
          </cell>
          <cell r="GG1732">
            <v>10.100903197498321</v>
          </cell>
          <cell r="GH1732">
            <v>13.982143405445317</v>
          </cell>
          <cell r="GI1732">
            <v>10.408007395026372</v>
          </cell>
          <cell r="GJ1732">
            <v>7.7337520878462023</v>
          </cell>
          <cell r="GK1732">
            <v>13.082262702206542</v>
          </cell>
        </row>
        <row r="1733">
          <cell r="A1733">
            <v>41885</v>
          </cell>
          <cell r="FR1733">
            <v>20.652584346342504</v>
          </cell>
          <cell r="FS1733">
            <v>22.314663874962239</v>
          </cell>
          <cell r="FT1733">
            <v>20.116606119778133</v>
          </cell>
          <cell r="FU1733">
            <v>17.065595346429742</v>
          </cell>
          <cell r="FV1733">
            <v>23.167616893126525</v>
          </cell>
          <cell r="GG1733">
            <v>10.028198680402195</v>
          </cell>
          <cell r="GH1733">
            <v>13.982143405445317</v>
          </cell>
          <cell r="GI1733">
            <v>10.408007395026372</v>
          </cell>
          <cell r="GJ1733">
            <v>7.7337520878462023</v>
          </cell>
          <cell r="GK1733">
            <v>13.082262702206542</v>
          </cell>
        </row>
        <row r="1734">
          <cell r="A1734">
            <v>41886</v>
          </cell>
          <cell r="FR1734">
            <v>20.183398592450416</v>
          </cell>
          <cell r="FS1734">
            <v>22.314663874962239</v>
          </cell>
          <cell r="FT1734">
            <v>20.116606119778133</v>
          </cell>
          <cell r="FU1734">
            <v>17.065595346429742</v>
          </cell>
          <cell r="FV1734">
            <v>23.167616893126525</v>
          </cell>
          <cell r="GG1734">
            <v>10.043239576541952</v>
          </cell>
          <cell r="GH1734">
            <v>13.982143405445317</v>
          </cell>
          <cell r="GI1734">
            <v>10.408007395026372</v>
          </cell>
          <cell r="GJ1734">
            <v>7.7337520878462023</v>
          </cell>
          <cell r="GK1734">
            <v>13.082262702206542</v>
          </cell>
        </row>
        <row r="1735">
          <cell r="A1735">
            <v>41887</v>
          </cell>
          <cell r="FR1735">
            <v>20.277236084452976</v>
          </cell>
          <cell r="FS1735">
            <v>22.314663874962239</v>
          </cell>
          <cell r="FT1735">
            <v>20.116606119778133</v>
          </cell>
          <cell r="FU1735">
            <v>17.065595346429742</v>
          </cell>
          <cell r="FV1735">
            <v>23.167616893126525</v>
          </cell>
          <cell r="GG1735">
            <v>10.043239576541952</v>
          </cell>
          <cell r="GH1735">
            <v>13.982143405445317</v>
          </cell>
          <cell r="GI1735">
            <v>10.408007395026372</v>
          </cell>
          <cell r="GJ1735">
            <v>7.7337520878462023</v>
          </cell>
          <cell r="GK1735">
            <v>13.082262702206542</v>
          </cell>
        </row>
        <row r="1736">
          <cell r="A1736">
            <v>41890</v>
          </cell>
          <cell r="FR1736">
            <v>20.490501172957988</v>
          </cell>
          <cell r="FS1736">
            <v>22.314663874962239</v>
          </cell>
          <cell r="FT1736">
            <v>20.116606119778133</v>
          </cell>
          <cell r="FU1736">
            <v>17.065595346429742</v>
          </cell>
          <cell r="FV1736">
            <v>23.167616893126525</v>
          </cell>
          <cell r="GG1736">
            <v>9.9630221323254098</v>
          </cell>
          <cell r="GH1736">
            <v>13.982143405445317</v>
          </cell>
          <cell r="GI1736">
            <v>10.408007395026372</v>
          </cell>
          <cell r="GJ1736">
            <v>7.7337520878462023</v>
          </cell>
          <cell r="GK1736">
            <v>13.082262702206542</v>
          </cell>
        </row>
        <row r="1737">
          <cell r="A1737">
            <v>41891</v>
          </cell>
          <cell r="FR1737">
            <v>20.499039454041373</v>
          </cell>
          <cell r="FS1737">
            <v>22.314663874962239</v>
          </cell>
          <cell r="FT1737">
            <v>20.116606119778133</v>
          </cell>
          <cell r="FU1737">
            <v>17.065595346429742</v>
          </cell>
          <cell r="FV1737">
            <v>23.167616893126525</v>
          </cell>
          <cell r="GG1737">
            <v>10.038228618610731</v>
          </cell>
          <cell r="GH1737">
            <v>13.982143405445317</v>
          </cell>
          <cell r="GI1737">
            <v>10.408007395026372</v>
          </cell>
          <cell r="GJ1737">
            <v>7.7337520878462023</v>
          </cell>
          <cell r="GK1737">
            <v>13.082262702206542</v>
          </cell>
        </row>
        <row r="1738">
          <cell r="A1738">
            <v>41892</v>
          </cell>
          <cell r="FR1738">
            <v>20.473448496481126</v>
          </cell>
          <cell r="FS1738">
            <v>22.314663874962239</v>
          </cell>
          <cell r="FT1738">
            <v>20.116606119778133</v>
          </cell>
          <cell r="FU1738">
            <v>17.065595346429742</v>
          </cell>
          <cell r="FV1738">
            <v>23.167616893126525</v>
          </cell>
          <cell r="GG1738">
            <v>10.10591415542954</v>
          </cell>
          <cell r="GH1738">
            <v>13.982143405445317</v>
          </cell>
          <cell r="GI1738">
            <v>10.408007395026372</v>
          </cell>
          <cell r="GJ1738">
            <v>7.7337520878462023</v>
          </cell>
          <cell r="GK1738">
            <v>13.082262702206542</v>
          </cell>
        </row>
        <row r="1739">
          <cell r="A1739">
            <v>41893</v>
          </cell>
          <cell r="FR1739">
            <v>20.37107272339518</v>
          </cell>
          <cell r="FS1739">
            <v>22.314663874962239</v>
          </cell>
          <cell r="FT1739">
            <v>20.116606119778133</v>
          </cell>
          <cell r="FU1739">
            <v>17.065595346429742</v>
          </cell>
          <cell r="FV1739">
            <v>23.167616893126525</v>
          </cell>
          <cell r="GG1739">
            <v>10.11594459503471</v>
          </cell>
          <cell r="GH1739">
            <v>13.982143405445317</v>
          </cell>
          <cell r="GI1739">
            <v>10.408007395026372</v>
          </cell>
          <cell r="GJ1739">
            <v>7.7337520878462023</v>
          </cell>
          <cell r="GK1739">
            <v>13.082262702206542</v>
          </cell>
        </row>
        <row r="1740">
          <cell r="A1740">
            <v>41894</v>
          </cell>
          <cell r="FR1740">
            <v>20.294300703774791</v>
          </cell>
          <cell r="FS1740">
            <v>22.314663874962239</v>
          </cell>
          <cell r="FT1740">
            <v>20.116606119778133</v>
          </cell>
          <cell r="FU1740">
            <v>17.065595346429742</v>
          </cell>
          <cell r="FV1740">
            <v>23.167616893126525</v>
          </cell>
          <cell r="GG1740">
            <v>10.05577900488915</v>
          </cell>
          <cell r="GH1740">
            <v>13.982143405445317</v>
          </cell>
          <cell r="GI1740">
            <v>10.408007395026372</v>
          </cell>
          <cell r="GJ1740">
            <v>7.7337520878462023</v>
          </cell>
          <cell r="GK1740">
            <v>13.082262702206542</v>
          </cell>
        </row>
        <row r="1741">
          <cell r="A1741">
            <v>41897</v>
          </cell>
          <cell r="FR1741">
            <v>19.970133503945405</v>
          </cell>
          <cell r="FS1741">
            <v>22.314663874962239</v>
          </cell>
          <cell r="FT1741">
            <v>20.116606119778133</v>
          </cell>
          <cell r="FU1741">
            <v>17.065595346429742</v>
          </cell>
          <cell r="FV1741">
            <v>23.167616893126525</v>
          </cell>
          <cell r="GG1741">
            <v>9.9630221323254098</v>
          </cell>
          <cell r="GH1741">
            <v>13.982143405445317</v>
          </cell>
          <cell r="GI1741">
            <v>10.408007395026372</v>
          </cell>
          <cell r="GJ1741">
            <v>7.7337520878462023</v>
          </cell>
          <cell r="GK1741">
            <v>13.082262702206542</v>
          </cell>
        </row>
        <row r="1742">
          <cell r="A1742">
            <v>41898</v>
          </cell>
          <cell r="FR1742">
            <v>20.217527831094049</v>
          </cell>
          <cell r="FS1742">
            <v>22.314663874962239</v>
          </cell>
          <cell r="FT1742">
            <v>20.116606119778133</v>
          </cell>
          <cell r="FU1742">
            <v>17.065595346429742</v>
          </cell>
          <cell r="FV1742">
            <v>23.167616893126525</v>
          </cell>
          <cell r="GG1742">
            <v>9.8552158398791825</v>
          </cell>
          <cell r="GH1742">
            <v>13.982143405445317</v>
          </cell>
          <cell r="GI1742">
            <v>10.408007395026372</v>
          </cell>
          <cell r="GJ1742">
            <v>7.7337520878462023</v>
          </cell>
          <cell r="GK1742">
            <v>13.082262702206542</v>
          </cell>
        </row>
        <row r="1743">
          <cell r="A1743">
            <v>41899</v>
          </cell>
          <cell r="FR1743">
            <v>20.132216677329922</v>
          </cell>
          <cell r="FS1743">
            <v>22.314663874962239</v>
          </cell>
          <cell r="FT1743">
            <v>20.116606119778133</v>
          </cell>
          <cell r="FU1743">
            <v>17.065595346429742</v>
          </cell>
          <cell r="FV1743">
            <v>23.167616893126525</v>
          </cell>
          <cell r="GG1743">
            <v>9.8677552682263805</v>
          </cell>
          <cell r="GH1743">
            <v>13.982143405445317</v>
          </cell>
          <cell r="GI1743">
            <v>10.408007395026372</v>
          </cell>
          <cell r="GJ1743">
            <v>7.7337520878462023</v>
          </cell>
          <cell r="GK1743">
            <v>13.082262702206542</v>
          </cell>
        </row>
        <row r="1744">
          <cell r="A1744">
            <v>41900</v>
          </cell>
          <cell r="FR1744">
            <v>20.336956280656857</v>
          </cell>
          <cell r="FS1744">
            <v>22.314663874962239</v>
          </cell>
          <cell r="FT1744">
            <v>20.116606119778133</v>
          </cell>
          <cell r="FU1744">
            <v>17.065595346429742</v>
          </cell>
          <cell r="FV1744">
            <v>23.167616893126525</v>
          </cell>
          <cell r="GG1744">
            <v>9.9855839779316806</v>
          </cell>
          <cell r="GH1744">
            <v>13.982143405445317</v>
          </cell>
          <cell r="GI1744">
            <v>10.408007395026372</v>
          </cell>
          <cell r="GJ1744">
            <v>7.7337520878462023</v>
          </cell>
          <cell r="GK1744">
            <v>13.082262702206542</v>
          </cell>
        </row>
        <row r="1745">
          <cell r="A1745">
            <v>41901</v>
          </cell>
          <cell r="FR1745">
            <v>20.166346769033911</v>
          </cell>
          <cell r="FS1745">
            <v>22.314663874962239</v>
          </cell>
          <cell r="FT1745">
            <v>20.116606119778133</v>
          </cell>
          <cell r="FU1745">
            <v>17.065595346429742</v>
          </cell>
          <cell r="FV1745">
            <v>23.167616893126525</v>
          </cell>
          <cell r="GG1745">
            <v>10.020677730935681</v>
          </cell>
          <cell r="GH1745">
            <v>13.982143405445317</v>
          </cell>
          <cell r="GI1745">
            <v>10.408007395026372</v>
          </cell>
          <cell r="GJ1745">
            <v>7.7337520878462023</v>
          </cell>
          <cell r="GK1745">
            <v>13.082262702206542</v>
          </cell>
        </row>
        <row r="1746">
          <cell r="A1746">
            <v>41904</v>
          </cell>
          <cell r="FR1746">
            <v>20.362547238217104</v>
          </cell>
          <cell r="FS1746">
            <v>22.314663874962239</v>
          </cell>
          <cell r="FT1746">
            <v>20.116606119778133</v>
          </cell>
          <cell r="FU1746">
            <v>17.065595346429742</v>
          </cell>
          <cell r="FV1746">
            <v>23.167616893126525</v>
          </cell>
          <cell r="GG1746">
            <v>9.9755540397231428</v>
          </cell>
          <cell r="GH1746">
            <v>13.982143405445317</v>
          </cell>
          <cell r="GI1746">
            <v>10.408007395026372</v>
          </cell>
          <cell r="GJ1746">
            <v>7.7337520878462023</v>
          </cell>
          <cell r="GK1746">
            <v>13.082262702206542</v>
          </cell>
        </row>
        <row r="1747">
          <cell r="A1747">
            <v>41905</v>
          </cell>
          <cell r="FR1747">
            <v>20.140743015568351</v>
          </cell>
          <cell r="FS1747">
            <v>22.314663874962239</v>
          </cell>
          <cell r="FT1747">
            <v>20.116606119778133</v>
          </cell>
          <cell r="FU1747">
            <v>17.065595346429742</v>
          </cell>
          <cell r="FV1747">
            <v>23.167616893126525</v>
          </cell>
          <cell r="GG1747">
            <v>10.088371290100589</v>
          </cell>
          <cell r="GH1747">
            <v>13.982143405445317</v>
          </cell>
          <cell r="GI1747">
            <v>10.408007395026372</v>
          </cell>
          <cell r="GJ1747">
            <v>7.7337520878462023</v>
          </cell>
          <cell r="GK1747">
            <v>13.082262702206542</v>
          </cell>
        </row>
        <row r="1748">
          <cell r="A1748">
            <v>41906</v>
          </cell>
          <cell r="FR1748">
            <v>20.251645126892726</v>
          </cell>
          <cell r="FS1748">
            <v>22.314663874962239</v>
          </cell>
          <cell r="FT1748">
            <v>20.116606119778133</v>
          </cell>
          <cell r="FU1748">
            <v>17.065595346429742</v>
          </cell>
          <cell r="FV1748">
            <v>23.167616893126525</v>
          </cell>
          <cell r="GG1748">
            <v>10.088371290100589</v>
          </cell>
          <cell r="GH1748">
            <v>13.982143405445317</v>
          </cell>
          <cell r="GI1748">
            <v>10.408007395026372</v>
          </cell>
          <cell r="GJ1748">
            <v>7.7337520878462023</v>
          </cell>
          <cell r="GK1748">
            <v>13.082262702206542</v>
          </cell>
        </row>
        <row r="1749">
          <cell r="A1749">
            <v>41907</v>
          </cell>
          <cell r="FR1749">
            <v>19.827398335487562</v>
          </cell>
          <cell r="FS1749">
            <v>22.314663874962239</v>
          </cell>
          <cell r="FT1749">
            <v>20.116606119778133</v>
          </cell>
          <cell r="FU1749">
            <v>17.065595346429742</v>
          </cell>
          <cell r="FV1749">
            <v>23.167616893126525</v>
          </cell>
          <cell r="GG1749">
            <v>10.090873259289783</v>
          </cell>
          <cell r="GH1749">
            <v>13.982143405445317</v>
          </cell>
          <cell r="GI1749">
            <v>10.408007395026372</v>
          </cell>
          <cell r="GJ1749">
            <v>7.7337520878462023</v>
          </cell>
          <cell r="GK1749">
            <v>13.082262702206542</v>
          </cell>
        </row>
        <row r="1750">
          <cell r="A1750">
            <v>41908</v>
          </cell>
          <cell r="FR1750">
            <v>19.698715403006851</v>
          </cell>
          <cell r="FS1750">
            <v>22.314663874962239</v>
          </cell>
          <cell r="FT1750">
            <v>20.116606119778133</v>
          </cell>
          <cell r="FU1750">
            <v>17.065595346429742</v>
          </cell>
          <cell r="FV1750">
            <v>23.167616893126525</v>
          </cell>
          <cell r="GG1750">
            <v>9.9365307489187735</v>
          </cell>
          <cell r="GH1750">
            <v>13.982143405445317</v>
          </cell>
          <cell r="GI1750">
            <v>10.408007395026372</v>
          </cell>
          <cell r="GJ1750">
            <v>7.7337520878462023</v>
          </cell>
          <cell r="GK1750">
            <v>13.082262702206542</v>
          </cell>
        </row>
        <row r="1751">
          <cell r="A1751">
            <v>41911</v>
          </cell>
          <cell r="FR1751">
            <v>19.613397516971908</v>
          </cell>
          <cell r="FS1751">
            <v>22.314663874962239</v>
          </cell>
          <cell r="FT1751">
            <v>20.116606119778133</v>
          </cell>
          <cell r="FU1751">
            <v>17.065595346429742</v>
          </cell>
          <cell r="FV1751">
            <v>23.167616893126525</v>
          </cell>
          <cell r="GG1751">
            <v>9.9039101983723921</v>
          </cell>
          <cell r="GH1751">
            <v>13.982143405445317</v>
          </cell>
          <cell r="GI1751">
            <v>10.408007395026372</v>
          </cell>
          <cell r="GJ1751">
            <v>7.7337520878462023</v>
          </cell>
          <cell r="GK1751">
            <v>13.082262702206542</v>
          </cell>
        </row>
        <row r="1752">
          <cell r="A1752">
            <v>41912</v>
          </cell>
          <cell r="FR1752">
            <v>19.425708575852649</v>
          </cell>
          <cell r="FS1752">
            <v>22.314663874962239</v>
          </cell>
          <cell r="FT1752">
            <v>20.116606119778133</v>
          </cell>
          <cell r="FU1752">
            <v>17.065595346429742</v>
          </cell>
          <cell r="FV1752">
            <v>23.167616893126525</v>
          </cell>
          <cell r="GG1752">
            <v>9.9139488349450104</v>
          </cell>
          <cell r="GH1752">
            <v>13.982143405445317</v>
          </cell>
          <cell r="GI1752">
            <v>10.408007395026372</v>
          </cell>
          <cell r="GJ1752">
            <v>7.7337520878462023</v>
          </cell>
          <cell r="GK1752">
            <v>13.082262702206542</v>
          </cell>
        </row>
        <row r="1753">
          <cell r="A1753">
            <v>41913</v>
          </cell>
          <cell r="FR1753">
            <v>19.134354433950783</v>
          </cell>
          <cell r="FS1753">
            <v>22.314663874962239</v>
          </cell>
          <cell r="FT1753">
            <v>20.116606119778133</v>
          </cell>
          <cell r="FU1753">
            <v>17.065595346429742</v>
          </cell>
          <cell r="FV1753">
            <v>23.167616893126525</v>
          </cell>
          <cell r="GG1753">
            <v>9.7273014530372919</v>
          </cell>
          <cell r="GH1753">
            <v>13.982143405445317</v>
          </cell>
          <cell r="GI1753">
            <v>10.408007395026372</v>
          </cell>
          <cell r="GJ1753">
            <v>7.7337520878462023</v>
          </cell>
          <cell r="GK1753">
            <v>13.082262702206542</v>
          </cell>
        </row>
        <row r="1754">
          <cell r="A1754">
            <v>41914</v>
          </cell>
          <cell r="FR1754">
            <v>19.10051064429901</v>
          </cell>
          <cell r="FS1754">
            <v>22.314663874962239</v>
          </cell>
          <cell r="FT1754">
            <v>20.116606119778133</v>
          </cell>
          <cell r="FU1754">
            <v>17.065595346429742</v>
          </cell>
          <cell r="FV1754">
            <v>23.167616893126525</v>
          </cell>
          <cell r="GG1754">
            <v>9.6899029827611436</v>
          </cell>
          <cell r="GH1754">
            <v>13.982143405445317</v>
          </cell>
          <cell r="GI1754">
            <v>10.408007395026372</v>
          </cell>
          <cell r="GJ1754">
            <v>7.7337520878462023</v>
          </cell>
          <cell r="GK1754">
            <v>13.082262702206542</v>
          </cell>
        </row>
        <row r="1755">
          <cell r="A1755">
            <v>41915</v>
          </cell>
          <cell r="FR1755">
            <v>19.244325391232621</v>
          </cell>
          <cell r="FS1755">
            <v>22.314663874962239</v>
          </cell>
          <cell r="FT1755">
            <v>20.116606119778133</v>
          </cell>
          <cell r="FU1755">
            <v>17.065595346429742</v>
          </cell>
          <cell r="FV1755">
            <v>23.167616893126525</v>
          </cell>
          <cell r="GG1755">
            <v>9.6899029827611436</v>
          </cell>
          <cell r="GH1755">
            <v>13.982143405445317</v>
          </cell>
          <cell r="GI1755">
            <v>10.408007395026372</v>
          </cell>
          <cell r="GJ1755">
            <v>7.7337520878462023</v>
          </cell>
          <cell r="GK1755">
            <v>13.082262702206542</v>
          </cell>
        </row>
        <row r="1756">
          <cell r="A1756">
            <v>41918</v>
          </cell>
          <cell r="FR1756">
            <v>19.200409563824813</v>
          </cell>
          <cell r="FS1756">
            <v>22.314663874962239</v>
          </cell>
          <cell r="FT1756">
            <v>20.116606119778133</v>
          </cell>
          <cell r="FU1756">
            <v>17.065595346429742</v>
          </cell>
          <cell r="FV1756">
            <v>23.167616893126525</v>
          </cell>
          <cell r="GG1756">
            <v>9.8644042490581825</v>
          </cell>
          <cell r="GH1756">
            <v>13.982143405445317</v>
          </cell>
          <cell r="GI1756">
            <v>10.408007395026372</v>
          </cell>
          <cell r="GJ1756">
            <v>7.7337520878462023</v>
          </cell>
          <cell r="GK1756">
            <v>13.082262702206542</v>
          </cell>
        </row>
        <row r="1757">
          <cell r="A1757">
            <v>41919</v>
          </cell>
          <cell r="FR1757">
            <v>18.870389127943941</v>
          </cell>
          <cell r="FS1757">
            <v>22.314663874962239</v>
          </cell>
          <cell r="FT1757">
            <v>20.116606119778133</v>
          </cell>
          <cell r="FU1757">
            <v>17.065595346429742</v>
          </cell>
          <cell r="FV1757">
            <v>23.167616893126525</v>
          </cell>
          <cell r="GG1757">
            <v>9.7572144458868131</v>
          </cell>
          <cell r="GH1757">
            <v>13.982143405445317</v>
          </cell>
          <cell r="GI1757">
            <v>10.408007395026372</v>
          </cell>
          <cell r="GJ1757">
            <v>7.7337520878462023</v>
          </cell>
          <cell r="GK1757">
            <v>13.082262702206542</v>
          </cell>
        </row>
        <row r="1758">
          <cell r="A1758">
            <v>41920</v>
          </cell>
          <cell r="FR1758">
            <v>19.039640531588571</v>
          </cell>
          <cell r="FS1758">
            <v>22.314663874962239</v>
          </cell>
          <cell r="FT1758">
            <v>20.116606119778133</v>
          </cell>
          <cell r="FU1758">
            <v>17.065595346429742</v>
          </cell>
          <cell r="FV1758">
            <v>23.167616893126525</v>
          </cell>
          <cell r="GG1758">
            <v>9.5727393567631012</v>
          </cell>
          <cell r="GH1758">
            <v>13.982143405445317</v>
          </cell>
          <cell r="GI1758">
            <v>10.408007395026372</v>
          </cell>
          <cell r="GJ1758">
            <v>7.7337520878462023</v>
          </cell>
          <cell r="GK1758">
            <v>13.082262702206542</v>
          </cell>
        </row>
        <row r="1759">
          <cell r="A1759">
            <v>41921</v>
          </cell>
          <cell r="FR1759">
            <v>18.684548894937205</v>
          </cell>
          <cell r="FS1759">
            <v>22.314663874962239</v>
          </cell>
          <cell r="FT1759">
            <v>20.116606119778133</v>
          </cell>
          <cell r="FU1759">
            <v>17.065595346429742</v>
          </cell>
          <cell r="FV1759">
            <v>23.167616893126525</v>
          </cell>
          <cell r="GG1759">
            <v>9.5757325957448849</v>
          </cell>
          <cell r="GH1759">
            <v>13.982143405445317</v>
          </cell>
          <cell r="GI1759">
            <v>10.408007395026372</v>
          </cell>
          <cell r="GJ1759">
            <v>7.7337520878462023</v>
          </cell>
          <cell r="GK1759">
            <v>13.082262702206542</v>
          </cell>
        </row>
        <row r="1760">
          <cell r="A1760">
            <v>41922</v>
          </cell>
          <cell r="FR1760">
            <v>18.511170110389532</v>
          </cell>
          <cell r="FS1760">
            <v>22.314663874962239</v>
          </cell>
          <cell r="FT1760">
            <v>20.116606119778133</v>
          </cell>
          <cell r="FU1760">
            <v>17.065595346429742</v>
          </cell>
          <cell r="FV1760">
            <v>23.167616893126525</v>
          </cell>
          <cell r="GG1760">
            <v>9.5757325957448849</v>
          </cell>
          <cell r="GH1760">
            <v>13.982143405445317</v>
          </cell>
          <cell r="GI1760">
            <v>10.408007395026372</v>
          </cell>
          <cell r="GJ1760">
            <v>7.7337520878462023</v>
          </cell>
          <cell r="GK1760">
            <v>13.082262702206542</v>
          </cell>
        </row>
        <row r="1761">
          <cell r="A1761">
            <v>41925</v>
          </cell>
          <cell r="FR1761">
            <v>18.247940277386395</v>
          </cell>
          <cell r="FS1761">
            <v>22.314663874962239</v>
          </cell>
          <cell r="FT1761">
            <v>20.116606119778133</v>
          </cell>
          <cell r="FU1761">
            <v>17.065595346429742</v>
          </cell>
          <cell r="FV1761">
            <v>23.167616893126525</v>
          </cell>
          <cell r="GG1761">
            <v>9.4510844894343755</v>
          </cell>
          <cell r="GH1761">
            <v>13.982143405445317</v>
          </cell>
          <cell r="GI1761">
            <v>10.408007395026372</v>
          </cell>
          <cell r="GJ1761">
            <v>7.7337520878462023</v>
          </cell>
          <cell r="GK1761">
            <v>13.082262702206542</v>
          </cell>
        </row>
        <row r="1762">
          <cell r="A1762">
            <v>41926</v>
          </cell>
          <cell r="FR1762">
            <v>18.150527197506946</v>
          </cell>
          <cell r="FS1762">
            <v>22.314663874962239</v>
          </cell>
          <cell r="FT1762">
            <v>20.116606119778133</v>
          </cell>
          <cell r="FU1762">
            <v>17.065595346429742</v>
          </cell>
          <cell r="FV1762">
            <v>23.167616893126525</v>
          </cell>
          <cell r="GG1762">
            <v>9.2740866714355796</v>
          </cell>
          <cell r="GH1762">
            <v>13.982143405445317</v>
          </cell>
          <cell r="GI1762">
            <v>10.408007395026372</v>
          </cell>
          <cell r="GJ1762">
            <v>7.7337520878462023</v>
          </cell>
          <cell r="GK1762">
            <v>13.082262702206542</v>
          </cell>
        </row>
        <row r="1763">
          <cell r="A1763">
            <v>41927</v>
          </cell>
          <cell r="FR1763">
            <v>18.226929237249099</v>
          </cell>
          <cell r="FS1763">
            <v>22.314663874962239</v>
          </cell>
          <cell r="FT1763">
            <v>20.116606119778133</v>
          </cell>
          <cell r="FU1763">
            <v>17.065595346429742</v>
          </cell>
          <cell r="FV1763">
            <v>23.167616893126525</v>
          </cell>
          <cell r="GG1763">
            <v>9.2414402008890484</v>
          </cell>
          <cell r="GH1763">
            <v>13.982143405445317</v>
          </cell>
          <cell r="GI1763">
            <v>10.408007395026372</v>
          </cell>
          <cell r="GJ1763">
            <v>7.7337520878462023</v>
          </cell>
          <cell r="GK1763">
            <v>13.082262702206542</v>
          </cell>
        </row>
        <row r="1764">
          <cell r="A1764">
            <v>41928</v>
          </cell>
          <cell r="FR1764">
            <v>18.116793020672041</v>
          </cell>
          <cell r="FS1764">
            <v>22.314663874962239</v>
          </cell>
          <cell r="FT1764">
            <v>20.116606119778133</v>
          </cell>
          <cell r="FU1764">
            <v>17.065595346429742</v>
          </cell>
          <cell r="FV1764">
            <v>23.167616893126525</v>
          </cell>
          <cell r="GG1764">
            <v>9.096401310479429</v>
          </cell>
          <cell r="GH1764">
            <v>13.982143405445317</v>
          </cell>
          <cell r="GI1764">
            <v>10.408007395026372</v>
          </cell>
          <cell r="GJ1764">
            <v>7.7337520878462023</v>
          </cell>
          <cell r="GK1764">
            <v>13.082262702206542</v>
          </cell>
        </row>
        <row r="1765">
          <cell r="A1765">
            <v>41929</v>
          </cell>
          <cell r="FR1765">
            <v>18.626651748728911</v>
          </cell>
          <cell r="FS1765">
            <v>22.314663874962239</v>
          </cell>
          <cell r="FT1765">
            <v>20.116606119778133</v>
          </cell>
          <cell r="FU1765">
            <v>17.065595346429742</v>
          </cell>
          <cell r="FV1765">
            <v>23.167616893126525</v>
          </cell>
          <cell r="GG1765">
            <v>9.0979816448211839</v>
          </cell>
          <cell r="GH1765">
            <v>13.982143405445317</v>
          </cell>
          <cell r="GI1765">
            <v>10.408007395026372</v>
          </cell>
          <cell r="GJ1765">
            <v>7.7337520878462023</v>
          </cell>
          <cell r="GK1765">
            <v>13.082262702206542</v>
          </cell>
        </row>
        <row r="1766">
          <cell r="A1766">
            <v>41932</v>
          </cell>
          <cell r="FR1766">
            <v>18.782900651006596</v>
          </cell>
          <cell r="FS1766">
            <v>22.314663874962239</v>
          </cell>
          <cell r="FT1766">
            <v>20.116606119778133</v>
          </cell>
          <cell r="FU1766">
            <v>17.065595346429742</v>
          </cell>
          <cell r="FV1766">
            <v>23.167616893126525</v>
          </cell>
          <cell r="GG1766">
            <v>9.3953262861801559</v>
          </cell>
          <cell r="GH1766">
            <v>13.982143405445317</v>
          </cell>
          <cell r="GI1766">
            <v>10.408007395026372</v>
          </cell>
          <cell r="GJ1766">
            <v>7.7337520878462023</v>
          </cell>
          <cell r="GK1766">
            <v>13.082262702206542</v>
          </cell>
        </row>
        <row r="1767">
          <cell r="A1767">
            <v>41933</v>
          </cell>
          <cell r="FR1767">
            <v>19.17349589584105</v>
          </cell>
          <cell r="FS1767">
            <v>22.314663874962239</v>
          </cell>
          <cell r="FT1767">
            <v>20.116606119778133</v>
          </cell>
          <cell r="FU1767">
            <v>17.065595346429742</v>
          </cell>
          <cell r="FV1767">
            <v>23.167616893126525</v>
          </cell>
          <cell r="GG1767">
            <v>9.3778334847675051</v>
          </cell>
          <cell r="GH1767">
            <v>13.982143405445317</v>
          </cell>
          <cell r="GI1767">
            <v>10.408007395026372</v>
          </cell>
          <cell r="GJ1767">
            <v>7.7337520878462023</v>
          </cell>
          <cell r="GK1767">
            <v>13.082262702206542</v>
          </cell>
        </row>
        <row r="1768">
          <cell r="A1768">
            <v>41934</v>
          </cell>
          <cell r="FR1768">
            <v>19.063116614776792</v>
          </cell>
          <cell r="FS1768">
            <v>22.314663874962239</v>
          </cell>
          <cell r="FT1768">
            <v>20.116606119778133</v>
          </cell>
          <cell r="FU1768">
            <v>17.065595346429742</v>
          </cell>
          <cell r="FV1768">
            <v>23.167616893126525</v>
          </cell>
          <cell r="GG1768">
            <v>9.6227072179467257</v>
          </cell>
          <cell r="GH1768">
            <v>13.982143405445317</v>
          </cell>
          <cell r="GI1768">
            <v>10.408007395026372</v>
          </cell>
          <cell r="GJ1768">
            <v>7.7337520878462023</v>
          </cell>
          <cell r="GK1768">
            <v>13.082262702206542</v>
          </cell>
        </row>
        <row r="1769">
          <cell r="A1769">
            <v>41935</v>
          </cell>
          <cell r="FR1769">
            <v>19.453712708747958</v>
          </cell>
          <cell r="FS1769">
            <v>22.314663874962239</v>
          </cell>
          <cell r="FT1769">
            <v>20.116606119778133</v>
          </cell>
          <cell r="FU1769">
            <v>17.065595346429742</v>
          </cell>
          <cell r="FV1769">
            <v>23.167616893126525</v>
          </cell>
          <cell r="GG1769">
            <v>9.7451408362444507</v>
          </cell>
          <cell r="GH1769">
            <v>13.982143405445317</v>
          </cell>
          <cell r="GI1769">
            <v>10.408007395026372</v>
          </cell>
          <cell r="GJ1769">
            <v>7.7337520878462023</v>
          </cell>
          <cell r="GK1769">
            <v>13.082262702206542</v>
          </cell>
        </row>
        <row r="1770">
          <cell r="A1770">
            <v>41936</v>
          </cell>
          <cell r="FR1770">
            <v>19.394279932070909</v>
          </cell>
          <cell r="FS1770">
            <v>22.314663874962239</v>
          </cell>
          <cell r="FT1770">
            <v>20.116606119778133</v>
          </cell>
          <cell r="FU1770">
            <v>17.065595346429742</v>
          </cell>
          <cell r="FV1770">
            <v>23.167616893126525</v>
          </cell>
          <cell r="GG1770">
            <v>9.7451408362444507</v>
          </cell>
          <cell r="GH1770">
            <v>13.982143405445317</v>
          </cell>
          <cell r="GI1770">
            <v>10.408007395026372</v>
          </cell>
          <cell r="GJ1770">
            <v>7.7337520878462023</v>
          </cell>
          <cell r="GK1770">
            <v>13.082262702206542</v>
          </cell>
        </row>
        <row r="1771">
          <cell r="A1771">
            <v>41939</v>
          </cell>
          <cell r="FR1771">
            <v>19.63003825212612</v>
          </cell>
          <cell r="FS1771">
            <v>22.314663874962239</v>
          </cell>
          <cell r="FT1771">
            <v>20.116606119778133</v>
          </cell>
          <cell r="FU1771">
            <v>17.065595346429742</v>
          </cell>
          <cell r="FV1771">
            <v>23.167616893126525</v>
          </cell>
          <cell r="GG1771">
            <v>9.8276014743286275</v>
          </cell>
          <cell r="GH1771">
            <v>13.982143405445317</v>
          </cell>
          <cell r="GI1771">
            <v>10.408007395026372</v>
          </cell>
          <cell r="GJ1771">
            <v>7.7337520878462023</v>
          </cell>
          <cell r="GK1771">
            <v>13.082262702206542</v>
          </cell>
        </row>
        <row r="1772">
          <cell r="A1772">
            <v>41940</v>
          </cell>
          <cell r="FR1772">
            <v>19.918849718136688</v>
          </cell>
          <cell r="FS1772">
            <v>22.314663874962239</v>
          </cell>
          <cell r="FT1772">
            <v>20.116606119778133</v>
          </cell>
          <cell r="FU1772">
            <v>17.065595346429742</v>
          </cell>
          <cell r="FV1772">
            <v>23.167616893126525</v>
          </cell>
          <cell r="GG1772">
            <v>9.8675814508631632</v>
          </cell>
          <cell r="GH1772">
            <v>13.982143405445317</v>
          </cell>
          <cell r="GI1772">
            <v>10.408007395026372</v>
          </cell>
          <cell r="GJ1772">
            <v>7.7337520878462023</v>
          </cell>
          <cell r="GK1772">
            <v>13.082262702206542</v>
          </cell>
        </row>
        <row r="1773">
          <cell r="A1773">
            <v>41941</v>
          </cell>
          <cell r="FR1773">
            <v>19.978303032707327</v>
          </cell>
          <cell r="FS1773">
            <v>22.314663874962239</v>
          </cell>
          <cell r="FT1773">
            <v>20.116606119778133</v>
          </cell>
          <cell r="FU1773">
            <v>17.065595346429742</v>
          </cell>
          <cell r="FV1773">
            <v>23.167616893126525</v>
          </cell>
          <cell r="GG1773">
            <v>9.85508352289696</v>
          </cell>
          <cell r="GH1773">
            <v>13.982143405445317</v>
          </cell>
          <cell r="GI1773">
            <v>10.408007395026372</v>
          </cell>
          <cell r="GJ1773">
            <v>7.7337520878462023</v>
          </cell>
          <cell r="GK1773">
            <v>13.082262702206542</v>
          </cell>
        </row>
        <row r="1774">
          <cell r="A1774">
            <v>41942</v>
          </cell>
          <cell r="FR1774">
            <v>20.225639361899333</v>
          </cell>
          <cell r="FS1774">
            <v>22.314663874962239</v>
          </cell>
          <cell r="FT1774">
            <v>20.116606119778133</v>
          </cell>
          <cell r="FU1774">
            <v>17.065595346429742</v>
          </cell>
          <cell r="FV1774">
            <v>23.167616893126525</v>
          </cell>
          <cell r="GG1774">
            <v>10.282011428853151</v>
          </cell>
          <cell r="GH1774">
            <v>13.982143405445317</v>
          </cell>
          <cell r="GI1774">
            <v>10.408007395026372</v>
          </cell>
          <cell r="GJ1774">
            <v>7.7337520878462023</v>
          </cell>
          <cell r="GK1774">
            <v>13.082262702206542</v>
          </cell>
        </row>
        <row r="1775">
          <cell r="A1775">
            <v>41943</v>
          </cell>
          <cell r="FR1775">
            <v>20.088304081885045</v>
          </cell>
          <cell r="FS1775">
            <v>22.314663874962239</v>
          </cell>
          <cell r="FT1775">
            <v>20.116606119778133</v>
          </cell>
          <cell r="FU1775">
            <v>17.065595346429742</v>
          </cell>
          <cell r="FV1775">
            <v>23.167616893126525</v>
          </cell>
          <cell r="GG1775">
            <v>10.206345361497538</v>
          </cell>
          <cell r="GH1775">
            <v>13.982143405445317</v>
          </cell>
          <cell r="GI1775">
            <v>10.408007395026372</v>
          </cell>
          <cell r="GJ1775">
            <v>7.7337520878462023</v>
          </cell>
          <cell r="GK1775">
            <v>13.082262702206542</v>
          </cell>
        </row>
        <row r="1776">
          <cell r="A1776">
            <v>41946</v>
          </cell>
          <cell r="FR1776">
            <v>20.166663168465956</v>
          </cell>
          <cell r="FS1776">
            <v>22.314663874962239</v>
          </cell>
          <cell r="FT1776">
            <v>20.116606119778133</v>
          </cell>
          <cell r="FU1776">
            <v>17.065595346429742</v>
          </cell>
          <cell r="FV1776">
            <v>23.167616893126525</v>
          </cell>
          <cell r="GG1776">
            <v>10.208784014093453</v>
          </cell>
          <cell r="GH1776">
            <v>13.982143405445317</v>
          </cell>
          <cell r="GI1776">
            <v>10.408007395026372</v>
          </cell>
          <cell r="GJ1776">
            <v>7.7337520878462023</v>
          </cell>
          <cell r="GK1776">
            <v>13.082262702206542</v>
          </cell>
        </row>
        <row r="1777">
          <cell r="A1777">
            <v>41947</v>
          </cell>
          <cell r="FR1777">
            <v>20.166663168465956</v>
          </cell>
          <cell r="FS1777">
            <v>22.314663874962239</v>
          </cell>
          <cell r="FT1777">
            <v>20.116606119778133</v>
          </cell>
          <cell r="FU1777">
            <v>17.065595346429742</v>
          </cell>
          <cell r="FV1777">
            <v>23.167616893126525</v>
          </cell>
          <cell r="GG1777">
            <v>10.281928810577082</v>
          </cell>
          <cell r="GH1777">
            <v>13.982143405445317</v>
          </cell>
          <cell r="GI1777">
            <v>10.408007395026372</v>
          </cell>
          <cell r="GJ1777">
            <v>7.7337520878462023</v>
          </cell>
          <cell r="GK1777">
            <v>13.082262702206542</v>
          </cell>
        </row>
        <row r="1778">
          <cell r="A1778">
            <v>41948</v>
          </cell>
          <cell r="FR1778">
            <v>20.020178150950247</v>
          </cell>
          <cell r="FS1778">
            <v>22.314663874962239</v>
          </cell>
          <cell r="FT1778">
            <v>20.116606119778133</v>
          </cell>
          <cell r="FU1778">
            <v>17.065595346429742</v>
          </cell>
          <cell r="FV1778">
            <v>23.167616893126525</v>
          </cell>
          <cell r="GG1778">
            <v>10.31404866325704</v>
          </cell>
          <cell r="GH1778">
            <v>13.982143405445317</v>
          </cell>
          <cell r="GI1778">
            <v>10.408007395026372</v>
          </cell>
          <cell r="GJ1778">
            <v>7.7337520878462023</v>
          </cell>
          <cell r="GK1778">
            <v>13.082262702206542</v>
          </cell>
        </row>
        <row r="1779">
          <cell r="A1779">
            <v>41949</v>
          </cell>
          <cell r="FR1779">
            <v>20.166057483502076</v>
          </cell>
          <cell r="FS1779">
            <v>22.314663874962239</v>
          </cell>
          <cell r="FT1779">
            <v>20.116606119778133</v>
          </cell>
          <cell r="FU1779">
            <v>17.065595346429742</v>
          </cell>
          <cell r="FV1779">
            <v>23.167616893126525</v>
          </cell>
          <cell r="GG1779">
            <v>10.311435391882815</v>
          </cell>
          <cell r="GH1779">
            <v>13.982143405445317</v>
          </cell>
          <cell r="GI1779">
            <v>10.408007395026372</v>
          </cell>
          <cell r="GJ1779">
            <v>7.7337520878462023</v>
          </cell>
          <cell r="GK1779">
            <v>13.082262702206542</v>
          </cell>
        </row>
        <row r="1780">
          <cell r="A1780">
            <v>41950</v>
          </cell>
          <cell r="FR1780">
            <v>19.995738556527396</v>
          </cell>
          <cell r="FS1780">
            <v>22.314663874962239</v>
          </cell>
          <cell r="FT1780">
            <v>20.116606119778133</v>
          </cell>
          <cell r="FU1780">
            <v>17.065595346429742</v>
          </cell>
          <cell r="FV1780">
            <v>23.167616893126525</v>
          </cell>
          <cell r="GG1780">
            <v>10.311435391882815</v>
          </cell>
          <cell r="GH1780">
            <v>13.982143405445317</v>
          </cell>
          <cell r="GI1780">
            <v>10.408007395026372</v>
          </cell>
          <cell r="GJ1780">
            <v>7.7337520878462023</v>
          </cell>
          <cell r="GK1780">
            <v>13.082262702206542</v>
          </cell>
        </row>
        <row r="1781">
          <cell r="A1781">
            <v>41953</v>
          </cell>
          <cell r="FR1781">
            <v>20.259735150097786</v>
          </cell>
          <cell r="FS1781">
            <v>22.314663874962239</v>
          </cell>
          <cell r="FT1781">
            <v>20.116606119778133</v>
          </cell>
          <cell r="FU1781">
            <v>17.065595346429742</v>
          </cell>
          <cell r="FV1781">
            <v>23.167616893126525</v>
          </cell>
          <cell r="GG1781">
            <v>10.341802048573635</v>
          </cell>
          <cell r="GH1781">
            <v>13.982143405445317</v>
          </cell>
          <cell r="GI1781">
            <v>10.408007395026372</v>
          </cell>
          <cell r="GJ1781">
            <v>7.7337520878462023</v>
          </cell>
          <cell r="GK1781">
            <v>13.082262702206542</v>
          </cell>
        </row>
        <row r="1782">
          <cell r="A1782">
            <v>41954</v>
          </cell>
          <cell r="FR1782">
            <v>20.268259740261723</v>
          </cell>
          <cell r="FS1782">
            <v>22.314663874962239</v>
          </cell>
          <cell r="FT1782">
            <v>20.116606119778133</v>
          </cell>
          <cell r="FU1782">
            <v>17.065595346429742</v>
          </cell>
          <cell r="FV1782">
            <v>23.167616893126525</v>
          </cell>
          <cell r="GG1782">
            <v>10.430345700021755</v>
          </cell>
          <cell r="GH1782">
            <v>13.982143405445317</v>
          </cell>
          <cell r="GI1782">
            <v>10.408007395026372</v>
          </cell>
          <cell r="GJ1782">
            <v>7.7337520878462023</v>
          </cell>
          <cell r="GK1782">
            <v>13.082262702206542</v>
          </cell>
        </row>
        <row r="1783">
          <cell r="A1783">
            <v>41955</v>
          </cell>
          <cell r="FR1783">
            <v>20.381119797950259</v>
          </cell>
          <cell r="FS1783">
            <v>22.314663874962239</v>
          </cell>
          <cell r="FT1783">
            <v>20.116606119778133</v>
          </cell>
          <cell r="FU1783">
            <v>17.065595346429742</v>
          </cell>
          <cell r="FV1783">
            <v>23.167616893126525</v>
          </cell>
          <cell r="GG1783">
            <v>13.231623577128056</v>
          </cell>
          <cell r="GH1783">
            <v>13.982143405445317</v>
          </cell>
          <cell r="GI1783">
            <v>10.408007395026372</v>
          </cell>
          <cell r="GJ1783">
            <v>7.7337520878462023</v>
          </cell>
          <cell r="GK1783">
            <v>13.082262702206542</v>
          </cell>
        </row>
        <row r="1784">
          <cell r="A1784">
            <v>41956</v>
          </cell>
          <cell r="FR1784">
            <v>20.100175376365886</v>
          </cell>
          <cell r="FS1784">
            <v>22.314663874962239</v>
          </cell>
          <cell r="FT1784">
            <v>20.116606119778133</v>
          </cell>
          <cell r="FU1784">
            <v>17.065595346429742</v>
          </cell>
          <cell r="FV1784">
            <v>23.167616893126525</v>
          </cell>
          <cell r="GG1784">
            <v>13.06464213241969</v>
          </cell>
          <cell r="GH1784">
            <v>13.982143405445317</v>
          </cell>
          <cell r="GI1784">
            <v>10.408007395026372</v>
          </cell>
          <cell r="GJ1784">
            <v>7.7337520878462023</v>
          </cell>
          <cell r="GK1784">
            <v>13.082262702206542</v>
          </cell>
        </row>
        <row r="1785">
          <cell r="A1785">
            <v>41957</v>
          </cell>
          <cell r="FR1785">
            <v>20.079543750001964</v>
          </cell>
          <cell r="FS1785">
            <v>22.314663874962239</v>
          </cell>
          <cell r="FT1785">
            <v>20.116606119778133</v>
          </cell>
          <cell r="FU1785">
            <v>17.065595346429742</v>
          </cell>
          <cell r="FV1785">
            <v>23.167616893126525</v>
          </cell>
          <cell r="GG1785">
            <v>13.049971537705154</v>
          </cell>
          <cell r="GH1785">
            <v>13.982143405445317</v>
          </cell>
          <cell r="GI1785">
            <v>10.408007395026372</v>
          </cell>
          <cell r="GJ1785">
            <v>7.7337520878462023</v>
          </cell>
          <cell r="GK1785">
            <v>13.082262702206542</v>
          </cell>
        </row>
        <row r="1786">
          <cell r="A1786">
            <v>41960</v>
          </cell>
          <cell r="FR1786">
            <v>20.019891477274687</v>
          </cell>
          <cell r="FS1786">
            <v>22.314663874962239</v>
          </cell>
          <cell r="FT1786">
            <v>20.116606119778133</v>
          </cell>
          <cell r="FU1786">
            <v>17.065595346429742</v>
          </cell>
          <cell r="FV1786">
            <v>23.167616893126525</v>
          </cell>
          <cell r="GG1786">
            <v>13.0145266191897</v>
          </cell>
          <cell r="GH1786">
            <v>13.982143405445317</v>
          </cell>
          <cell r="GI1786">
            <v>10.408007395026372</v>
          </cell>
          <cell r="GJ1786">
            <v>7.7337520878462023</v>
          </cell>
          <cell r="GK1786">
            <v>13.082262702206542</v>
          </cell>
        </row>
        <row r="1787">
          <cell r="A1787">
            <v>41961</v>
          </cell>
          <cell r="FR1787">
            <v>20.428978977274728</v>
          </cell>
          <cell r="FS1787">
            <v>22.314663874962239</v>
          </cell>
          <cell r="FT1787">
            <v>20.116606119778133</v>
          </cell>
          <cell r="FU1787">
            <v>17.065595346429742</v>
          </cell>
          <cell r="FV1787">
            <v>23.167616893126525</v>
          </cell>
          <cell r="GG1787">
            <v>13.257603243771714</v>
          </cell>
          <cell r="GH1787">
            <v>13.982143405445317</v>
          </cell>
          <cell r="GI1787">
            <v>10.408007395026372</v>
          </cell>
          <cell r="GJ1787">
            <v>7.7337520878462023</v>
          </cell>
          <cell r="GK1787">
            <v>13.082262702206542</v>
          </cell>
        </row>
        <row r="1788">
          <cell r="A1788">
            <v>41962</v>
          </cell>
          <cell r="FR1788">
            <v>20.190343465911067</v>
          </cell>
          <cell r="FS1788">
            <v>22.314663874962239</v>
          </cell>
          <cell r="FT1788">
            <v>20.116606119778133</v>
          </cell>
          <cell r="FU1788">
            <v>17.065595346429742</v>
          </cell>
          <cell r="FV1788">
            <v>23.167616893126525</v>
          </cell>
          <cell r="GG1788">
            <v>13.115807870880399</v>
          </cell>
          <cell r="GH1788">
            <v>13.982143405445317</v>
          </cell>
          <cell r="GI1788">
            <v>10.408007395026372</v>
          </cell>
          <cell r="GJ1788">
            <v>7.7337520878462023</v>
          </cell>
          <cell r="GK1788">
            <v>13.082262702206542</v>
          </cell>
        </row>
        <row r="1789">
          <cell r="A1789">
            <v>41963</v>
          </cell>
          <cell r="FR1789">
            <v>20.224428409092887</v>
          </cell>
          <cell r="FS1789">
            <v>22.314663874962239</v>
          </cell>
          <cell r="FT1789">
            <v>20.116606119778133</v>
          </cell>
          <cell r="FU1789">
            <v>17.065595346429742</v>
          </cell>
          <cell r="FV1789">
            <v>23.167616893126525</v>
          </cell>
          <cell r="GG1789">
            <v>13.136060880169866</v>
          </cell>
          <cell r="GH1789">
            <v>13.982143405445317</v>
          </cell>
          <cell r="GI1789">
            <v>10.408007395026372</v>
          </cell>
          <cell r="GJ1789">
            <v>7.7337520878462023</v>
          </cell>
          <cell r="GK1789">
            <v>13.082262702206542</v>
          </cell>
        </row>
        <row r="1790">
          <cell r="A1790">
            <v>41964</v>
          </cell>
          <cell r="FR1790">
            <v>20.053976420456507</v>
          </cell>
          <cell r="FS1790">
            <v>22.314663874962239</v>
          </cell>
          <cell r="FT1790">
            <v>20.116606119778133</v>
          </cell>
          <cell r="FU1790">
            <v>17.065595346429742</v>
          </cell>
          <cell r="FV1790">
            <v>23.167616893126525</v>
          </cell>
          <cell r="GG1790">
            <v>13.034779628479168</v>
          </cell>
          <cell r="GH1790">
            <v>13.982143405445317</v>
          </cell>
          <cell r="GI1790">
            <v>10.408007395026372</v>
          </cell>
          <cell r="GJ1790">
            <v>7.7337520878462023</v>
          </cell>
          <cell r="GK1790">
            <v>13.082262702206542</v>
          </cell>
        </row>
        <row r="1791">
          <cell r="A1791">
            <v>41967</v>
          </cell>
          <cell r="FR1791">
            <v>20.50780267530234</v>
          </cell>
          <cell r="FS1791">
            <v>22.314663874962239</v>
          </cell>
          <cell r="FT1791">
            <v>20.116606119778133</v>
          </cell>
          <cell r="FU1791">
            <v>17.065595346429742</v>
          </cell>
          <cell r="FV1791">
            <v>23.167616893126525</v>
          </cell>
          <cell r="GG1791">
            <v>13.308247667720972</v>
          </cell>
          <cell r="GH1791">
            <v>13.982143405445317</v>
          </cell>
          <cell r="GI1791">
            <v>10.408007395026372</v>
          </cell>
          <cell r="GJ1791">
            <v>7.7337520878462023</v>
          </cell>
          <cell r="GK1791">
            <v>13.082262702206542</v>
          </cell>
        </row>
        <row r="1792">
          <cell r="A1792">
            <v>41968</v>
          </cell>
          <cell r="FR1792">
            <v>20.41408111101844</v>
          </cell>
          <cell r="FS1792">
            <v>22.314663874962239</v>
          </cell>
          <cell r="FT1792">
            <v>20.116606119778133</v>
          </cell>
          <cell r="FU1792">
            <v>17.065595346429742</v>
          </cell>
          <cell r="FV1792">
            <v>23.167616893126525</v>
          </cell>
          <cell r="GG1792">
            <v>13.252541637294373</v>
          </cell>
          <cell r="GH1792">
            <v>13.982143405445317</v>
          </cell>
          <cell r="GI1792">
            <v>10.408007395026372</v>
          </cell>
          <cell r="GJ1792">
            <v>7.7337520878462023</v>
          </cell>
          <cell r="GK1792">
            <v>13.082262702206542</v>
          </cell>
        </row>
        <row r="1793">
          <cell r="A1793">
            <v>41969</v>
          </cell>
          <cell r="FR1793">
            <v>20.587612518630927</v>
          </cell>
          <cell r="FS1793">
            <v>22.314663874962239</v>
          </cell>
          <cell r="FT1793">
            <v>20.116606119778133</v>
          </cell>
          <cell r="FU1793">
            <v>17.065595346429742</v>
          </cell>
          <cell r="FV1793">
            <v>23.167616893126525</v>
          </cell>
          <cell r="GG1793">
            <v>13.339986287429987</v>
          </cell>
          <cell r="GH1793">
            <v>13.982143405445317</v>
          </cell>
          <cell r="GI1793">
            <v>10.408007395026372</v>
          </cell>
          <cell r="GJ1793">
            <v>7.7337520878462023</v>
          </cell>
          <cell r="GK1793">
            <v>13.082262702206542</v>
          </cell>
        </row>
        <row r="1794">
          <cell r="A1794">
            <v>41970</v>
          </cell>
          <cell r="FR1794">
            <v>20.587612518630927</v>
          </cell>
          <cell r="FS1794">
            <v>22.314663874962239</v>
          </cell>
          <cell r="FT1794">
            <v>20.116606119778133</v>
          </cell>
          <cell r="FU1794">
            <v>17.065595346429742</v>
          </cell>
          <cell r="FV1794">
            <v>23.167616893126525</v>
          </cell>
          <cell r="GG1794">
            <v>13.339986287429987</v>
          </cell>
          <cell r="GH1794">
            <v>13.982143405445317</v>
          </cell>
          <cell r="GI1794">
            <v>10.408007395026372</v>
          </cell>
          <cell r="GJ1794">
            <v>7.7337520878462023</v>
          </cell>
          <cell r="GK1794">
            <v>13.082262702206542</v>
          </cell>
        </row>
        <row r="1795">
          <cell r="A1795">
            <v>41971</v>
          </cell>
          <cell r="FR1795">
            <v>20.372655682439333</v>
          </cell>
          <cell r="FS1795">
            <v>22.314663874962239</v>
          </cell>
          <cell r="FT1795">
            <v>20.116606119778133</v>
          </cell>
          <cell r="FU1795">
            <v>17.065595346429742</v>
          </cell>
          <cell r="FV1795">
            <v>23.167616893126525</v>
          </cell>
          <cell r="GG1795">
            <v>13.216108352088501</v>
          </cell>
          <cell r="GH1795">
            <v>13.982143405445317</v>
          </cell>
          <cell r="GI1795">
            <v>10.408007395026372</v>
          </cell>
          <cell r="GJ1795">
            <v>7.7337520878462023</v>
          </cell>
          <cell r="GK1795">
            <v>13.082262702206542</v>
          </cell>
        </row>
        <row r="1796">
          <cell r="A1796">
            <v>41974</v>
          </cell>
          <cell r="FR1796">
            <v>20.128450228156161</v>
          </cell>
          <cell r="FS1796">
            <v>22.314663874962239</v>
          </cell>
          <cell r="FT1796">
            <v>20.116606119778133</v>
          </cell>
          <cell r="FU1796">
            <v>17.065595346429742</v>
          </cell>
          <cell r="FV1796">
            <v>23.167616893126525</v>
          </cell>
          <cell r="GG1796">
            <v>13.069173261175999</v>
          </cell>
          <cell r="GH1796">
            <v>13.982143405445317</v>
          </cell>
          <cell r="GI1796">
            <v>10.408007395026372</v>
          </cell>
          <cell r="GJ1796">
            <v>7.7337520878462023</v>
          </cell>
          <cell r="GK1796">
            <v>13.082262702206542</v>
          </cell>
        </row>
        <row r="1797">
          <cell r="A1797">
            <v>41975</v>
          </cell>
          <cell r="FR1797">
            <v>20.348151090079433</v>
          </cell>
          <cell r="FS1797">
            <v>22.314663874962239</v>
          </cell>
          <cell r="FT1797">
            <v>20.116606119778133</v>
          </cell>
          <cell r="FU1797">
            <v>17.065595346429742</v>
          </cell>
          <cell r="FV1797">
            <v>23.167616893126525</v>
          </cell>
          <cell r="GG1797">
            <v>13.19971441136116</v>
          </cell>
          <cell r="GH1797">
            <v>13.982143405445317</v>
          </cell>
          <cell r="GI1797">
            <v>10.408007395026372</v>
          </cell>
          <cell r="GJ1797">
            <v>7.7337520878462023</v>
          </cell>
          <cell r="GK1797">
            <v>13.082262702206542</v>
          </cell>
        </row>
        <row r="1798">
          <cell r="A1798">
            <v>41976</v>
          </cell>
          <cell r="FR1798">
            <v>20.128450228156161</v>
          </cell>
          <cell r="FS1798">
            <v>22.314663874962239</v>
          </cell>
          <cell r="FT1798">
            <v>20.116606119778133</v>
          </cell>
          <cell r="FU1798">
            <v>17.065595346429742</v>
          </cell>
          <cell r="FV1798">
            <v>23.167616893126525</v>
          </cell>
          <cell r="GG1798">
            <v>13.069173261175999</v>
          </cell>
          <cell r="GH1798">
            <v>13.982143405445317</v>
          </cell>
          <cell r="GI1798">
            <v>10.408007395026372</v>
          </cell>
          <cell r="GJ1798">
            <v>7.7337520878462023</v>
          </cell>
          <cell r="GK1798">
            <v>13.082262702206542</v>
          </cell>
        </row>
        <row r="1799">
          <cell r="A1799">
            <v>41977</v>
          </cell>
          <cell r="FR1799">
            <v>20.111546391752579</v>
          </cell>
          <cell r="FS1799">
            <v>22.314663874962239</v>
          </cell>
          <cell r="FT1799">
            <v>20.116606119778133</v>
          </cell>
          <cell r="FU1799">
            <v>17.065595346429742</v>
          </cell>
          <cell r="FV1799">
            <v>23.167616893126525</v>
          </cell>
          <cell r="GG1799">
            <v>13.059129394131743</v>
          </cell>
          <cell r="GH1799">
            <v>13.982143405445317</v>
          </cell>
          <cell r="GI1799">
            <v>10.408007395026372</v>
          </cell>
          <cell r="GJ1799">
            <v>7.7337520878462023</v>
          </cell>
          <cell r="GK1799">
            <v>13.082262702206542</v>
          </cell>
        </row>
        <row r="1800">
          <cell r="A1800">
            <v>41978</v>
          </cell>
          <cell r="FR1800">
            <v>20.253809644670053</v>
          </cell>
          <cell r="FS1800">
            <v>22.314663874962239</v>
          </cell>
          <cell r="FT1800">
            <v>20.116606119778133</v>
          </cell>
          <cell r="FU1800">
            <v>17.065595346429742</v>
          </cell>
          <cell r="FV1800">
            <v>23.167616893126525</v>
          </cell>
          <cell r="GG1800">
            <v>13.13327317342921</v>
          </cell>
          <cell r="GH1800">
            <v>13.982143405445317</v>
          </cell>
          <cell r="GI1800">
            <v>10.408007395026372</v>
          </cell>
          <cell r="GJ1800">
            <v>7.7337520878462023</v>
          </cell>
          <cell r="GK1800">
            <v>13.082262702206542</v>
          </cell>
        </row>
        <row r="1801">
          <cell r="A1801">
            <v>41981</v>
          </cell>
          <cell r="FR1801">
            <v>20.283822869860291</v>
          </cell>
          <cell r="FS1801">
            <v>22.314663874962239</v>
          </cell>
          <cell r="FT1801">
            <v>20.116606119778133</v>
          </cell>
          <cell r="FU1801">
            <v>17.065595346429742</v>
          </cell>
          <cell r="FV1801">
            <v>23.167616893126525</v>
          </cell>
          <cell r="GG1801">
            <v>13.148339877585297</v>
          </cell>
          <cell r="GH1801">
            <v>13.982143405445317</v>
          </cell>
          <cell r="GI1801">
            <v>10.408007395026372</v>
          </cell>
          <cell r="GJ1801">
            <v>7.7337520878462023</v>
          </cell>
          <cell r="GK1801">
            <v>13.082262702206542</v>
          </cell>
        </row>
        <row r="1802">
          <cell r="A1802">
            <v>41982</v>
          </cell>
          <cell r="FR1802">
            <v>20.033785472972976</v>
          </cell>
          <cell r="FS1802">
            <v>22.314663874962239</v>
          </cell>
          <cell r="FT1802">
            <v>20.116606119778133</v>
          </cell>
          <cell r="FU1802">
            <v>17.065595346429742</v>
          </cell>
          <cell r="FV1802">
            <v>23.167616893126525</v>
          </cell>
          <cell r="GG1802">
            <v>13.055906784607982</v>
          </cell>
          <cell r="GH1802">
            <v>13.982143405445317</v>
          </cell>
          <cell r="GI1802">
            <v>10.408007395026372</v>
          </cell>
          <cell r="GJ1802">
            <v>7.7337520878462023</v>
          </cell>
          <cell r="GK1802">
            <v>13.082262702206542</v>
          </cell>
        </row>
        <row r="1803">
          <cell r="A1803">
            <v>41983</v>
          </cell>
          <cell r="FR1803">
            <v>19.543918918918919</v>
          </cell>
          <cell r="FS1803">
            <v>22.314663874962239</v>
          </cell>
          <cell r="FT1803">
            <v>20.116606119778133</v>
          </cell>
          <cell r="FU1803">
            <v>17.065595346429742</v>
          </cell>
          <cell r="FV1803">
            <v>23.167616893126525</v>
          </cell>
          <cell r="GG1803">
            <v>12.763865455347485</v>
          </cell>
          <cell r="GH1803">
            <v>13.982143405445317</v>
          </cell>
          <cell r="GI1803">
            <v>10.408007395026372</v>
          </cell>
          <cell r="GJ1803">
            <v>7.7337520878462023</v>
          </cell>
          <cell r="GK1803">
            <v>13.082262702206542</v>
          </cell>
        </row>
        <row r="1804">
          <cell r="A1804">
            <v>41984</v>
          </cell>
          <cell r="FR1804">
            <v>19.628383445945946</v>
          </cell>
          <cell r="FS1804">
            <v>22.314663874962239</v>
          </cell>
          <cell r="FT1804">
            <v>20.116606119778133</v>
          </cell>
          <cell r="FU1804">
            <v>17.065595346429742</v>
          </cell>
          <cell r="FV1804">
            <v>23.167616893126525</v>
          </cell>
          <cell r="GG1804">
            <v>12.814220256148214</v>
          </cell>
          <cell r="GH1804">
            <v>13.982143405445317</v>
          </cell>
          <cell r="GI1804">
            <v>10.408007395026372</v>
          </cell>
          <cell r="GJ1804">
            <v>7.7337520878462023</v>
          </cell>
          <cell r="GK1804">
            <v>13.082262702206542</v>
          </cell>
        </row>
        <row r="1805">
          <cell r="A1805">
            <v>41985</v>
          </cell>
          <cell r="FR1805">
            <v>19.383443412162162</v>
          </cell>
          <cell r="FS1805">
            <v>22.314663874962239</v>
          </cell>
          <cell r="FT1805">
            <v>20.116606119778133</v>
          </cell>
          <cell r="FU1805">
            <v>17.065595346429742</v>
          </cell>
          <cell r="FV1805">
            <v>23.167616893126525</v>
          </cell>
          <cell r="GG1805">
            <v>12.66819556337559</v>
          </cell>
          <cell r="GH1805">
            <v>13.982143405445317</v>
          </cell>
          <cell r="GI1805">
            <v>10.408007395026372</v>
          </cell>
          <cell r="GJ1805">
            <v>7.7337520878462023</v>
          </cell>
          <cell r="GK1805">
            <v>13.082262702206542</v>
          </cell>
        </row>
        <row r="1806">
          <cell r="A1806">
            <v>41988</v>
          </cell>
          <cell r="FR1806">
            <v>18.971632894292473</v>
          </cell>
          <cell r="FS1806">
            <v>22.314663874962239</v>
          </cell>
          <cell r="FT1806">
            <v>20.116606119778133</v>
          </cell>
          <cell r="FU1806">
            <v>17.065595346429742</v>
          </cell>
          <cell r="FV1806">
            <v>23.167616893126525</v>
          </cell>
          <cell r="GG1806">
            <v>12.426509538433615</v>
          </cell>
          <cell r="GH1806">
            <v>13.982143405445317</v>
          </cell>
          <cell r="GI1806">
            <v>10.408007395026372</v>
          </cell>
          <cell r="GJ1806">
            <v>7.7337520878462023</v>
          </cell>
          <cell r="GK1806">
            <v>13.082262702206542</v>
          </cell>
        </row>
        <row r="1807">
          <cell r="A1807">
            <v>41989</v>
          </cell>
          <cell r="FR1807">
            <v>18.904086457277948</v>
          </cell>
          <cell r="FS1807">
            <v>22.314663874962239</v>
          </cell>
          <cell r="FT1807">
            <v>20.116606119778133</v>
          </cell>
          <cell r="FU1807">
            <v>17.065595346429742</v>
          </cell>
          <cell r="FV1807">
            <v>23.167616893126525</v>
          </cell>
          <cell r="GG1807">
            <v>12.386227107642865</v>
          </cell>
          <cell r="GH1807">
            <v>13.982143405445317</v>
          </cell>
          <cell r="GI1807">
            <v>10.408007395026372</v>
          </cell>
          <cell r="GJ1807">
            <v>7.7337520878462023</v>
          </cell>
          <cell r="GK1807">
            <v>13.082262702206542</v>
          </cell>
        </row>
        <row r="1808">
          <cell r="A1808">
            <v>41990</v>
          </cell>
          <cell r="FR1808">
            <v>19.436005572441747</v>
          </cell>
          <cell r="FS1808">
            <v>22.314663874962239</v>
          </cell>
          <cell r="FT1808">
            <v>20.116606119778133</v>
          </cell>
          <cell r="FU1808">
            <v>17.065595346429742</v>
          </cell>
          <cell r="FV1808">
            <v>23.167616893126525</v>
          </cell>
          <cell r="GG1808">
            <v>12.703445837303729</v>
          </cell>
          <cell r="GH1808">
            <v>13.982143405445317</v>
          </cell>
          <cell r="GI1808">
            <v>10.408007395026372</v>
          </cell>
          <cell r="GJ1808">
            <v>7.7337520878462023</v>
          </cell>
          <cell r="GK1808">
            <v>13.082262702206542</v>
          </cell>
        </row>
        <row r="1809">
          <cell r="A1809">
            <v>41991</v>
          </cell>
          <cell r="FR1809">
            <v>20.069415100727952</v>
          </cell>
          <cell r="FS1809">
            <v>22.314663874962239</v>
          </cell>
          <cell r="FT1809">
            <v>20.116606119778133</v>
          </cell>
          <cell r="FU1809">
            <v>17.065595346429742</v>
          </cell>
          <cell r="FV1809">
            <v>23.167616893126525</v>
          </cell>
          <cell r="GG1809">
            <v>13.099854285820554</v>
          </cell>
          <cell r="GH1809">
            <v>13.982143405445317</v>
          </cell>
          <cell r="GI1809">
            <v>10.408007395026372</v>
          </cell>
          <cell r="GJ1809">
            <v>7.7337520878462023</v>
          </cell>
          <cell r="GK1809">
            <v>13.082262702206542</v>
          </cell>
        </row>
        <row r="1810">
          <cell r="A1810">
            <v>41992</v>
          </cell>
          <cell r="FR1810">
            <v>19.950912476722532</v>
          </cell>
          <cell r="FS1810">
            <v>22.314663874962239</v>
          </cell>
          <cell r="FT1810">
            <v>20.116606119778133</v>
          </cell>
          <cell r="FU1810">
            <v>17.065595346429742</v>
          </cell>
          <cell r="FV1810">
            <v>23.167616893126525</v>
          </cell>
          <cell r="GG1810">
            <v>13.029097740087924</v>
          </cell>
          <cell r="GH1810">
            <v>13.982143405445317</v>
          </cell>
          <cell r="GI1810">
            <v>10.408007395026372</v>
          </cell>
          <cell r="GJ1810">
            <v>7.7337520878462023</v>
          </cell>
          <cell r="GK1810">
            <v>13.082262702206542</v>
          </cell>
        </row>
        <row r="1811">
          <cell r="A1811">
            <v>41995</v>
          </cell>
          <cell r="FR1811">
            <v>20.043886446234783</v>
          </cell>
          <cell r="FS1811">
            <v>22.314663874962239</v>
          </cell>
          <cell r="FT1811">
            <v>20.116606119778133</v>
          </cell>
          <cell r="FU1811">
            <v>17.065595346429742</v>
          </cell>
          <cell r="FV1811">
            <v>23.167616893126525</v>
          </cell>
          <cell r="GG1811">
            <v>13.074582394190832</v>
          </cell>
          <cell r="GH1811">
            <v>13.982143405445317</v>
          </cell>
          <cell r="GI1811">
            <v>10.408007395026372</v>
          </cell>
          <cell r="GJ1811">
            <v>7.7337520878462023</v>
          </cell>
          <cell r="GK1811">
            <v>13.082262702206542</v>
          </cell>
        </row>
        <row r="1812">
          <cell r="A1812">
            <v>41996</v>
          </cell>
          <cell r="FR1812">
            <v>19.584746610169493</v>
          </cell>
          <cell r="FS1812">
            <v>22.314663874962239</v>
          </cell>
          <cell r="FT1812">
            <v>20.116606119778133</v>
          </cell>
          <cell r="FU1812">
            <v>17.065595346429742</v>
          </cell>
          <cell r="FV1812">
            <v>23.167616893126525</v>
          </cell>
          <cell r="GG1812">
            <v>12.796606748489198</v>
          </cell>
          <cell r="GH1812">
            <v>13.982143405445317</v>
          </cell>
          <cell r="GI1812">
            <v>10.408007395026372</v>
          </cell>
          <cell r="GJ1812">
            <v>7.7337520878462023</v>
          </cell>
          <cell r="GK1812">
            <v>13.082262702206542</v>
          </cell>
        </row>
        <row r="1813">
          <cell r="A1813">
            <v>41997</v>
          </cell>
          <cell r="FR1813">
            <v>19.66101440677966</v>
          </cell>
          <cell r="FS1813">
            <v>22.314663874962239</v>
          </cell>
          <cell r="FT1813">
            <v>20.116606119778133</v>
          </cell>
          <cell r="FU1813">
            <v>17.065595346429742</v>
          </cell>
          <cell r="FV1813">
            <v>23.167616893126525</v>
          </cell>
          <cell r="GG1813">
            <v>12.842091402592111</v>
          </cell>
          <cell r="GH1813">
            <v>13.982143405445317</v>
          </cell>
          <cell r="GI1813">
            <v>10.408007395026372</v>
          </cell>
          <cell r="GJ1813">
            <v>7.7337520878462023</v>
          </cell>
          <cell r="GK1813">
            <v>13.082262702206542</v>
          </cell>
        </row>
        <row r="1814">
          <cell r="A1814">
            <v>41998</v>
          </cell>
          <cell r="FR1814">
            <v>19.66101440677966</v>
          </cell>
          <cell r="FS1814">
            <v>22.314663874962239</v>
          </cell>
          <cell r="FT1814">
            <v>20.116606119778133</v>
          </cell>
          <cell r="FU1814">
            <v>17.065595346429742</v>
          </cell>
          <cell r="FV1814">
            <v>23.167616893126525</v>
          </cell>
          <cell r="GG1814">
            <v>12.842091402592111</v>
          </cell>
          <cell r="GH1814">
            <v>13.982143405445317</v>
          </cell>
          <cell r="GI1814">
            <v>10.408007395026372</v>
          </cell>
          <cell r="GJ1814">
            <v>7.7337520878462023</v>
          </cell>
          <cell r="GK1814">
            <v>13.082262702206542</v>
          </cell>
        </row>
        <row r="1815">
          <cell r="A1815">
            <v>41999</v>
          </cell>
          <cell r="FR1815">
            <v>20.008475423728814</v>
          </cell>
          <cell r="FS1815">
            <v>22.314663874962239</v>
          </cell>
          <cell r="FT1815">
            <v>20.116606119778133</v>
          </cell>
          <cell r="FU1815">
            <v>17.065595346429742</v>
          </cell>
          <cell r="FV1815">
            <v>23.167616893126525</v>
          </cell>
          <cell r="GG1815">
            <v>13.049310502561118</v>
          </cell>
          <cell r="GH1815">
            <v>13.982143405445317</v>
          </cell>
          <cell r="GI1815">
            <v>10.408007395026372</v>
          </cell>
          <cell r="GJ1815">
            <v>7.7337520878462023</v>
          </cell>
          <cell r="GK1815">
            <v>13.082262702206542</v>
          </cell>
        </row>
        <row r="1816">
          <cell r="A1816">
            <v>42002</v>
          </cell>
          <cell r="FR1816">
            <v>19.898301694915254</v>
          </cell>
          <cell r="FS1816">
            <v>22.314663874962239</v>
          </cell>
          <cell r="FT1816">
            <v>20.116606119778133</v>
          </cell>
          <cell r="FU1816">
            <v>17.065595346429742</v>
          </cell>
          <cell r="FV1816">
            <v>23.167616893126525</v>
          </cell>
          <cell r="GG1816">
            <v>12.983604999464877</v>
          </cell>
          <cell r="GH1816">
            <v>13.982143405445317</v>
          </cell>
          <cell r="GI1816">
            <v>10.408007395026372</v>
          </cell>
          <cell r="GJ1816">
            <v>7.7337520878462023</v>
          </cell>
          <cell r="GK1816">
            <v>13.082262702206542</v>
          </cell>
        </row>
        <row r="1817">
          <cell r="A1817">
            <v>42003</v>
          </cell>
          <cell r="FR1817">
            <v>19.66949745762712</v>
          </cell>
          <cell r="FS1817">
            <v>22.314663874962239</v>
          </cell>
          <cell r="FT1817">
            <v>20.116606119778133</v>
          </cell>
          <cell r="FU1817">
            <v>17.065595346429742</v>
          </cell>
          <cell r="FV1817">
            <v>23.167616893126525</v>
          </cell>
          <cell r="GG1817">
            <v>12.847150531748634</v>
          </cell>
          <cell r="GH1817">
            <v>13.982143405445317</v>
          </cell>
          <cell r="GI1817">
            <v>10.408007395026372</v>
          </cell>
          <cell r="GJ1817">
            <v>7.7337520878462023</v>
          </cell>
          <cell r="GK1817">
            <v>13.082262702206542</v>
          </cell>
        </row>
        <row r="1818">
          <cell r="A1818">
            <v>42004</v>
          </cell>
          <cell r="FR1818">
            <v>19.881361864406781</v>
          </cell>
          <cell r="FS1818">
            <v>22.314663874962239</v>
          </cell>
          <cell r="FT1818">
            <v>20.116606119778133</v>
          </cell>
          <cell r="FU1818">
            <v>17.065595346429742</v>
          </cell>
          <cell r="FV1818">
            <v>23.167616893126525</v>
          </cell>
          <cell r="GG1818">
            <v>12.973502408784592</v>
          </cell>
          <cell r="GH1818">
            <v>13.982143405445317</v>
          </cell>
          <cell r="GI1818">
            <v>10.408007395026372</v>
          </cell>
          <cell r="GJ1818">
            <v>7.7337520878462023</v>
          </cell>
          <cell r="GK1818">
            <v>13.082262702206542</v>
          </cell>
        </row>
        <row r="1819">
          <cell r="A1819">
            <v>42005</v>
          </cell>
          <cell r="FR1819">
            <v>19.707170518218131</v>
          </cell>
          <cell r="FS1819">
            <v>22.314663874962239</v>
          </cell>
          <cell r="FT1819">
            <v>20.116606119778133</v>
          </cell>
          <cell r="FU1819">
            <v>17.065595346429742</v>
          </cell>
          <cell r="FV1819">
            <v>23.167616893126525</v>
          </cell>
          <cell r="GG1819">
            <v>12.887654455949196</v>
          </cell>
          <cell r="GH1819">
            <v>13.982143405445317</v>
          </cell>
          <cell r="GI1819">
            <v>10.408007395026372</v>
          </cell>
          <cell r="GJ1819">
            <v>7.7337520878462023</v>
          </cell>
          <cell r="GK1819">
            <v>13.082262702206542</v>
          </cell>
        </row>
        <row r="1820">
          <cell r="A1820">
            <v>42006</v>
          </cell>
          <cell r="FR1820">
            <v>19.63155834446578</v>
          </cell>
          <cell r="FS1820">
            <v>22.314663874962239</v>
          </cell>
          <cell r="FT1820">
            <v>20.116606119778133</v>
          </cell>
          <cell r="FU1820">
            <v>17.065595346429742</v>
          </cell>
          <cell r="FV1820">
            <v>23.167616893126525</v>
          </cell>
          <cell r="GG1820">
            <v>12.84246325087495</v>
          </cell>
          <cell r="GH1820">
            <v>13.982143405445317</v>
          </cell>
          <cell r="GI1820">
            <v>10.408007395026372</v>
          </cell>
          <cell r="GJ1820">
            <v>7.7337520878462023</v>
          </cell>
          <cell r="GK1820">
            <v>13.082262702206542</v>
          </cell>
        </row>
        <row r="1821">
          <cell r="A1821">
            <v>42009</v>
          </cell>
          <cell r="FR1821">
            <v>19.539153919174069</v>
          </cell>
          <cell r="FS1821">
            <v>22.314663874962239</v>
          </cell>
          <cell r="FT1821">
            <v>20.116606119778133</v>
          </cell>
          <cell r="FU1821">
            <v>17.065595346429742</v>
          </cell>
          <cell r="FV1821">
            <v>23.167616893126525</v>
          </cell>
          <cell r="GG1821">
            <v>12.962498813502769</v>
          </cell>
          <cell r="GH1821">
            <v>13.982143405445317</v>
          </cell>
          <cell r="GI1821">
            <v>10.408007395026372</v>
          </cell>
          <cell r="GJ1821">
            <v>7.7337520878462023</v>
          </cell>
          <cell r="GK1821">
            <v>13.082262702206542</v>
          </cell>
        </row>
        <row r="1822">
          <cell r="A1822">
            <v>42010</v>
          </cell>
          <cell r="FR1822">
            <v>18.762047847012592</v>
          </cell>
          <cell r="FS1822">
            <v>22.314663874962239</v>
          </cell>
          <cell r="FT1822">
            <v>20.116606119778133</v>
          </cell>
          <cell r="FU1822">
            <v>17.065595346429742</v>
          </cell>
          <cell r="FV1822">
            <v>23.167616893126525</v>
          </cell>
          <cell r="GG1822">
            <v>12.506574863462488</v>
          </cell>
          <cell r="GH1822">
            <v>13.982143405445317</v>
          </cell>
          <cell r="GI1822">
            <v>10.408007395026372</v>
          </cell>
          <cell r="GJ1822">
            <v>7.7337520878462023</v>
          </cell>
          <cell r="GK1822">
            <v>13.082262702206542</v>
          </cell>
        </row>
        <row r="1823">
          <cell r="A1823">
            <v>42011</v>
          </cell>
          <cell r="FR1823">
            <v>19.04099885989821</v>
          </cell>
          <cell r="FS1823">
            <v>22.314663874962239</v>
          </cell>
          <cell r="FT1823">
            <v>20.116606119778133</v>
          </cell>
          <cell r="FU1823">
            <v>17.065595346429742</v>
          </cell>
          <cell r="FV1823">
            <v>23.167616893126525</v>
          </cell>
          <cell r="GG1823">
            <v>12.669800497541548</v>
          </cell>
          <cell r="GH1823">
            <v>13.982143405445317</v>
          </cell>
          <cell r="GI1823">
            <v>10.408007395026372</v>
          </cell>
          <cell r="GJ1823">
            <v>7.7337520878462023</v>
          </cell>
          <cell r="GK1823">
            <v>13.082262702206542</v>
          </cell>
        </row>
        <row r="1824">
          <cell r="A1824">
            <v>42012</v>
          </cell>
          <cell r="FR1824">
            <v>19.554256737902957</v>
          </cell>
          <cell r="FS1824">
            <v>22.314663874962239</v>
          </cell>
          <cell r="FT1824">
            <v>20.116606119778133</v>
          </cell>
          <cell r="FU1824">
            <v>17.065595346429742</v>
          </cell>
          <cell r="FV1824">
            <v>23.167616893126525</v>
          </cell>
          <cell r="GG1824">
            <v>12.980943066341171</v>
          </cell>
          <cell r="GH1824">
            <v>13.982143405445317</v>
          </cell>
          <cell r="GI1824">
            <v>10.408007395026372</v>
          </cell>
          <cell r="GJ1824">
            <v>7.7337520878462023</v>
          </cell>
          <cell r="GK1824">
            <v>13.082262702206542</v>
          </cell>
        </row>
        <row r="1825">
          <cell r="A1825">
            <v>42013</v>
          </cell>
          <cell r="FR1825">
            <v>19.087261251165948</v>
          </cell>
          <cell r="FS1825">
            <v>22.314663874962239</v>
          </cell>
          <cell r="FT1825">
            <v>20.116606119778133</v>
          </cell>
          <cell r="FU1825">
            <v>17.065595346429742</v>
          </cell>
          <cell r="FV1825">
            <v>23.167616893126525</v>
          </cell>
          <cell r="GG1825">
            <v>12.850188015147745</v>
          </cell>
          <cell r="GH1825">
            <v>13.982143405445317</v>
          </cell>
          <cell r="GI1825">
            <v>10.408007395026372</v>
          </cell>
          <cell r="GJ1825">
            <v>7.7337520878462023</v>
          </cell>
          <cell r="GK1825">
            <v>13.082262702206542</v>
          </cell>
        </row>
        <row r="1826">
          <cell r="A1826">
            <v>42016</v>
          </cell>
          <cell r="FR1826">
            <v>19.446876252294924</v>
          </cell>
          <cell r="FS1826">
            <v>22.314663874962239</v>
          </cell>
          <cell r="FT1826">
            <v>20.116606119778133</v>
          </cell>
          <cell r="FU1826">
            <v>17.065595346429742</v>
          </cell>
          <cell r="FV1826">
            <v>23.167616893126525</v>
          </cell>
          <cell r="GG1826">
            <v>12.980170705499123</v>
          </cell>
          <cell r="GH1826">
            <v>13.982143405445317</v>
          </cell>
          <cell r="GI1826">
            <v>10.408007395026372</v>
          </cell>
          <cell r="GJ1826">
            <v>7.7337520878462023</v>
          </cell>
          <cell r="GK1826">
            <v>13.082262702206542</v>
          </cell>
        </row>
        <row r="1827">
          <cell r="A1827">
            <v>42017</v>
          </cell>
          <cell r="FR1827">
            <v>19.717788062651941</v>
          </cell>
          <cell r="FS1827">
            <v>22.314663874962239</v>
          </cell>
          <cell r="FT1827">
            <v>20.116606119778133</v>
          </cell>
          <cell r="FU1827">
            <v>17.065595346429742</v>
          </cell>
          <cell r="FV1827">
            <v>23.167616893126525</v>
          </cell>
          <cell r="GG1827">
            <v>13.145129094796744</v>
          </cell>
          <cell r="GH1827">
            <v>13.982143405445317</v>
          </cell>
          <cell r="GI1827">
            <v>10.408007395026372</v>
          </cell>
          <cell r="GJ1827">
            <v>7.7337520878462023</v>
          </cell>
          <cell r="GK1827">
            <v>13.082262702206542</v>
          </cell>
        </row>
        <row r="1828">
          <cell r="A1828">
            <v>42018</v>
          </cell>
          <cell r="FR1828">
            <v>19.783994528914732</v>
          </cell>
          <cell r="FS1828">
            <v>22.314663874962239</v>
          </cell>
          <cell r="FT1828">
            <v>20.116606119778133</v>
          </cell>
          <cell r="FU1828">
            <v>17.065595346429742</v>
          </cell>
          <cell r="FV1828">
            <v>23.167616893126525</v>
          </cell>
          <cell r="GG1828">
            <v>13.217016112991391</v>
          </cell>
          <cell r="GH1828">
            <v>13.982143405445317</v>
          </cell>
          <cell r="GI1828">
            <v>10.408007395026372</v>
          </cell>
          <cell r="GJ1828">
            <v>7.7337520878462023</v>
          </cell>
          <cell r="GK1828">
            <v>13.082262702206542</v>
          </cell>
        </row>
        <row r="1829">
          <cell r="A1829">
            <v>42019</v>
          </cell>
          <cell r="FR1829">
            <v>19.716239432059119</v>
          </cell>
          <cell r="FS1829">
            <v>22.314663874962239</v>
          </cell>
          <cell r="FT1829">
            <v>20.116606119778133</v>
          </cell>
          <cell r="FU1829">
            <v>17.065595346429742</v>
          </cell>
          <cell r="FV1829">
            <v>23.167616893126525</v>
          </cell>
          <cell r="GG1829">
            <v>13.175662448575572</v>
          </cell>
          <cell r="GH1829">
            <v>13.982143405445317</v>
          </cell>
          <cell r="GI1829">
            <v>10.408007395026372</v>
          </cell>
          <cell r="GJ1829">
            <v>7.7337520878462023</v>
          </cell>
          <cell r="GK1829">
            <v>13.082262702206542</v>
          </cell>
        </row>
        <row r="1830">
          <cell r="A1830">
            <v>42020</v>
          </cell>
          <cell r="FR1830">
            <v>20.159588164679707</v>
          </cell>
          <cell r="FS1830">
            <v>22.314663874962239</v>
          </cell>
          <cell r="FT1830">
            <v>20.116606119778133</v>
          </cell>
          <cell r="FU1830">
            <v>17.065595346429742</v>
          </cell>
          <cell r="FV1830">
            <v>23.167616893126525</v>
          </cell>
          <cell r="GG1830">
            <v>13.459897967034234</v>
          </cell>
          <cell r="GH1830">
            <v>13.982143405445317</v>
          </cell>
          <cell r="GI1830">
            <v>10.408007395026372</v>
          </cell>
          <cell r="GJ1830">
            <v>7.7337520878462023</v>
          </cell>
          <cell r="GK1830">
            <v>13.082262702206542</v>
          </cell>
        </row>
        <row r="1831">
          <cell r="A1831">
            <v>42023</v>
          </cell>
          <cell r="FR1831">
            <v>20.371052376197323</v>
          </cell>
          <cell r="FS1831">
            <v>22.314663874962239</v>
          </cell>
          <cell r="FT1831">
            <v>20.116606119778133</v>
          </cell>
          <cell r="FU1831">
            <v>17.065595346429742</v>
          </cell>
          <cell r="FV1831">
            <v>23.167616893126525</v>
          </cell>
          <cell r="GG1831">
            <v>13.504890188848748</v>
          </cell>
          <cell r="GH1831">
            <v>13.982143405445317</v>
          </cell>
          <cell r="GI1831">
            <v>10.408007395026372</v>
          </cell>
          <cell r="GJ1831">
            <v>7.7337520878462023</v>
          </cell>
          <cell r="GK1831">
            <v>13.082262702206542</v>
          </cell>
        </row>
        <row r="1832">
          <cell r="A1832">
            <v>42024</v>
          </cell>
          <cell r="FR1832">
            <v>20.208369059513991</v>
          </cell>
          <cell r="FS1832">
            <v>22.314663874962239</v>
          </cell>
          <cell r="FT1832">
            <v>20.116606119778133</v>
          </cell>
          <cell r="FU1832">
            <v>17.065595346429742</v>
          </cell>
          <cell r="FV1832">
            <v>23.167616893126525</v>
          </cell>
          <cell r="GG1832">
            <v>13.406204994295056</v>
          </cell>
          <cell r="GH1832">
            <v>13.982143405445317</v>
          </cell>
          <cell r="GI1832">
            <v>10.408007395026372</v>
          </cell>
          <cell r="GJ1832">
            <v>7.7337520878462023</v>
          </cell>
          <cell r="GK1832">
            <v>13.082262702206542</v>
          </cell>
        </row>
        <row r="1833">
          <cell r="A1833">
            <v>42025</v>
          </cell>
          <cell r="FR1833">
            <v>20.337774613871751</v>
          </cell>
          <cell r="FS1833">
            <v>22.314663874962239</v>
          </cell>
          <cell r="FT1833">
            <v>20.116606119778133</v>
          </cell>
          <cell r="FU1833">
            <v>17.065595346429742</v>
          </cell>
          <cell r="FV1833">
            <v>23.167616893126525</v>
          </cell>
          <cell r="GG1833">
            <v>13.489307769254692</v>
          </cell>
          <cell r="GH1833">
            <v>13.982143405445317</v>
          </cell>
          <cell r="GI1833">
            <v>10.408007395026372</v>
          </cell>
          <cell r="GJ1833">
            <v>7.7337520878462023</v>
          </cell>
          <cell r="GK1833">
            <v>13.082262702206542</v>
          </cell>
        </row>
        <row r="1834">
          <cell r="A1834">
            <v>42026</v>
          </cell>
          <cell r="FR1834">
            <v>20.137374381744866</v>
          </cell>
          <cell r="FS1834">
            <v>22.314663874962239</v>
          </cell>
          <cell r="FT1834">
            <v>20.116606119778133</v>
          </cell>
          <cell r="FU1834">
            <v>17.065595346429742</v>
          </cell>
          <cell r="FV1834">
            <v>23.167616893126525</v>
          </cell>
          <cell r="GG1834">
            <v>13.427317734820548</v>
          </cell>
          <cell r="GH1834">
            <v>13.982143405445317</v>
          </cell>
          <cell r="GI1834">
            <v>10.408007395026372</v>
          </cell>
          <cell r="GJ1834">
            <v>7.7337520878462023</v>
          </cell>
          <cell r="GK1834">
            <v>13.082262702206542</v>
          </cell>
        </row>
        <row r="1835">
          <cell r="A1835">
            <v>42027</v>
          </cell>
          <cell r="FR1835">
            <v>20.113601775728345</v>
          </cell>
          <cell r="FS1835">
            <v>22.314663874962239</v>
          </cell>
          <cell r="FT1835">
            <v>20.116606119778133</v>
          </cell>
          <cell r="FU1835">
            <v>17.065595346429742</v>
          </cell>
          <cell r="FV1835">
            <v>23.167616893126525</v>
          </cell>
          <cell r="GG1835">
            <v>13.41429167885522</v>
          </cell>
          <cell r="GH1835">
            <v>13.982143405445317</v>
          </cell>
          <cell r="GI1835">
            <v>10.408007395026372</v>
          </cell>
          <cell r="GJ1835">
            <v>7.7337520878462023</v>
          </cell>
          <cell r="GK1835">
            <v>13.082262702206542</v>
          </cell>
        </row>
        <row r="1836">
          <cell r="A1836">
            <v>42030</v>
          </cell>
          <cell r="FR1836">
            <v>20.288627706593964</v>
          </cell>
          <cell r="FS1836">
            <v>22.314663874962239</v>
          </cell>
          <cell r="FT1836">
            <v>20.116606119778133</v>
          </cell>
          <cell r="FU1836">
            <v>17.065595346429742</v>
          </cell>
          <cell r="FV1836">
            <v>23.167616893126525</v>
          </cell>
          <cell r="GG1836">
            <v>13.41429167885522</v>
          </cell>
          <cell r="GH1836">
            <v>13.982143405445317</v>
          </cell>
          <cell r="GI1836">
            <v>10.408007395026372</v>
          </cell>
          <cell r="GJ1836">
            <v>7.7337520878462023</v>
          </cell>
          <cell r="GK1836">
            <v>13.082262702206542</v>
          </cell>
        </row>
        <row r="1837">
          <cell r="A1837">
            <v>42031</v>
          </cell>
          <cell r="FR1837">
            <v>20.194698000954165</v>
          </cell>
          <cell r="FS1837">
            <v>22.314663874962239</v>
          </cell>
          <cell r="FT1837">
            <v>20.116606119778133</v>
          </cell>
          <cell r="FU1837">
            <v>17.065595346429742</v>
          </cell>
          <cell r="FV1837">
            <v>23.167616893126525</v>
          </cell>
          <cell r="GG1837">
            <v>13.41429167885522</v>
          </cell>
          <cell r="GH1837">
            <v>13.982143405445317</v>
          </cell>
          <cell r="GI1837">
            <v>10.408007395026372</v>
          </cell>
          <cell r="GJ1837">
            <v>7.7337520878462023</v>
          </cell>
          <cell r="GK1837">
            <v>13.082262702206542</v>
          </cell>
        </row>
        <row r="1838">
          <cell r="A1838">
            <v>42032</v>
          </cell>
          <cell r="FR1838">
            <v>19.887294486164965</v>
          </cell>
          <cell r="FS1838">
            <v>22.314663874962239</v>
          </cell>
          <cell r="FT1838">
            <v>20.116606119778133</v>
          </cell>
          <cell r="FU1838">
            <v>17.065595346429742</v>
          </cell>
          <cell r="FV1838">
            <v>23.167616893126525</v>
          </cell>
          <cell r="GG1838">
            <v>13.41429167885522</v>
          </cell>
          <cell r="GH1838">
            <v>13.982143405445317</v>
          </cell>
          <cell r="GI1838">
            <v>10.408007395026372</v>
          </cell>
          <cell r="GJ1838">
            <v>7.7337520878462023</v>
          </cell>
          <cell r="GK1838">
            <v>13.082262702206542</v>
          </cell>
        </row>
        <row r="1839">
          <cell r="A1839">
            <v>42033</v>
          </cell>
          <cell r="FR1839">
            <v>20.254658094278135</v>
          </cell>
          <cell r="FS1839">
            <v>22.314663874962239</v>
          </cell>
          <cell r="FT1839">
            <v>20.116606119778133</v>
          </cell>
          <cell r="FU1839">
            <v>17.065595346429742</v>
          </cell>
          <cell r="FV1839">
            <v>23.167616893126525</v>
          </cell>
          <cell r="GG1839">
            <v>13.41429167885522</v>
          </cell>
          <cell r="GH1839">
            <v>13.982143405445317</v>
          </cell>
          <cell r="GI1839">
            <v>10.408007395026372</v>
          </cell>
          <cell r="GJ1839">
            <v>7.7337520878462023</v>
          </cell>
          <cell r="GK1839">
            <v>13.082262702206542</v>
          </cell>
        </row>
        <row r="1840">
          <cell r="A1840">
            <v>42034</v>
          </cell>
          <cell r="FR1840">
            <v>20.006334032301861</v>
          </cell>
          <cell r="FS1840">
            <v>22.314663874962239</v>
          </cell>
          <cell r="FT1840">
            <v>20.116606119778133</v>
          </cell>
          <cell r="FU1840">
            <v>17.065595346429742</v>
          </cell>
          <cell r="FV1840">
            <v>23.167616893126525</v>
          </cell>
          <cell r="GG1840">
            <v>13.41429167885522</v>
          </cell>
          <cell r="GH1840">
            <v>13.982143405445317</v>
          </cell>
          <cell r="GI1840">
            <v>10.408007395026372</v>
          </cell>
          <cell r="GJ1840">
            <v>7.7337520878462023</v>
          </cell>
          <cell r="GK1840">
            <v>13.082262702206542</v>
          </cell>
        </row>
        <row r="1841">
          <cell r="A1841">
            <v>42037</v>
          </cell>
          <cell r="FR1841">
            <v>19.852940869824177</v>
          </cell>
          <cell r="FS1841">
            <v>22.314663874962239</v>
          </cell>
          <cell r="FT1841">
            <v>20.116606119778133</v>
          </cell>
          <cell r="FU1841">
            <v>17.065595346429742</v>
          </cell>
          <cell r="FV1841">
            <v>23.167616893126525</v>
          </cell>
          <cell r="GG1841">
            <v>13.327943284509313</v>
          </cell>
          <cell r="GH1841">
            <v>13.982143405445317</v>
          </cell>
          <cell r="GI1841">
            <v>10.408007395026372</v>
          </cell>
          <cell r="GJ1841">
            <v>7.7337520878462023</v>
          </cell>
          <cell r="GK1841">
            <v>13.082262702206542</v>
          </cell>
        </row>
        <row r="1842">
          <cell r="A1842">
            <v>42038</v>
          </cell>
          <cell r="FR1842">
            <v>20.142181009636339</v>
          </cell>
          <cell r="FS1842">
            <v>22.314663874962239</v>
          </cell>
          <cell r="FT1842">
            <v>20.116606119778133</v>
          </cell>
          <cell r="FU1842">
            <v>17.065595346429742</v>
          </cell>
          <cell r="FV1842">
            <v>23.167616893126525</v>
          </cell>
          <cell r="GG1842">
            <v>13.778231877825405</v>
          </cell>
          <cell r="GH1842">
            <v>13.982143405445317</v>
          </cell>
          <cell r="GI1842">
            <v>10.408007395026372</v>
          </cell>
          <cell r="GJ1842">
            <v>7.7337520878462023</v>
          </cell>
          <cell r="GK1842">
            <v>13.082262702206542</v>
          </cell>
        </row>
        <row r="1843">
          <cell r="A1843">
            <v>42039</v>
          </cell>
          <cell r="FR1843">
            <v>19.802560224790977</v>
          </cell>
          <cell r="FS1843">
            <v>22.314663874962239</v>
          </cell>
          <cell r="FT1843">
            <v>20.116606119778133</v>
          </cell>
          <cell r="FU1843">
            <v>17.065595346429742</v>
          </cell>
          <cell r="FV1843">
            <v>23.167616893126525</v>
          </cell>
          <cell r="GG1843">
            <v>13.56872419436559</v>
          </cell>
          <cell r="GH1843">
            <v>13.982143405445317</v>
          </cell>
          <cell r="GI1843">
            <v>10.408007395026372</v>
          </cell>
          <cell r="GJ1843">
            <v>7.7337520878462023</v>
          </cell>
          <cell r="GK1843">
            <v>13.082262702206542</v>
          </cell>
        </row>
        <row r="1844">
          <cell r="A1844">
            <v>42040</v>
          </cell>
          <cell r="FR1844">
            <v>20.168304881555436</v>
          </cell>
          <cell r="FS1844">
            <v>22.314663874962239</v>
          </cell>
          <cell r="FT1844">
            <v>20.116606119778133</v>
          </cell>
          <cell r="FU1844">
            <v>17.065595346429742</v>
          </cell>
          <cell r="FV1844">
            <v>23.167616893126525</v>
          </cell>
          <cell r="GG1844">
            <v>13.794347357598717</v>
          </cell>
          <cell r="GH1844">
            <v>13.982143405445317</v>
          </cell>
          <cell r="GI1844">
            <v>10.408007395026372</v>
          </cell>
          <cell r="GJ1844">
            <v>7.7337520878462023</v>
          </cell>
          <cell r="GK1844">
            <v>13.082262702206542</v>
          </cell>
        </row>
        <row r="1845">
          <cell r="A1845">
            <v>42041</v>
          </cell>
          <cell r="FR1845">
            <v>19.777179778867094</v>
          </cell>
          <cell r="FS1845">
            <v>22.314663874962239</v>
          </cell>
          <cell r="FT1845">
            <v>20.116606119778133</v>
          </cell>
          <cell r="FU1845">
            <v>17.065595346429742</v>
          </cell>
          <cell r="FV1845">
            <v>23.167616893126525</v>
          </cell>
          <cell r="GG1845">
            <v>13.604420265878714</v>
          </cell>
          <cell r="GH1845">
            <v>13.982143405445317</v>
          </cell>
          <cell r="GI1845">
            <v>10.408007395026372</v>
          </cell>
          <cell r="GJ1845">
            <v>7.7337520878462023</v>
          </cell>
          <cell r="GK1845">
            <v>13.082262702206542</v>
          </cell>
        </row>
        <row r="1846">
          <cell r="A1846">
            <v>42044</v>
          </cell>
          <cell r="FR1846">
            <v>19.75553822698819</v>
          </cell>
          <cell r="FS1846">
            <v>22.314663874962239</v>
          </cell>
          <cell r="FT1846">
            <v>20.116606119778133</v>
          </cell>
          <cell r="FU1846">
            <v>17.065595346429742</v>
          </cell>
          <cell r="FV1846">
            <v>23.167616893126525</v>
          </cell>
          <cell r="GG1846">
            <v>13.614849899326813</v>
          </cell>
          <cell r="GH1846">
            <v>13.982143405445317</v>
          </cell>
          <cell r="GI1846">
            <v>10.408007395026372</v>
          </cell>
          <cell r="GJ1846">
            <v>7.7337520878462023</v>
          </cell>
          <cell r="GK1846">
            <v>13.082262702206542</v>
          </cell>
        </row>
        <row r="1847">
          <cell r="A1847">
            <v>42045</v>
          </cell>
          <cell r="FR1847">
            <v>19.991663727289925</v>
          </cell>
          <cell r="FS1847">
            <v>22.314663874962239</v>
          </cell>
          <cell r="FT1847">
            <v>20.116606119778133</v>
          </cell>
          <cell r="FU1847">
            <v>17.065595346429742</v>
          </cell>
          <cell r="FV1847">
            <v>23.167616893126525</v>
          </cell>
          <cell r="GG1847">
            <v>13.761258798588006</v>
          </cell>
          <cell r="GH1847">
            <v>13.982143405445317</v>
          </cell>
          <cell r="GI1847">
            <v>10.408007395026372</v>
          </cell>
          <cell r="GJ1847">
            <v>7.7337520878462023</v>
          </cell>
          <cell r="GK1847">
            <v>13.082262702206542</v>
          </cell>
        </row>
        <row r="1848">
          <cell r="A1848">
            <v>42046</v>
          </cell>
          <cell r="FR1848">
            <v>19.955280327229922</v>
          </cell>
          <cell r="FS1848">
            <v>22.314663874962239</v>
          </cell>
          <cell r="FT1848">
            <v>20.116606119778133</v>
          </cell>
          <cell r="FU1848">
            <v>17.065595346429742</v>
          </cell>
          <cell r="FV1848">
            <v>23.167616893126525</v>
          </cell>
          <cell r="GG1848">
            <v>13.714200475896005</v>
          </cell>
          <cell r="GH1848">
            <v>13.982143405445317</v>
          </cell>
          <cell r="GI1848">
            <v>10.408007395026372</v>
          </cell>
          <cell r="GJ1848">
            <v>7.7337520878462023</v>
          </cell>
          <cell r="GK1848">
            <v>13.082262702206542</v>
          </cell>
        </row>
        <row r="1849">
          <cell r="A1849">
            <v>42047</v>
          </cell>
          <cell r="FR1849">
            <v>20.860340320464026</v>
          </cell>
          <cell r="FS1849">
            <v>22.314663874962239</v>
          </cell>
          <cell r="FT1849">
            <v>20.116606119778133</v>
          </cell>
          <cell r="FU1849">
            <v>17.065595346429742</v>
          </cell>
          <cell r="FV1849">
            <v>23.167616893126525</v>
          </cell>
          <cell r="GG1849">
            <v>14.274113872295853</v>
          </cell>
          <cell r="GH1849">
            <v>13.982143405445317</v>
          </cell>
          <cell r="GI1849">
            <v>10.408007395026372</v>
          </cell>
          <cell r="GJ1849">
            <v>7.7337520878462023</v>
          </cell>
          <cell r="GK1849">
            <v>13.082262702206542</v>
          </cell>
        </row>
        <row r="1850">
          <cell r="A1850">
            <v>42048</v>
          </cell>
          <cell r="FR1850">
            <v>20.738572179246077</v>
          </cell>
          <cell r="FS1850">
            <v>22.314663874962239</v>
          </cell>
          <cell r="FT1850">
            <v>20.116606119778133</v>
          </cell>
          <cell r="FU1850">
            <v>17.065595346429742</v>
          </cell>
          <cell r="FV1850">
            <v>23.167616893126525</v>
          </cell>
          <cell r="GG1850">
            <v>14.206727338695735</v>
          </cell>
          <cell r="GH1850">
            <v>13.982143405445317</v>
          </cell>
          <cell r="GI1850">
            <v>10.408007395026372</v>
          </cell>
          <cell r="GJ1850">
            <v>7.7337520878462023</v>
          </cell>
          <cell r="GK1850">
            <v>13.082262702206542</v>
          </cell>
        </row>
        <row r="1851">
          <cell r="A1851">
            <v>42051</v>
          </cell>
          <cell r="FR1851">
            <v>20.744597832389626</v>
          </cell>
          <cell r="FS1851">
            <v>22.314663874962239</v>
          </cell>
          <cell r="FT1851">
            <v>20.116606119778133</v>
          </cell>
          <cell r="FU1851">
            <v>17.065595346429742</v>
          </cell>
          <cell r="FV1851">
            <v>23.167616893126525</v>
          </cell>
          <cell r="GG1851">
            <v>14.206727338695735</v>
          </cell>
          <cell r="GH1851">
            <v>13.982143405445317</v>
          </cell>
          <cell r="GI1851">
            <v>10.408007395026372</v>
          </cell>
          <cell r="GJ1851">
            <v>7.7337520878462023</v>
          </cell>
          <cell r="GK1851">
            <v>13.082262702206542</v>
          </cell>
        </row>
        <row r="1852">
          <cell r="A1852">
            <v>42052</v>
          </cell>
          <cell r="FR1852">
            <v>20.998657032186411</v>
          </cell>
          <cell r="FS1852">
            <v>22.314663874962239</v>
          </cell>
          <cell r="FT1852">
            <v>20.116606119778133</v>
          </cell>
          <cell r="FU1852">
            <v>17.065595346429742</v>
          </cell>
          <cell r="FV1852">
            <v>23.167616893126525</v>
          </cell>
          <cell r="GG1852">
            <v>14.363993082505052</v>
          </cell>
          <cell r="GH1852">
            <v>13.982143405445317</v>
          </cell>
          <cell r="GI1852">
            <v>10.408007395026372</v>
          </cell>
          <cell r="GJ1852">
            <v>7.7337520878462023</v>
          </cell>
          <cell r="GK1852">
            <v>13.082262702206542</v>
          </cell>
        </row>
        <row r="1853">
          <cell r="A1853">
            <v>42053</v>
          </cell>
          <cell r="FR1853">
            <v>21.142044811226626</v>
          </cell>
          <cell r="FS1853">
            <v>22.314663874962239</v>
          </cell>
          <cell r="FT1853">
            <v>20.116606119778133</v>
          </cell>
          <cell r="FU1853">
            <v>17.065595346429742</v>
          </cell>
          <cell r="FV1853">
            <v>23.167616893126525</v>
          </cell>
          <cell r="GG1853">
            <v>14.46159893528799</v>
          </cell>
          <cell r="GH1853">
            <v>13.982143405445317</v>
          </cell>
          <cell r="GI1853">
            <v>10.408007395026372</v>
          </cell>
          <cell r="GJ1853">
            <v>7.7337520878462023</v>
          </cell>
          <cell r="GK1853">
            <v>13.082262702206542</v>
          </cell>
        </row>
        <row r="1854">
          <cell r="A1854">
            <v>42054</v>
          </cell>
          <cell r="FR1854">
            <v>20.968341956932388</v>
          </cell>
          <cell r="FS1854">
            <v>22.314663874962239</v>
          </cell>
          <cell r="FT1854">
            <v>20.116606119778133</v>
          </cell>
          <cell r="FU1854">
            <v>17.065595346429742</v>
          </cell>
          <cell r="FV1854">
            <v>23.167616893126525</v>
          </cell>
          <cell r="GG1854">
            <v>14.483027139219994</v>
          </cell>
          <cell r="GH1854">
            <v>13.982143405445317</v>
          </cell>
          <cell r="GI1854">
            <v>10.408007395026372</v>
          </cell>
          <cell r="GJ1854">
            <v>7.7337520878462023</v>
          </cell>
          <cell r="GK1854">
            <v>13.082262702206542</v>
          </cell>
        </row>
        <row r="1855">
          <cell r="A1855">
            <v>42055</v>
          </cell>
          <cell r="FR1855">
            <v>21.219831189480473</v>
          </cell>
          <cell r="FS1855">
            <v>22.314663874962239</v>
          </cell>
          <cell r="FT1855">
            <v>20.116606119778133</v>
          </cell>
          <cell r="FU1855">
            <v>17.065595346429742</v>
          </cell>
          <cell r="FV1855">
            <v>23.167616893126525</v>
          </cell>
          <cell r="GG1855">
            <v>14.640348937638491</v>
          </cell>
          <cell r="GH1855">
            <v>13.982143405445317</v>
          </cell>
          <cell r="GI1855">
            <v>10.408007395026372</v>
          </cell>
          <cell r="GJ1855">
            <v>7.7337520878462023</v>
          </cell>
          <cell r="GK1855">
            <v>13.082262702206542</v>
          </cell>
        </row>
        <row r="1856">
          <cell r="A1856">
            <v>42058</v>
          </cell>
          <cell r="FR1856">
            <v>21.384596618010622</v>
          </cell>
          <cell r="FS1856">
            <v>22.314663874962239</v>
          </cell>
          <cell r="FT1856">
            <v>20.116606119778133</v>
          </cell>
          <cell r="FU1856">
            <v>17.065595346429742</v>
          </cell>
          <cell r="FV1856">
            <v>23.167616893126525</v>
          </cell>
          <cell r="GG1856">
            <v>14.743419726279916</v>
          </cell>
          <cell r="GH1856">
            <v>13.982143405445317</v>
          </cell>
          <cell r="GI1856">
            <v>10.408007395026372</v>
          </cell>
          <cell r="GJ1856">
            <v>7.7337520878462023</v>
          </cell>
          <cell r="GK1856">
            <v>13.082262702206542</v>
          </cell>
        </row>
        <row r="1857">
          <cell r="A1857">
            <v>42059</v>
          </cell>
          <cell r="FR1857">
            <v>21.53201503107611</v>
          </cell>
          <cell r="FS1857">
            <v>22.314663874962239</v>
          </cell>
          <cell r="FT1857">
            <v>20.116606119778133</v>
          </cell>
          <cell r="FU1857">
            <v>17.065595346429742</v>
          </cell>
          <cell r="FV1857">
            <v>23.167616893126525</v>
          </cell>
          <cell r="GG1857">
            <v>14.835638902538404</v>
          </cell>
          <cell r="GH1857">
            <v>13.982143405445317</v>
          </cell>
          <cell r="GI1857">
            <v>10.408007395026372</v>
          </cell>
          <cell r="GJ1857">
            <v>7.7337520878462023</v>
          </cell>
          <cell r="GK1857">
            <v>13.082262702206542</v>
          </cell>
        </row>
        <row r="1858">
          <cell r="A1858">
            <v>42060</v>
          </cell>
          <cell r="FR1858">
            <v>21.584043936987374</v>
          </cell>
          <cell r="FS1858">
            <v>22.314663874962239</v>
          </cell>
          <cell r="FT1858">
            <v>20.116606119778133</v>
          </cell>
          <cell r="FU1858">
            <v>17.065595346429742</v>
          </cell>
          <cell r="FV1858">
            <v>23.167616893126525</v>
          </cell>
          <cell r="GG1858">
            <v>14.868186145077475</v>
          </cell>
          <cell r="GH1858">
            <v>13.982143405445317</v>
          </cell>
          <cell r="GI1858">
            <v>10.408007395026372</v>
          </cell>
          <cell r="GJ1858">
            <v>7.7337520878462023</v>
          </cell>
          <cell r="GK1858">
            <v>13.082262702206542</v>
          </cell>
        </row>
        <row r="1859">
          <cell r="A1859">
            <v>42061</v>
          </cell>
          <cell r="FR1859">
            <v>21.670766873827969</v>
          </cell>
          <cell r="FS1859">
            <v>22.314663874962239</v>
          </cell>
          <cell r="FT1859">
            <v>20.116606119778133</v>
          </cell>
          <cell r="FU1859">
            <v>17.065595346429742</v>
          </cell>
          <cell r="FV1859">
            <v>23.167616893126525</v>
          </cell>
          <cell r="GG1859">
            <v>14.922436612382421</v>
          </cell>
          <cell r="GH1859">
            <v>13.982143405445317</v>
          </cell>
          <cell r="GI1859">
            <v>10.408007395026372</v>
          </cell>
          <cell r="GJ1859">
            <v>7.7337520878462023</v>
          </cell>
          <cell r="GK1859">
            <v>13.082262702206542</v>
          </cell>
        </row>
        <row r="1860">
          <cell r="A1860">
            <v>42062</v>
          </cell>
          <cell r="FR1860">
            <v>21.904895216073982</v>
          </cell>
          <cell r="FS1860">
            <v>22.314663874962239</v>
          </cell>
          <cell r="FT1860">
            <v>20.116606119778133</v>
          </cell>
          <cell r="FU1860">
            <v>17.065595346429742</v>
          </cell>
          <cell r="FV1860">
            <v>23.167616893126525</v>
          </cell>
          <cell r="GG1860">
            <v>15.068898118863984</v>
          </cell>
          <cell r="GH1860">
            <v>13.982143405445317</v>
          </cell>
          <cell r="GI1860">
            <v>10.408007395026372</v>
          </cell>
          <cell r="GJ1860">
            <v>7.7337520878462023</v>
          </cell>
          <cell r="GK1860">
            <v>13.082262702206542</v>
          </cell>
        </row>
        <row r="1861">
          <cell r="A1861">
            <v>42065</v>
          </cell>
          <cell r="FR1861">
            <v>21.518601849860186</v>
          </cell>
          <cell r="FS1861">
            <v>22.314663874962239</v>
          </cell>
          <cell r="FT1861">
            <v>20.116606119778133</v>
          </cell>
          <cell r="FU1861">
            <v>17.065595346429742</v>
          </cell>
          <cell r="FV1861">
            <v>23.167616893126525</v>
          </cell>
          <cell r="GG1861">
            <v>14.818037326407891</v>
          </cell>
          <cell r="GH1861">
            <v>13.982143405445317</v>
          </cell>
          <cell r="GI1861">
            <v>10.408007395026372</v>
          </cell>
          <cell r="GJ1861">
            <v>7.7337520878462023</v>
          </cell>
          <cell r="GK1861">
            <v>13.082262702206542</v>
          </cell>
        </row>
        <row r="1862">
          <cell r="A1862">
            <v>42066</v>
          </cell>
          <cell r="FR1862">
            <v>21.43256958485696</v>
          </cell>
          <cell r="FS1862">
            <v>22.314663874962239</v>
          </cell>
          <cell r="FT1862">
            <v>20.116606119778133</v>
          </cell>
          <cell r="FU1862">
            <v>17.065595346429742</v>
          </cell>
          <cell r="FV1862">
            <v>23.167616893126525</v>
          </cell>
          <cell r="GG1862">
            <v>14.764222768571379</v>
          </cell>
          <cell r="GH1862">
            <v>13.982143405445317</v>
          </cell>
          <cell r="GI1862">
            <v>10.408007395026372</v>
          </cell>
          <cell r="GJ1862">
            <v>7.7337520878462023</v>
          </cell>
          <cell r="GK1862">
            <v>13.082262702206542</v>
          </cell>
        </row>
        <row r="1863">
          <cell r="A1863">
            <v>42067</v>
          </cell>
          <cell r="FR1863">
            <v>21.329312970531298</v>
          </cell>
          <cell r="FS1863">
            <v>22.314663874962239</v>
          </cell>
          <cell r="FT1863">
            <v>20.116606119778133</v>
          </cell>
          <cell r="FU1863">
            <v>17.065595346429742</v>
          </cell>
          <cell r="FV1863">
            <v>23.167616893126525</v>
          </cell>
          <cell r="GG1863">
            <v>14.712847511374401</v>
          </cell>
          <cell r="GH1863">
            <v>13.982143405445317</v>
          </cell>
          <cell r="GI1863">
            <v>10.408007395026372</v>
          </cell>
          <cell r="GJ1863">
            <v>7.7337520878462023</v>
          </cell>
          <cell r="GK1863">
            <v>13.082262702206542</v>
          </cell>
        </row>
        <row r="1864">
          <cell r="A1864">
            <v>42068</v>
          </cell>
          <cell r="FR1864">
            <v>21.664868143686814</v>
          </cell>
          <cell r="FS1864">
            <v>22.314663874962239</v>
          </cell>
          <cell r="FT1864">
            <v>20.116606119778133</v>
          </cell>
          <cell r="FU1864">
            <v>17.065595346429742</v>
          </cell>
          <cell r="FV1864">
            <v>23.167616893126525</v>
          </cell>
          <cell r="GG1864">
            <v>14.922931312734558</v>
          </cell>
          <cell r="GH1864">
            <v>13.982143405445317</v>
          </cell>
          <cell r="GI1864">
            <v>10.408007395026372</v>
          </cell>
          <cell r="GJ1864">
            <v>7.7337520878462023</v>
          </cell>
          <cell r="GK1864">
            <v>13.082262702206542</v>
          </cell>
        </row>
        <row r="1865">
          <cell r="A1865">
            <v>42069</v>
          </cell>
          <cell r="FR1865">
            <v>21.204564422456443</v>
          </cell>
          <cell r="FS1865">
            <v>22.314663874962239</v>
          </cell>
          <cell r="FT1865">
            <v>20.116606119778133</v>
          </cell>
          <cell r="FU1865">
            <v>17.065595346429742</v>
          </cell>
          <cell r="FV1865">
            <v>23.167616893126525</v>
          </cell>
          <cell r="GG1865">
            <v>14.634745156559621</v>
          </cell>
          <cell r="GH1865">
            <v>13.982143405445317</v>
          </cell>
          <cell r="GI1865">
            <v>10.408007395026372</v>
          </cell>
          <cell r="GJ1865">
            <v>7.7337520878462023</v>
          </cell>
          <cell r="GK1865">
            <v>13.082262702206542</v>
          </cell>
        </row>
        <row r="1866">
          <cell r="A1866">
            <v>42072</v>
          </cell>
          <cell r="FR1866">
            <v>21.056165833426554</v>
          </cell>
          <cell r="FS1866">
            <v>22.314663874962239</v>
          </cell>
          <cell r="FT1866">
            <v>20.116606119778133</v>
          </cell>
          <cell r="FU1866">
            <v>17.065595346429742</v>
          </cell>
          <cell r="FV1866">
            <v>23.167616893126525</v>
          </cell>
          <cell r="GG1866">
            <v>14.540474926406642</v>
          </cell>
          <cell r="GH1866">
            <v>13.982143405445317</v>
          </cell>
          <cell r="GI1866">
            <v>10.408007395026372</v>
          </cell>
          <cell r="GJ1866">
            <v>7.7337520878462023</v>
          </cell>
          <cell r="GK1866">
            <v>13.082262702206542</v>
          </cell>
        </row>
        <row r="1867">
          <cell r="A1867">
            <v>42073</v>
          </cell>
          <cell r="FR1867">
            <v>20.770058077005807</v>
          </cell>
          <cell r="FS1867">
            <v>22.314663874962239</v>
          </cell>
          <cell r="FT1867">
            <v>20.116606119778133</v>
          </cell>
          <cell r="FU1867">
            <v>17.065595346429742</v>
          </cell>
          <cell r="FV1867">
            <v>23.167616893126525</v>
          </cell>
          <cell r="GG1867">
            <v>14.390359598006471</v>
          </cell>
          <cell r="GH1867">
            <v>13.982143405445317</v>
          </cell>
          <cell r="GI1867">
            <v>10.408007395026372</v>
          </cell>
          <cell r="GJ1867">
            <v>7.7337520878462023</v>
          </cell>
          <cell r="GK1867">
            <v>13.082262702206542</v>
          </cell>
        </row>
        <row r="1868">
          <cell r="A1868">
            <v>42074</v>
          </cell>
          <cell r="FR1868">
            <v>20.761458378145839</v>
          </cell>
          <cell r="FS1868">
            <v>22.314663874962239</v>
          </cell>
          <cell r="FT1868">
            <v>20.116606119778133</v>
          </cell>
          <cell r="FU1868">
            <v>17.065595346429742</v>
          </cell>
          <cell r="FV1868">
            <v>23.167616893126525</v>
          </cell>
          <cell r="GG1868">
            <v>14.384965148631558</v>
          </cell>
          <cell r="GH1868">
            <v>13.982143405445317</v>
          </cell>
          <cell r="GI1868">
            <v>10.408007395026372</v>
          </cell>
          <cell r="GJ1868">
            <v>7.7337520878462023</v>
          </cell>
          <cell r="GK1868">
            <v>13.082262702206542</v>
          </cell>
        </row>
        <row r="1869">
          <cell r="A1869">
            <v>42075</v>
          </cell>
          <cell r="FR1869">
            <v>21.260492148849217</v>
          </cell>
          <cell r="FS1869">
            <v>22.314663874962239</v>
          </cell>
          <cell r="FT1869">
            <v>20.116606119778133</v>
          </cell>
          <cell r="FU1869">
            <v>17.065595346429742</v>
          </cell>
          <cell r="FV1869">
            <v>23.167616893126525</v>
          </cell>
          <cell r="GG1869">
            <v>14.698000809096484</v>
          </cell>
          <cell r="GH1869">
            <v>13.982143405445317</v>
          </cell>
          <cell r="GI1869">
            <v>10.408007395026372</v>
          </cell>
          <cell r="GJ1869">
            <v>7.7337520878462023</v>
          </cell>
          <cell r="GK1869">
            <v>13.082262702206542</v>
          </cell>
        </row>
        <row r="1870">
          <cell r="A1870">
            <v>42076</v>
          </cell>
          <cell r="FR1870">
            <v>21.372335556033555</v>
          </cell>
          <cell r="FS1870">
            <v>22.314663874962239</v>
          </cell>
          <cell r="FT1870">
            <v>20.116606119778133</v>
          </cell>
          <cell r="FU1870">
            <v>17.065595346429742</v>
          </cell>
          <cell r="FV1870">
            <v>23.167616893126525</v>
          </cell>
          <cell r="GG1870">
            <v>14.76815833528404</v>
          </cell>
          <cell r="GH1870">
            <v>13.982143405445317</v>
          </cell>
          <cell r="GI1870">
            <v>10.408007395026372</v>
          </cell>
          <cell r="GJ1870">
            <v>7.7337520878462023</v>
          </cell>
          <cell r="GK1870">
            <v>13.082262702206542</v>
          </cell>
        </row>
        <row r="1871">
          <cell r="A1871">
            <v>42079</v>
          </cell>
          <cell r="FR1871">
            <v>21.985185249124417</v>
          </cell>
          <cell r="FS1871">
            <v>22.314663874962239</v>
          </cell>
          <cell r="FT1871">
            <v>20.116606119778133</v>
          </cell>
          <cell r="FU1871">
            <v>17.065595346429742</v>
          </cell>
          <cell r="FV1871">
            <v>23.167616893126525</v>
          </cell>
          <cell r="GG1871">
            <v>15.15704267508781</v>
          </cell>
          <cell r="GH1871">
            <v>13.982143405445317</v>
          </cell>
          <cell r="GI1871">
            <v>10.408007395026372</v>
          </cell>
          <cell r="GJ1871">
            <v>7.7337520878462023</v>
          </cell>
          <cell r="GK1871">
            <v>13.082262702206542</v>
          </cell>
        </row>
        <row r="1872">
          <cell r="A1872">
            <v>42080</v>
          </cell>
          <cell r="FR1872">
            <v>21.708960882860062</v>
          </cell>
          <cell r="FS1872">
            <v>22.314663874962239</v>
          </cell>
          <cell r="FT1872">
            <v>20.116606119778133</v>
          </cell>
          <cell r="FU1872">
            <v>17.065595346429742</v>
          </cell>
          <cell r="FV1872">
            <v>23.167616893126525</v>
          </cell>
          <cell r="GG1872">
            <v>14.980353389172928</v>
          </cell>
          <cell r="GH1872">
            <v>13.982143405445317</v>
          </cell>
          <cell r="GI1872">
            <v>10.408007395026372</v>
          </cell>
          <cell r="GJ1872">
            <v>7.7337520878462023</v>
          </cell>
          <cell r="GK1872">
            <v>13.082262702206542</v>
          </cell>
        </row>
        <row r="1873">
          <cell r="A1873">
            <v>42081</v>
          </cell>
          <cell r="FR1873">
            <v>21.663837828254653</v>
          </cell>
          <cell r="FS1873">
            <v>22.314663874962239</v>
          </cell>
          <cell r="FT1873">
            <v>20.116606119778133</v>
          </cell>
          <cell r="FU1873">
            <v>17.065595346429742</v>
          </cell>
          <cell r="FV1873">
            <v>23.167616893126525</v>
          </cell>
          <cell r="GG1873">
            <v>14.929630438408806</v>
          </cell>
          <cell r="GH1873">
            <v>13.982143405445317</v>
          </cell>
          <cell r="GI1873">
            <v>10.408007395026372</v>
          </cell>
          <cell r="GJ1873">
            <v>7.7337520878462023</v>
          </cell>
          <cell r="GK1873">
            <v>13.082262702206542</v>
          </cell>
        </row>
        <row r="1874">
          <cell r="A1874">
            <v>42082</v>
          </cell>
          <cell r="FR1874">
            <v>21.64653702958994</v>
          </cell>
          <cell r="FS1874">
            <v>22.314663874962239</v>
          </cell>
          <cell r="FT1874">
            <v>20.116606119778133</v>
          </cell>
          <cell r="FU1874">
            <v>17.065595346429742</v>
          </cell>
          <cell r="FV1874">
            <v>23.167616893126525</v>
          </cell>
          <cell r="GG1874">
            <v>14.918798525412164</v>
          </cell>
          <cell r="GH1874">
            <v>13.982143405445317</v>
          </cell>
          <cell r="GI1874">
            <v>10.408007395026372</v>
          </cell>
          <cell r="GJ1874">
            <v>7.7337520878462023</v>
          </cell>
          <cell r="GK1874">
            <v>13.082262702206542</v>
          </cell>
        </row>
        <row r="1875">
          <cell r="A1875">
            <v>42083</v>
          </cell>
          <cell r="FR1875">
            <v>22.197235294117647</v>
          </cell>
          <cell r="FS1875">
            <v>22.314663874962239</v>
          </cell>
          <cell r="FT1875">
            <v>20.116606119778133</v>
          </cell>
          <cell r="FU1875">
            <v>17.065595346429742</v>
          </cell>
          <cell r="FV1875">
            <v>23.167616893126525</v>
          </cell>
          <cell r="GG1875">
            <v>15.266490525961954</v>
          </cell>
          <cell r="GH1875">
            <v>13.982143405445317</v>
          </cell>
          <cell r="GI1875">
            <v>10.408007395026372</v>
          </cell>
          <cell r="GJ1875">
            <v>7.7337520878462023</v>
          </cell>
          <cell r="GK1875">
            <v>13.082262702206542</v>
          </cell>
        </row>
        <row r="1876">
          <cell r="A1876">
            <v>42086</v>
          </cell>
          <cell r="FR1876">
            <v>22.326987889273354</v>
          </cell>
          <cell r="FS1876">
            <v>22.314663874962239</v>
          </cell>
          <cell r="FT1876">
            <v>20.116606119778133</v>
          </cell>
          <cell r="FU1876">
            <v>17.065595346429742</v>
          </cell>
          <cell r="FV1876">
            <v>23.167616893126525</v>
          </cell>
          <cell r="GG1876">
            <v>15.34774128287602</v>
          </cell>
          <cell r="GH1876">
            <v>13.982143405445317</v>
          </cell>
          <cell r="GI1876">
            <v>10.408007395026372</v>
          </cell>
          <cell r="GJ1876">
            <v>7.7337520878462023</v>
          </cell>
          <cell r="GK1876">
            <v>13.082262702206542</v>
          </cell>
        </row>
        <row r="1877">
          <cell r="A1877">
            <v>42087</v>
          </cell>
          <cell r="FR1877">
            <v>22.136675605536329</v>
          </cell>
          <cell r="FS1877">
            <v>22.314663874962239</v>
          </cell>
          <cell r="FT1877">
            <v>20.116606119778133</v>
          </cell>
          <cell r="FU1877">
            <v>17.065595346429742</v>
          </cell>
          <cell r="FV1877">
            <v>23.167616893126525</v>
          </cell>
          <cell r="GG1877">
            <v>15.228568197473596</v>
          </cell>
          <cell r="GH1877">
            <v>13.982143405445317</v>
          </cell>
          <cell r="GI1877">
            <v>10.408007395026372</v>
          </cell>
          <cell r="GJ1877">
            <v>7.7337520878462023</v>
          </cell>
          <cell r="GK1877">
            <v>13.082262702206542</v>
          </cell>
        </row>
        <row r="1878">
          <cell r="A1878">
            <v>42088</v>
          </cell>
          <cell r="FR1878">
            <v>21.756050173010376</v>
          </cell>
          <cell r="FS1878">
            <v>22.314663874962239</v>
          </cell>
          <cell r="FT1878">
            <v>20.116606119778133</v>
          </cell>
          <cell r="FU1878">
            <v>17.065595346429742</v>
          </cell>
          <cell r="FV1878">
            <v>23.167616893126525</v>
          </cell>
          <cell r="GG1878">
            <v>14.990221484975365</v>
          </cell>
          <cell r="GH1878">
            <v>13.982143405445317</v>
          </cell>
          <cell r="GI1878">
            <v>10.408007395026372</v>
          </cell>
          <cell r="GJ1878">
            <v>7.7337520878462023</v>
          </cell>
          <cell r="GK1878">
            <v>13.082262702206542</v>
          </cell>
        </row>
        <row r="1879">
          <cell r="A1879">
            <v>42089</v>
          </cell>
          <cell r="FR1879">
            <v>21.461935986159165</v>
          </cell>
          <cell r="FS1879">
            <v>22.314663874962239</v>
          </cell>
          <cell r="FT1879">
            <v>20.116606119778133</v>
          </cell>
          <cell r="FU1879">
            <v>17.065595346429742</v>
          </cell>
          <cell r="FV1879">
            <v>23.167616893126525</v>
          </cell>
          <cell r="GG1879">
            <v>14.806047902380364</v>
          </cell>
          <cell r="GH1879">
            <v>13.982143405445317</v>
          </cell>
          <cell r="GI1879">
            <v>10.408007395026372</v>
          </cell>
          <cell r="GJ1879">
            <v>7.7337520878462023</v>
          </cell>
          <cell r="GK1879">
            <v>13.082262702206542</v>
          </cell>
        </row>
        <row r="1880">
          <cell r="A1880">
            <v>42090</v>
          </cell>
          <cell r="FR1880">
            <v>21.952487257019438</v>
          </cell>
          <cell r="FS1880">
            <v>22.314663874962239</v>
          </cell>
          <cell r="FT1880">
            <v>20.116606119778133</v>
          </cell>
          <cell r="FU1880">
            <v>17.065595346429742</v>
          </cell>
          <cell r="FV1880">
            <v>23.167616893126525</v>
          </cell>
          <cell r="GG1880">
            <v>15.131067180838041</v>
          </cell>
          <cell r="GH1880">
            <v>13.982143405445317</v>
          </cell>
          <cell r="GI1880">
            <v>10.408007395026372</v>
          </cell>
          <cell r="GJ1880">
            <v>7.7337520878462023</v>
          </cell>
          <cell r="GK1880">
            <v>13.082262702206542</v>
          </cell>
        </row>
        <row r="1881">
          <cell r="A1881">
            <v>42093</v>
          </cell>
          <cell r="FR1881">
            <v>22.064789632829374</v>
          </cell>
          <cell r="FS1881">
            <v>22.314663874962239</v>
          </cell>
          <cell r="FT1881">
            <v>20.116606119778133</v>
          </cell>
          <cell r="FU1881">
            <v>17.065595346429742</v>
          </cell>
          <cell r="FV1881">
            <v>23.167616893126525</v>
          </cell>
          <cell r="GG1881">
            <v>15.201481903368673</v>
          </cell>
          <cell r="GH1881">
            <v>13.982143405445317</v>
          </cell>
          <cell r="GI1881">
            <v>10.408007395026372</v>
          </cell>
          <cell r="GJ1881">
            <v>7.7337520878462023</v>
          </cell>
          <cell r="GK1881">
            <v>13.082262702206542</v>
          </cell>
        </row>
        <row r="1882">
          <cell r="A1882">
            <v>42094</v>
          </cell>
          <cell r="FR1882">
            <v>21.765602570414323</v>
          </cell>
          <cell r="FS1882">
            <v>22.314663874962239</v>
          </cell>
          <cell r="FT1882">
            <v>20.116606119778133</v>
          </cell>
          <cell r="FU1882">
            <v>17.065595346429742</v>
          </cell>
          <cell r="FV1882">
            <v>23.167616893126525</v>
          </cell>
          <cell r="GG1882">
            <v>15.017307779080289</v>
          </cell>
          <cell r="GH1882">
            <v>13.982143405445317</v>
          </cell>
          <cell r="GI1882">
            <v>10.408007395026372</v>
          </cell>
          <cell r="GJ1882">
            <v>7.7337520878462023</v>
          </cell>
          <cell r="GK1882">
            <v>13.082262702206542</v>
          </cell>
        </row>
        <row r="1883">
          <cell r="A1883">
            <v>42095</v>
          </cell>
          <cell r="FR1883">
            <v>21.525013279114823</v>
          </cell>
          <cell r="FS1883">
            <v>22.314663874962239</v>
          </cell>
          <cell r="FT1883">
            <v>20.116606119778133</v>
          </cell>
          <cell r="FU1883">
            <v>17.065595346429742</v>
          </cell>
          <cell r="FV1883">
            <v>23.167616893126525</v>
          </cell>
          <cell r="GG1883">
            <v>14.857732038731962</v>
          </cell>
          <cell r="GH1883">
            <v>13.982143405445317</v>
          </cell>
          <cell r="GI1883">
            <v>10.408007395026372</v>
          </cell>
          <cell r="GJ1883">
            <v>7.7337520878462023</v>
          </cell>
          <cell r="GK1883">
            <v>13.082262702206542</v>
          </cell>
        </row>
        <row r="1884">
          <cell r="A1884">
            <v>42096</v>
          </cell>
          <cell r="FR1884">
            <v>21.572126714149981</v>
          </cell>
          <cell r="FS1884">
            <v>22.314663874962239</v>
          </cell>
          <cell r="FT1884">
            <v>20.116606119778133</v>
          </cell>
          <cell r="FU1884">
            <v>17.065595346429742</v>
          </cell>
          <cell r="FV1884">
            <v>23.167616893126525</v>
          </cell>
          <cell r="GG1884">
            <v>14.873680107626317</v>
          </cell>
          <cell r="GH1884">
            <v>13.982143405445317</v>
          </cell>
          <cell r="GI1884">
            <v>10.408007395026372</v>
          </cell>
          <cell r="GJ1884">
            <v>7.7337520878462023</v>
          </cell>
          <cell r="GK1884">
            <v>13.082262702206542</v>
          </cell>
        </row>
        <row r="1885">
          <cell r="A1885">
            <v>42097</v>
          </cell>
          <cell r="FR1885">
            <v>21.572126714149981</v>
          </cell>
          <cell r="FS1885">
            <v>22.314663874962239</v>
          </cell>
          <cell r="FT1885">
            <v>20.116606119778133</v>
          </cell>
          <cell r="FU1885">
            <v>17.065595346429742</v>
          </cell>
          <cell r="FV1885">
            <v>23.167616893126525</v>
          </cell>
          <cell r="GG1885">
            <v>14.873680107626317</v>
          </cell>
          <cell r="GH1885">
            <v>13.982143405445317</v>
          </cell>
          <cell r="GI1885">
            <v>10.408007395026372</v>
          </cell>
          <cell r="GJ1885">
            <v>7.7337520878462023</v>
          </cell>
          <cell r="GK1885">
            <v>13.082262702206542</v>
          </cell>
        </row>
        <row r="1886">
          <cell r="A1886">
            <v>42100</v>
          </cell>
          <cell r="FR1886">
            <v>21.68350420077093</v>
          </cell>
          <cell r="FS1886">
            <v>22.314663874962239</v>
          </cell>
          <cell r="FT1886">
            <v>20.116606119778133</v>
          </cell>
          <cell r="FU1886">
            <v>17.065595346429742</v>
          </cell>
          <cell r="FV1886">
            <v>23.167616893126525</v>
          </cell>
          <cell r="GG1886">
            <v>14.943479786739358</v>
          </cell>
          <cell r="GH1886">
            <v>13.982143405445317</v>
          </cell>
          <cell r="GI1886">
            <v>10.408007395026372</v>
          </cell>
          <cell r="GJ1886">
            <v>7.7337520878462023</v>
          </cell>
          <cell r="GK1886">
            <v>13.082262702206542</v>
          </cell>
        </row>
        <row r="1887">
          <cell r="A1887">
            <v>42101</v>
          </cell>
          <cell r="FR1887">
            <v>21.834954560707875</v>
          </cell>
          <cell r="FS1887">
            <v>22.314663874962239</v>
          </cell>
          <cell r="FT1887">
            <v>20.116606119778133</v>
          </cell>
          <cell r="FU1887">
            <v>17.065595346429742</v>
          </cell>
          <cell r="FV1887">
            <v>23.167616893126525</v>
          </cell>
          <cell r="GG1887">
            <v>14.981066542138509</v>
          </cell>
          <cell r="GH1887">
            <v>13.982143405445317</v>
          </cell>
          <cell r="GI1887">
            <v>10.408007395026372</v>
          </cell>
          <cell r="GJ1887">
            <v>7.7337520878462023</v>
          </cell>
          <cell r="GK1887">
            <v>13.082262702206542</v>
          </cell>
        </row>
        <row r="1888">
          <cell r="A1888">
            <v>42102</v>
          </cell>
          <cell r="FR1888">
            <v>21.847923959830016</v>
          </cell>
          <cell r="FS1888">
            <v>22.314663874962239</v>
          </cell>
          <cell r="FT1888">
            <v>20.116606119778133</v>
          </cell>
          <cell r="FU1888">
            <v>17.065595346429742</v>
          </cell>
          <cell r="FV1888">
            <v>23.167616893126525</v>
          </cell>
          <cell r="GG1888">
            <v>14.981066542138509</v>
          </cell>
          <cell r="GH1888">
            <v>13.982143405445317</v>
          </cell>
          <cell r="GI1888">
            <v>10.408007395026372</v>
          </cell>
          <cell r="GJ1888">
            <v>7.7337520878462023</v>
          </cell>
          <cell r="GK1888">
            <v>13.082262702206542</v>
          </cell>
        </row>
        <row r="1889">
          <cell r="A1889">
            <v>42103</v>
          </cell>
          <cell r="FR1889">
            <v>21.822100717362293</v>
          </cell>
          <cell r="FS1889">
            <v>22.314663874962239</v>
          </cell>
          <cell r="FT1889">
            <v>20.116606119778133</v>
          </cell>
          <cell r="FU1889">
            <v>17.065595346429742</v>
          </cell>
          <cell r="FV1889">
            <v>23.167616893126525</v>
          </cell>
          <cell r="GG1889">
            <v>14.964960617181525</v>
          </cell>
          <cell r="GH1889">
            <v>13.982143405445317</v>
          </cell>
          <cell r="GI1889">
            <v>10.408007395026372</v>
          </cell>
          <cell r="GJ1889">
            <v>7.7337520878462023</v>
          </cell>
          <cell r="GK1889">
            <v>13.082262702206542</v>
          </cell>
        </row>
        <row r="1890">
          <cell r="A1890">
            <v>42104</v>
          </cell>
          <cell r="FR1890">
            <v>21.908175322814238</v>
          </cell>
          <cell r="FS1890">
            <v>22.314663874962239</v>
          </cell>
          <cell r="FT1890">
            <v>20.116606119778133</v>
          </cell>
          <cell r="FU1890">
            <v>17.065595346429742</v>
          </cell>
          <cell r="FV1890">
            <v>23.167616893126525</v>
          </cell>
          <cell r="GG1890">
            <v>15.018645244038279</v>
          </cell>
          <cell r="GH1890">
            <v>13.982143405445317</v>
          </cell>
          <cell r="GI1890">
            <v>10.408007395026372</v>
          </cell>
          <cell r="GJ1890">
            <v>7.7337520878462023</v>
          </cell>
          <cell r="GK1890">
            <v>13.082262702206542</v>
          </cell>
        </row>
        <row r="1891">
          <cell r="A1891">
            <v>42107</v>
          </cell>
          <cell r="FR1891">
            <v>21.816145842293007</v>
          </cell>
          <cell r="FS1891">
            <v>22.314663874962239</v>
          </cell>
          <cell r="FT1891">
            <v>20.116606119778133</v>
          </cell>
          <cell r="FU1891">
            <v>17.065595346429742</v>
          </cell>
          <cell r="FV1891">
            <v>23.167616893126525</v>
          </cell>
          <cell r="GG1891">
            <v>14.975692710453247</v>
          </cell>
          <cell r="GH1891">
            <v>13.982143405445317</v>
          </cell>
          <cell r="GI1891">
            <v>10.408007395026372</v>
          </cell>
          <cell r="GJ1891">
            <v>7.7337520878462023</v>
          </cell>
          <cell r="GK1891">
            <v>13.082262702206542</v>
          </cell>
        </row>
        <row r="1892">
          <cell r="A1892">
            <v>42108</v>
          </cell>
          <cell r="FR1892">
            <v>21.902142918567847</v>
          </cell>
          <cell r="FS1892">
            <v>22.314663874962239</v>
          </cell>
          <cell r="FT1892">
            <v>20.116606119778133</v>
          </cell>
          <cell r="FU1892">
            <v>17.065595346429742</v>
          </cell>
          <cell r="FV1892">
            <v>23.167616893126525</v>
          </cell>
          <cell r="GG1892">
            <v>15.029385927709342</v>
          </cell>
          <cell r="GH1892">
            <v>13.982143405445317</v>
          </cell>
          <cell r="GI1892">
            <v>10.408007395026372</v>
          </cell>
          <cell r="GJ1892">
            <v>7.7337520878462023</v>
          </cell>
          <cell r="GK1892">
            <v>13.082262702206542</v>
          </cell>
        </row>
        <row r="1893">
          <cell r="A1893">
            <v>42109</v>
          </cell>
          <cell r="FR1893">
            <v>21.996734027003662</v>
          </cell>
          <cell r="FS1893">
            <v>22.314663874962239</v>
          </cell>
          <cell r="FT1893">
            <v>20.116606119778133</v>
          </cell>
          <cell r="FU1893">
            <v>17.065595346429742</v>
          </cell>
          <cell r="FV1893">
            <v>23.167616893126525</v>
          </cell>
          <cell r="GG1893">
            <v>15.08844492315132</v>
          </cell>
          <cell r="GH1893">
            <v>13.982143405445317</v>
          </cell>
          <cell r="GI1893">
            <v>10.408007395026372</v>
          </cell>
          <cell r="GJ1893">
            <v>7.7337520878462023</v>
          </cell>
          <cell r="GK1893">
            <v>13.082262702206542</v>
          </cell>
        </row>
        <row r="1894">
          <cell r="A1894">
            <v>42110</v>
          </cell>
          <cell r="FR1894">
            <v>21.927938773757461</v>
          </cell>
          <cell r="FS1894">
            <v>22.314663874962239</v>
          </cell>
          <cell r="FT1894">
            <v>20.116606119778133</v>
          </cell>
          <cell r="FU1894">
            <v>17.065595346429742</v>
          </cell>
          <cell r="FV1894">
            <v>23.167616893126525</v>
          </cell>
          <cell r="GG1894">
            <v>15.045491852666327</v>
          </cell>
          <cell r="GH1894">
            <v>13.982143405445317</v>
          </cell>
          <cell r="GI1894">
            <v>10.408007395026372</v>
          </cell>
          <cell r="GJ1894">
            <v>7.7337520878462023</v>
          </cell>
          <cell r="GK1894">
            <v>13.082262702206542</v>
          </cell>
        </row>
        <row r="1895">
          <cell r="A1895">
            <v>42111</v>
          </cell>
          <cell r="FR1895">
            <v>21.695992063494227</v>
          </cell>
          <cell r="FS1895">
            <v>22.314663874962239</v>
          </cell>
          <cell r="FT1895">
            <v>20.116606119778133</v>
          </cell>
          <cell r="FU1895">
            <v>17.065595346429742</v>
          </cell>
          <cell r="FV1895">
            <v>23.167616893126525</v>
          </cell>
          <cell r="GG1895">
            <v>14.857573645769374</v>
          </cell>
          <cell r="GH1895">
            <v>13.982143405445317</v>
          </cell>
          <cell r="GI1895">
            <v>10.408007395026372</v>
          </cell>
          <cell r="GJ1895">
            <v>7.7337520878462023</v>
          </cell>
          <cell r="GK1895">
            <v>13.082262702206542</v>
          </cell>
        </row>
        <row r="1896">
          <cell r="A1896">
            <v>42114</v>
          </cell>
          <cell r="FR1896">
            <v>21.787204739734918</v>
          </cell>
          <cell r="FS1896">
            <v>22.314663874962239</v>
          </cell>
          <cell r="FT1896">
            <v>20.116606119778133</v>
          </cell>
          <cell r="FU1896">
            <v>17.065595346429742</v>
          </cell>
          <cell r="FV1896">
            <v>23.167616893126525</v>
          </cell>
          <cell r="GG1896">
            <v>14.77858093554647</v>
          </cell>
          <cell r="GH1896">
            <v>13.982143405445317</v>
          </cell>
          <cell r="GI1896">
            <v>10.408007395026372</v>
          </cell>
          <cell r="GJ1896">
            <v>7.7337520878462023</v>
          </cell>
          <cell r="GK1896">
            <v>13.082262702206542</v>
          </cell>
        </row>
        <row r="1897">
          <cell r="A1897">
            <v>42115</v>
          </cell>
          <cell r="FR1897">
            <v>21.696392152342483</v>
          </cell>
          <cell r="FS1897">
            <v>22.314663874962239</v>
          </cell>
          <cell r="FT1897">
            <v>20.116606119778133</v>
          </cell>
          <cell r="FU1897">
            <v>17.065595346429742</v>
          </cell>
          <cell r="FV1897">
            <v>23.167616893126525</v>
          </cell>
          <cell r="GG1897">
            <v>14.761350768089628</v>
          </cell>
          <cell r="GH1897">
            <v>13.982143405445317</v>
          </cell>
          <cell r="GI1897">
            <v>10.408007395026372</v>
          </cell>
          <cell r="GJ1897">
            <v>7.7337520878462023</v>
          </cell>
          <cell r="GK1897">
            <v>13.082262702206542</v>
          </cell>
        </row>
        <row r="1898">
          <cell r="A1898">
            <v>42116</v>
          </cell>
          <cell r="FR1898">
            <v>21.56231825979371</v>
          </cell>
          <cell r="FS1898">
            <v>22.314663874962239</v>
          </cell>
          <cell r="FT1898">
            <v>20.116606119778133</v>
          </cell>
          <cell r="FU1898">
            <v>17.065595346429742</v>
          </cell>
          <cell r="FV1898">
            <v>23.167616893126525</v>
          </cell>
          <cell r="GG1898">
            <v>14.678468123776272</v>
          </cell>
          <cell r="GH1898">
            <v>13.982143405445317</v>
          </cell>
          <cell r="GI1898">
            <v>10.408007395026372</v>
          </cell>
          <cell r="GJ1898">
            <v>7.7337520878462023</v>
          </cell>
          <cell r="GK1898">
            <v>13.082262702206542</v>
          </cell>
        </row>
        <row r="1899">
          <cell r="A1899">
            <v>42117</v>
          </cell>
          <cell r="FR1899">
            <v>21.532056623086724</v>
          </cell>
          <cell r="FS1899">
            <v>22.314663874962239</v>
          </cell>
          <cell r="FT1899">
            <v>20.116606119778133</v>
          </cell>
          <cell r="FU1899">
            <v>17.065595346429742</v>
          </cell>
          <cell r="FV1899">
            <v>23.167616893126525</v>
          </cell>
          <cell r="GG1899">
            <v>14.659760794378697</v>
          </cell>
          <cell r="GH1899">
            <v>13.982143405445317</v>
          </cell>
          <cell r="GI1899">
            <v>10.408007395026372</v>
          </cell>
          <cell r="GJ1899">
            <v>7.7337520878462023</v>
          </cell>
          <cell r="GK1899">
            <v>13.082262702206542</v>
          </cell>
        </row>
        <row r="1900">
          <cell r="A1900">
            <v>42118</v>
          </cell>
          <cell r="FR1900">
            <v>21.479240484431212</v>
          </cell>
          <cell r="FS1900">
            <v>22.314663874962239</v>
          </cell>
          <cell r="FT1900">
            <v>20.116606119778133</v>
          </cell>
          <cell r="FU1900">
            <v>17.065595346429742</v>
          </cell>
          <cell r="FV1900">
            <v>23.167616893126525</v>
          </cell>
          <cell r="GG1900">
            <v>14.625005091485402</v>
          </cell>
          <cell r="GH1900">
            <v>13.982143405445317</v>
          </cell>
          <cell r="GI1900">
            <v>10.408007395026372</v>
          </cell>
          <cell r="GJ1900">
            <v>7.7337520878462023</v>
          </cell>
          <cell r="GK1900">
            <v>13.082262702206542</v>
          </cell>
        </row>
        <row r="1901">
          <cell r="A1901">
            <v>42121</v>
          </cell>
          <cell r="FR1901">
            <v>21.029410034604179</v>
          </cell>
          <cell r="FS1901">
            <v>22.314663874962239</v>
          </cell>
          <cell r="FT1901">
            <v>20.116606119778133</v>
          </cell>
          <cell r="FU1901">
            <v>17.065595346429742</v>
          </cell>
          <cell r="FV1901">
            <v>23.167616893126525</v>
          </cell>
          <cell r="GG1901">
            <v>14.34697016190793</v>
          </cell>
          <cell r="GH1901">
            <v>13.982143405445317</v>
          </cell>
          <cell r="GI1901">
            <v>10.408007395026372</v>
          </cell>
          <cell r="GJ1901">
            <v>7.7337520878462023</v>
          </cell>
          <cell r="GK1901">
            <v>13.082262702206542</v>
          </cell>
        </row>
        <row r="1902">
          <cell r="A1902">
            <v>42122</v>
          </cell>
          <cell r="FR1902">
            <v>21.020764705884456</v>
          </cell>
          <cell r="FS1902">
            <v>22.314663874962239</v>
          </cell>
          <cell r="FT1902">
            <v>20.116606119778133</v>
          </cell>
          <cell r="FU1902">
            <v>17.065595346429742</v>
          </cell>
          <cell r="FV1902">
            <v>23.167616893126525</v>
          </cell>
          <cell r="GG1902">
            <v>14.341626585538908</v>
          </cell>
          <cell r="GH1902">
            <v>13.982143405445317</v>
          </cell>
          <cell r="GI1902">
            <v>10.408007395026372</v>
          </cell>
          <cell r="GJ1902">
            <v>7.7337520878462023</v>
          </cell>
          <cell r="GK1902">
            <v>13.082262702206542</v>
          </cell>
        </row>
        <row r="1903">
          <cell r="A1903">
            <v>42123</v>
          </cell>
          <cell r="FR1903">
            <v>20.795842560555712</v>
          </cell>
          <cell r="FS1903">
            <v>22.314663874962239</v>
          </cell>
          <cell r="FT1903">
            <v>20.116606119778133</v>
          </cell>
          <cell r="FU1903">
            <v>17.065595346429742</v>
          </cell>
          <cell r="FV1903">
            <v>23.167616893126525</v>
          </cell>
          <cell r="GG1903">
            <v>14.202604843322622</v>
          </cell>
          <cell r="GH1903">
            <v>13.982143405445317</v>
          </cell>
          <cell r="GI1903">
            <v>10.408007395026372</v>
          </cell>
          <cell r="GJ1903">
            <v>7.7337520878462023</v>
          </cell>
          <cell r="GK1903">
            <v>13.082262702206542</v>
          </cell>
        </row>
        <row r="1904">
          <cell r="A1904">
            <v>42124</v>
          </cell>
          <cell r="FR1904">
            <v>20.596884083047041</v>
          </cell>
          <cell r="FS1904">
            <v>22.314663874962239</v>
          </cell>
          <cell r="FT1904">
            <v>20.116606119778133</v>
          </cell>
          <cell r="FU1904">
            <v>17.065595346429742</v>
          </cell>
          <cell r="FV1904">
            <v>23.167616893126525</v>
          </cell>
          <cell r="GG1904">
            <v>14.104264324483902</v>
          </cell>
          <cell r="GH1904">
            <v>13.982143405445317</v>
          </cell>
          <cell r="GI1904">
            <v>10.408007395026372</v>
          </cell>
          <cell r="GJ1904">
            <v>7.7337520878462023</v>
          </cell>
          <cell r="GK1904">
            <v>13.082262702206542</v>
          </cell>
        </row>
        <row r="1905">
          <cell r="A1905">
            <v>42125</v>
          </cell>
          <cell r="FR1905">
            <v>20.639071842163816</v>
          </cell>
          <cell r="FS1905">
            <v>22.314663874962239</v>
          </cell>
          <cell r="FT1905">
            <v>20.116606119778133</v>
          </cell>
          <cell r="FU1905">
            <v>17.065595346429742</v>
          </cell>
          <cell r="FV1905">
            <v>23.167616893126525</v>
          </cell>
          <cell r="GG1905">
            <v>14.118853633431282</v>
          </cell>
          <cell r="GH1905">
            <v>13.982143405445317</v>
          </cell>
          <cell r="GI1905">
            <v>10.408007395026372</v>
          </cell>
          <cell r="GJ1905">
            <v>7.7337520878462023</v>
          </cell>
          <cell r="GK1905">
            <v>13.082262702206542</v>
          </cell>
        </row>
        <row r="1906">
          <cell r="A1906">
            <v>42128</v>
          </cell>
          <cell r="FR1906">
            <v>20.713577045521969</v>
          </cell>
          <cell r="FS1906">
            <v>22.314663874962239</v>
          </cell>
          <cell r="FT1906">
            <v>20.116606119778133</v>
          </cell>
          <cell r="FU1906">
            <v>17.065595346429742</v>
          </cell>
          <cell r="FV1906">
            <v>23.167616893126525</v>
          </cell>
          <cell r="GG1906">
            <v>14.143650363471576</v>
          </cell>
          <cell r="GH1906">
            <v>13.982143405445317</v>
          </cell>
          <cell r="GI1906">
            <v>10.408007395026372</v>
          </cell>
          <cell r="GJ1906">
            <v>7.7337520878462023</v>
          </cell>
          <cell r="GK1906">
            <v>13.082262702206542</v>
          </cell>
        </row>
        <row r="1907">
          <cell r="A1907">
            <v>42129</v>
          </cell>
          <cell r="FR1907">
            <v>20.411758892008844</v>
          </cell>
          <cell r="FS1907">
            <v>22.314663874962239</v>
          </cell>
          <cell r="FT1907">
            <v>20.116606119778133</v>
          </cell>
          <cell r="FU1907">
            <v>17.065595346429742</v>
          </cell>
          <cell r="FV1907">
            <v>23.167616893126525</v>
          </cell>
          <cell r="GG1907">
            <v>13.988338309630496</v>
          </cell>
          <cell r="GH1907">
            <v>13.982143405445317</v>
          </cell>
          <cell r="GI1907">
            <v>10.408007395026372</v>
          </cell>
          <cell r="GJ1907">
            <v>7.7337520878462023</v>
          </cell>
          <cell r="GK1907">
            <v>13.082262702206542</v>
          </cell>
        </row>
        <row r="1908">
          <cell r="A1908">
            <v>42130</v>
          </cell>
          <cell r="FR1908">
            <v>20.826615624714197</v>
          </cell>
          <cell r="FS1908">
            <v>22.314663874962239</v>
          </cell>
          <cell r="FT1908">
            <v>20.116606119778133</v>
          </cell>
          <cell r="FU1908">
            <v>17.065595346429742</v>
          </cell>
          <cell r="FV1908">
            <v>23.167616893126525</v>
          </cell>
          <cell r="GG1908">
            <v>14.327291343772247</v>
          </cell>
          <cell r="GH1908">
            <v>13.982143405445317</v>
          </cell>
          <cell r="GI1908">
            <v>10.408007395026372</v>
          </cell>
          <cell r="GJ1908">
            <v>7.7337520878462023</v>
          </cell>
          <cell r="GK1908">
            <v>13.082262702206542</v>
          </cell>
        </row>
        <row r="1909">
          <cell r="A1909">
            <v>42131</v>
          </cell>
          <cell r="FR1909">
            <v>20.993055446568864</v>
          </cell>
          <cell r="FS1909">
            <v>22.314663874962239</v>
          </cell>
          <cell r="FT1909">
            <v>20.116606119778133</v>
          </cell>
          <cell r="FU1909">
            <v>17.065595346429742</v>
          </cell>
          <cell r="FV1909">
            <v>23.167616893126525</v>
          </cell>
          <cell r="GG1909">
            <v>14.314979083986291</v>
          </cell>
          <cell r="GH1909">
            <v>13.982143405445317</v>
          </cell>
          <cell r="GI1909">
            <v>10.408007395026372</v>
          </cell>
          <cell r="GJ1909">
            <v>7.7337520878462023</v>
          </cell>
          <cell r="GK1909">
            <v>13.082262702206542</v>
          </cell>
        </row>
        <row r="1910">
          <cell r="A1910">
            <v>42132</v>
          </cell>
          <cell r="FR1910">
            <v>21.330635173112238</v>
          </cell>
          <cell r="FS1910">
            <v>22.314663874962239</v>
          </cell>
          <cell r="FT1910">
            <v>20.116606119778133</v>
          </cell>
          <cell r="FU1910">
            <v>17.065595346429742</v>
          </cell>
          <cell r="FV1910">
            <v>23.167616893126525</v>
          </cell>
          <cell r="GG1910">
            <v>14.103012584298241</v>
          </cell>
          <cell r="GH1910">
            <v>13.982143405445317</v>
          </cell>
          <cell r="GI1910">
            <v>10.408007395026372</v>
          </cell>
          <cell r="GJ1910">
            <v>7.7337520878462023</v>
          </cell>
          <cell r="GK1910">
            <v>13.082262702206542</v>
          </cell>
        </row>
        <row r="1911">
          <cell r="A1911">
            <v>42135</v>
          </cell>
          <cell r="FR1911">
            <v>21.225505399849744</v>
          </cell>
          <cell r="FS1911">
            <v>22.314663874962239</v>
          </cell>
          <cell r="FT1911">
            <v>20.116606119778133</v>
          </cell>
          <cell r="FU1911">
            <v>17.065595346429742</v>
          </cell>
          <cell r="FV1911">
            <v>23.167616893126525</v>
          </cell>
          <cell r="GG1911">
            <v>14.484566327498269</v>
          </cell>
          <cell r="GH1911">
            <v>13.982143405445317</v>
          </cell>
          <cell r="GI1911">
            <v>10.408007395026372</v>
          </cell>
          <cell r="GJ1911">
            <v>7.7337520878462023</v>
          </cell>
          <cell r="GK1911">
            <v>13.082262702206542</v>
          </cell>
        </row>
        <row r="1912">
          <cell r="A1912">
            <v>42136</v>
          </cell>
          <cell r="FR1912">
            <v>21.095283950087293</v>
          </cell>
          <cell r="FS1912">
            <v>22.314663874962239</v>
          </cell>
          <cell r="FT1912">
            <v>20.116606119778133</v>
          </cell>
          <cell r="FU1912">
            <v>17.065595346429742</v>
          </cell>
          <cell r="FV1912">
            <v>23.167616893126525</v>
          </cell>
          <cell r="GG1912">
            <v>14.415768600208777</v>
          </cell>
          <cell r="GH1912">
            <v>13.982143405445317</v>
          </cell>
          <cell r="GI1912">
            <v>10.408007395026372</v>
          </cell>
          <cell r="GJ1912">
            <v>7.7337520878462023</v>
          </cell>
          <cell r="GK1912">
            <v>13.082262702206542</v>
          </cell>
        </row>
        <row r="1913">
          <cell r="A1913">
            <v>42137</v>
          </cell>
          <cell r="FR1913">
            <v>21.078037888749762</v>
          </cell>
          <cell r="FS1913">
            <v>22.314663874962239</v>
          </cell>
          <cell r="FT1913">
            <v>20.116606119778133</v>
          </cell>
          <cell r="FU1913">
            <v>17.065595346429742</v>
          </cell>
          <cell r="FV1913">
            <v>23.167616893126525</v>
          </cell>
          <cell r="GG1913">
            <v>14.40518209557875</v>
          </cell>
          <cell r="GH1913">
            <v>13.982143405445317</v>
          </cell>
          <cell r="GI1913">
            <v>10.408007395026372</v>
          </cell>
          <cell r="GJ1913">
            <v>7.7337520878462023</v>
          </cell>
          <cell r="GK1913">
            <v>13.082262702206542</v>
          </cell>
        </row>
        <row r="1914">
          <cell r="A1914">
            <v>42138</v>
          </cell>
          <cell r="FR1914">
            <v>21.13739305485873</v>
          </cell>
          <cell r="FS1914">
            <v>22.314663874962239</v>
          </cell>
          <cell r="FT1914">
            <v>20.116606119778133</v>
          </cell>
          <cell r="FU1914">
            <v>17.065595346429742</v>
          </cell>
          <cell r="FV1914">
            <v>23.167616893126525</v>
          </cell>
          <cell r="GG1914">
            <v>14.421285578088046</v>
          </cell>
          <cell r="GH1914">
            <v>13.982143405445317</v>
          </cell>
          <cell r="GI1914">
            <v>10.408007395026372</v>
          </cell>
          <cell r="GJ1914">
            <v>7.7337520878462023</v>
          </cell>
          <cell r="GK1914">
            <v>13.082262702206542</v>
          </cell>
        </row>
        <row r="1915">
          <cell r="A1915">
            <v>42139</v>
          </cell>
          <cell r="FR1915">
            <v>21.318576748869823</v>
          </cell>
          <cell r="FS1915">
            <v>22.314663874962239</v>
          </cell>
          <cell r="FT1915">
            <v>20.116606119778133</v>
          </cell>
          <cell r="FU1915">
            <v>17.065595346429742</v>
          </cell>
          <cell r="FV1915">
            <v>23.167616893126525</v>
          </cell>
          <cell r="GG1915">
            <v>14.532340036152657</v>
          </cell>
          <cell r="GH1915">
            <v>13.982143405445317</v>
          </cell>
          <cell r="GI1915">
            <v>10.408007395026372</v>
          </cell>
          <cell r="GJ1915">
            <v>7.7337520878462023</v>
          </cell>
          <cell r="GK1915">
            <v>13.082262702206542</v>
          </cell>
        </row>
        <row r="1916">
          <cell r="A1916">
            <v>42142</v>
          </cell>
          <cell r="FR1916">
            <v>21.491124308004213</v>
          </cell>
          <cell r="FS1916">
            <v>22.314663874962239</v>
          </cell>
          <cell r="FT1916">
            <v>20.116606119778133</v>
          </cell>
          <cell r="FU1916">
            <v>17.065595346429742</v>
          </cell>
          <cell r="FV1916">
            <v>23.167616893126525</v>
          </cell>
          <cell r="GG1916">
            <v>14.638101074830166</v>
          </cell>
          <cell r="GH1916">
            <v>13.982143405445317</v>
          </cell>
          <cell r="GI1916">
            <v>10.408007395026372</v>
          </cell>
          <cell r="GJ1916">
            <v>7.7337520878462023</v>
          </cell>
          <cell r="GK1916">
            <v>13.082262702206542</v>
          </cell>
        </row>
        <row r="1917">
          <cell r="A1917">
            <v>42143</v>
          </cell>
          <cell r="FR1917">
            <v>21.586027751817582</v>
          </cell>
          <cell r="FS1917">
            <v>22.314663874962239</v>
          </cell>
          <cell r="FT1917">
            <v>20.116606119778133</v>
          </cell>
          <cell r="FU1917">
            <v>17.065595346429742</v>
          </cell>
          <cell r="FV1917">
            <v>23.167616893126525</v>
          </cell>
          <cell r="GG1917">
            <v>14.696271047457582</v>
          </cell>
          <cell r="GH1917">
            <v>13.982143405445317</v>
          </cell>
          <cell r="GI1917">
            <v>10.408007395026372</v>
          </cell>
          <cell r="GJ1917">
            <v>7.7337520878462023</v>
          </cell>
          <cell r="GK1917">
            <v>13.082262702206542</v>
          </cell>
        </row>
        <row r="1918">
          <cell r="A1918">
            <v>42144</v>
          </cell>
          <cell r="FR1918">
            <v>21.702493924799118</v>
          </cell>
          <cell r="FS1918">
            <v>22.314663874962239</v>
          </cell>
          <cell r="FT1918">
            <v>20.116606119778133</v>
          </cell>
          <cell r="FU1918">
            <v>17.065595346429742</v>
          </cell>
          <cell r="FV1918">
            <v>23.167616893126525</v>
          </cell>
          <cell r="GG1918">
            <v>14.777848209261848</v>
          </cell>
          <cell r="GH1918">
            <v>13.982143405445317</v>
          </cell>
          <cell r="GI1918">
            <v>10.408007395026372</v>
          </cell>
          <cell r="GJ1918">
            <v>7.7337520878462023</v>
          </cell>
          <cell r="GK1918">
            <v>13.082262702206542</v>
          </cell>
        </row>
        <row r="1919">
          <cell r="A1919">
            <v>42145</v>
          </cell>
          <cell r="FR1919">
            <v>21.611909411174835</v>
          </cell>
          <cell r="FS1919">
            <v>22.314663874962239</v>
          </cell>
          <cell r="FT1919">
            <v>20.116606119778133</v>
          </cell>
          <cell r="FU1919">
            <v>17.065595346429742</v>
          </cell>
          <cell r="FV1919">
            <v>23.167616893126525</v>
          </cell>
          <cell r="GG1919">
            <v>14.722287161149922</v>
          </cell>
          <cell r="GH1919">
            <v>13.982143405445317</v>
          </cell>
          <cell r="GI1919">
            <v>10.408007395026372</v>
          </cell>
          <cell r="GJ1919">
            <v>7.7337520878462023</v>
          </cell>
          <cell r="GK1919">
            <v>13.082262702206542</v>
          </cell>
        </row>
        <row r="1920">
          <cell r="A1920">
            <v>42146</v>
          </cell>
          <cell r="FR1920">
            <v>21.663671867138603</v>
          </cell>
          <cell r="FS1920">
            <v>22.314663874962239</v>
          </cell>
          <cell r="FT1920">
            <v>20.116606119778133</v>
          </cell>
          <cell r="FU1920">
            <v>17.065595346429742</v>
          </cell>
          <cell r="FV1920">
            <v>23.167616893126525</v>
          </cell>
          <cell r="GG1920">
            <v>14.754036255902729</v>
          </cell>
          <cell r="GH1920">
            <v>13.982143405445317</v>
          </cell>
          <cell r="GI1920">
            <v>10.408007395026372</v>
          </cell>
          <cell r="GJ1920">
            <v>7.7337520878462023</v>
          </cell>
          <cell r="GK1920">
            <v>13.082262702206542</v>
          </cell>
        </row>
        <row r="1921">
          <cell r="A1921">
            <v>42149</v>
          </cell>
          <cell r="FR1921">
            <v>21.667270356931152</v>
          </cell>
          <cell r="FS1921">
            <v>22.314663874962239</v>
          </cell>
          <cell r="FT1921">
            <v>20.116606119778133</v>
          </cell>
          <cell r="FU1921">
            <v>17.065595346429742</v>
          </cell>
          <cell r="FV1921">
            <v>23.167616893126525</v>
          </cell>
          <cell r="GG1921">
            <v>14.754036255902729</v>
          </cell>
          <cell r="GH1921">
            <v>13.982143405445317</v>
          </cell>
          <cell r="GI1921">
            <v>10.408007395026372</v>
          </cell>
          <cell r="GJ1921">
            <v>7.7337520878462023</v>
          </cell>
          <cell r="GK1921">
            <v>13.082262702206542</v>
          </cell>
        </row>
        <row r="1922">
          <cell r="A1922">
            <v>42150</v>
          </cell>
          <cell r="FR1922">
            <v>21.41748303622991</v>
          </cell>
          <cell r="FS1922">
            <v>22.314663874962239</v>
          </cell>
          <cell r="FT1922">
            <v>20.116606119778133</v>
          </cell>
          <cell r="FU1922">
            <v>17.065595346429742</v>
          </cell>
          <cell r="FV1922">
            <v>23.167616893126525</v>
          </cell>
          <cell r="GG1922">
            <v>14.605866934408455</v>
          </cell>
          <cell r="GH1922">
            <v>13.982143405445317</v>
          </cell>
          <cell r="GI1922">
            <v>10.408007395026372</v>
          </cell>
          <cell r="GJ1922">
            <v>7.7337520878462023</v>
          </cell>
          <cell r="GK1922">
            <v>13.082262702206542</v>
          </cell>
        </row>
        <row r="1923">
          <cell r="A1923">
            <v>42151</v>
          </cell>
          <cell r="FR1923">
            <v>21.62450373778255</v>
          </cell>
          <cell r="FS1923">
            <v>22.314663874962239</v>
          </cell>
          <cell r="FT1923">
            <v>20.116606119778133</v>
          </cell>
          <cell r="FU1923">
            <v>17.065595346429742</v>
          </cell>
          <cell r="FV1923">
            <v>23.167616893126525</v>
          </cell>
          <cell r="GG1923">
            <v>14.732872838624383</v>
          </cell>
          <cell r="GH1923">
            <v>13.982143405445317</v>
          </cell>
          <cell r="GI1923">
            <v>10.408007395026372</v>
          </cell>
          <cell r="GJ1923">
            <v>7.7337520878462023</v>
          </cell>
          <cell r="GK1923">
            <v>13.082262702206542</v>
          </cell>
        </row>
        <row r="1924">
          <cell r="A1924">
            <v>42152</v>
          </cell>
          <cell r="FR1924">
            <v>21.469235192641648</v>
          </cell>
          <cell r="FS1924">
            <v>22.314663874962239</v>
          </cell>
          <cell r="FT1924">
            <v>20.116606119778133</v>
          </cell>
          <cell r="FU1924">
            <v>17.065595346429742</v>
          </cell>
          <cell r="FV1924">
            <v>23.167616893126525</v>
          </cell>
          <cell r="GG1924">
            <v>14.640953742408378</v>
          </cell>
          <cell r="GH1924">
            <v>13.982143405445317</v>
          </cell>
          <cell r="GI1924">
            <v>10.408007395026372</v>
          </cell>
          <cell r="GJ1924">
            <v>7.7337520878462023</v>
          </cell>
          <cell r="GK1924">
            <v>13.082262702206542</v>
          </cell>
        </row>
        <row r="1925">
          <cell r="A1925">
            <v>42153</v>
          </cell>
          <cell r="FR1925">
            <v>21.188081831213438</v>
          </cell>
          <cell r="FS1925">
            <v>22.314663874962239</v>
          </cell>
          <cell r="FT1925">
            <v>20.116606119778133</v>
          </cell>
          <cell r="FU1925">
            <v>17.065595346429742</v>
          </cell>
          <cell r="FV1925">
            <v>23.167616893126525</v>
          </cell>
          <cell r="GG1925">
            <v>14.468933258086127</v>
          </cell>
          <cell r="GH1925">
            <v>13.982143405445317</v>
          </cell>
          <cell r="GI1925">
            <v>10.408007395026372</v>
          </cell>
          <cell r="GJ1925">
            <v>7.7337520878462023</v>
          </cell>
          <cell r="GK1925">
            <v>13.082262702206542</v>
          </cell>
        </row>
        <row r="1926">
          <cell r="A1926">
            <v>42156</v>
          </cell>
          <cell r="FR1926">
            <v>20.933621413276231</v>
          </cell>
          <cell r="FS1926">
            <v>22.314663874962239</v>
          </cell>
          <cell r="FT1926">
            <v>20.116606119778133</v>
          </cell>
          <cell r="FU1926">
            <v>17.065595346429742</v>
          </cell>
          <cell r="FV1926">
            <v>23.167616893126525</v>
          </cell>
          <cell r="GG1926">
            <v>14.302154937194205</v>
          </cell>
          <cell r="GH1926">
            <v>13.982143405445317</v>
          </cell>
          <cell r="GI1926">
            <v>10.408007395026372</v>
          </cell>
          <cell r="GJ1926">
            <v>7.7337520878462023</v>
          </cell>
          <cell r="GK1926">
            <v>13.082262702206542</v>
          </cell>
        </row>
        <row r="1927">
          <cell r="A1927">
            <v>42157</v>
          </cell>
          <cell r="FR1927">
            <v>20.950755460385441</v>
          </cell>
          <cell r="FS1927">
            <v>22.314663874962239</v>
          </cell>
          <cell r="FT1927">
            <v>20.116606119778133</v>
          </cell>
          <cell r="FU1927">
            <v>17.065595346429742</v>
          </cell>
          <cell r="FV1927">
            <v>23.167616893126525</v>
          </cell>
          <cell r="GG1927">
            <v>14.309892195795477</v>
          </cell>
          <cell r="GH1927">
            <v>13.982143405445317</v>
          </cell>
          <cell r="GI1927">
            <v>10.408007395026372</v>
          </cell>
          <cell r="GJ1927">
            <v>7.7337520878462023</v>
          </cell>
          <cell r="GK1927">
            <v>13.082262702206542</v>
          </cell>
        </row>
        <row r="1928">
          <cell r="A1928">
            <v>42158</v>
          </cell>
          <cell r="FR1928">
            <v>21.533190578158457</v>
          </cell>
          <cell r="FS1928">
            <v>22.314663874962239</v>
          </cell>
          <cell r="FT1928">
            <v>20.116606119778133</v>
          </cell>
          <cell r="FU1928">
            <v>17.065595346429742</v>
          </cell>
          <cell r="FV1928">
            <v>23.167616893126525</v>
          </cell>
          <cell r="GG1928">
            <v>14.66722790125649</v>
          </cell>
          <cell r="GH1928">
            <v>13.982143405445317</v>
          </cell>
          <cell r="GI1928">
            <v>10.408007395026372</v>
          </cell>
          <cell r="GJ1928">
            <v>7.7337520878462023</v>
          </cell>
          <cell r="GK1928">
            <v>13.082262702206542</v>
          </cell>
        </row>
        <row r="1929">
          <cell r="A1929">
            <v>42159</v>
          </cell>
          <cell r="FR1929">
            <v>21.28480256959315</v>
          </cell>
          <cell r="FS1929">
            <v>22.314663874962239</v>
          </cell>
          <cell r="FT1929">
            <v>20.116606119778133</v>
          </cell>
          <cell r="FU1929">
            <v>17.065595346429742</v>
          </cell>
          <cell r="FV1929">
            <v>23.167616893126525</v>
          </cell>
          <cell r="GG1929">
            <v>14.514836842475363</v>
          </cell>
          <cell r="GH1929">
            <v>13.982143405445317</v>
          </cell>
          <cell r="GI1929">
            <v>10.408007395026372</v>
          </cell>
          <cell r="GJ1929">
            <v>7.7337520878462023</v>
          </cell>
          <cell r="GK1929">
            <v>13.082262702206542</v>
          </cell>
        </row>
        <row r="1930">
          <cell r="A1930">
            <v>42160</v>
          </cell>
          <cell r="FR1930">
            <v>20.856537044967883</v>
          </cell>
          <cell r="FS1930">
            <v>22.314663874962239</v>
          </cell>
          <cell r="FT1930">
            <v>20.116606119778133</v>
          </cell>
          <cell r="FU1930">
            <v>17.065595346429742</v>
          </cell>
          <cell r="FV1930">
            <v>23.167616893126525</v>
          </cell>
          <cell r="GG1930">
            <v>14.252087295449867</v>
          </cell>
          <cell r="GH1930">
            <v>13.982143405445317</v>
          </cell>
          <cell r="GI1930">
            <v>10.408007395026372</v>
          </cell>
          <cell r="GJ1930">
            <v>7.7337520878462023</v>
          </cell>
          <cell r="GK1930">
            <v>13.082262702206542</v>
          </cell>
        </row>
        <row r="1931">
          <cell r="A1931">
            <v>42163</v>
          </cell>
          <cell r="FR1931">
            <v>20.770877944325481</v>
          </cell>
          <cell r="FS1931">
            <v>22.314663874962239</v>
          </cell>
          <cell r="FT1931">
            <v>20.116606119778133</v>
          </cell>
          <cell r="FU1931">
            <v>17.065595346429742</v>
          </cell>
          <cell r="FV1931">
            <v>23.167616893126525</v>
          </cell>
          <cell r="GG1931">
            <v>14.19953370755111</v>
          </cell>
          <cell r="GH1931">
            <v>13.982143405445317</v>
          </cell>
          <cell r="GI1931">
            <v>10.408007395026372</v>
          </cell>
          <cell r="GJ1931">
            <v>7.7337520878462023</v>
          </cell>
          <cell r="GK1931">
            <v>13.082262702206542</v>
          </cell>
        </row>
        <row r="1932">
          <cell r="A1932">
            <v>42164</v>
          </cell>
          <cell r="FR1932">
            <v>20.642404282655249</v>
          </cell>
          <cell r="FS1932">
            <v>22.314663874962239</v>
          </cell>
          <cell r="FT1932">
            <v>20.116606119778133</v>
          </cell>
          <cell r="FU1932">
            <v>17.065595346429742</v>
          </cell>
          <cell r="FV1932">
            <v>23.167616893126525</v>
          </cell>
          <cell r="GG1932">
            <v>14.12071252193712</v>
          </cell>
          <cell r="GH1932">
            <v>13.982143405445317</v>
          </cell>
          <cell r="GI1932">
            <v>10.408007395026372</v>
          </cell>
          <cell r="GJ1932">
            <v>7.7337520878462023</v>
          </cell>
          <cell r="GK1932">
            <v>13.082262702206542</v>
          </cell>
        </row>
        <row r="1933">
          <cell r="A1933">
            <v>42165</v>
          </cell>
          <cell r="FR1933">
            <v>21.387582012847968</v>
          </cell>
          <cell r="FS1933">
            <v>22.314663874962239</v>
          </cell>
          <cell r="FT1933">
            <v>20.116606119778133</v>
          </cell>
          <cell r="FU1933">
            <v>17.065595346429742</v>
          </cell>
          <cell r="FV1933">
            <v>23.167616893126525</v>
          </cell>
          <cell r="GG1933">
            <v>14.57789410626601</v>
          </cell>
          <cell r="GH1933">
            <v>13.982143405445317</v>
          </cell>
          <cell r="GI1933">
            <v>10.408007395026372</v>
          </cell>
          <cell r="GJ1933">
            <v>7.7337520878462023</v>
          </cell>
          <cell r="GK1933">
            <v>13.082262702206542</v>
          </cell>
        </row>
        <row r="1934">
          <cell r="A1934">
            <v>42166</v>
          </cell>
          <cell r="FR1934">
            <v>21.516056531049252</v>
          </cell>
          <cell r="FS1934">
            <v>22.314663874962239</v>
          </cell>
          <cell r="FT1934">
            <v>20.116606119778133</v>
          </cell>
          <cell r="FU1934">
            <v>17.065595346429742</v>
          </cell>
          <cell r="FV1934">
            <v>23.167616893126525</v>
          </cell>
          <cell r="GG1934">
            <v>14.656715817379093</v>
          </cell>
          <cell r="GH1934">
            <v>13.982143405445317</v>
          </cell>
          <cell r="GI1934">
            <v>10.408007395026372</v>
          </cell>
          <cell r="GJ1934">
            <v>7.7337520878462023</v>
          </cell>
          <cell r="GK1934">
            <v>13.082262702206542</v>
          </cell>
        </row>
        <row r="1935">
          <cell r="A1935">
            <v>42167</v>
          </cell>
          <cell r="FR1935">
            <v>21.319057815845824</v>
          </cell>
          <cell r="FS1935">
            <v>22.314663874962239</v>
          </cell>
          <cell r="FT1935">
            <v>20.116606119778133</v>
          </cell>
          <cell r="FU1935">
            <v>17.065595346429742</v>
          </cell>
          <cell r="FV1935">
            <v>23.167616893126525</v>
          </cell>
          <cell r="GG1935">
            <v>14.535853127743744</v>
          </cell>
          <cell r="GH1935">
            <v>13.982143405445317</v>
          </cell>
          <cell r="GI1935">
            <v>10.408007395026372</v>
          </cell>
          <cell r="GJ1935">
            <v>7.7337520878462023</v>
          </cell>
          <cell r="GK1935">
            <v>13.082262702206542</v>
          </cell>
        </row>
        <row r="1936">
          <cell r="A1936">
            <v>42170</v>
          </cell>
          <cell r="FR1936">
            <v>20.950755460385441</v>
          </cell>
          <cell r="FS1936">
            <v>22.314663874962239</v>
          </cell>
          <cell r="FT1936">
            <v>20.116606119778133</v>
          </cell>
          <cell r="FU1936">
            <v>17.065595346429742</v>
          </cell>
          <cell r="FV1936">
            <v>23.167616893126525</v>
          </cell>
          <cell r="GG1936">
            <v>14.309892195795477</v>
          </cell>
          <cell r="GH1936">
            <v>13.982143405445317</v>
          </cell>
          <cell r="GI1936">
            <v>10.408007395026372</v>
          </cell>
          <cell r="GJ1936">
            <v>7.7337520878462023</v>
          </cell>
          <cell r="GK1936">
            <v>13.082262702206542</v>
          </cell>
        </row>
        <row r="1937">
          <cell r="A1937">
            <v>42171</v>
          </cell>
          <cell r="FR1937">
            <v>20.890792291220556</v>
          </cell>
          <cell r="FS1937">
            <v>22.314663874962239</v>
          </cell>
          <cell r="FT1937">
            <v>20.116606119778133</v>
          </cell>
          <cell r="FU1937">
            <v>17.065595346429742</v>
          </cell>
          <cell r="FV1937">
            <v>23.167616893126525</v>
          </cell>
          <cell r="GG1937">
            <v>14.273103580718249</v>
          </cell>
          <cell r="GH1937">
            <v>13.982143405445317</v>
          </cell>
          <cell r="GI1937">
            <v>10.408007395026372</v>
          </cell>
          <cell r="GJ1937">
            <v>7.7337520878462023</v>
          </cell>
          <cell r="GK1937">
            <v>13.082262702206542</v>
          </cell>
        </row>
        <row r="1938">
          <cell r="A1938">
            <v>42172</v>
          </cell>
          <cell r="FR1938">
            <v>20.865097216274091</v>
          </cell>
          <cell r="FS1938">
            <v>22.314663874962239</v>
          </cell>
          <cell r="FT1938">
            <v>20.116606119778133</v>
          </cell>
          <cell r="FU1938">
            <v>17.065595346429742</v>
          </cell>
          <cell r="FV1938">
            <v>23.167616893126525</v>
          </cell>
          <cell r="GG1938">
            <v>14.257339133395812</v>
          </cell>
          <cell r="GH1938">
            <v>13.982143405445317</v>
          </cell>
          <cell r="GI1938">
            <v>10.408007395026372</v>
          </cell>
          <cell r="GJ1938">
            <v>7.7337520878462023</v>
          </cell>
          <cell r="GK1938">
            <v>13.082262702206542</v>
          </cell>
        </row>
        <row r="1939">
          <cell r="A1939">
            <v>42173</v>
          </cell>
          <cell r="FR1939">
            <v>21.336191862955033</v>
          </cell>
          <cell r="FS1939">
            <v>22.314663874962239</v>
          </cell>
          <cell r="FT1939">
            <v>20.116606119778133</v>
          </cell>
          <cell r="FU1939">
            <v>17.065595346429742</v>
          </cell>
          <cell r="FV1939">
            <v>23.167616893126525</v>
          </cell>
          <cell r="GG1939">
            <v>14.546365211621138</v>
          </cell>
          <cell r="GH1939">
            <v>13.982143405445317</v>
          </cell>
          <cell r="GI1939">
            <v>10.408007395026372</v>
          </cell>
          <cell r="GJ1939">
            <v>7.7337520878462023</v>
          </cell>
          <cell r="GK1939">
            <v>13.082262702206542</v>
          </cell>
        </row>
        <row r="1940">
          <cell r="A1940">
            <v>42174</v>
          </cell>
          <cell r="FR1940">
            <v>21.182009421841542</v>
          </cell>
          <cell r="FS1940">
            <v>22.314663874962239</v>
          </cell>
          <cell r="FT1940">
            <v>20.116606119778133</v>
          </cell>
          <cell r="FU1940">
            <v>17.065595346429742</v>
          </cell>
          <cell r="FV1940">
            <v>23.167616893126525</v>
          </cell>
          <cell r="GG1940">
            <v>14.685502169613814</v>
          </cell>
          <cell r="GH1940">
            <v>13.982143405445317</v>
          </cell>
          <cell r="GI1940">
            <v>10.408007395026372</v>
          </cell>
          <cell r="GJ1940">
            <v>7.7337520878462023</v>
          </cell>
          <cell r="GK1940">
            <v>13.082262702206542</v>
          </cell>
        </row>
        <row r="1941">
          <cell r="A1941">
            <v>42177</v>
          </cell>
          <cell r="FR1941">
            <v>21.470757556942022</v>
          </cell>
          <cell r="FS1941">
            <v>22.314663874962239</v>
          </cell>
          <cell r="FT1941">
            <v>20.116606119778133</v>
          </cell>
          <cell r="FU1941">
            <v>17.065595346429742</v>
          </cell>
          <cell r="FV1941">
            <v>23.167616893126525</v>
          </cell>
          <cell r="GG1941">
            <v>14.867067925451028</v>
          </cell>
          <cell r="GH1941">
            <v>13.982143405445317</v>
          </cell>
          <cell r="GI1941">
            <v>10.408007395026372</v>
          </cell>
          <cell r="GJ1941">
            <v>7.7337520878462023</v>
          </cell>
          <cell r="GK1941">
            <v>13.082262702206542</v>
          </cell>
        </row>
        <row r="1942">
          <cell r="A1942">
            <v>42178</v>
          </cell>
          <cell r="FR1942">
            <v>21.367976293961721</v>
          </cell>
          <cell r="FS1942">
            <v>22.314663874962239</v>
          </cell>
          <cell r="FT1942">
            <v>20.116606119778133</v>
          </cell>
          <cell r="FU1942">
            <v>17.065595346429742</v>
          </cell>
          <cell r="FV1942">
            <v>23.167616893126525</v>
          </cell>
          <cell r="GG1942">
            <v>14.802982281639105</v>
          </cell>
          <cell r="GH1942">
            <v>13.982143405445317</v>
          </cell>
          <cell r="GI1942">
            <v>10.408007395026372</v>
          </cell>
          <cell r="GJ1942">
            <v>7.7337520878462023</v>
          </cell>
          <cell r="GK1942">
            <v>13.082262702206542</v>
          </cell>
        </row>
        <row r="1943">
          <cell r="A1943">
            <v>42179</v>
          </cell>
          <cell r="FR1943">
            <v>21.196692459544288</v>
          </cell>
          <cell r="FS1943">
            <v>22.314663874962239</v>
          </cell>
          <cell r="FT1943">
            <v>20.116606119778133</v>
          </cell>
          <cell r="FU1943">
            <v>17.065595346429742</v>
          </cell>
          <cell r="FV1943">
            <v>23.167616893126525</v>
          </cell>
          <cell r="GG1943">
            <v>14.696184267244981</v>
          </cell>
          <cell r="GH1943">
            <v>13.982143405445317</v>
          </cell>
          <cell r="GI1943">
            <v>10.408007395026372</v>
          </cell>
          <cell r="GJ1943">
            <v>7.7337520878462023</v>
          </cell>
          <cell r="GK1943">
            <v>13.082262702206542</v>
          </cell>
        </row>
        <row r="1944">
          <cell r="A1944">
            <v>42180</v>
          </cell>
          <cell r="FR1944">
            <v>21.216790916880889</v>
          </cell>
          <cell r="FS1944">
            <v>22.314663874962239</v>
          </cell>
          <cell r="FT1944">
            <v>20.116606119778133</v>
          </cell>
          <cell r="FU1944">
            <v>17.065595346429742</v>
          </cell>
          <cell r="FV1944">
            <v>23.167616893126525</v>
          </cell>
          <cell r="GG1944">
            <v>14.70152157807399</v>
          </cell>
          <cell r="GH1944">
            <v>13.982143405445317</v>
          </cell>
          <cell r="GI1944">
            <v>10.408007395026372</v>
          </cell>
          <cell r="GJ1944">
            <v>7.7337520878462023</v>
          </cell>
          <cell r="GK1944">
            <v>13.082262702206542</v>
          </cell>
        </row>
        <row r="1945">
          <cell r="A1945">
            <v>42181</v>
          </cell>
          <cell r="FR1945">
            <v>21.491004284490145</v>
          </cell>
          <cell r="FS1945">
            <v>22.314663874962239</v>
          </cell>
          <cell r="FT1945">
            <v>20.116606119778133</v>
          </cell>
          <cell r="FU1945">
            <v>17.065595346429742</v>
          </cell>
          <cell r="FV1945">
            <v>23.167616893126525</v>
          </cell>
          <cell r="GG1945">
            <v>14.872404702281955</v>
          </cell>
          <cell r="GH1945">
            <v>13.982143405445317</v>
          </cell>
          <cell r="GI1945">
            <v>10.408007395026372</v>
          </cell>
          <cell r="GJ1945">
            <v>7.7337520878462023</v>
          </cell>
          <cell r="GK1945">
            <v>13.082262702206542</v>
          </cell>
        </row>
        <row r="1946">
          <cell r="A1946">
            <v>42184</v>
          </cell>
          <cell r="FR1946">
            <v>20.816456059612722</v>
          </cell>
          <cell r="FS1946">
            <v>22.314663874962239</v>
          </cell>
          <cell r="FT1946">
            <v>20.116606119778133</v>
          </cell>
          <cell r="FU1946">
            <v>17.065595346429742</v>
          </cell>
          <cell r="FV1946">
            <v>23.167616893126525</v>
          </cell>
          <cell r="GG1946">
            <v>14.450541945563236</v>
          </cell>
          <cell r="GH1946">
            <v>13.982143405445317</v>
          </cell>
          <cell r="GI1946">
            <v>10.408007395026372</v>
          </cell>
          <cell r="GJ1946">
            <v>7.7337520878462023</v>
          </cell>
          <cell r="GK1946">
            <v>13.082262702206542</v>
          </cell>
        </row>
        <row r="1947">
          <cell r="A1947">
            <v>42185</v>
          </cell>
          <cell r="FR1947">
            <v>21.244954643424904</v>
          </cell>
          <cell r="FS1947">
            <v>22.314663874962239</v>
          </cell>
          <cell r="FT1947">
            <v>20.116606119778133</v>
          </cell>
          <cell r="FU1947">
            <v>17.065595346429742</v>
          </cell>
          <cell r="FV1947">
            <v>23.167616893126525</v>
          </cell>
          <cell r="GG1947">
            <v>14.717540986534161</v>
          </cell>
          <cell r="GH1947">
            <v>13.982143405445317</v>
          </cell>
          <cell r="GI1947">
            <v>10.408007395026372</v>
          </cell>
          <cell r="GJ1947">
            <v>7.7337520878462023</v>
          </cell>
          <cell r="GK1947">
            <v>13.082262702206542</v>
          </cell>
        </row>
        <row r="1948">
          <cell r="A1948">
            <v>42186</v>
          </cell>
          <cell r="FR1948">
            <v>21.373932577905766</v>
          </cell>
          <cell r="FS1948">
            <v>22.314663874962239</v>
          </cell>
          <cell r="FT1948">
            <v>20.116606119778133</v>
          </cell>
          <cell r="FU1948">
            <v>17.065595346429742</v>
          </cell>
          <cell r="FV1948">
            <v>23.167616893126525</v>
          </cell>
          <cell r="GG1948">
            <v>14.794638214951723</v>
          </cell>
          <cell r="GH1948">
            <v>13.982143405445317</v>
          </cell>
          <cell r="GI1948">
            <v>10.408007395026372</v>
          </cell>
          <cell r="GJ1948">
            <v>7.7337520878462023</v>
          </cell>
          <cell r="GK1948">
            <v>13.082262702206542</v>
          </cell>
        </row>
        <row r="1949">
          <cell r="A1949">
            <v>42187</v>
          </cell>
          <cell r="FR1949">
            <v>21.144480169973733</v>
          </cell>
          <cell r="FS1949">
            <v>22.314663874962239</v>
          </cell>
          <cell r="FT1949">
            <v>20.116606119778133</v>
          </cell>
          <cell r="FU1949">
            <v>17.065595346429742</v>
          </cell>
          <cell r="FV1949">
            <v>23.167616893126525</v>
          </cell>
          <cell r="GG1949">
            <v>14.651578000092432</v>
          </cell>
          <cell r="GH1949">
            <v>13.982143405445317</v>
          </cell>
          <cell r="GI1949">
            <v>10.408007395026372</v>
          </cell>
          <cell r="GJ1949">
            <v>7.7337520878462023</v>
          </cell>
          <cell r="GK1949">
            <v>13.082262702206542</v>
          </cell>
        </row>
        <row r="1950">
          <cell r="A1950">
            <v>42188</v>
          </cell>
          <cell r="FR1950">
            <v>21.144480169973733</v>
          </cell>
          <cell r="FS1950">
            <v>22.314663874962239</v>
          </cell>
          <cell r="FT1950">
            <v>20.116606119778133</v>
          </cell>
          <cell r="FU1950">
            <v>17.065595346429742</v>
          </cell>
          <cell r="FV1950">
            <v>23.167616893126525</v>
          </cell>
          <cell r="GG1950">
            <v>14.651578000092432</v>
          </cell>
          <cell r="GH1950">
            <v>13.982143405445317</v>
          </cell>
          <cell r="GI1950">
            <v>10.408007395026372</v>
          </cell>
          <cell r="GJ1950">
            <v>7.7337520878462023</v>
          </cell>
          <cell r="GK1950">
            <v>13.082262702206542</v>
          </cell>
        </row>
        <row r="1951">
          <cell r="A1951">
            <v>42191</v>
          </cell>
          <cell r="FR1951">
            <v>21.078788882872882</v>
          </cell>
          <cell r="FS1951">
            <v>22.314663874962239</v>
          </cell>
          <cell r="FT1951">
            <v>20.116606119778133</v>
          </cell>
          <cell r="FU1951">
            <v>17.065595346429742</v>
          </cell>
          <cell r="FV1951">
            <v>23.167616893126525</v>
          </cell>
          <cell r="GG1951">
            <v>14.614483094516075</v>
          </cell>
          <cell r="GH1951">
            <v>13.982143405445317</v>
          </cell>
          <cell r="GI1951">
            <v>10.408007395026372</v>
          </cell>
          <cell r="GJ1951">
            <v>7.7337520878462023</v>
          </cell>
          <cell r="GK1951">
            <v>13.082262702206542</v>
          </cell>
        </row>
        <row r="1952">
          <cell r="A1952">
            <v>42192</v>
          </cell>
          <cell r="FR1952">
            <v>21.264740441175938</v>
          </cell>
          <cell r="FS1952">
            <v>22.314663874962239</v>
          </cell>
          <cell r="FT1952">
            <v>20.116606119778133</v>
          </cell>
          <cell r="FU1952">
            <v>17.065595346429742</v>
          </cell>
          <cell r="FV1952">
            <v>23.167616893126525</v>
          </cell>
          <cell r="GG1952">
            <v>14.73554858566102</v>
          </cell>
          <cell r="GH1952">
            <v>13.982143405445317</v>
          </cell>
          <cell r="GI1952">
            <v>10.408007395026372</v>
          </cell>
          <cell r="GJ1952">
            <v>7.7337520878462023</v>
          </cell>
          <cell r="GK1952">
            <v>13.082262702206542</v>
          </cell>
        </row>
        <row r="1953">
          <cell r="A1953">
            <v>42193</v>
          </cell>
          <cell r="FR1953">
            <v>21.181034942959659</v>
          </cell>
          <cell r="FS1953">
            <v>22.314663874962239</v>
          </cell>
          <cell r="FT1953">
            <v>20.116606119778133</v>
          </cell>
          <cell r="FU1953">
            <v>17.065595346429742</v>
          </cell>
          <cell r="FV1953">
            <v>23.167616893126525</v>
          </cell>
          <cell r="GG1953">
            <v>14.512854540570395</v>
          </cell>
          <cell r="GH1953">
            <v>13.982143405445317</v>
          </cell>
          <cell r="GI1953">
            <v>10.408007395026372</v>
          </cell>
          <cell r="GJ1953">
            <v>7.7337520878462023</v>
          </cell>
          <cell r="GK1953">
            <v>13.082262702206542</v>
          </cell>
        </row>
        <row r="1954">
          <cell r="A1954">
            <v>42194</v>
          </cell>
          <cell r="FR1954">
            <v>21.292957738396275</v>
          </cell>
          <cell r="FS1954">
            <v>22.314663874962239</v>
          </cell>
          <cell r="FT1954">
            <v>20.116606119778133</v>
          </cell>
          <cell r="FU1954">
            <v>17.065595346429742</v>
          </cell>
          <cell r="FV1954">
            <v>23.167616893126525</v>
          </cell>
          <cell r="GG1954">
            <v>14.581778145509666</v>
          </cell>
          <cell r="GH1954">
            <v>13.982143405445317</v>
          </cell>
          <cell r="GI1954">
            <v>10.408007395026372</v>
          </cell>
          <cell r="GJ1954">
            <v>7.7337520878462023</v>
          </cell>
          <cell r="GK1954">
            <v>13.082262702206542</v>
          </cell>
        </row>
        <row r="1955">
          <cell r="A1955">
            <v>42195</v>
          </cell>
          <cell r="FR1955">
            <v>22.153975173999431</v>
          </cell>
          <cell r="FS1955">
            <v>22.314663874962239</v>
          </cell>
          <cell r="FT1955">
            <v>20.116606119778133</v>
          </cell>
          <cell r="FU1955">
            <v>17.065595346429742</v>
          </cell>
          <cell r="FV1955">
            <v>23.167616893126525</v>
          </cell>
          <cell r="GG1955">
            <v>15.112004587279927</v>
          </cell>
          <cell r="GH1955">
            <v>13.982143405445317</v>
          </cell>
          <cell r="GI1955">
            <v>10.408007395026372</v>
          </cell>
          <cell r="GJ1955">
            <v>7.7337520878462023</v>
          </cell>
          <cell r="GK1955">
            <v>13.082262702206542</v>
          </cell>
        </row>
        <row r="1956">
          <cell r="A1956">
            <v>42198</v>
          </cell>
          <cell r="FR1956">
            <v>22.581502621454199</v>
          </cell>
          <cell r="FS1956">
            <v>22.314663874962239</v>
          </cell>
          <cell r="FT1956">
            <v>20.116606119778133</v>
          </cell>
          <cell r="FU1956">
            <v>17.065595346429742</v>
          </cell>
          <cell r="FV1956">
            <v>23.167616893126525</v>
          </cell>
          <cell r="GG1956">
            <v>15.377117808165053</v>
          </cell>
          <cell r="GH1956">
            <v>13.982143405445317</v>
          </cell>
          <cell r="GI1956">
            <v>10.408007395026372</v>
          </cell>
          <cell r="GJ1956">
            <v>7.7337520878462023</v>
          </cell>
          <cell r="GK1956">
            <v>13.082262702206542</v>
          </cell>
        </row>
        <row r="1957">
          <cell r="A1957">
            <v>42199</v>
          </cell>
          <cell r="FR1957">
            <v>22.812750992400129</v>
          </cell>
          <cell r="FS1957">
            <v>22.314663874962239</v>
          </cell>
          <cell r="FT1957">
            <v>20.116606119778133</v>
          </cell>
          <cell r="FU1957">
            <v>17.065595346429742</v>
          </cell>
          <cell r="FV1957">
            <v>23.167616893126525</v>
          </cell>
          <cell r="GG1957">
            <v>15.563855517605782</v>
          </cell>
          <cell r="GH1957">
            <v>13.982143405445317</v>
          </cell>
          <cell r="GI1957">
            <v>10.408007395026372</v>
          </cell>
          <cell r="GJ1957">
            <v>7.7337520878462023</v>
          </cell>
          <cell r="GK1957">
            <v>13.082262702206542</v>
          </cell>
        </row>
        <row r="1958">
          <cell r="A1958">
            <v>42200</v>
          </cell>
          <cell r="FR1958">
            <v>22.847258193079774</v>
          </cell>
          <cell r="FS1958">
            <v>22.314663874962239</v>
          </cell>
          <cell r="FT1958">
            <v>20.116606119778133</v>
          </cell>
          <cell r="FU1958">
            <v>17.065595346429742</v>
          </cell>
          <cell r="FV1958">
            <v>23.167616893126525</v>
          </cell>
          <cell r="GG1958">
            <v>15.58711348798899</v>
          </cell>
          <cell r="GH1958">
            <v>13.982143405445317</v>
          </cell>
          <cell r="GI1958">
            <v>10.408007395026372</v>
          </cell>
          <cell r="GJ1958">
            <v>7.7337520878462023</v>
          </cell>
          <cell r="GK1958">
            <v>13.082262702206542</v>
          </cell>
        </row>
        <row r="1959">
          <cell r="A1959">
            <v>42201</v>
          </cell>
          <cell r="FR1959">
            <v>23.076541723220259</v>
          </cell>
          <cell r="FS1959">
            <v>22.314663874962239</v>
          </cell>
          <cell r="FT1959">
            <v>20.116606119778133</v>
          </cell>
          <cell r="FU1959">
            <v>17.065595346429742</v>
          </cell>
          <cell r="FV1959">
            <v>23.167616893126525</v>
          </cell>
          <cell r="GG1959">
            <v>15.726596189968246</v>
          </cell>
          <cell r="GH1959">
            <v>13.982143405445317</v>
          </cell>
          <cell r="GI1959">
            <v>10.408007395026372</v>
          </cell>
          <cell r="GJ1959">
            <v>7.7337520878462023</v>
          </cell>
          <cell r="GK1959">
            <v>13.082262702206542</v>
          </cell>
        </row>
        <row r="1960">
          <cell r="A1960">
            <v>42202</v>
          </cell>
          <cell r="FR1960">
            <v>23.321221628555389</v>
          </cell>
          <cell r="FS1960">
            <v>22.314663874962239</v>
          </cell>
          <cell r="FT1960">
            <v>20.116606119778133</v>
          </cell>
          <cell r="FU1960">
            <v>17.065595346429742</v>
          </cell>
          <cell r="FV1960">
            <v>23.167616893126525</v>
          </cell>
          <cell r="GG1960">
            <v>16.120545940384062</v>
          </cell>
          <cell r="GH1960">
            <v>13.982143405445317</v>
          </cell>
          <cell r="GI1960">
            <v>10.408007395026372</v>
          </cell>
          <cell r="GJ1960">
            <v>7.7337520878462023</v>
          </cell>
          <cell r="GK1960">
            <v>13.082262702206542</v>
          </cell>
        </row>
        <row r="1961">
          <cell r="A1961">
            <v>42205</v>
          </cell>
          <cell r="FR1961">
            <v>23.4238033767922</v>
          </cell>
          <cell r="FS1961">
            <v>22.314663874962239</v>
          </cell>
          <cell r="FT1961">
            <v>20.116606119778133</v>
          </cell>
          <cell r="FU1961">
            <v>17.065595346429742</v>
          </cell>
          <cell r="FV1961">
            <v>23.167616893126525</v>
          </cell>
          <cell r="GG1961">
            <v>16.184915917937641</v>
          </cell>
          <cell r="GH1961">
            <v>13.982143405445317</v>
          </cell>
          <cell r="GI1961">
            <v>10.408007395026372</v>
          </cell>
          <cell r="GJ1961">
            <v>7.7337520878462023</v>
          </cell>
          <cell r="GK1961">
            <v>13.082262702206542</v>
          </cell>
        </row>
        <row r="1962">
          <cell r="A1962">
            <v>42206</v>
          </cell>
          <cell r="FR1962">
            <v>23.449449027572285</v>
          </cell>
          <cell r="FS1962">
            <v>22.314663874962239</v>
          </cell>
          <cell r="FT1962">
            <v>20.116606119778133</v>
          </cell>
          <cell r="FU1962">
            <v>17.065595346429742</v>
          </cell>
          <cell r="FV1962">
            <v>23.167616893126525</v>
          </cell>
          <cell r="GG1962">
            <v>16.201008546435741</v>
          </cell>
          <cell r="GH1962">
            <v>13.982143405445317</v>
          </cell>
          <cell r="GI1962">
            <v>10.408007395026372</v>
          </cell>
          <cell r="GJ1962">
            <v>7.7337520878462023</v>
          </cell>
          <cell r="GK1962">
            <v>13.082262702206542</v>
          </cell>
        </row>
        <row r="1963">
          <cell r="A1963">
            <v>42207</v>
          </cell>
          <cell r="FR1963">
            <v>23.761486642447288</v>
          </cell>
          <cell r="FS1963">
            <v>22.314663874962239</v>
          </cell>
          <cell r="FT1963">
            <v>20.116606119778133</v>
          </cell>
          <cell r="FU1963">
            <v>17.065595346429742</v>
          </cell>
          <cell r="FV1963">
            <v>23.167616893126525</v>
          </cell>
          <cell r="GG1963">
            <v>16.39681193846808</v>
          </cell>
          <cell r="GH1963">
            <v>13.982143405445317</v>
          </cell>
          <cell r="GI1963">
            <v>10.408007395026372</v>
          </cell>
          <cell r="GJ1963">
            <v>7.7337520878462023</v>
          </cell>
          <cell r="GK1963">
            <v>13.082262702206542</v>
          </cell>
        </row>
        <row r="1964">
          <cell r="A1964">
            <v>42208</v>
          </cell>
          <cell r="FR1964">
            <v>23.637524257322248</v>
          </cell>
          <cell r="FS1964">
            <v>22.314663874962239</v>
          </cell>
          <cell r="FT1964">
            <v>20.116606119778133</v>
          </cell>
          <cell r="FU1964">
            <v>17.065595346429742</v>
          </cell>
          <cell r="FV1964">
            <v>23.167616893126525</v>
          </cell>
          <cell r="GG1964">
            <v>16.319025625745414</v>
          </cell>
          <cell r="GH1964">
            <v>13.982143405445317</v>
          </cell>
          <cell r="GI1964">
            <v>10.408007395026372</v>
          </cell>
          <cell r="GJ1964">
            <v>7.7337520878462023</v>
          </cell>
          <cell r="GK1964">
            <v>13.082262702206542</v>
          </cell>
        </row>
        <row r="1965">
          <cell r="A1965">
            <v>42209</v>
          </cell>
          <cell r="FR1965">
            <v>23.534942509085436</v>
          </cell>
          <cell r="FS1965">
            <v>22.314663874962239</v>
          </cell>
          <cell r="FT1965">
            <v>20.116606119778133</v>
          </cell>
          <cell r="FU1965">
            <v>17.065595346429742</v>
          </cell>
          <cell r="FV1965">
            <v>23.167616893126525</v>
          </cell>
          <cell r="GG1965">
            <v>16.254655648191839</v>
          </cell>
          <cell r="GH1965">
            <v>13.982143405445317</v>
          </cell>
          <cell r="GI1965">
            <v>10.408007395026372</v>
          </cell>
          <cell r="GJ1965">
            <v>7.7337520878462023</v>
          </cell>
          <cell r="GK1965">
            <v>13.082262702206542</v>
          </cell>
        </row>
        <row r="1966">
          <cell r="A1966">
            <v>42212</v>
          </cell>
          <cell r="FR1966">
            <v>23.277576727585263</v>
          </cell>
          <cell r="FS1966">
            <v>22.314663874962239</v>
          </cell>
          <cell r="FT1966">
            <v>20.116606119778133</v>
          </cell>
          <cell r="FU1966">
            <v>17.065595346429742</v>
          </cell>
          <cell r="FV1966">
            <v>23.167616893126525</v>
          </cell>
          <cell r="GG1966">
            <v>16.095219533467095</v>
          </cell>
          <cell r="GH1966">
            <v>13.982143405445317</v>
          </cell>
          <cell r="GI1966">
            <v>10.408007395026372</v>
          </cell>
          <cell r="GJ1966">
            <v>7.7337520878462023</v>
          </cell>
          <cell r="GK1966">
            <v>13.082262702206542</v>
          </cell>
        </row>
        <row r="1967">
          <cell r="A1967">
            <v>42213</v>
          </cell>
          <cell r="FR1967">
            <v>23.698454103032049</v>
          </cell>
          <cell r="FS1967">
            <v>22.314663874962239</v>
          </cell>
          <cell r="FT1967">
            <v>20.116606119778133</v>
          </cell>
          <cell r="FU1967">
            <v>17.065595346429742</v>
          </cell>
          <cell r="FV1967">
            <v>23.167616893126525</v>
          </cell>
          <cell r="GG1967">
            <v>16.35923759020147</v>
          </cell>
          <cell r="GH1967">
            <v>13.982143405445317</v>
          </cell>
          <cell r="GI1967">
            <v>10.408007395026372</v>
          </cell>
          <cell r="GJ1967">
            <v>7.7337520878462023</v>
          </cell>
          <cell r="GK1967">
            <v>13.082262702206542</v>
          </cell>
        </row>
        <row r="1968">
          <cell r="A1968">
            <v>42214</v>
          </cell>
          <cell r="FR1968">
            <v>23.827304475924141</v>
          </cell>
          <cell r="FS1968">
            <v>22.314663874962239</v>
          </cell>
          <cell r="FT1968">
            <v>20.116606119778133</v>
          </cell>
          <cell r="FU1968">
            <v>17.065595346429742</v>
          </cell>
          <cell r="FV1968">
            <v>23.167616893126525</v>
          </cell>
          <cell r="GG1968">
            <v>16.440065943173298</v>
          </cell>
          <cell r="GH1968">
            <v>13.982143405445317</v>
          </cell>
          <cell r="GI1968">
            <v>10.408007395026372</v>
          </cell>
          <cell r="GJ1968">
            <v>7.7337520878462023</v>
          </cell>
          <cell r="GK1968">
            <v>13.082262702206542</v>
          </cell>
        </row>
        <row r="1969">
          <cell r="A1969">
            <v>42215</v>
          </cell>
          <cell r="FR1969">
            <v>24.311909082613838</v>
          </cell>
          <cell r="FS1969">
            <v>22.314663874962239</v>
          </cell>
          <cell r="FT1969">
            <v>20.116606119778133</v>
          </cell>
          <cell r="FU1969">
            <v>17.065595346429742</v>
          </cell>
          <cell r="FV1969">
            <v>23.167616893126525</v>
          </cell>
          <cell r="GG1969">
            <v>16.737936468720694</v>
          </cell>
          <cell r="GH1969">
            <v>13.982143405445317</v>
          </cell>
          <cell r="GI1969">
            <v>10.408007395026372</v>
          </cell>
          <cell r="GJ1969">
            <v>7.7337520878462023</v>
          </cell>
          <cell r="GK1969">
            <v>13.082262702206542</v>
          </cell>
        </row>
        <row r="1970">
          <cell r="A1970">
            <v>42216</v>
          </cell>
          <cell r="FR1970">
            <v>24.433707984548658</v>
          </cell>
          <cell r="FS1970">
            <v>22.314663874962239</v>
          </cell>
          <cell r="FT1970">
            <v>20.116606119778133</v>
          </cell>
          <cell r="FU1970">
            <v>17.065595346429742</v>
          </cell>
          <cell r="FV1970">
            <v>23.167616893126525</v>
          </cell>
          <cell r="GG1970">
            <v>16.662458926097798</v>
          </cell>
          <cell r="GH1970">
            <v>13.982143405445317</v>
          </cell>
          <cell r="GI1970">
            <v>10.408007395026372</v>
          </cell>
          <cell r="GJ1970">
            <v>7.7337520878462023</v>
          </cell>
          <cell r="GK1970">
            <v>13.082262702206542</v>
          </cell>
        </row>
        <row r="1971">
          <cell r="A1971">
            <v>42219</v>
          </cell>
          <cell r="FR1971">
            <v>23.999929864778267</v>
          </cell>
          <cell r="FS1971">
            <v>22.314663874962239</v>
          </cell>
          <cell r="FT1971">
            <v>20.116606119778133</v>
          </cell>
          <cell r="FU1971">
            <v>17.065595346429742</v>
          </cell>
          <cell r="FV1971">
            <v>23.167616893126525</v>
          </cell>
          <cell r="GG1971">
            <v>16.395984878776783</v>
          </cell>
          <cell r="GH1971">
            <v>13.982143405445317</v>
          </cell>
          <cell r="GI1971">
            <v>10.408007395026372</v>
          </cell>
          <cell r="GJ1971">
            <v>7.7337520878462023</v>
          </cell>
          <cell r="GK1971">
            <v>13.082262702206542</v>
          </cell>
        </row>
        <row r="1972">
          <cell r="A1972">
            <v>42220</v>
          </cell>
          <cell r="FR1972">
            <v>24.02180934096225</v>
          </cell>
          <cell r="FS1972">
            <v>22.314663874962239</v>
          </cell>
          <cell r="FT1972">
            <v>20.116606119778133</v>
          </cell>
          <cell r="FU1972">
            <v>17.065595346429742</v>
          </cell>
          <cell r="FV1972">
            <v>23.167616893126525</v>
          </cell>
          <cell r="GG1972">
            <v>16.422499293840438</v>
          </cell>
          <cell r="GH1972">
            <v>13.982143405445317</v>
          </cell>
          <cell r="GI1972">
            <v>10.408007395026372</v>
          </cell>
          <cell r="GJ1972">
            <v>7.7337520878462023</v>
          </cell>
          <cell r="GK1972">
            <v>13.082262702206542</v>
          </cell>
        </row>
        <row r="1973">
          <cell r="A1973">
            <v>42221</v>
          </cell>
          <cell r="FR1973">
            <v>23.979530415010924</v>
          </cell>
          <cell r="FS1973">
            <v>22.314663874962239</v>
          </cell>
          <cell r="FT1973">
            <v>20.116606119778133</v>
          </cell>
          <cell r="FU1973">
            <v>17.065595346429742</v>
          </cell>
          <cell r="FV1973">
            <v>23.167616893126525</v>
          </cell>
          <cell r="GG1973">
            <v>16.384668179143567</v>
          </cell>
          <cell r="GH1973">
            <v>13.982143405445317</v>
          </cell>
          <cell r="GI1973">
            <v>10.408007395026372</v>
          </cell>
          <cell r="GJ1973">
            <v>7.7337520878462023</v>
          </cell>
          <cell r="GK1973">
            <v>13.082262702206542</v>
          </cell>
        </row>
        <row r="1974">
          <cell r="A1974">
            <v>42222</v>
          </cell>
          <cell r="FR1974">
            <v>23.614670286297564</v>
          </cell>
          <cell r="FS1974">
            <v>22.314663874962239</v>
          </cell>
          <cell r="FT1974">
            <v>20.116606119778133</v>
          </cell>
          <cell r="FU1974">
            <v>17.065595346429742</v>
          </cell>
          <cell r="FV1974">
            <v>23.167616893126525</v>
          </cell>
          <cell r="GG1974">
            <v>16.173125631290283</v>
          </cell>
          <cell r="GH1974">
            <v>13.982143405445317</v>
          </cell>
          <cell r="GI1974">
            <v>10.408007395026372</v>
          </cell>
          <cell r="GJ1974">
            <v>7.7337520878462023</v>
          </cell>
          <cell r="GK1974">
            <v>13.082262702206542</v>
          </cell>
        </row>
        <row r="1975">
          <cell r="A1975">
            <v>42223</v>
          </cell>
          <cell r="FR1975">
            <v>23.282429278102253</v>
          </cell>
          <cell r="FS1975">
            <v>22.314663874962239</v>
          </cell>
          <cell r="FT1975">
            <v>20.116606119778133</v>
          </cell>
          <cell r="FU1975">
            <v>17.065595346429742</v>
          </cell>
          <cell r="FV1975">
            <v>23.167616893126525</v>
          </cell>
          <cell r="GG1975">
            <v>15.966868553277166</v>
          </cell>
          <cell r="GH1975">
            <v>13.982143405445317</v>
          </cell>
          <cell r="GI1975">
            <v>10.408007395026372</v>
          </cell>
          <cell r="GJ1975">
            <v>7.7337520878462023</v>
          </cell>
          <cell r="GK1975">
            <v>13.082262702206542</v>
          </cell>
        </row>
        <row r="1976">
          <cell r="A1976">
            <v>42226</v>
          </cell>
          <cell r="FR1976">
            <v>23.718288787411836</v>
          </cell>
          <cell r="FS1976">
            <v>22.314663874962239</v>
          </cell>
          <cell r="FT1976">
            <v>20.116606119778133</v>
          </cell>
          <cell r="FU1976">
            <v>17.065595346429742</v>
          </cell>
          <cell r="FV1976">
            <v>23.167616893126525</v>
          </cell>
          <cell r="GG1976">
            <v>16.119078529952962</v>
          </cell>
          <cell r="GH1976">
            <v>13.982143405445317</v>
          </cell>
          <cell r="GI1976">
            <v>10.408007395026372</v>
          </cell>
          <cell r="GJ1976">
            <v>7.7337520878462023</v>
          </cell>
          <cell r="GK1976">
            <v>13.082262702206542</v>
          </cell>
        </row>
        <row r="1977">
          <cell r="A1977">
            <v>42227</v>
          </cell>
          <cell r="FR1977">
            <v>23.444970789871608</v>
          </cell>
          <cell r="FS1977">
            <v>22.314663874962239</v>
          </cell>
          <cell r="FT1977">
            <v>20.116606119778133</v>
          </cell>
          <cell r="FU1977">
            <v>17.065595346429742</v>
          </cell>
          <cell r="FV1977">
            <v>23.167616893126525</v>
          </cell>
          <cell r="GG1977">
            <v>15.950678640474028</v>
          </cell>
          <cell r="GH1977">
            <v>13.982143405445317</v>
          </cell>
          <cell r="GI1977">
            <v>10.408007395026372</v>
          </cell>
          <cell r="GJ1977">
            <v>7.7337520878462023</v>
          </cell>
          <cell r="GK1977">
            <v>13.082262702206542</v>
          </cell>
        </row>
        <row r="1978">
          <cell r="A1978">
            <v>42228</v>
          </cell>
          <cell r="FR1978">
            <v>23.736907223603147</v>
          </cell>
          <cell r="FS1978">
            <v>22.314663874962239</v>
          </cell>
          <cell r="FT1978">
            <v>20.116606119778133</v>
          </cell>
          <cell r="FU1978">
            <v>17.065595346429742</v>
          </cell>
          <cell r="FV1978">
            <v>23.167616893126525</v>
          </cell>
          <cell r="GG1978">
            <v>16.00330597400044</v>
          </cell>
          <cell r="GH1978">
            <v>13.982143405445317</v>
          </cell>
          <cell r="GI1978">
            <v>10.408007395026372</v>
          </cell>
          <cell r="GJ1978">
            <v>7.7337520878462023</v>
          </cell>
          <cell r="GK1978">
            <v>13.082262702206542</v>
          </cell>
        </row>
        <row r="1979">
          <cell r="A1979">
            <v>42229</v>
          </cell>
          <cell r="FR1979">
            <v>23.814447201546358</v>
          </cell>
          <cell r="FS1979">
            <v>22.314663874962239</v>
          </cell>
          <cell r="FT1979">
            <v>20.116606119778133</v>
          </cell>
          <cell r="FU1979">
            <v>17.065595346429742</v>
          </cell>
          <cell r="FV1979">
            <v>23.167616893126525</v>
          </cell>
          <cell r="GG1979">
            <v>16.050665153938272</v>
          </cell>
          <cell r="GH1979">
            <v>13.982143405445317</v>
          </cell>
          <cell r="GI1979">
            <v>10.408007395026372</v>
          </cell>
          <cell r="GJ1979">
            <v>7.7337520878462023</v>
          </cell>
          <cell r="GK1979">
            <v>13.082262702206542</v>
          </cell>
        </row>
        <row r="1980">
          <cell r="A1980">
            <v>42230</v>
          </cell>
          <cell r="FR1980">
            <v>23.688391962376532</v>
          </cell>
          <cell r="FS1980">
            <v>22.314663874962239</v>
          </cell>
          <cell r="FT1980">
            <v>20.116606119778133</v>
          </cell>
          <cell r="FU1980">
            <v>17.065595346429742</v>
          </cell>
          <cell r="FV1980">
            <v>23.167616893126525</v>
          </cell>
          <cell r="GG1980">
            <v>16.100658147552146</v>
          </cell>
          <cell r="GH1980">
            <v>13.982143405445317</v>
          </cell>
          <cell r="GI1980">
            <v>10.408007395026372</v>
          </cell>
          <cell r="GJ1980">
            <v>7.7337520878462023</v>
          </cell>
          <cell r="GK1980">
            <v>13.082262702206542</v>
          </cell>
        </row>
        <row r="1981">
          <cell r="A1981">
            <v>42233</v>
          </cell>
          <cell r="FR1981">
            <v>24.013660119558338</v>
          </cell>
          <cell r="FS1981">
            <v>22.314663874962239</v>
          </cell>
          <cell r="FT1981">
            <v>20.116606119778133</v>
          </cell>
          <cell r="FU1981">
            <v>17.065595346429742</v>
          </cell>
          <cell r="FV1981">
            <v>23.167616893126525</v>
          </cell>
          <cell r="GG1981">
            <v>15.872974552268399</v>
          </cell>
          <cell r="GH1981">
            <v>13.982143405445317</v>
          </cell>
          <cell r="GI1981">
            <v>10.408007395026372</v>
          </cell>
          <cell r="GJ1981">
            <v>7.7337520878462023</v>
          </cell>
          <cell r="GK1981">
            <v>13.082262702206542</v>
          </cell>
        </row>
        <row r="1982">
          <cell r="A1982">
            <v>42234</v>
          </cell>
          <cell r="FR1982">
            <v>23.757479077713736</v>
          </cell>
          <cell r="FS1982">
            <v>22.314663874962239</v>
          </cell>
          <cell r="FT1982">
            <v>20.116606119778133</v>
          </cell>
          <cell r="FU1982">
            <v>17.065595346429742</v>
          </cell>
          <cell r="FV1982">
            <v>23.167616893126525</v>
          </cell>
          <cell r="GG1982">
            <v>15.719700225452669</v>
          </cell>
          <cell r="GH1982">
            <v>13.982143405445317</v>
          </cell>
          <cell r="GI1982">
            <v>10.408007395026372</v>
          </cell>
          <cell r="GJ1982">
            <v>7.7337520878462023</v>
          </cell>
          <cell r="GK1982">
            <v>13.082262702206542</v>
          </cell>
        </row>
        <row r="1983">
          <cell r="A1983">
            <v>42235</v>
          </cell>
          <cell r="FR1983">
            <v>23.672076857389218</v>
          </cell>
          <cell r="FS1983">
            <v>22.314663874962239</v>
          </cell>
          <cell r="FT1983">
            <v>20.116606119778133</v>
          </cell>
          <cell r="FU1983">
            <v>17.065595346429742</v>
          </cell>
          <cell r="FV1983">
            <v>23.167616893126525</v>
          </cell>
          <cell r="GG1983">
            <v>15.668603673832159</v>
          </cell>
          <cell r="GH1983">
            <v>13.982143405445317</v>
          </cell>
          <cell r="GI1983">
            <v>10.408007395026372</v>
          </cell>
          <cell r="GJ1983">
            <v>7.7337520878462023</v>
          </cell>
          <cell r="GK1983">
            <v>13.082262702206542</v>
          </cell>
        </row>
        <row r="1984">
          <cell r="A1984">
            <v>42236</v>
          </cell>
          <cell r="FR1984">
            <v>22.912042698550543</v>
          </cell>
          <cell r="FS1984">
            <v>22.314663874962239</v>
          </cell>
          <cell r="FT1984">
            <v>20.116606119778133</v>
          </cell>
          <cell r="FU1984">
            <v>17.065595346429742</v>
          </cell>
          <cell r="FV1984">
            <v>23.167616893126525</v>
          </cell>
          <cell r="GG1984">
            <v>15.213871648331137</v>
          </cell>
          <cell r="GH1984">
            <v>13.982143405445317</v>
          </cell>
          <cell r="GI1984">
            <v>10.408007395026372</v>
          </cell>
          <cell r="GJ1984">
            <v>7.7337520878462023</v>
          </cell>
          <cell r="GK1984">
            <v>13.082262702206542</v>
          </cell>
        </row>
        <row r="1985">
          <cell r="A1985">
            <v>42237</v>
          </cell>
          <cell r="FR1985">
            <v>22.408203245091912</v>
          </cell>
          <cell r="FS1985">
            <v>22.314663874962239</v>
          </cell>
          <cell r="FT1985">
            <v>20.116606119778133</v>
          </cell>
          <cell r="FU1985">
            <v>17.065595346429742</v>
          </cell>
          <cell r="FV1985">
            <v>23.167616893126525</v>
          </cell>
          <cell r="GG1985">
            <v>14.912422124603609</v>
          </cell>
          <cell r="GH1985">
            <v>13.982143405445317</v>
          </cell>
          <cell r="GI1985">
            <v>10.408007395026372</v>
          </cell>
          <cell r="GJ1985">
            <v>7.7337520878462023</v>
          </cell>
          <cell r="GK1985">
            <v>13.082262702206542</v>
          </cell>
        </row>
        <row r="1986">
          <cell r="A1986">
            <v>42240</v>
          </cell>
          <cell r="FR1986">
            <v>21.55742324511672</v>
          </cell>
          <cell r="FS1986">
            <v>22.314663874962239</v>
          </cell>
          <cell r="FT1986">
            <v>20.116606119778133</v>
          </cell>
          <cell r="FU1986">
            <v>17.065595346429742</v>
          </cell>
          <cell r="FV1986">
            <v>23.167616893126525</v>
          </cell>
          <cell r="GG1986">
            <v>14.401487264490104</v>
          </cell>
          <cell r="GH1986">
            <v>13.982143405445317</v>
          </cell>
          <cell r="GI1986">
            <v>10.408007395026372</v>
          </cell>
          <cell r="GJ1986">
            <v>7.7337520878462023</v>
          </cell>
          <cell r="GK1986">
            <v>13.082262702206542</v>
          </cell>
        </row>
        <row r="1987">
          <cell r="A1987">
            <v>42241</v>
          </cell>
          <cell r="FR1987">
            <v>21.715486627425914</v>
          </cell>
          <cell r="FS1987">
            <v>22.314663874962239</v>
          </cell>
          <cell r="FT1987">
            <v>20.116606119778133</v>
          </cell>
          <cell r="FU1987">
            <v>17.065595346429742</v>
          </cell>
          <cell r="FV1987">
            <v>23.167616893126525</v>
          </cell>
          <cell r="GG1987">
            <v>14.498250570536944</v>
          </cell>
          <cell r="GH1987">
            <v>13.982143405445317</v>
          </cell>
          <cell r="GI1987">
            <v>10.408007395026372</v>
          </cell>
          <cell r="GJ1987">
            <v>7.7337520878462023</v>
          </cell>
          <cell r="GK1987">
            <v>13.082262702206542</v>
          </cell>
        </row>
        <row r="1988">
          <cell r="A1988">
            <v>42242</v>
          </cell>
          <cell r="FR1988">
            <v>22.553315041230579</v>
          </cell>
          <cell r="FS1988">
            <v>22.314663874962239</v>
          </cell>
          <cell r="FT1988">
            <v>20.116606119778133</v>
          </cell>
          <cell r="FU1988">
            <v>17.065595346429742</v>
          </cell>
          <cell r="FV1988">
            <v>23.167616893126525</v>
          </cell>
          <cell r="GG1988">
            <v>15.059514923241615</v>
          </cell>
          <cell r="GH1988">
            <v>13.982143405445317</v>
          </cell>
          <cell r="GI1988">
            <v>10.408007395026372</v>
          </cell>
          <cell r="GJ1988">
            <v>7.7337520878462023</v>
          </cell>
          <cell r="GK1988">
            <v>13.082262702206542</v>
          </cell>
        </row>
        <row r="1989">
          <cell r="A1989">
            <v>42243</v>
          </cell>
          <cell r="FR1989">
            <v>22.86039579187036</v>
          </cell>
          <cell r="FS1989">
            <v>22.314663874962239</v>
          </cell>
          <cell r="FT1989">
            <v>20.116606119778133</v>
          </cell>
          <cell r="FU1989">
            <v>17.065595346429742</v>
          </cell>
          <cell r="FV1989">
            <v>23.167616893126525</v>
          </cell>
          <cell r="GG1989">
            <v>15.244002123250207</v>
          </cell>
          <cell r="GH1989">
            <v>13.982143405445317</v>
          </cell>
          <cell r="GI1989">
            <v>10.408007395026372</v>
          </cell>
          <cell r="GJ1989">
            <v>7.7337520878462023</v>
          </cell>
          <cell r="GK1989">
            <v>13.082262702206542</v>
          </cell>
        </row>
        <row r="1990">
          <cell r="A1990">
            <v>42244</v>
          </cell>
          <cell r="FR1990">
            <v>22.775089849305662</v>
          </cell>
          <cell r="FS1990">
            <v>22.314663874962239</v>
          </cell>
          <cell r="FT1990">
            <v>20.116606119778133</v>
          </cell>
          <cell r="FU1990">
            <v>17.065595346429742</v>
          </cell>
          <cell r="FV1990">
            <v>23.167616893126525</v>
          </cell>
          <cell r="GG1990">
            <v>15.192752233913067</v>
          </cell>
          <cell r="GH1990">
            <v>13.982143405445317</v>
          </cell>
          <cell r="GI1990">
            <v>10.408007395026372</v>
          </cell>
          <cell r="GJ1990">
            <v>7.7337520878462023</v>
          </cell>
          <cell r="GK1990">
            <v>13.082262702206542</v>
          </cell>
        </row>
        <row r="1991">
          <cell r="A1991">
            <v>42247</v>
          </cell>
          <cell r="FR1991">
            <v>22.365654250784157</v>
          </cell>
          <cell r="FS1991">
            <v>22.314663874962239</v>
          </cell>
          <cell r="FT1991">
            <v>20.116606119778133</v>
          </cell>
          <cell r="FU1991">
            <v>17.065595346429742</v>
          </cell>
          <cell r="FV1991">
            <v>23.167616893126525</v>
          </cell>
          <cell r="GG1991">
            <v>14.946772546167413</v>
          </cell>
          <cell r="GH1991">
            <v>13.982143405445317</v>
          </cell>
          <cell r="GI1991">
            <v>10.408007395026372</v>
          </cell>
          <cell r="GJ1991">
            <v>7.7337520878462023</v>
          </cell>
          <cell r="GK1991">
            <v>13.082262702206542</v>
          </cell>
        </row>
        <row r="1992">
          <cell r="A1992">
            <v>42248</v>
          </cell>
          <cell r="FR1992">
            <v>21.714280634920637</v>
          </cell>
          <cell r="FS1992">
            <v>22.314663874962239</v>
          </cell>
          <cell r="FT1992">
            <v>20.116606119778133</v>
          </cell>
          <cell r="FU1992">
            <v>17.065595346429742</v>
          </cell>
          <cell r="FV1992">
            <v>23.167616893126525</v>
          </cell>
          <cell r="GG1992">
            <v>14.566379049483871</v>
          </cell>
          <cell r="GH1992">
            <v>13.982143405445317</v>
          </cell>
          <cell r="GI1992">
            <v>10.408007395026372</v>
          </cell>
          <cell r="GJ1992">
            <v>7.7337520878462023</v>
          </cell>
          <cell r="GK1992">
            <v>13.082262702206542</v>
          </cell>
        </row>
        <row r="1993">
          <cell r="A1993">
            <v>42249</v>
          </cell>
          <cell r="FR1993">
            <v>22.383071322751324</v>
          </cell>
          <cell r="FS1993">
            <v>22.314663874962239</v>
          </cell>
          <cell r="FT1993">
            <v>20.116606119778133</v>
          </cell>
          <cell r="FU1993">
            <v>17.065595346429742</v>
          </cell>
          <cell r="FV1993">
            <v>23.167616893126525</v>
          </cell>
          <cell r="GG1993">
            <v>14.968790469841199</v>
          </cell>
          <cell r="GH1993">
            <v>13.982143405445317</v>
          </cell>
          <cell r="GI1993">
            <v>10.408007395026372</v>
          </cell>
          <cell r="GJ1993">
            <v>7.7337520878462023</v>
          </cell>
          <cell r="GK1993">
            <v>13.082262702206542</v>
          </cell>
        </row>
        <row r="1994">
          <cell r="A1994">
            <v>42250</v>
          </cell>
          <cell r="FR1994">
            <v>22.256079576719578</v>
          </cell>
          <cell r="FS1994">
            <v>22.314663874962239</v>
          </cell>
          <cell r="FT1994">
            <v>20.116606119778133</v>
          </cell>
          <cell r="FU1994">
            <v>17.065595346429742</v>
          </cell>
          <cell r="FV1994">
            <v>23.167616893126525</v>
          </cell>
          <cell r="GG1994">
            <v>14.892379524198322</v>
          </cell>
          <cell r="GH1994">
            <v>13.982143405445317</v>
          </cell>
          <cell r="GI1994">
            <v>10.408007395026372</v>
          </cell>
          <cell r="GJ1994">
            <v>7.7337520878462023</v>
          </cell>
          <cell r="GK1994">
            <v>13.082262702206542</v>
          </cell>
        </row>
        <row r="1995">
          <cell r="A1995">
            <v>42251</v>
          </cell>
          <cell r="FR1995">
            <v>21.925920846560849</v>
          </cell>
          <cell r="FS1995">
            <v>22.314663874962239</v>
          </cell>
          <cell r="FT1995">
            <v>20.116606119778133</v>
          </cell>
          <cell r="FU1995">
            <v>17.065595346429742</v>
          </cell>
          <cell r="FV1995">
            <v>23.167616893126525</v>
          </cell>
          <cell r="GG1995">
            <v>14.693722984919203</v>
          </cell>
          <cell r="GH1995">
            <v>13.982143405445317</v>
          </cell>
          <cell r="GI1995">
            <v>10.408007395026372</v>
          </cell>
          <cell r="GJ1995">
            <v>7.7337520878462023</v>
          </cell>
          <cell r="GK1995">
            <v>13.082262702206542</v>
          </cell>
        </row>
        <row r="1996">
          <cell r="A1996">
            <v>42254</v>
          </cell>
          <cell r="FR1996">
            <v>21.925920846560849</v>
          </cell>
          <cell r="FS1996">
            <v>22.314663874962239</v>
          </cell>
          <cell r="FT1996">
            <v>20.116606119778133</v>
          </cell>
          <cell r="FU1996">
            <v>17.065595346429742</v>
          </cell>
          <cell r="FV1996">
            <v>23.167616893126525</v>
          </cell>
          <cell r="GG1996">
            <v>14.693722984919203</v>
          </cell>
          <cell r="GH1996">
            <v>13.982143405445317</v>
          </cell>
          <cell r="GI1996">
            <v>10.408007395026372</v>
          </cell>
          <cell r="GJ1996">
            <v>7.7337520878462023</v>
          </cell>
          <cell r="GK1996">
            <v>13.082262702206542</v>
          </cell>
        </row>
        <row r="1997">
          <cell r="A1997">
            <v>42255</v>
          </cell>
          <cell r="FR1997">
            <v>22.569315555555558</v>
          </cell>
          <cell r="FS1997">
            <v>22.314663874962239</v>
          </cell>
          <cell r="FT1997">
            <v>20.116606119778133</v>
          </cell>
          <cell r="FU1997">
            <v>17.065595346429742</v>
          </cell>
          <cell r="FV1997">
            <v>23.167616893126525</v>
          </cell>
          <cell r="GG1997">
            <v>15.080853642400033</v>
          </cell>
          <cell r="GH1997">
            <v>13.982143405445317</v>
          </cell>
          <cell r="GI1997">
            <v>10.408007395026372</v>
          </cell>
          <cell r="GJ1997">
            <v>7.7337520878462023</v>
          </cell>
          <cell r="GK1997">
            <v>13.082262702206542</v>
          </cell>
        </row>
        <row r="1998">
          <cell r="A1998">
            <v>42256</v>
          </cell>
          <cell r="FR1998">
            <v>22.196827089947092</v>
          </cell>
          <cell r="FS1998">
            <v>22.314663874962239</v>
          </cell>
          <cell r="FT1998">
            <v>20.116606119778133</v>
          </cell>
          <cell r="FU1998">
            <v>17.065595346429742</v>
          </cell>
          <cell r="FV1998">
            <v>23.167616893126525</v>
          </cell>
          <cell r="GG1998">
            <v>14.856727297282365</v>
          </cell>
          <cell r="GH1998">
            <v>13.982143405445317</v>
          </cell>
          <cell r="GI1998">
            <v>10.408007395026372</v>
          </cell>
          <cell r="GJ1998">
            <v>7.7337520878462023</v>
          </cell>
          <cell r="GK1998">
            <v>13.082262702206542</v>
          </cell>
        </row>
        <row r="1999">
          <cell r="A1999">
            <v>42257</v>
          </cell>
          <cell r="FR1999">
            <v>22.383071322751324</v>
          </cell>
          <cell r="FS1999">
            <v>22.314663874962239</v>
          </cell>
          <cell r="FT1999">
            <v>20.116606119778133</v>
          </cell>
          <cell r="FU1999">
            <v>17.065595346429742</v>
          </cell>
          <cell r="FV1999">
            <v>23.167616893126525</v>
          </cell>
          <cell r="GG1999">
            <v>14.968790469841199</v>
          </cell>
          <cell r="GH1999">
            <v>13.982143405445317</v>
          </cell>
          <cell r="GI1999">
            <v>10.408007395026372</v>
          </cell>
          <cell r="GJ1999">
            <v>7.7337520878462023</v>
          </cell>
          <cell r="GK1999">
            <v>13.082262702206542</v>
          </cell>
        </row>
        <row r="2000">
          <cell r="A2000">
            <v>42258</v>
          </cell>
          <cell r="FR2000">
            <v>22.586237460317463</v>
          </cell>
          <cell r="FS2000">
            <v>22.314663874962239</v>
          </cell>
          <cell r="FT2000">
            <v>20.116606119778133</v>
          </cell>
          <cell r="FU2000">
            <v>17.065595346429742</v>
          </cell>
          <cell r="FV2000">
            <v>23.167616893126525</v>
          </cell>
          <cell r="GG2000">
            <v>15.091035554101701</v>
          </cell>
          <cell r="GH2000">
            <v>13.982143405445317</v>
          </cell>
          <cell r="GI2000">
            <v>10.408007395026372</v>
          </cell>
          <cell r="GJ2000">
            <v>7.7337520878462023</v>
          </cell>
          <cell r="GK2000">
            <v>13.082262702206542</v>
          </cell>
        </row>
        <row r="2001">
          <cell r="A2001">
            <v>42261</v>
          </cell>
          <cell r="FR2001">
            <v>22.515824958415291</v>
          </cell>
          <cell r="FS2001">
            <v>22.314663874962239</v>
          </cell>
          <cell r="FT2001">
            <v>20.116606119778133</v>
          </cell>
          <cell r="FU2001">
            <v>17.065595346429742</v>
          </cell>
          <cell r="FV2001">
            <v>23.167616893126525</v>
          </cell>
          <cell r="GG2001">
            <v>15.0693487083237</v>
          </cell>
          <cell r="GH2001">
            <v>13.982143405445317</v>
          </cell>
          <cell r="GI2001">
            <v>10.408007395026372</v>
          </cell>
          <cell r="GJ2001">
            <v>7.7337520878462023</v>
          </cell>
          <cell r="GK2001">
            <v>13.082262702206542</v>
          </cell>
        </row>
        <row r="2002">
          <cell r="A2002">
            <v>42262</v>
          </cell>
          <cell r="FR2002">
            <v>22.881245306897277</v>
          </cell>
          <cell r="FS2002">
            <v>22.314663874962239</v>
          </cell>
          <cell r="FT2002">
            <v>20.116606119778133</v>
          </cell>
          <cell r="FU2002">
            <v>17.065595346429742</v>
          </cell>
          <cell r="FV2002">
            <v>23.167616893126525</v>
          </cell>
          <cell r="GG2002">
            <v>15.107213745064795</v>
          </cell>
          <cell r="GH2002">
            <v>13.982143405445317</v>
          </cell>
          <cell r="GI2002">
            <v>10.408007395026372</v>
          </cell>
          <cell r="GJ2002">
            <v>7.7337520878462023</v>
          </cell>
          <cell r="GK2002">
            <v>13.082262702206542</v>
          </cell>
        </row>
        <row r="2003">
          <cell r="A2003">
            <v>42263</v>
          </cell>
          <cell r="FR2003">
            <v>23.328406665260491</v>
          </cell>
          <cell r="FS2003">
            <v>22.314663874962239</v>
          </cell>
          <cell r="FT2003">
            <v>20.116606119778133</v>
          </cell>
          <cell r="FU2003">
            <v>17.065595346429742</v>
          </cell>
          <cell r="FV2003">
            <v>23.167616893126525</v>
          </cell>
          <cell r="GG2003">
            <v>15.373516253025429</v>
          </cell>
          <cell r="GH2003">
            <v>13.982143405445317</v>
          </cell>
          <cell r="GI2003">
            <v>10.408007395026372</v>
          </cell>
          <cell r="GJ2003">
            <v>7.7337520878462023</v>
          </cell>
          <cell r="GK2003">
            <v>13.082262702206542</v>
          </cell>
        </row>
        <row r="2004">
          <cell r="A2004">
            <v>42264</v>
          </cell>
          <cell r="FR2004">
            <v>23.800891794979961</v>
          </cell>
          <cell r="FS2004">
            <v>22.314663874962239</v>
          </cell>
          <cell r="FT2004">
            <v>20.116606119778133</v>
          </cell>
          <cell r="FU2004">
            <v>17.065595346429742</v>
          </cell>
          <cell r="FV2004">
            <v>23.167616893126525</v>
          </cell>
          <cell r="GG2004">
            <v>15.654900081625838</v>
          </cell>
          <cell r="GH2004">
            <v>13.982143405445317</v>
          </cell>
          <cell r="GI2004">
            <v>10.408007395026372</v>
          </cell>
          <cell r="GJ2004">
            <v>7.7337520878462023</v>
          </cell>
          <cell r="GK2004">
            <v>13.082262702206542</v>
          </cell>
        </row>
        <row r="2005">
          <cell r="A2005">
            <v>42265</v>
          </cell>
          <cell r="FR2005">
            <v>23.201856148491878</v>
          </cell>
          <cell r="FS2005">
            <v>22.314663874962239</v>
          </cell>
          <cell r="FT2005">
            <v>20.116606119778133</v>
          </cell>
          <cell r="FU2005">
            <v>17.065595346429742</v>
          </cell>
          <cell r="FV2005">
            <v>23.167616893126525</v>
          </cell>
          <cell r="GG2005">
            <v>15.298150349042684</v>
          </cell>
          <cell r="GH2005">
            <v>13.982143405445317</v>
          </cell>
          <cell r="GI2005">
            <v>10.408007395026372</v>
          </cell>
          <cell r="GJ2005">
            <v>7.7337520878462023</v>
          </cell>
          <cell r="GK2005">
            <v>13.082262702206542</v>
          </cell>
        </row>
        <row r="2006">
          <cell r="A2006">
            <v>42268</v>
          </cell>
          <cell r="FR2006">
            <v>22.923433031006116</v>
          </cell>
          <cell r="FS2006">
            <v>22.314663874962239</v>
          </cell>
          <cell r="FT2006">
            <v>20.116606119778133</v>
          </cell>
          <cell r="FU2006">
            <v>17.065595346429742</v>
          </cell>
          <cell r="FV2006">
            <v>23.167616893126525</v>
          </cell>
          <cell r="GG2006">
            <v>15.132338225356337</v>
          </cell>
          <cell r="GH2006">
            <v>13.982143405445317</v>
          </cell>
          <cell r="GI2006">
            <v>10.408007395026372</v>
          </cell>
          <cell r="GJ2006">
            <v>7.7337520878462023</v>
          </cell>
          <cell r="GK2006">
            <v>13.082262702206542</v>
          </cell>
        </row>
        <row r="2007">
          <cell r="A2007">
            <v>42269</v>
          </cell>
          <cell r="FR2007">
            <v>22.72938451803417</v>
          </cell>
          <cell r="FS2007">
            <v>22.314663874962239</v>
          </cell>
          <cell r="FT2007">
            <v>20.116606119778133</v>
          </cell>
          <cell r="FU2007">
            <v>17.065595346429742</v>
          </cell>
          <cell r="FV2007">
            <v>23.167616893126525</v>
          </cell>
          <cell r="GG2007">
            <v>15.016774559793607</v>
          </cell>
          <cell r="GH2007">
            <v>13.982143405445317</v>
          </cell>
          <cell r="GI2007">
            <v>10.408007395026372</v>
          </cell>
          <cell r="GJ2007">
            <v>7.7337520878462023</v>
          </cell>
          <cell r="GK2007">
            <v>13.082262702206542</v>
          </cell>
        </row>
        <row r="2008">
          <cell r="A2008">
            <v>42270</v>
          </cell>
          <cell r="FR2008">
            <v>22.611266821345705</v>
          </cell>
          <cell r="FS2008">
            <v>22.314663874962239</v>
          </cell>
          <cell r="FT2008">
            <v>20.116606119778133</v>
          </cell>
          <cell r="FU2008">
            <v>17.065595346429742</v>
          </cell>
          <cell r="FV2008">
            <v>23.167616893126525</v>
          </cell>
          <cell r="GG2008">
            <v>14.946430738096206</v>
          </cell>
          <cell r="GH2008">
            <v>13.982143405445317</v>
          </cell>
          <cell r="GI2008">
            <v>10.408007395026372</v>
          </cell>
          <cell r="GJ2008">
            <v>7.7337520878462023</v>
          </cell>
          <cell r="GK2008">
            <v>13.082262702206542</v>
          </cell>
        </row>
        <row r="2009">
          <cell r="A2009">
            <v>42271</v>
          </cell>
          <cell r="FR2009">
            <v>22.387685298460237</v>
          </cell>
          <cell r="FS2009">
            <v>22.314663874962239</v>
          </cell>
          <cell r="FT2009">
            <v>20.116606119778133</v>
          </cell>
          <cell r="FU2009">
            <v>17.065595346429742</v>
          </cell>
          <cell r="FV2009">
            <v>23.167616893126525</v>
          </cell>
          <cell r="GG2009">
            <v>14.813278981656429</v>
          </cell>
          <cell r="GH2009">
            <v>13.982143405445317</v>
          </cell>
          <cell r="GI2009">
            <v>10.408007395026372</v>
          </cell>
          <cell r="GJ2009">
            <v>7.7337520878462023</v>
          </cell>
          <cell r="GK2009">
            <v>13.082262702206542</v>
          </cell>
        </row>
        <row r="2010">
          <cell r="A2010">
            <v>42272</v>
          </cell>
          <cell r="FR2010">
            <v>21.767562961400547</v>
          </cell>
          <cell r="FS2010">
            <v>22.314663874962239</v>
          </cell>
          <cell r="FT2010">
            <v>20.116606119778133</v>
          </cell>
          <cell r="FU2010">
            <v>17.065595346429742</v>
          </cell>
          <cell r="FV2010">
            <v>23.167616893126525</v>
          </cell>
          <cell r="GG2010">
            <v>14.443971279832903</v>
          </cell>
          <cell r="GH2010">
            <v>13.982143405445317</v>
          </cell>
          <cell r="GI2010">
            <v>10.408007395026372</v>
          </cell>
          <cell r="GJ2010">
            <v>7.7337520878462023</v>
          </cell>
          <cell r="GK2010">
            <v>13.082262702206542</v>
          </cell>
        </row>
        <row r="2011">
          <cell r="A2011">
            <v>42275</v>
          </cell>
          <cell r="FR2011">
            <v>21.185404766926808</v>
          </cell>
          <cell r="FS2011">
            <v>22.314663874962239</v>
          </cell>
          <cell r="FT2011">
            <v>20.116606119778133</v>
          </cell>
          <cell r="FU2011">
            <v>17.065595346429742</v>
          </cell>
          <cell r="FV2011">
            <v>23.167616893126525</v>
          </cell>
          <cell r="GG2011">
            <v>14.097272746252846</v>
          </cell>
          <cell r="GH2011">
            <v>13.982143405445317</v>
          </cell>
          <cell r="GI2011">
            <v>10.408007395026372</v>
          </cell>
          <cell r="GJ2011">
            <v>7.7337520878462023</v>
          </cell>
          <cell r="GK2011">
            <v>13.082262702206542</v>
          </cell>
        </row>
        <row r="2012">
          <cell r="A2012">
            <v>42276</v>
          </cell>
          <cell r="FR2012">
            <v>21.210715039021302</v>
          </cell>
          <cell r="FS2012">
            <v>22.314663874962239</v>
          </cell>
          <cell r="FT2012">
            <v>20.116606119778133</v>
          </cell>
          <cell r="FU2012">
            <v>17.065595346429742</v>
          </cell>
          <cell r="FV2012">
            <v>23.167616893126525</v>
          </cell>
          <cell r="GG2012">
            <v>14.112346027541289</v>
          </cell>
          <cell r="GH2012">
            <v>13.982143405445317</v>
          </cell>
          <cell r="GI2012">
            <v>10.408007395026372</v>
          </cell>
          <cell r="GJ2012">
            <v>7.7337520878462023</v>
          </cell>
          <cell r="GK2012">
            <v>13.082262702206542</v>
          </cell>
        </row>
        <row r="2013">
          <cell r="A2013">
            <v>42277</v>
          </cell>
          <cell r="FR2013">
            <v>21.767562961400547</v>
          </cell>
          <cell r="FS2013">
            <v>22.314663874962239</v>
          </cell>
          <cell r="FT2013">
            <v>20.116606119778133</v>
          </cell>
          <cell r="FU2013">
            <v>17.065595346429742</v>
          </cell>
          <cell r="FV2013">
            <v>23.167616893126525</v>
          </cell>
          <cell r="GG2013">
            <v>14.443971279832903</v>
          </cell>
          <cell r="GH2013">
            <v>13.982143405445317</v>
          </cell>
          <cell r="GI2013">
            <v>10.408007395026372</v>
          </cell>
          <cell r="GJ2013">
            <v>7.7337520878462023</v>
          </cell>
          <cell r="GK2013">
            <v>13.082262702206542</v>
          </cell>
        </row>
        <row r="2014">
          <cell r="A2014">
            <v>42278</v>
          </cell>
          <cell r="FR2014">
            <v>21.590618668901183</v>
          </cell>
          <cell r="FS2014">
            <v>22.314663874962239</v>
          </cell>
          <cell r="FT2014">
            <v>20.116606119778133</v>
          </cell>
          <cell r="FU2014">
            <v>17.065595346429742</v>
          </cell>
          <cell r="FV2014">
            <v>23.167616893126525</v>
          </cell>
          <cell r="GG2014">
            <v>14.352619565545298</v>
          </cell>
          <cell r="GH2014">
            <v>13.982143405445317</v>
          </cell>
          <cell r="GI2014">
            <v>10.408007395026372</v>
          </cell>
          <cell r="GJ2014">
            <v>7.7337520878462023</v>
          </cell>
          <cell r="GK2014">
            <v>13.082262702206542</v>
          </cell>
        </row>
        <row r="2015">
          <cell r="A2015">
            <v>42279</v>
          </cell>
          <cell r="FR2015">
            <v>22.134786940144433</v>
          </cell>
          <cell r="FS2015">
            <v>22.314663874962239</v>
          </cell>
          <cell r="FT2015">
            <v>20.116606119778133</v>
          </cell>
          <cell r="FU2015">
            <v>17.065595346429742</v>
          </cell>
          <cell r="FV2015">
            <v>23.167616893126525</v>
          </cell>
          <cell r="GG2015">
            <v>14.677270163779538</v>
          </cell>
          <cell r="GH2015">
            <v>13.982143405445317</v>
          </cell>
          <cell r="GI2015">
            <v>10.408007395026372</v>
          </cell>
          <cell r="GJ2015">
            <v>7.7337520878462023</v>
          </cell>
          <cell r="GK2015">
            <v>13.082262702206542</v>
          </cell>
        </row>
        <row r="2016">
          <cell r="A2016">
            <v>42282</v>
          </cell>
          <cell r="FR2016">
            <v>22.370849542834968</v>
          </cell>
          <cell r="FS2016">
            <v>22.314663874962239</v>
          </cell>
          <cell r="FT2016">
            <v>20.116606119778133</v>
          </cell>
          <cell r="FU2016">
            <v>17.065595346429742</v>
          </cell>
          <cell r="FV2016">
            <v>23.167616893126525</v>
          </cell>
          <cell r="GG2016">
            <v>14.822108775142979</v>
          </cell>
          <cell r="GH2016">
            <v>13.982143405445317</v>
          </cell>
          <cell r="GI2016">
            <v>10.408007395026372</v>
          </cell>
          <cell r="GJ2016">
            <v>7.7337520878462023</v>
          </cell>
          <cell r="GK2016">
            <v>13.082262702206542</v>
          </cell>
        </row>
        <row r="2017">
          <cell r="A2017">
            <v>42283</v>
          </cell>
          <cell r="FR2017">
            <v>21.858519045627872</v>
          </cell>
          <cell r="FS2017">
            <v>22.314663874962239</v>
          </cell>
          <cell r="FT2017">
            <v>20.116606119778133</v>
          </cell>
          <cell r="FU2017">
            <v>17.065595346429742</v>
          </cell>
          <cell r="FV2017">
            <v>23.167616893126525</v>
          </cell>
          <cell r="GG2017">
            <v>14.512448835584857</v>
          </cell>
          <cell r="GH2017">
            <v>13.982143405445317</v>
          </cell>
          <cell r="GI2017">
            <v>10.408007395026372</v>
          </cell>
          <cell r="GJ2017">
            <v>7.7337520878462023</v>
          </cell>
          <cell r="GK2017">
            <v>13.082262702206542</v>
          </cell>
        </row>
        <row r="2018">
          <cell r="A2018">
            <v>42284</v>
          </cell>
          <cell r="FR2018">
            <v>21.471197895014978</v>
          </cell>
          <cell r="FS2018">
            <v>22.314663874962239</v>
          </cell>
          <cell r="FT2018">
            <v>20.116606119778133</v>
          </cell>
          <cell r="FU2018">
            <v>17.065595346429742</v>
          </cell>
          <cell r="FV2018">
            <v>23.167616893126525</v>
          </cell>
          <cell r="GG2018">
            <v>14.282695789485592</v>
          </cell>
          <cell r="GH2018">
            <v>13.982143405445317</v>
          </cell>
          <cell r="GI2018">
            <v>10.408007395026372</v>
          </cell>
          <cell r="GJ2018">
            <v>7.7337520878462023</v>
          </cell>
          <cell r="GK2018">
            <v>13.082262702206542</v>
          </cell>
        </row>
        <row r="2019">
          <cell r="A2019">
            <v>42285</v>
          </cell>
          <cell r="FR2019">
            <v>21.529800467094887</v>
          </cell>
          <cell r="FS2019">
            <v>22.314663874962239</v>
          </cell>
          <cell r="FT2019">
            <v>20.116606119778133</v>
          </cell>
          <cell r="FU2019">
            <v>17.065595346429742</v>
          </cell>
          <cell r="FV2019">
            <v>23.167616893126525</v>
          </cell>
          <cell r="GG2019">
            <v>14.317661673159792</v>
          </cell>
          <cell r="GH2019">
            <v>13.982143405445317</v>
          </cell>
          <cell r="GI2019">
            <v>10.408007395026372</v>
          </cell>
          <cell r="GJ2019">
            <v>7.7337520878462023</v>
          </cell>
          <cell r="GK2019">
            <v>13.082262702206542</v>
          </cell>
        </row>
        <row r="2020">
          <cell r="A2020">
            <v>42286</v>
          </cell>
          <cell r="FR2020">
            <v>21.680468878616526</v>
          </cell>
          <cell r="FS2020">
            <v>22.314663874962239</v>
          </cell>
          <cell r="FT2020">
            <v>20.116606119778133</v>
          </cell>
          <cell r="FU2020">
            <v>17.065595346429742</v>
          </cell>
          <cell r="FV2020">
            <v>23.167616893126525</v>
          </cell>
          <cell r="GG2020">
            <v>14.407559675306494</v>
          </cell>
          <cell r="GH2020">
            <v>13.982143405445317</v>
          </cell>
          <cell r="GI2020">
            <v>10.408007395026372</v>
          </cell>
          <cell r="GJ2020">
            <v>7.7337520878462023</v>
          </cell>
          <cell r="GK2020">
            <v>13.082262702206542</v>
          </cell>
        </row>
        <row r="2021">
          <cell r="A2021">
            <v>42289</v>
          </cell>
          <cell r="FR2021">
            <v>21.775915384714029</v>
          </cell>
          <cell r="FS2021">
            <v>22.314663874962239</v>
          </cell>
          <cell r="FT2021">
            <v>20.116606119778133</v>
          </cell>
          <cell r="FU2021">
            <v>17.065595346429742</v>
          </cell>
          <cell r="FV2021">
            <v>23.167616893126525</v>
          </cell>
          <cell r="GG2021">
            <v>14.467499834511505</v>
          </cell>
          <cell r="GH2021">
            <v>13.982143405445317</v>
          </cell>
          <cell r="GI2021">
            <v>10.408007395026372</v>
          </cell>
          <cell r="GJ2021">
            <v>7.7337520878462023</v>
          </cell>
          <cell r="GK2021">
            <v>13.082262702206542</v>
          </cell>
        </row>
        <row r="2022">
          <cell r="A2022">
            <v>42290</v>
          </cell>
          <cell r="FR2022">
            <v>20.955752720944787</v>
          </cell>
          <cell r="FS2022">
            <v>22.314663874962239</v>
          </cell>
          <cell r="FT2022">
            <v>20.116606119778133</v>
          </cell>
          <cell r="FU2022">
            <v>17.065595346429742</v>
          </cell>
          <cell r="FV2022">
            <v>23.167616893126525</v>
          </cell>
          <cell r="GG2022">
            <v>13.978027908082588</v>
          </cell>
          <cell r="GH2022">
            <v>13.982143405445317</v>
          </cell>
          <cell r="GI2022">
            <v>10.408007395026372</v>
          </cell>
          <cell r="GJ2022">
            <v>7.7337520878462023</v>
          </cell>
          <cell r="GK2022">
            <v>13.082262702206542</v>
          </cell>
        </row>
        <row r="2023">
          <cell r="A2023">
            <v>42291</v>
          </cell>
          <cell r="FR2023">
            <v>20.752821413636443</v>
          </cell>
          <cell r="FS2023">
            <v>22.314663874962239</v>
          </cell>
          <cell r="FT2023">
            <v>20.116606119778133</v>
          </cell>
          <cell r="FU2023">
            <v>17.065595346429742</v>
          </cell>
          <cell r="FV2023">
            <v>23.167616893126525</v>
          </cell>
          <cell r="GG2023">
            <v>13.863155130949531</v>
          </cell>
          <cell r="GH2023">
            <v>13.982143405445317</v>
          </cell>
          <cell r="GI2023">
            <v>10.408007395026372</v>
          </cell>
          <cell r="GJ2023">
            <v>7.7337520878462023</v>
          </cell>
          <cell r="GK2023">
            <v>13.082262702206542</v>
          </cell>
        </row>
        <row r="2024">
          <cell r="A2024">
            <v>42292</v>
          </cell>
          <cell r="FR2024">
            <v>21.259332017002798</v>
          </cell>
          <cell r="FS2024">
            <v>22.314663874962239</v>
          </cell>
          <cell r="FT2024">
            <v>20.116606119778133</v>
          </cell>
          <cell r="FU2024">
            <v>17.065595346429742</v>
          </cell>
          <cell r="FV2024">
            <v>23.167616893126525</v>
          </cell>
          <cell r="GG2024">
            <v>14.162831453652959</v>
          </cell>
          <cell r="GH2024">
            <v>13.982143405445317</v>
          </cell>
          <cell r="GI2024">
            <v>10.408007395026372</v>
          </cell>
          <cell r="GJ2024">
            <v>7.7337520878462023</v>
          </cell>
          <cell r="GK2024">
            <v>13.082262702206542</v>
          </cell>
        </row>
        <row r="2025">
          <cell r="A2025">
            <v>42293</v>
          </cell>
          <cell r="FR2025">
            <v>21.393853910616563</v>
          </cell>
          <cell r="FS2025">
            <v>22.314663874962239</v>
          </cell>
          <cell r="FT2025">
            <v>20.116606119778133</v>
          </cell>
          <cell r="FU2025">
            <v>17.065595346429742</v>
          </cell>
          <cell r="FV2025">
            <v>23.167616893126525</v>
          </cell>
          <cell r="GG2025">
            <v>14.350496367877787</v>
          </cell>
          <cell r="GH2025">
            <v>13.982143405445317</v>
          </cell>
          <cell r="GI2025">
            <v>10.408007395026372</v>
          </cell>
          <cell r="GJ2025">
            <v>7.7337520878462023</v>
          </cell>
          <cell r="GK2025">
            <v>13.082262702206542</v>
          </cell>
        </row>
        <row r="2026">
          <cell r="A2026">
            <v>42296</v>
          </cell>
          <cell r="FR2026">
            <v>21.497350754714287</v>
          </cell>
          <cell r="FS2026">
            <v>22.314663874962239</v>
          </cell>
          <cell r="FT2026">
            <v>20.116606119778133</v>
          </cell>
          <cell r="FU2026">
            <v>17.065595346429742</v>
          </cell>
          <cell r="FV2026">
            <v>23.167616893126525</v>
          </cell>
          <cell r="GG2026">
            <v>14.40953674622685</v>
          </cell>
          <cell r="GH2026">
            <v>13.982143405445317</v>
          </cell>
          <cell r="GI2026">
            <v>10.408007395026372</v>
          </cell>
          <cell r="GJ2026">
            <v>7.7337520878462023</v>
          </cell>
          <cell r="GK2026">
            <v>13.082262702206542</v>
          </cell>
        </row>
        <row r="2027">
          <cell r="A2027">
            <v>42297</v>
          </cell>
          <cell r="FR2027">
            <v>21.103441253134424</v>
          </cell>
          <cell r="FS2027">
            <v>22.314663874962239</v>
          </cell>
          <cell r="FT2027">
            <v>20.116606119778133</v>
          </cell>
          <cell r="FU2027">
            <v>17.065595346429742</v>
          </cell>
          <cell r="FV2027">
            <v>23.167616893126525</v>
          </cell>
          <cell r="GG2027">
            <v>14.172707434822101</v>
          </cell>
          <cell r="GH2027">
            <v>13.982143405445317</v>
          </cell>
          <cell r="GI2027">
            <v>10.408007395026372</v>
          </cell>
          <cell r="GJ2027">
            <v>7.7337520878462023</v>
          </cell>
          <cell r="GK2027">
            <v>13.082262702206542</v>
          </cell>
        </row>
        <row r="2028">
          <cell r="A2028">
            <v>42298</v>
          </cell>
          <cell r="FR2028">
            <v>20.676013476706885</v>
          </cell>
          <cell r="FS2028">
            <v>22.314663874962239</v>
          </cell>
          <cell r="FT2028">
            <v>20.116606119778133</v>
          </cell>
          <cell r="FU2028">
            <v>17.065595346429742</v>
          </cell>
          <cell r="FV2028">
            <v>23.167616893126525</v>
          </cell>
          <cell r="GG2028">
            <v>13.915726007462254</v>
          </cell>
          <cell r="GH2028">
            <v>13.982143405445317</v>
          </cell>
          <cell r="GI2028">
            <v>10.408007395026372</v>
          </cell>
          <cell r="GJ2028">
            <v>7.7337520878462023</v>
          </cell>
          <cell r="GK2028">
            <v>13.082262702206542</v>
          </cell>
        </row>
        <row r="2029">
          <cell r="A2029">
            <v>42299</v>
          </cell>
          <cell r="FR2029">
            <v>20.8520202485835</v>
          </cell>
          <cell r="FS2029">
            <v>22.314663874962239</v>
          </cell>
          <cell r="FT2029">
            <v>20.116606119778133</v>
          </cell>
          <cell r="FU2029">
            <v>17.065595346429742</v>
          </cell>
          <cell r="FV2029">
            <v>23.167616893126525</v>
          </cell>
          <cell r="GG2029">
            <v>14.021546157570162</v>
          </cell>
          <cell r="GH2029">
            <v>13.982143405445317</v>
          </cell>
          <cell r="GI2029">
            <v>10.408007395026372</v>
          </cell>
          <cell r="GJ2029">
            <v>7.7337520878462023</v>
          </cell>
          <cell r="GK2029">
            <v>13.082262702206542</v>
          </cell>
        </row>
        <row r="2030">
          <cell r="A2030">
            <v>42300</v>
          </cell>
          <cell r="FR2030">
            <v>21.366872955976877</v>
          </cell>
          <cell r="FS2030">
            <v>22.314663874962239</v>
          </cell>
          <cell r="FT2030">
            <v>20.116606119778133</v>
          </cell>
          <cell r="FU2030">
            <v>17.065595346429742</v>
          </cell>
          <cell r="FV2030">
            <v>23.167616893126525</v>
          </cell>
          <cell r="GG2030">
            <v>14.323876270440236</v>
          </cell>
          <cell r="GH2030">
            <v>13.982143405445317</v>
          </cell>
          <cell r="GI2030">
            <v>10.408007395026372</v>
          </cell>
          <cell r="GJ2030">
            <v>7.7337520878462023</v>
          </cell>
          <cell r="GK2030">
            <v>13.082262702206542</v>
          </cell>
        </row>
        <row r="2031">
          <cell r="A2031">
            <v>42303</v>
          </cell>
          <cell r="FR2031">
            <v>21.520249323040538</v>
          </cell>
          <cell r="FS2031">
            <v>22.314663874962239</v>
          </cell>
          <cell r="FT2031">
            <v>20.116606119778133</v>
          </cell>
          <cell r="FU2031">
            <v>17.065595346429742</v>
          </cell>
          <cell r="FV2031">
            <v>23.167616893126525</v>
          </cell>
          <cell r="GG2031">
            <v>14.419617087278576</v>
          </cell>
          <cell r="GH2031">
            <v>13.982143405445317</v>
          </cell>
          <cell r="GI2031">
            <v>10.408007395026372</v>
          </cell>
          <cell r="GJ2031">
            <v>7.7337520878462023</v>
          </cell>
          <cell r="GK2031">
            <v>13.082262702206542</v>
          </cell>
        </row>
        <row r="2032">
          <cell r="A2032">
            <v>42304</v>
          </cell>
          <cell r="FR2032">
            <v>21.536033123747497</v>
          </cell>
          <cell r="FS2032">
            <v>22.314663874962239</v>
          </cell>
          <cell r="FT2032">
            <v>20.116606119778133</v>
          </cell>
          <cell r="FU2032">
            <v>17.065595346429742</v>
          </cell>
          <cell r="FV2032">
            <v>23.167616893126525</v>
          </cell>
          <cell r="GG2032">
            <v>14.435870304276508</v>
          </cell>
          <cell r="GH2032">
            <v>13.982143405445317</v>
          </cell>
          <cell r="GI2032">
            <v>10.408007395026372</v>
          </cell>
          <cell r="GJ2032">
            <v>7.7337520878462023</v>
          </cell>
          <cell r="GK2032">
            <v>13.082262702206542</v>
          </cell>
        </row>
        <row r="2033">
          <cell r="A2033">
            <v>42305</v>
          </cell>
          <cell r="FR2033">
            <v>22.062557314660804</v>
          </cell>
          <cell r="FS2033">
            <v>22.314663874962239</v>
          </cell>
          <cell r="FT2033">
            <v>20.116606119778133</v>
          </cell>
          <cell r="FU2033">
            <v>17.065595346429742</v>
          </cell>
          <cell r="FV2033">
            <v>23.167616893126525</v>
          </cell>
          <cell r="GG2033">
            <v>14.748741668039486</v>
          </cell>
          <cell r="GH2033">
            <v>13.982143405445317</v>
          </cell>
          <cell r="GI2033">
            <v>10.408007395026372</v>
          </cell>
          <cell r="GJ2033">
            <v>7.7337520878462023</v>
          </cell>
          <cell r="GK2033">
            <v>13.082262702206542</v>
          </cell>
        </row>
        <row r="2034">
          <cell r="A2034">
            <v>42306</v>
          </cell>
          <cell r="FR2034">
            <v>20.558862643442037</v>
          </cell>
          <cell r="FS2034">
            <v>22.314663874962239</v>
          </cell>
          <cell r="FT2034">
            <v>20.116606119778133</v>
          </cell>
          <cell r="FU2034">
            <v>17.065595346429742</v>
          </cell>
          <cell r="FV2034">
            <v>23.167616893126525</v>
          </cell>
          <cell r="GG2034">
            <v>13.652546360578633</v>
          </cell>
          <cell r="GH2034">
            <v>13.982143405445317</v>
          </cell>
          <cell r="GI2034">
            <v>10.408007395026372</v>
          </cell>
          <cell r="GJ2034">
            <v>7.7337520878462023</v>
          </cell>
          <cell r="GK2034">
            <v>13.082262702206542</v>
          </cell>
        </row>
        <row r="2035">
          <cell r="A2035">
            <v>42307</v>
          </cell>
          <cell r="FR2035">
            <v>20.868828571101638</v>
          </cell>
          <cell r="FS2035">
            <v>22.314663874962239</v>
          </cell>
          <cell r="FT2035">
            <v>20.116606119778133</v>
          </cell>
          <cell r="FU2035">
            <v>17.065595346429742</v>
          </cell>
          <cell r="FV2035">
            <v>23.167616893126525</v>
          </cell>
          <cell r="GG2035">
            <v>13.821446915673576</v>
          </cell>
          <cell r="GH2035">
            <v>13.982143405445317</v>
          </cell>
          <cell r="GI2035">
            <v>10.408007395026372</v>
          </cell>
          <cell r="GJ2035">
            <v>7.7337520878462023</v>
          </cell>
          <cell r="GK2035">
            <v>13.082262702206542</v>
          </cell>
        </row>
        <row r="2036">
          <cell r="A2036">
            <v>42310</v>
          </cell>
          <cell r="FR2036">
            <v>21.607406551810062</v>
          </cell>
          <cell r="FS2036">
            <v>22.314663874962239</v>
          </cell>
          <cell r="FT2036">
            <v>20.116606119778133</v>
          </cell>
          <cell r="FU2036">
            <v>17.065595346429742</v>
          </cell>
          <cell r="FV2036">
            <v>23.167616893126525</v>
          </cell>
          <cell r="GG2036">
            <v>12.247110843707127</v>
          </cell>
          <cell r="GH2036">
            <v>13.982143405445317</v>
          </cell>
          <cell r="GI2036">
            <v>10.408007395026372</v>
          </cell>
          <cell r="GJ2036">
            <v>7.7337520878462023</v>
          </cell>
          <cell r="GK2036">
            <v>13.082262702206542</v>
          </cell>
        </row>
        <row r="2037">
          <cell r="A2037">
            <v>42311</v>
          </cell>
          <cell r="FR2037">
            <v>21.513868010033402</v>
          </cell>
          <cell r="FS2037">
            <v>22.314663874962239</v>
          </cell>
          <cell r="FT2037">
            <v>20.116606119778133</v>
          </cell>
          <cell r="FU2037">
            <v>17.065595346429742</v>
          </cell>
          <cell r="FV2037">
            <v>23.167616893126525</v>
          </cell>
          <cell r="GG2037">
            <v>12.801057261137526</v>
          </cell>
          <cell r="GH2037">
            <v>13.982143405445317</v>
          </cell>
          <cell r="GI2037">
            <v>10.408007395026372</v>
          </cell>
          <cell r="GJ2037">
            <v>7.7337520878462023</v>
          </cell>
          <cell r="GK2037">
            <v>13.082262702206542</v>
          </cell>
        </row>
        <row r="2038">
          <cell r="A2038">
            <v>42312</v>
          </cell>
          <cell r="FR2038">
            <v>21.270017009215398</v>
          </cell>
          <cell r="FS2038">
            <v>22.314663874962239</v>
          </cell>
          <cell r="FT2038">
            <v>20.116606119778133</v>
          </cell>
          <cell r="FU2038">
            <v>17.065595346429742</v>
          </cell>
          <cell r="FV2038">
            <v>23.167616893126525</v>
          </cell>
          <cell r="GG2038">
            <v>12.874412852879521</v>
          </cell>
          <cell r="GH2038">
            <v>13.982143405445317</v>
          </cell>
          <cell r="GI2038">
            <v>10.408007395026372</v>
          </cell>
          <cell r="GJ2038">
            <v>7.7337520878462023</v>
          </cell>
          <cell r="GK2038">
            <v>13.082262702206542</v>
          </cell>
        </row>
        <row r="2039">
          <cell r="A2039">
            <v>42313</v>
          </cell>
          <cell r="FR2039">
            <v>21.270017009215398</v>
          </cell>
          <cell r="FS2039">
            <v>22.314663874962239</v>
          </cell>
          <cell r="FT2039">
            <v>20.116606119778133</v>
          </cell>
          <cell r="FU2039">
            <v>17.065595346429742</v>
          </cell>
          <cell r="FV2039">
            <v>23.167616893126525</v>
          </cell>
          <cell r="GG2039">
            <v>12.790945092346798</v>
          </cell>
          <cell r="GH2039">
            <v>13.982143405445317</v>
          </cell>
          <cell r="GI2039">
            <v>10.408007395026372</v>
          </cell>
          <cell r="GJ2039">
            <v>7.7337520878462023</v>
          </cell>
          <cell r="GK2039">
            <v>13.082262702206542</v>
          </cell>
        </row>
        <row r="2040">
          <cell r="A2040">
            <v>42314</v>
          </cell>
          <cell r="FR2040">
            <v>21.35506817859882</v>
          </cell>
          <cell r="FS2040">
            <v>22.314663874962239</v>
          </cell>
          <cell r="FT2040">
            <v>20.116606119778133</v>
          </cell>
          <cell r="FU2040">
            <v>17.065595346429742</v>
          </cell>
          <cell r="FV2040">
            <v>23.167616893126525</v>
          </cell>
          <cell r="GG2040">
            <v>12.790945092346798</v>
          </cell>
          <cell r="GH2040">
            <v>13.982143405445317</v>
          </cell>
          <cell r="GI2040">
            <v>10.408007395026372</v>
          </cell>
          <cell r="GJ2040">
            <v>7.7337520878462023</v>
          </cell>
          <cell r="GK2040">
            <v>13.082262702206542</v>
          </cell>
        </row>
        <row r="2041">
          <cell r="A2041">
            <v>42317</v>
          </cell>
          <cell r="FR2041">
            <v>21.36774969779545</v>
          </cell>
          <cell r="FS2041">
            <v>22.314663874962239</v>
          </cell>
          <cell r="FT2041">
            <v>20.116606119778133</v>
          </cell>
          <cell r="FU2041">
            <v>17.065595346429742</v>
          </cell>
          <cell r="FV2041">
            <v>23.167616893126525</v>
          </cell>
          <cell r="GG2041">
            <v>12.884533115857087</v>
          </cell>
          <cell r="GH2041">
            <v>13.982143405445317</v>
          </cell>
          <cell r="GI2041">
            <v>10.408007395026372</v>
          </cell>
          <cell r="GJ2041">
            <v>7.7337520878462023</v>
          </cell>
          <cell r="GK2041">
            <v>13.082262702206542</v>
          </cell>
        </row>
        <row r="2042">
          <cell r="A2042">
            <v>42318</v>
          </cell>
          <cell r="FR2042">
            <v>21.605829576714417</v>
          </cell>
          <cell r="FS2042">
            <v>22.314663874962239</v>
          </cell>
          <cell r="FT2042">
            <v>20.116606119778133</v>
          </cell>
          <cell r="FU2042">
            <v>17.065595346429742</v>
          </cell>
          <cell r="FV2042">
            <v>23.167616893126525</v>
          </cell>
          <cell r="GG2042">
            <v>12.958541248217555</v>
          </cell>
          <cell r="GH2042">
            <v>13.982143405445317</v>
          </cell>
          <cell r="GI2042">
            <v>10.408007395026372</v>
          </cell>
          <cell r="GJ2042">
            <v>7.7337520878462023</v>
          </cell>
          <cell r="GK2042">
            <v>13.082262702206542</v>
          </cell>
        </row>
        <row r="2043">
          <cell r="A2043">
            <v>42319</v>
          </cell>
          <cell r="FR2043">
            <v>21.618549400668826</v>
          </cell>
          <cell r="FS2043">
            <v>22.314663874962239</v>
          </cell>
          <cell r="FT2043">
            <v>20.116606119778133</v>
          </cell>
          <cell r="FU2043">
            <v>17.065595346429742</v>
          </cell>
          <cell r="FV2043">
            <v>23.167616893126525</v>
          </cell>
          <cell r="GG2043">
            <v>13.13935799367254</v>
          </cell>
          <cell r="GH2043">
            <v>13.982143405445317</v>
          </cell>
          <cell r="GI2043">
            <v>10.408007395026372</v>
          </cell>
          <cell r="GJ2043">
            <v>7.7337520878462023</v>
          </cell>
          <cell r="GK2043">
            <v>13.082262702206542</v>
          </cell>
        </row>
        <row r="2044">
          <cell r="A2044">
            <v>42320</v>
          </cell>
          <cell r="FR2044">
            <v>21.414288105541495</v>
          </cell>
          <cell r="FS2044">
            <v>22.314663874962239</v>
          </cell>
          <cell r="FT2044">
            <v>20.116606119778133</v>
          </cell>
          <cell r="FU2044">
            <v>17.065595346429742</v>
          </cell>
          <cell r="FV2044">
            <v>23.167616893126525</v>
          </cell>
          <cell r="GG2044">
            <v>13.281710737802792</v>
          </cell>
          <cell r="GH2044">
            <v>13.982143405445317</v>
          </cell>
          <cell r="GI2044">
            <v>10.408007395026372</v>
          </cell>
          <cell r="GJ2044">
            <v>7.7337520878462023</v>
          </cell>
          <cell r="GK2044">
            <v>13.082262702206542</v>
          </cell>
        </row>
        <row r="2045">
          <cell r="A2045">
            <v>42321</v>
          </cell>
          <cell r="FR2045">
            <v>21.533445492590232</v>
          </cell>
          <cell r="FS2045">
            <v>22.314663874962239</v>
          </cell>
          <cell r="FT2045">
            <v>20.116606119778133</v>
          </cell>
          <cell r="FU2045">
            <v>17.065595346429742</v>
          </cell>
          <cell r="FV2045">
            <v>23.167616893126525</v>
          </cell>
          <cell r="GG2045">
            <v>13.273316648600574</v>
          </cell>
          <cell r="GH2045">
            <v>13.982143405445317</v>
          </cell>
          <cell r="GI2045">
            <v>10.408007395026372</v>
          </cell>
          <cell r="GJ2045">
            <v>7.7337520878462023</v>
          </cell>
          <cell r="GK2045">
            <v>13.082262702206542</v>
          </cell>
        </row>
        <row r="2046">
          <cell r="A2046">
            <v>42324</v>
          </cell>
          <cell r="FR2046">
            <v>21.806058277099819</v>
          </cell>
          <cell r="FS2046">
            <v>22.314663874962239</v>
          </cell>
          <cell r="FT2046">
            <v>20.116606119778133</v>
          </cell>
          <cell r="FU2046">
            <v>17.065595346429742</v>
          </cell>
          <cell r="FV2046">
            <v>23.167616893126525</v>
          </cell>
          <cell r="GG2046">
            <v>13.113268865472937</v>
          </cell>
          <cell r="GH2046">
            <v>13.982143405445317</v>
          </cell>
          <cell r="GI2046">
            <v>10.408007395026372</v>
          </cell>
          <cell r="GJ2046">
            <v>7.7337520878462023</v>
          </cell>
          <cell r="GK2046">
            <v>13.082262702206542</v>
          </cell>
        </row>
        <row r="2047">
          <cell r="A2047">
            <v>42325</v>
          </cell>
          <cell r="FR2047">
            <v>22.393114176206108</v>
          </cell>
          <cell r="FS2047">
            <v>22.314663874962239</v>
          </cell>
          <cell r="FT2047">
            <v>20.116606119778133</v>
          </cell>
          <cell r="FU2047">
            <v>17.065595346429742</v>
          </cell>
          <cell r="FV2047">
            <v>23.167616893126525</v>
          </cell>
          <cell r="GG2047">
            <v>13.30634369619597</v>
          </cell>
          <cell r="GH2047">
            <v>13.982143405445317</v>
          </cell>
          <cell r="GI2047">
            <v>10.408007395026372</v>
          </cell>
          <cell r="GJ2047">
            <v>7.7337520878462023</v>
          </cell>
          <cell r="GK2047">
            <v>13.082262702206542</v>
          </cell>
        </row>
        <row r="2048">
          <cell r="A2048">
            <v>42326</v>
          </cell>
          <cell r="FR2048">
            <v>22.903587690032399</v>
          </cell>
          <cell r="FS2048">
            <v>22.314663874962239</v>
          </cell>
          <cell r="FT2048">
            <v>20.116606119778133</v>
          </cell>
          <cell r="FU2048">
            <v>17.065595346429742</v>
          </cell>
          <cell r="FV2048">
            <v>23.167616893126525</v>
          </cell>
          <cell r="GG2048">
            <v>13.722969310580634</v>
          </cell>
          <cell r="GH2048">
            <v>13.982143405445317</v>
          </cell>
          <cell r="GI2048">
            <v>10.408007395026372</v>
          </cell>
          <cell r="GJ2048">
            <v>7.7337520878462023</v>
          </cell>
          <cell r="GK2048">
            <v>13.082262702206542</v>
          </cell>
        </row>
        <row r="2049">
          <cell r="A2049">
            <v>42327</v>
          </cell>
          <cell r="FR2049">
            <v>22.787720375108794</v>
          </cell>
          <cell r="FS2049">
            <v>22.314663874962239</v>
          </cell>
          <cell r="FT2049">
            <v>20.116606119778133</v>
          </cell>
          <cell r="FU2049">
            <v>17.065595346429742</v>
          </cell>
          <cell r="FV2049">
            <v>23.167616893126525</v>
          </cell>
          <cell r="GG2049">
            <v>13.914364368190409</v>
          </cell>
          <cell r="GH2049">
            <v>13.982143405445317</v>
          </cell>
          <cell r="GI2049">
            <v>10.408007395026372</v>
          </cell>
          <cell r="GJ2049">
            <v>7.7337520878462023</v>
          </cell>
          <cell r="GK2049">
            <v>13.082262702206542</v>
          </cell>
        </row>
        <row r="2050">
          <cell r="A2050">
            <v>42328</v>
          </cell>
          <cell r="FR2050">
            <v>22.71951747655806</v>
          </cell>
          <cell r="FS2050">
            <v>22.314663874962239</v>
          </cell>
          <cell r="FT2050">
            <v>20.116606119778133</v>
          </cell>
          <cell r="FU2050">
            <v>17.065595346429742</v>
          </cell>
          <cell r="FV2050">
            <v>23.167616893126525</v>
          </cell>
          <cell r="GG2050">
            <v>13.914364368190409</v>
          </cell>
          <cell r="GH2050">
            <v>13.982143405445317</v>
          </cell>
          <cell r="GI2050">
            <v>10.408007395026372</v>
          </cell>
          <cell r="GJ2050">
            <v>7.7337520878462023</v>
          </cell>
          <cell r="GK2050">
            <v>13.082262702206542</v>
          </cell>
        </row>
        <row r="2051">
          <cell r="A2051">
            <v>42331</v>
          </cell>
          <cell r="FR2051">
            <v>22.672296194438413</v>
          </cell>
          <cell r="FS2051">
            <v>22.314663874962239</v>
          </cell>
          <cell r="FT2051">
            <v>20.116606119778133</v>
          </cell>
          <cell r="FU2051">
            <v>17.065595346429742</v>
          </cell>
          <cell r="FV2051">
            <v>23.167616893126525</v>
          </cell>
          <cell r="GG2051">
            <v>13.873714032276737</v>
          </cell>
          <cell r="GH2051">
            <v>13.982143405445317</v>
          </cell>
          <cell r="GI2051">
            <v>10.408007395026372</v>
          </cell>
          <cell r="GJ2051">
            <v>7.7337520878462023</v>
          </cell>
          <cell r="GK2051">
            <v>13.082262702206542</v>
          </cell>
        </row>
        <row r="2052">
          <cell r="A2052">
            <v>42332</v>
          </cell>
          <cell r="FR2052">
            <v>22.527386166211677</v>
          </cell>
          <cell r="FS2052">
            <v>22.314663874962239</v>
          </cell>
          <cell r="FT2052">
            <v>20.116606119778133</v>
          </cell>
          <cell r="FU2052">
            <v>17.065595346429742</v>
          </cell>
          <cell r="FV2052">
            <v>23.167616893126525</v>
          </cell>
          <cell r="GG2052">
            <v>13.855936052314393</v>
          </cell>
          <cell r="GH2052">
            <v>13.982143405445317</v>
          </cell>
          <cell r="GI2052">
            <v>10.408007395026372</v>
          </cell>
          <cell r="GJ2052">
            <v>7.7337520878462023</v>
          </cell>
          <cell r="GK2052">
            <v>13.082262702206542</v>
          </cell>
        </row>
        <row r="2053">
          <cell r="A2053">
            <v>42333</v>
          </cell>
          <cell r="FR2053">
            <v>22.587056054256596</v>
          </cell>
          <cell r="FS2053">
            <v>22.314663874962239</v>
          </cell>
          <cell r="FT2053">
            <v>20.116606119778133</v>
          </cell>
          <cell r="FU2053">
            <v>17.065595346429742</v>
          </cell>
          <cell r="FV2053">
            <v>23.167616893126525</v>
          </cell>
          <cell r="GG2053">
            <v>13.789878367250811</v>
          </cell>
          <cell r="GH2053">
            <v>13.982143405445317</v>
          </cell>
          <cell r="GI2053">
            <v>10.408007395026372</v>
          </cell>
          <cell r="GJ2053">
            <v>7.7337520878462023</v>
          </cell>
          <cell r="GK2053">
            <v>13.082262702206542</v>
          </cell>
        </row>
        <row r="2054">
          <cell r="A2054">
            <v>42334</v>
          </cell>
          <cell r="FR2054">
            <v>22.587056054256596</v>
          </cell>
          <cell r="FS2054">
            <v>22.314663874962239</v>
          </cell>
          <cell r="FT2054">
            <v>20.116606119778133</v>
          </cell>
          <cell r="FU2054">
            <v>17.065595346429742</v>
          </cell>
          <cell r="FV2054">
            <v>23.167616893126525</v>
          </cell>
          <cell r="GG2054">
            <v>13.789878367250811</v>
          </cell>
          <cell r="GH2054">
            <v>13.982143405445317</v>
          </cell>
          <cell r="GI2054">
            <v>10.408007395026372</v>
          </cell>
          <cell r="GJ2054">
            <v>7.7337520878462023</v>
          </cell>
          <cell r="GK2054">
            <v>13.082262702206542</v>
          </cell>
        </row>
        <row r="2055">
          <cell r="A2055">
            <v>42335</v>
          </cell>
          <cell r="FR2055">
            <v>22.933527195167546</v>
          </cell>
          <cell r="FS2055">
            <v>22.314663874962239</v>
          </cell>
          <cell r="FT2055">
            <v>20.116606119778133</v>
          </cell>
          <cell r="FU2055">
            <v>17.065595346429742</v>
          </cell>
          <cell r="FV2055">
            <v>23.167616893126525</v>
          </cell>
          <cell r="GG2055">
            <v>13.881335271600367</v>
          </cell>
          <cell r="GH2055">
            <v>13.982143405445317</v>
          </cell>
          <cell r="GI2055">
            <v>10.408007395026372</v>
          </cell>
          <cell r="GJ2055">
            <v>7.7337520878462023</v>
          </cell>
          <cell r="GK2055">
            <v>13.082262702206542</v>
          </cell>
        </row>
        <row r="2056">
          <cell r="A2056">
            <v>42338</v>
          </cell>
          <cell r="FR2056">
            <v>22.564077406840411</v>
          </cell>
          <cell r="FS2056">
            <v>22.314663874962239</v>
          </cell>
          <cell r="FT2056">
            <v>20.116606119778133</v>
          </cell>
          <cell r="FU2056">
            <v>17.065595346429742</v>
          </cell>
          <cell r="FV2056">
            <v>23.167616893126525</v>
          </cell>
          <cell r="GG2056">
            <v>13.972800305813864</v>
          </cell>
          <cell r="GH2056">
            <v>13.982143405445317</v>
          </cell>
          <cell r="GI2056">
            <v>10.408007395026372</v>
          </cell>
          <cell r="GJ2056">
            <v>7.7337520878462023</v>
          </cell>
          <cell r="GK2056">
            <v>13.082262702206542</v>
          </cell>
        </row>
        <row r="2057">
          <cell r="A2057">
            <v>42339</v>
          </cell>
          <cell r="FR2057">
            <v>22.385967899038665</v>
          </cell>
          <cell r="FS2057">
            <v>22.314663874962239</v>
          </cell>
          <cell r="FT2057">
            <v>20.116606119778133</v>
          </cell>
          <cell r="FU2057">
            <v>17.065595346429742</v>
          </cell>
          <cell r="FV2057">
            <v>23.167616893126525</v>
          </cell>
          <cell r="GG2057">
            <v>13.859151361353309</v>
          </cell>
          <cell r="GH2057">
            <v>13.982143405445317</v>
          </cell>
          <cell r="GI2057">
            <v>10.408007395026372</v>
          </cell>
          <cell r="GJ2057">
            <v>7.7337520878462023</v>
          </cell>
          <cell r="GK2057">
            <v>13.082262702206542</v>
          </cell>
        </row>
        <row r="2058">
          <cell r="A2058">
            <v>42340</v>
          </cell>
          <cell r="FR2058">
            <v>22.369037394655486</v>
          </cell>
          <cell r="FS2058">
            <v>22.314663874962239</v>
          </cell>
          <cell r="FT2058">
            <v>20.116606119778133</v>
          </cell>
          <cell r="FU2058">
            <v>17.065595346429742</v>
          </cell>
          <cell r="FV2058">
            <v>23.167616893126525</v>
          </cell>
          <cell r="GG2058">
            <v>13.818728751183254</v>
          </cell>
          <cell r="GH2058">
            <v>13.982143405445317</v>
          </cell>
          <cell r="GI2058">
            <v>10.408007395026372</v>
          </cell>
          <cell r="GJ2058">
            <v>7.7337520878462023</v>
          </cell>
          <cell r="GK2058">
            <v>13.082262702206542</v>
          </cell>
        </row>
        <row r="2059">
          <cell r="A2059">
            <v>42341</v>
          </cell>
          <cell r="FR2059">
            <v>22.042368644067796</v>
          </cell>
          <cell r="FS2059">
            <v>22.314663874962239</v>
          </cell>
          <cell r="FT2059">
            <v>20.116606119778133</v>
          </cell>
          <cell r="FU2059">
            <v>17.065595346429742</v>
          </cell>
          <cell r="FV2059">
            <v>23.167616893126525</v>
          </cell>
          <cell r="GG2059">
            <v>13.907348229768427</v>
          </cell>
          <cell r="GH2059">
            <v>13.982143405445317</v>
          </cell>
          <cell r="GI2059">
            <v>10.408007395026372</v>
          </cell>
          <cell r="GJ2059">
            <v>7.7337520878462023</v>
          </cell>
          <cell r="GK2059">
            <v>13.082262702206542</v>
          </cell>
        </row>
        <row r="2060">
          <cell r="A2060">
            <v>42342</v>
          </cell>
          <cell r="FR2060">
            <v>22.508472881355935</v>
          </cell>
          <cell r="FS2060">
            <v>22.314663874962239</v>
          </cell>
          <cell r="FT2060">
            <v>20.116606119778133</v>
          </cell>
          <cell r="FU2060">
            <v>17.065595346429742</v>
          </cell>
          <cell r="FV2060">
            <v>23.167616893126525</v>
          </cell>
          <cell r="GG2060">
            <v>13.907348229768427</v>
          </cell>
          <cell r="GH2060">
            <v>13.982143405445317</v>
          </cell>
          <cell r="GI2060">
            <v>10.408007395026372</v>
          </cell>
          <cell r="GJ2060">
            <v>7.7337520878462023</v>
          </cell>
          <cell r="GK2060">
            <v>13.082262702206542</v>
          </cell>
        </row>
        <row r="2061">
          <cell r="A2061">
            <v>42345</v>
          </cell>
          <cell r="FR2061">
            <v>22.593223728813562</v>
          </cell>
          <cell r="FS2061">
            <v>22.314663874962239</v>
          </cell>
          <cell r="FT2061">
            <v>20.116606119778133</v>
          </cell>
          <cell r="FU2061">
            <v>17.065595346429742</v>
          </cell>
          <cell r="FV2061">
            <v>23.167616893126525</v>
          </cell>
          <cell r="GG2061">
            <v>13.492489603871078</v>
          </cell>
          <cell r="GH2061">
            <v>13.982143405445317</v>
          </cell>
          <cell r="GI2061">
            <v>10.408007395026372</v>
          </cell>
          <cell r="GJ2061">
            <v>7.7337520878462023</v>
          </cell>
          <cell r="GK2061">
            <v>13.082262702206542</v>
          </cell>
        </row>
        <row r="2062">
          <cell r="A2062">
            <v>42346</v>
          </cell>
          <cell r="FR2062">
            <v>22.593223728813562</v>
          </cell>
          <cell r="FS2062">
            <v>22.314663874962239</v>
          </cell>
          <cell r="FT2062">
            <v>20.116606119778133</v>
          </cell>
          <cell r="FU2062">
            <v>17.065595346429742</v>
          </cell>
          <cell r="FV2062">
            <v>23.167616893126525</v>
          </cell>
          <cell r="GG2062">
            <v>13.64679172883609</v>
          </cell>
          <cell r="GH2062">
            <v>13.982143405445317</v>
          </cell>
          <cell r="GI2062">
            <v>10.408007395026372</v>
          </cell>
          <cell r="GJ2062">
            <v>7.7337520878462023</v>
          </cell>
          <cell r="GK2062">
            <v>13.082262702206542</v>
          </cell>
        </row>
        <row r="2063">
          <cell r="A2063">
            <v>42347</v>
          </cell>
          <cell r="FR2063">
            <v>22.177965254237289</v>
          </cell>
          <cell r="FS2063">
            <v>22.314663874962239</v>
          </cell>
          <cell r="FT2063">
            <v>20.116606119778133</v>
          </cell>
          <cell r="FU2063">
            <v>17.065595346429742</v>
          </cell>
          <cell r="FV2063">
            <v>23.167616893126525</v>
          </cell>
          <cell r="GG2063">
            <v>13.64679172883609</v>
          </cell>
          <cell r="GH2063">
            <v>13.982143405445317</v>
          </cell>
          <cell r="GI2063">
            <v>10.408007395026372</v>
          </cell>
          <cell r="GJ2063">
            <v>7.7337520878462023</v>
          </cell>
          <cell r="GK2063">
            <v>13.082262702206542</v>
          </cell>
        </row>
        <row r="2064">
          <cell r="A2064">
            <v>42348</v>
          </cell>
          <cell r="FR2064">
            <v>22.135589830508476</v>
          </cell>
          <cell r="FS2064">
            <v>22.314663874962239</v>
          </cell>
          <cell r="FT2064">
            <v>20.116606119778133</v>
          </cell>
          <cell r="FU2064">
            <v>17.065595346429742</v>
          </cell>
          <cell r="FV2064">
            <v>23.167616893126525</v>
          </cell>
          <cell r="GG2064">
            <v>13.64679172883609</v>
          </cell>
          <cell r="GH2064">
            <v>13.982143405445317</v>
          </cell>
          <cell r="GI2064">
            <v>10.408007395026372</v>
          </cell>
          <cell r="GJ2064">
            <v>7.7337520878462023</v>
          </cell>
          <cell r="GK2064">
            <v>13.082262702206542</v>
          </cell>
        </row>
        <row r="2065">
          <cell r="A2065">
            <v>42349</v>
          </cell>
          <cell r="FR2065">
            <v>21.669498305084748</v>
          </cell>
          <cell r="FS2065">
            <v>22.314663874962239</v>
          </cell>
          <cell r="FT2065">
            <v>20.116606119778133</v>
          </cell>
          <cell r="FU2065">
            <v>17.065595346429742</v>
          </cell>
          <cell r="FV2065">
            <v>23.167616893126525</v>
          </cell>
          <cell r="GG2065">
            <v>13.211707930394695</v>
          </cell>
          <cell r="GH2065">
            <v>13.982143405445317</v>
          </cell>
          <cell r="GI2065">
            <v>10.408007395026372</v>
          </cell>
          <cell r="GJ2065">
            <v>7.7337520878462023</v>
          </cell>
          <cell r="GK2065">
            <v>13.082262702206542</v>
          </cell>
        </row>
        <row r="2066">
          <cell r="A2066">
            <v>42352</v>
          </cell>
          <cell r="FR2066">
            <v>22.00250948895215</v>
          </cell>
          <cell r="FS2066">
            <v>22.314663874962239</v>
          </cell>
          <cell r="FT2066">
            <v>20.116606119778133</v>
          </cell>
          <cell r="FU2066">
            <v>17.065595346429742</v>
          </cell>
          <cell r="FV2066">
            <v>23.167616893126525</v>
          </cell>
          <cell r="GG2066">
            <v>13.090284042619064</v>
          </cell>
          <cell r="GH2066">
            <v>13.982143405445317</v>
          </cell>
          <cell r="GI2066">
            <v>10.408007395026372</v>
          </cell>
          <cell r="GJ2066">
            <v>7.7337520878462023</v>
          </cell>
          <cell r="GK2066">
            <v>13.082262702206542</v>
          </cell>
        </row>
        <row r="2067">
          <cell r="A2067">
            <v>42353</v>
          </cell>
          <cell r="FR2067">
            <v>22.510851294564187</v>
          </cell>
          <cell r="FS2067">
            <v>22.314663874962239</v>
          </cell>
          <cell r="FT2067">
            <v>20.116606119778133</v>
          </cell>
          <cell r="FU2067">
            <v>17.065595346429742</v>
          </cell>
          <cell r="FV2067">
            <v>23.167616893126525</v>
          </cell>
          <cell r="GG2067">
            <v>13.196523240979856</v>
          </cell>
          <cell r="GH2067">
            <v>13.982143405445317</v>
          </cell>
          <cell r="GI2067">
            <v>10.408007395026372</v>
          </cell>
          <cell r="GJ2067">
            <v>7.7337520878462023</v>
          </cell>
          <cell r="GK2067">
            <v>13.082262702206542</v>
          </cell>
        </row>
        <row r="2068">
          <cell r="A2068">
            <v>42354</v>
          </cell>
          <cell r="FR2068">
            <v>23.025422881355933</v>
          </cell>
          <cell r="FS2068">
            <v>22.314663874962239</v>
          </cell>
          <cell r="FT2068">
            <v>20.116606119778133</v>
          </cell>
          <cell r="FU2068">
            <v>17.065595346429742</v>
          </cell>
          <cell r="FV2068">
            <v>23.167616893126525</v>
          </cell>
          <cell r="GG2068">
            <v>13.490561144536855</v>
          </cell>
          <cell r="GH2068">
            <v>13.982143405445317</v>
          </cell>
          <cell r="GI2068">
            <v>10.408007395026372</v>
          </cell>
          <cell r="GJ2068">
            <v>7.7337520878462023</v>
          </cell>
          <cell r="GK2068">
            <v>13.082262702206542</v>
          </cell>
        </row>
        <row r="2069">
          <cell r="A2069">
            <v>42355</v>
          </cell>
          <cell r="FR2069">
            <v>22.771183050847458</v>
          </cell>
          <cell r="FS2069">
            <v>22.314663874962239</v>
          </cell>
          <cell r="FT2069">
            <v>20.116606119778133</v>
          </cell>
          <cell r="FU2069">
            <v>17.065595346429742</v>
          </cell>
          <cell r="FV2069">
            <v>23.167616893126525</v>
          </cell>
          <cell r="GG2069">
            <v>13.612035995943579</v>
          </cell>
          <cell r="GH2069">
            <v>13.982143405445317</v>
          </cell>
          <cell r="GI2069">
            <v>10.408007395026372</v>
          </cell>
          <cell r="GJ2069">
            <v>7.7337520878462023</v>
          </cell>
          <cell r="GK2069">
            <v>13.082262702206542</v>
          </cell>
        </row>
        <row r="2070">
          <cell r="A2070">
            <v>42356</v>
          </cell>
          <cell r="FR2070">
            <v>22.516955932203391</v>
          </cell>
          <cell r="FS2070">
            <v>22.314663874962239</v>
          </cell>
          <cell r="FT2070">
            <v>20.116606119778133</v>
          </cell>
          <cell r="FU2070">
            <v>17.065595346429742</v>
          </cell>
          <cell r="FV2070">
            <v>23.167616893126525</v>
          </cell>
          <cell r="GG2070">
            <v>13.649994419611948</v>
          </cell>
          <cell r="GH2070">
            <v>13.982143405445317</v>
          </cell>
          <cell r="GI2070">
            <v>10.408007395026372</v>
          </cell>
          <cell r="GJ2070">
            <v>7.7337520878462023</v>
          </cell>
          <cell r="GK2070">
            <v>13.082262702206542</v>
          </cell>
        </row>
        <row r="2071">
          <cell r="A2071">
            <v>42359</v>
          </cell>
          <cell r="FR2071">
            <v>22.703384745762712</v>
          </cell>
          <cell r="FS2071">
            <v>22.314663874962239</v>
          </cell>
          <cell r="FT2071">
            <v>20.116606119778133</v>
          </cell>
          <cell r="FU2071">
            <v>17.065595346429742</v>
          </cell>
          <cell r="FV2071">
            <v>23.167616893126525</v>
          </cell>
          <cell r="GG2071">
            <v>13.60444400753037</v>
          </cell>
          <cell r="GH2071">
            <v>13.982143405445317</v>
          </cell>
          <cell r="GI2071">
            <v>10.408007395026372</v>
          </cell>
          <cell r="GJ2071">
            <v>7.7337520878462023</v>
          </cell>
          <cell r="GK2071">
            <v>13.082262702206542</v>
          </cell>
        </row>
        <row r="2072">
          <cell r="A2072">
            <v>42360</v>
          </cell>
          <cell r="FR2072">
            <v>22.906778813559324</v>
          </cell>
          <cell r="FS2072">
            <v>22.314663874962239</v>
          </cell>
          <cell r="FT2072">
            <v>20.116606119778133</v>
          </cell>
          <cell r="FU2072">
            <v>17.065595346429742</v>
          </cell>
          <cell r="FV2072">
            <v>23.167616893126525</v>
          </cell>
          <cell r="GG2072">
            <v>13.601910814063162</v>
          </cell>
          <cell r="GH2072">
            <v>13.982143405445317</v>
          </cell>
          <cell r="GI2072">
            <v>10.408007395026372</v>
          </cell>
          <cell r="GJ2072">
            <v>7.7337520878462023</v>
          </cell>
          <cell r="GK2072">
            <v>13.082262702206542</v>
          </cell>
        </row>
        <row r="2073">
          <cell r="A2073">
            <v>42361</v>
          </cell>
          <cell r="FR2073">
            <v>22.805088135593223</v>
          </cell>
          <cell r="FS2073">
            <v>22.314663874962239</v>
          </cell>
          <cell r="FT2073">
            <v>20.116606119778133</v>
          </cell>
          <cell r="FU2073">
            <v>17.065595346429742</v>
          </cell>
          <cell r="FV2073">
            <v>23.167616893126525</v>
          </cell>
          <cell r="GG2073">
            <v>14.011699028981763</v>
          </cell>
          <cell r="GH2073">
            <v>13.982143405445317</v>
          </cell>
          <cell r="GI2073">
            <v>10.408007395026372</v>
          </cell>
          <cell r="GJ2073">
            <v>7.7337520878462023</v>
          </cell>
          <cell r="GK2073">
            <v>13.082262702206542</v>
          </cell>
        </row>
        <row r="2074">
          <cell r="A2074">
            <v>42362</v>
          </cell>
          <cell r="FR2074">
            <v>22.87288644067797</v>
          </cell>
          <cell r="FS2074">
            <v>22.314663874962239</v>
          </cell>
          <cell r="FT2074">
            <v>20.116606119778133</v>
          </cell>
          <cell r="FU2074">
            <v>17.065595346429742</v>
          </cell>
          <cell r="FV2074">
            <v>23.167616893126525</v>
          </cell>
          <cell r="GG2074">
            <v>14.011699028981763</v>
          </cell>
          <cell r="GH2074">
            <v>13.982143405445317</v>
          </cell>
          <cell r="GI2074">
            <v>10.408007395026372</v>
          </cell>
          <cell r="GJ2074">
            <v>7.7337520878462023</v>
          </cell>
          <cell r="GK2074">
            <v>13.082262702206542</v>
          </cell>
        </row>
        <row r="2075">
          <cell r="A2075">
            <v>42363</v>
          </cell>
          <cell r="FR2075">
            <v>22.87288644067797</v>
          </cell>
          <cell r="FS2075">
            <v>22.314663874962239</v>
          </cell>
          <cell r="FT2075">
            <v>20.116606119778133</v>
          </cell>
          <cell r="FU2075">
            <v>17.065595346429742</v>
          </cell>
          <cell r="FV2075">
            <v>23.167616893126525</v>
          </cell>
          <cell r="GG2075">
            <v>14.011699028981763</v>
          </cell>
          <cell r="GH2075">
            <v>13.982143405445317</v>
          </cell>
          <cell r="GI2075">
            <v>10.408007395026372</v>
          </cell>
          <cell r="GJ2075">
            <v>7.7337520878462023</v>
          </cell>
          <cell r="GK2075">
            <v>13.082262702206542</v>
          </cell>
        </row>
        <row r="2076">
          <cell r="A2076">
            <v>42366</v>
          </cell>
          <cell r="FR2076">
            <v>22.919490677966103</v>
          </cell>
          <cell r="FS2076">
            <v>22.314663874962239</v>
          </cell>
          <cell r="FT2076">
            <v>20.116606119778133</v>
          </cell>
          <cell r="FU2076">
            <v>17.065595346429742</v>
          </cell>
          <cell r="FV2076">
            <v>23.167616893126525</v>
          </cell>
          <cell r="GG2076">
            <v>14.011699028981763</v>
          </cell>
          <cell r="GH2076">
            <v>13.982143405445317</v>
          </cell>
          <cell r="GI2076">
            <v>10.408007395026372</v>
          </cell>
          <cell r="GJ2076">
            <v>7.7337520878462023</v>
          </cell>
          <cell r="GK2076">
            <v>13.082262702206542</v>
          </cell>
        </row>
        <row r="2077">
          <cell r="A2077">
            <v>42367</v>
          </cell>
          <cell r="FR2077">
            <v>23.347461016949154</v>
          </cell>
          <cell r="FS2077">
            <v>22.314663874962239</v>
          </cell>
          <cell r="FT2077">
            <v>20.116606119778133</v>
          </cell>
          <cell r="FU2077">
            <v>17.065595346429742</v>
          </cell>
          <cell r="FV2077">
            <v>23.167616893126525</v>
          </cell>
          <cell r="GG2077">
            <v>14.056012389782401</v>
          </cell>
          <cell r="GH2077">
            <v>13.982143405445317</v>
          </cell>
          <cell r="GI2077">
            <v>10.408007395026372</v>
          </cell>
          <cell r="GJ2077">
            <v>7.7337520878462023</v>
          </cell>
          <cell r="GK2077">
            <v>13.082262702206542</v>
          </cell>
        </row>
        <row r="2078">
          <cell r="A2078">
            <v>42368</v>
          </cell>
          <cell r="FR2078">
            <v>23.398305932203392</v>
          </cell>
          <cell r="FS2078">
            <v>22.314663874962239</v>
          </cell>
          <cell r="FT2078">
            <v>20.116606119778133</v>
          </cell>
          <cell r="FU2078">
            <v>17.065595346429742</v>
          </cell>
          <cell r="FV2078">
            <v>23.167616893126525</v>
          </cell>
          <cell r="GG2078">
            <v>14.368782134157977</v>
          </cell>
          <cell r="GH2078">
            <v>13.982143405445317</v>
          </cell>
          <cell r="GI2078">
            <v>10.408007395026372</v>
          </cell>
          <cell r="GJ2078">
            <v>7.7337520878462023</v>
          </cell>
          <cell r="GK2078">
            <v>13.082262702206542</v>
          </cell>
        </row>
        <row r="2079">
          <cell r="A2079">
            <v>42369</v>
          </cell>
          <cell r="FR2079">
            <v>23.432198305084746</v>
          </cell>
          <cell r="FS2079">
            <v>22.314663874962239</v>
          </cell>
          <cell r="FT2079">
            <v>20.116606119778133</v>
          </cell>
          <cell r="FU2079">
            <v>17.065595346429742</v>
          </cell>
          <cell r="FV2079">
            <v>23.167616893126525</v>
          </cell>
          <cell r="GG2079">
            <v>14.368782134157977</v>
          </cell>
          <cell r="GH2079">
            <v>13.982143405445317</v>
          </cell>
          <cell r="GI2079">
            <v>10.408007395026372</v>
          </cell>
          <cell r="GJ2079">
            <v>7.7337520878462023</v>
          </cell>
          <cell r="GK2079">
            <v>13.082262702206542</v>
          </cell>
        </row>
        <row r="2080">
          <cell r="A2080">
            <v>42370</v>
          </cell>
          <cell r="FR2080">
            <v>23.223904808569614</v>
          </cell>
          <cell r="FS2080">
            <v>22.314663874962239</v>
          </cell>
          <cell r="FT2080">
            <v>20.116606119778133</v>
          </cell>
          <cell r="FU2080">
            <v>17.065595346429742</v>
          </cell>
          <cell r="FV2080">
            <v>23.167616893126525</v>
          </cell>
          <cell r="GG2080">
            <v>14.278034720296411</v>
          </cell>
          <cell r="GH2080">
            <v>13.982143405445317</v>
          </cell>
          <cell r="GI2080">
            <v>10.408007395026372</v>
          </cell>
          <cell r="GJ2080">
            <v>7.7337520878462023</v>
          </cell>
          <cell r="GK2080">
            <v>13.082262702206542</v>
          </cell>
        </row>
        <row r="2081">
          <cell r="A2081">
            <v>42373</v>
          </cell>
          <cell r="FR2081">
            <v>22.440229695142357</v>
          </cell>
          <cell r="FS2081">
            <v>22.314663874962239</v>
          </cell>
          <cell r="FT2081">
            <v>20.116606119778133</v>
          </cell>
          <cell r="FU2081">
            <v>17.065595346429742</v>
          </cell>
          <cell r="FV2081">
            <v>23.167616893126525</v>
          </cell>
          <cell r="GG2081">
            <v>13.987956615694017</v>
          </cell>
          <cell r="GH2081">
            <v>13.982143405445317</v>
          </cell>
          <cell r="GI2081">
            <v>10.408007395026372</v>
          </cell>
          <cell r="GJ2081">
            <v>7.7337520878462023</v>
          </cell>
          <cell r="GK2081">
            <v>13.082262702206542</v>
          </cell>
        </row>
        <row r="2082">
          <cell r="A2082">
            <v>42374</v>
          </cell>
          <cell r="FR2082">
            <v>22.438150743213608</v>
          </cell>
          <cell r="FS2082">
            <v>22.314663874962239</v>
          </cell>
          <cell r="FT2082">
            <v>20.116606119778133</v>
          </cell>
          <cell r="FU2082">
            <v>17.065595346429742</v>
          </cell>
          <cell r="FV2082">
            <v>23.167616893126525</v>
          </cell>
          <cell r="GG2082">
            <v>13.973702869738492</v>
          </cell>
          <cell r="GH2082">
            <v>13.982143405445317</v>
          </cell>
          <cell r="GI2082">
            <v>10.408007395026372</v>
          </cell>
          <cell r="GJ2082">
            <v>7.7337520878462023</v>
          </cell>
          <cell r="GK2082">
            <v>13.082262702206542</v>
          </cell>
        </row>
        <row r="2083">
          <cell r="A2083">
            <v>42375</v>
          </cell>
          <cell r="FR2083">
            <v>22.278476810759155</v>
          </cell>
          <cell r="FS2083">
            <v>22.314663874962239</v>
          </cell>
          <cell r="FT2083">
            <v>20.116606119778133</v>
          </cell>
          <cell r="FU2083">
            <v>17.065595346429742</v>
          </cell>
          <cell r="FV2083">
            <v>23.167616893126525</v>
          </cell>
          <cell r="GG2083">
            <v>13.960752422298233</v>
          </cell>
          <cell r="GH2083">
            <v>13.982143405445317</v>
          </cell>
          <cell r="GI2083">
            <v>10.408007395026372</v>
          </cell>
          <cell r="GJ2083">
            <v>7.7337520878462023</v>
          </cell>
          <cell r="GK2083">
            <v>13.082262702206542</v>
          </cell>
        </row>
        <row r="2084">
          <cell r="A2084">
            <v>42376</v>
          </cell>
          <cell r="FR2084">
            <v>21.794733290215657</v>
          </cell>
          <cell r="FS2084">
            <v>22.314663874962239</v>
          </cell>
          <cell r="FT2084">
            <v>20.116606119778133</v>
          </cell>
          <cell r="FU2084">
            <v>17.065595346429742</v>
          </cell>
          <cell r="FV2084">
            <v>23.167616893126525</v>
          </cell>
          <cell r="GG2084">
            <v>13.677708793688561</v>
          </cell>
          <cell r="GH2084">
            <v>13.982143405445317</v>
          </cell>
          <cell r="GI2084">
            <v>10.408007395026372</v>
          </cell>
          <cell r="GJ2084">
            <v>7.7337520878462023</v>
          </cell>
          <cell r="GK2084">
            <v>13.082262702206542</v>
          </cell>
        </row>
        <row r="2085">
          <cell r="A2085">
            <v>42377</v>
          </cell>
          <cell r="FR2085">
            <v>21.597126577959553</v>
          </cell>
          <cell r="FS2085">
            <v>22.314663874962239</v>
          </cell>
          <cell r="FT2085">
            <v>20.116606119778133</v>
          </cell>
          <cell r="FU2085">
            <v>17.065595346429742</v>
          </cell>
          <cell r="FV2085">
            <v>23.167616893126525</v>
          </cell>
          <cell r="GG2085">
            <v>13.718657907111448</v>
          </cell>
          <cell r="GH2085">
            <v>13.982143405445317</v>
          </cell>
          <cell r="GI2085">
            <v>10.408007395026372</v>
          </cell>
          <cell r="GJ2085">
            <v>7.7337520878462023</v>
          </cell>
          <cell r="GK2085">
            <v>13.082262702206542</v>
          </cell>
        </row>
        <row r="2086">
          <cell r="A2086">
            <v>42380</v>
          </cell>
          <cell r="FR2086">
            <v>19.755097036807818</v>
          </cell>
          <cell r="FS2086">
            <v>22.314663874962239</v>
          </cell>
          <cell r="FT2086">
            <v>20.116606119778133</v>
          </cell>
          <cell r="FU2086">
            <v>17.065595346429742</v>
          </cell>
          <cell r="FV2086">
            <v>23.167616893126525</v>
          </cell>
          <cell r="GG2086">
            <v>11.965763839595384</v>
          </cell>
          <cell r="GH2086">
            <v>13.982143405445317</v>
          </cell>
          <cell r="GI2086">
            <v>10.408007395026372</v>
          </cell>
          <cell r="GJ2086">
            <v>7.7337520878462023</v>
          </cell>
          <cell r="GK2086">
            <v>13.082262702206542</v>
          </cell>
        </row>
        <row r="2087">
          <cell r="A2087">
            <v>42381</v>
          </cell>
          <cell r="FR2087">
            <v>19.555166859056637</v>
          </cell>
          <cell r="FS2087">
            <v>22.314663874962239</v>
          </cell>
          <cell r="FT2087">
            <v>20.116606119778133</v>
          </cell>
          <cell r="FU2087">
            <v>17.065595346429742</v>
          </cell>
          <cell r="FV2087">
            <v>23.167616893126525</v>
          </cell>
          <cell r="GG2087">
            <v>12.313043802874811</v>
          </cell>
          <cell r="GH2087">
            <v>13.982143405445317</v>
          </cell>
          <cell r="GI2087">
            <v>10.408007395026372</v>
          </cell>
          <cell r="GJ2087">
            <v>7.7337520878462023</v>
          </cell>
          <cell r="GK2087">
            <v>13.082262702206542</v>
          </cell>
        </row>
        <row r="2088">
          <cell r="A2088">
            <v>42382</v>
          </cell>
          <cell r="FR2088">
            <v>19.451463144684705</v>
          </cell>
          <cell r="FS2088">
            <v>22.314663874962239</v>
          </cell>
          <cell r="FT2088">
            <v>20.116606119778133</v>
          </cell>
          <cell r="FU2088">
            <v>17.065595346429742</v>
          </cell>
          <cell r="FV2088">
            <v>23.167616893126525</v>
          </cell>
          <cell r="GG2088">
            <v>12.025950242196938</v>
          </cell>
          <cell r="GH2088">
            <v>13.982143405445317</v>
          </cell>
          <cell r="GI2088">
            <v>10.408007395026372</v>
          </cell>
          <cell r="GJ2088">
            <v>7.7337520878462023</v>
          </cell>
          <cell r="GK2088">
            <v>13.082262702206542</v>
          </cell>
        </row>
        <row r="2089">
          <cell r="A2089">
            <v>42383</v>
          </cell>
          <cell r="FR2089">
            <v>19.342359767893669</v>
          </cell>
          <cell r="FS2089">
            <v>22.314663874962239</v>
          </cell>
          <cell r="FT2089">
            <v>20.116606119778133</v>
          </cell>
          <cell r="FU2089">
            <v>17.065595346429742</v>
          </cell>
          <cell r="FV2089">
            <v>23.167616893126525</v>
          </cell>
          <cell r="GG2089">
            <v>12.078499631647786</v>
          </cell>
          <cell r="GH2089">
            <v>13.982143405445317</v>
          </cell>
          <cell r="GI2089">
            <v>10.408007395026372</v>
          </cell>
          <cell r="GJ2089">
            <v>7.7337520878462023</v>
          </cell>
          <cell r="GK2089">
            <v>13.082262702206542</v>
          </cell>
        </row>
        <row r="2090">
          <cell r="A2090">
            <v>42384</v>
          </cell>
          <cell r="FR2090">
            <v>18.849994625345378</v>
          </cell>
          <cell r="FS2090">
            <v>22.314663874962239</v>
          </cell>
          <cell r="FT2090">
            <v>20.116606119778133</v>
          </cell>
          <cell r="FU2090">
            <v>17.065595346429742</v>
          </cell>
          <cell r="FV2090">
            <v>23.167616893126525</v>
          </cell>
          <cell r="GG2090">
            <v>12.204521046138733</v>
          </cell>
          <cell r="GH2090">
            <v>13.982143405445317</v>
          </cell>
          <cell r="GI2090">
            <v>10.408007395026372</v>
          </cell>
          <cell r="GJ2090">
            <v>7.7337520878462023</v>
          </cell>
          <cell r="GK2090">
            <v>13.082262702206542</v>
          </cell>
        </row>
        <row r="2091">
          <cell r="A2091">
            <v>42387</v>
          </cell>
          <cell r="FR2091">
            <v>18.905718505742868</v>
          </cell>
          <cell r="FS2091">
            <v>22.314663874962239</v>
          </cell>
          <cell r="FT2091">
            <v>20.116606119778133</v>
          </cell>
          <cell r="FU2091">
            <v>17.065595346429742</v>
          </cell>
          <cell r="FV2091">
            <v>23.167616893126525</v>
          </cell>
          <cell r="GG2091">
            <v>11.907996964920594</v>
          </cell>
          <cell r="GH2091">
            <v>13.982143405445317</v>
          </cell>
          <cell r="GI2091">
            <v>10.408007395026372</v>
          </cell>
          <cell r="GJ2091">
            <v>7.7337520878462023</v>
          </cell>
          <cell r="GK2091">
            <v>13.082262702206542</v>
          </cell>
        </row>
        <row r="2092">
          <cell r="A2092">
            <v>42388</v>
          </cell>
          <cell r="FR2092">
            <v>19.162985821351839</v>
          </cell>
          <cell r="FS2092">
            <v>22.314663874962239</v>
          </cell>
          <cell r="FT2092">
            <v>20.116606119778133</v>
          </cell>
          <cell r="FU2092">
            <v>17.065595346429742</v>
          </cell>
          <cell r="FV2092">
            <v>23.167616893126525</v>
          </cell>
          <cell r="GG2092">
            <v>11.925294219012255</v>
          </cell>
          <cell r="GH2092">
            <v>13.982143405445317</v>
          </cell>
          <cell r="GI2092">
            <v>10.408007395026372</v>
          </cell>
          <cell r="GJ2092">
            <v>7.7337520878462023</v>
          </cell>
          <cell r="GK2092">
            <v>13.082262702206542</v>
          </cell>
        </row>
        <row r="2093">
          <cell r="A2093">
            <v>42389</v>
          </cell>
          <cell r="FR2093">
            <v>19.225828954673503</v>
          </cell>
          <cell r="FS2093">
            <v>22.314663874962239</v>
          </cell>
          <cell r="FT2093">
            <v>20.116606119778133</v>
          </cell>
          <cell r="FU2093">
            <v>17.065595346429742</v>
          </cell>
          <cell r="FV2093">
            <v>23.167616893126525</v>
          </cell>
          <cell r="GG2093">
            <v>11.938123153229419</v>
          </cell>
          <cell r="GH2093">
            <v>13.982143405445317</v>
          </cell>
          <cell r="GI2093">
            <v>10.408007395026372</v>
          </cell>
          <cell r="GJ2093">
            <v>7.7337520878462023</v>
          </cell>
          <cell r="GK2093">
            <v>13.082262702206542</v>
          </cell>
        </row>
        <row r="2094">
          <cell r="A2094">
            <v>42390</v>
          </cell>
          <cell r="FR2094">
            <v>19.008662363523452</v>
          </cell>
          <cell r="FS2094">
            <v>22.314663874962239</v>
          </cell>
          <cell r="FT2094">
            <v>20.116606119778133</v>
          </cell>
          <cell r="FU2094">
            <v>17.065595346429742</v>
          </cell>
          <cell r="FV2094">
            <v>23.167616893126525</v>
          </cell>
          <cell r="GG2094">
            <v>11.946158562682035</v>
          </cell>
          <cell r="GH2094">
            <v>13.982143405445317</v>
          </cell>
          <cell r="GI2094">
            <v>10.408007395026372</v>
          </cell>
          <cell r="GJ2094">
            <v>7.7337520878462023</v>
          </cell>
          <cell r="GK2094">
            <v>13.082262702206542</v>
          </cell>
        </row>
        <row r="2095">
          <cell r="A2095">
            <v>42391</v>
          </cell>
          <cell r="FR2095">
            <v>19.879521581473561</v>
          </cell>
          <cell r="FS2095">
            <v>22.314663874962239</v>
          </cell>
          <cell r="FT2095">
            <v>20.116606119778133</v>
          </cell>
          <cell r="FU2095">
            <v>17.065595346429742</v>
          </cell>
          <cell r="FV2095">
            <v>23.167616893126525</v>
          </cell>
          <cell r="GG2095">
            <v>12.039032864292631</v>
          </cell>
          <cell r="GH2095">
            <v>13.982143405445317</v>
          </cell>
          <cell r="GI2095">
            <v>10.408007395026372</v>
          </cell>
          <cell r="GJ2095">
            <v>7.7337520878462023</v>
          </cell>
          <cell r="GK2095">
            <v>13.082262702206542</v>
          </cell>
        </row>
        <row r="2096">
          <cell r="A2096">
            <v>42394</v>
          </cell>
          <cell r="FR2096">
            <v>20.069831520682129</v>
          </cell>
          <cell r="FS2096">
            <v>22.314663874962239</v>
          </cell>
          <cell r="FT2096">
            <v>20.116606119778133</v>
          </cell>
          <cell r="FU2096">
            <v>17.065595346429742</v>
          </cell>
          <cell r="FV2096">
            <v>23.167616893126525</v>
          </cell>
          <cell r="GG2096">
            <v>12.41280863424589</v>
          </cell>
          <cell r="GH2096">
            <v>13.982143405445317</v>
          </cell>
          <cell r="GI2096">
            <v>10.408007395026372</v>
          </cell>
          <cell r="GJ2096">
            <v>7.7337520878462023</v>
          </cell>
          <cell r="GK2096">
            <v>13.082262702206542</v>
          </cell>
        </row>
        <row r="2097">
          <cell r="A2097">
            <v>42395</v>
          </cell>
          <cell r="FR2097">
            <v>20.052564573209498</v>
          </cell>
          <cell r="FS2097">
            <v>22.314663874962239</v>
          </cell>
          <cell r="FT2097">
            <v>20.116606119778133</v>
          </cell>
          <cell r="FU2097">
            <v>17.065595346429742</v>
          </cell>
          <cell r="FV2097">
            <v>23.167616893126525</v>
          </cell>
          <cell r="GG2097">
            <v>12.467377290238556</v>
          </cell>
          <cell r="GH2097">
            <v>13.982143405445317</v>
          </cell>
          <cell r="GI2097">
            <v>10.408007395026372</v>
          </cell>
          <cell r="GJ2097">
            <v>7.7337520878462023</v>
          </cell>
          <cell r="GK2097">
            <v>13.082262702206542</v>
          </cell>
        </row>
        <row r="2098">
          <cell r="A2098">
            <v>42396</v>
          </cell>
          <cell r="FR2098">
            <v>19.753013024774056</v>
          </cell>
          <cell r="FS2098">
            <v>22.314663874962239</v>
          </cell>
          <cell r="FT2098">
            <v>20.116606119778133</v>
          </cell>
          <cell r="FU2098">
            <v>17.065595346429742</v>
          </cell>
          <cell r="FV2098">
            <v>23.167616893126525</v>
          </cell>
          <cell r="GG2098">
            <v>12.445907652655565</v>
          </cell>
          <cell r="GH2098">
            <v>13.982143405445317</v>
          </cell>
          <cell r="GI2098">
            <v>10.408007395026372</v>
          </cell>
          <cell r="GJ2098">
            <v>7.7337520878462023</v>
          </cell>
          <cell r="GK2098">
            <v>13.082262702206542</v>
          </cell>
        </row>
        <row r="2099">
          <cell r="A2099">
            <v>42397</v>
          </cell>
          <cell r="FR2099">
            <v>19.726872246698061</v>
          </cell>
          <cell r="FS2099">
            <v>22.314663874962239</v>
          </cell>
          <cell r="FT2099">
            <v>20.116606119778133</v>
          </cell>
          <cell r="FU2099">
            <v>17.065595346429742</v>
          </cell>
          <cell r="FV2099">
            <v>23.167616893126525</v>
          </cell>
          <cell r="GG2099">
            <v>12.448553842701209</v>
          </cell>
          <cell r="GH2099">
            <v>13.982143405445317</v>
          </cell>
          <cell r="GI2099">
            <v>10.408007395026372</v>
          </cell>
          <cell r="GJ2099">
            <v>7.7337520878462023</v>
          </cell>
          <cell r="GK2099">
            <v>13.082262702206542</v>
          </cell>
        </row>
        <row r="2100">
          <cell r="A2100">
            <v>42398</v>
          </cell>
          <cell r="FR2100">
            <v>20.066261983655689</v>
          </cell>
          <cell r="FS2100">
            <v>22.314663874962239</v>
          </cell>
          <cell r="FT2100">
            <v>20.116606119778133</v>
          </cell>
          <cell r="FU2100">
            <v>17.065595346429742</v>
          </cell>
          <cell r="FV2100">
            <v>23.167616893126525</v>
          </cell>
          <cell r="GG2100">
            <v>12.425046712064802</v>
          </cell>
          <cell r="GH2100">
            <v>13.982143405445317</v>
          </cell>
          <cell r="GI2100">
            <v>10.408007395026372</v>
          </cell>
          <cell r="GJ2100">
            <v>7.7337520878462023</v>
          </cell>
          <cell r="GK2100">
            <v>13.082262702206542</v>
          </cell>
        </row>
        <row r="2101">
          <cell r="A2101">
            <v>42401</v>
          </cell>
          <cell r="FR2101">
            <v>19.740610873105414</v>
          </cell>
          <cell r="FS2101">
            <v>22.314663874962239</v>
          </cell>
          <cell r="FT2101">
            <v>20.116606119778133</v>
          </cell>
          <cell r="FU2101">
            <v>17.065595346429742</v>
          </cell>
          <cell r="FV2101">
            <v>23.167616893126525</v>
          </cell>
          <cell r="GG2101">
            <v>12.431331069889533</v>
          </cell>
          <cell r="GH2101">
            <v>13.982143405445317</v>
          </cell>
          <cell r="GI2101">
            <v>10.408007395026372</v>
          </cell>
          <cell r="GJ2101">
            <v>7.7337520878462023</v>
          </cell>
          <cell r="GK2101">
            <v>13.082262702206542</v>
          </cell>
        </row>
        <row r="2102">
          <cell r="A2102">
            <v>42402</v>
          </cell>
          <cell r="FR2102">
            <v>19.372775057111742</v>
          </cell>
          <cell r="FS2102">
            <v>22.314663874962239</v>
          </cell>
          <cell r="FT2102">
            <v>20.116606119778133</v>
          </cell>
          <cell r="FU2102">
            <v>17.065595346429742</v>
          </cell>
          <cell r="FV2102">
            <v>23.167616893126525</v>
          </cell>
          <cell r="GG2102">
            <v>12.329603819632252</v>
          </cell>
          <cell r="GH2102">
            <v>13.982143405445317</v>
          </cell>
          <cell r="GI2102">
            <v>10.408007395026372</v>
          </cell>
          <cell r="GJ2102">
            <v>7.7337520878462023</v>
          </cell>
          <cell r="GK2102">
            <v>13.082262702206542</v>
          </cell>
        </row>
        <row r="2103">
          <cell r="A2103">
            <v>42403</v>
          </cell>
          <cell r="FR2103">
            <v>19.155765797002935</v>
          </cell>
          <cell r="FS2103">
            <v>22.314663874962239</v>
          </cell>
          <cell r="FT2103">
            <v>20.116606119778133</v>
          </cell>
          <cell r="FU2103">
            <v>17.065595346429742</v>
          </cell>
          <cell r="FV2103">
            <v>23.167616893126525</v>
          </cell>
          <cell r="GG2103">
            <v>12.090623648472635</v>
          </cell>
          <cell r="GH2103">
            <v>13.982143405445317</v>
          </cell>
          <cell r="GI2103">
            <v>10.408007395026372</v>
          </cell>
          <cell r="GJ2103">
            <v>7.7337520878462023</v>
          </cell>
          <cell r="GK2103">
            <v>13.082262702206542</v>
          </cell>
        </row>
        <row r="2104">
          <cell r="A2104">
            <v>42404</v>
          </cell>
          <cell r="FR2104">
            <v>18.887469500958616</v>
          </cell>
          <cell r="FS2104">
            <v>22.314663874962239</v>
          </cell>
          <cell r="FT2104">
            <v>20.116606119778133</v>
          </cell>
          <cell r="FU2104">
            <v>17.065595346429742</v>
          </cell>
          <cell r="FV2104">
            <v>23.167616893126525</v>
          </cell>
          <cell r="GG2104">
            <v>12.19876704158561</v>
          </cell>
          <cell r="GH2104">
            <v>13.982143405445317</v>
          </cell>
          <cell r="GI2104">
            <v>10.408007395026372</v>
          </cell>
          <cell r="GJ2104">
            <v>7.7337520878462023</v>
          </cell>
          <cell r="GK2104">
            <v>13.082262702206542</v>
          </cell>
        </row>
        <row r="2105">
          <cell r="A2105">
            <v>42405</v>
          </cell>
          <cell r="FR2105">
            <v>18.505498021979935</v>
          </cell>
          <cell r="FS2105">
            <v>22.314663874962239</v>
          </cell>
          <cell r="FT2105">
            <v>20.116606119778133</v>
          </cell>
          <cell r="FU2105">
            <v>17.065595346429742</v>
          </cell>
          <cell r="FV2105">
            <v>23.167616893126525</v>
          </cell>
          <cell r="GG2105">
            <v>12.231281586613585</v>
          </cell>
          <cell r="GH2105">
            <v>13.982143405445317</v>
          </cell>
          <cell r="GI2105">
            <v>10.408007395026372</v>
          </cell>
          <cell r="GJ2105">
            <v>7.7337520878462023</v>
          </cell>
          <cell r="GK2105">
            <v>13.082262702206542</v>
          </cell>
        </row>
        <row r="2106">
          <cell r="A2106">
            <v>42408</v>
          </cell>
          <cell r="FR2106">
            <v>18.00952421411796</v>
          </cell>
          <cell r="FS2106">
            <v>22.314663874962239</v>
          </cell>
          <cell r="FT2106">
            <v>20.116606119778133</v>
          </cell>
          <cell r="FU2106">
            <v>17.065595346429742</v>
          </cell>
          <cell r="FV2106">
            <v>23.167616893126525</v>
          </cell>
          <cell r="GG2106">
            <v>11.52838685545289</v>
          </cell>
          <cell r="GH2106">
            <v>13.982143405445317</v>
          </cell>
          <cell r="GI2106">
            <v>10.408007395026372</v>
          </cell>
          <cell r="GJ2106">
            <v>7.7337520878462023</v>
          </cell>
          <cell r="GK2106">
            <v>13.082262702206542</v>
          </cell>
        </row>
        <row r="2107">
          <cell r="A2107">
            <v>42409</v>
          </cell>
          <cell r="FR2107">
            <v>18.049302820370411</v>
          </cell>
          <cell r="FS2107">
            <v>22.314663874962239</v>
          </cell>
          <cell r="FT2107">
            <v>20.116606119778133</v>
          </cell>
          <cell r="FU2107">
            <v>17.065595346429742</v>
          </cell>
          <cell r="FV2107">
            <v>23.167616893126525</v>
          </cell>
          <cell r="GG2107">
            <v>11.177715344091103</v>
          </cell>
          <cell r="GH2107">
            <v>13.982143405445317</v>
          </cell>
          <cell r="GI2107">
            <v>10.408007395026372</v>
          </cell>
          <cell r="GJ2107">
            <v>7.7337520878462023</v>
          </cell>
          <cell r="GK2107">
            <v>13.082262702206542</v>
          </cell>
        </row>
        <row r="2108">
          <cell r="A2108">
            <v>42410</v>
          </cell>
          <cell r="FR2108">
            <v>18.093263820511083</v>
          </cell>
          <cell r="FS2108">
            <v>22.314663874962239</v>
          </cell>
          <cell r="FT2108">
            <v>20.116606119778133</v>
          </cell>
          <cell r="FU2108">
            <v>17.065595346429742</v>
          </cell>
          <cell r="FV2108">
            <v>23.167616893126525</v>
          </cell>
          <cell r="GG2108">
            <v>11.295814111639071</v>
          </cell>
          <cell r="GH2108">
            <v>13.982143405445317</v>
          </cell>
          <cell r="GI2108">
            <v>10.408007395026372</v>
          </cell>
          <cell r="GJ2108">
            <v>7.7337520878462023</v>
          </cell>
          <cell r="GK2108">
            <v>13.082262702206542</v>
          </cell>
        </row>
        <row r="2109">
          <cell r="A2109">
            <v>42411</v>
          </cell>
          <cell r="FR2109">
            <v>17.917433007457188</v>
          </cell>
          <cell r="FS2109">
            <v>22.314663874962239</v>
          </cell>
          <cell r="FT2109">
            <v>20.116606119778133</v>
          </cell>
          <cell r="FU2109">
            <v>17.065595346429742</v>
          </cell>
          <cell r="FV2109">
            <v>23.167616893126525</v>
          </cell>
          <cell r="GG2109">
            <v>11.34799856544924</v>
          </cell>
          <cell r="GH2109">
            <v>13.982143405445317</v>
          </cell>
          <cell r="GI2109">
            <v>10.408007395026372</v>
          </cell>
          <cell r="GJ2109">
            <v>7.7337520878462023</v>
          </cell>
          <cell r="GK2109">
            <v>13.082262702206542</v>
          </cell>
        </row>
        <row r="2110">
          <cell r="A2110">
            <v>42412</v>
          </cell>
          <cell r="FR2110">
            <v>18.244324476411752</v>
          </cell>
          <cell r="FS2110">
            <v>22.314663874962239</v>
          </cell>
          <cell r="FT2110">
            <v>20.116606119778133</v>
          </cell>
          <cell r="FU2110">
            <v>17.065595346429742</v>
          </cell>
          <cell r="FV2110">
            <v>23.167616893126525</v>
          </cell>
          <cell r="GG2110">
            <v>11.34799856544924</v>
          </cell>
          <cell r="GH2110">
            <v>13.982143405445317</v>
          </cell>
          <cell r="GI2110">
            <v>10.408007395026372</v>
          </cell>
          <cell r="GJ2110">
            <v>7.7337520878462023</v>
          </cell>
          <cell r="GK2110">
            <v>13.082262702206542</v>
          </cell>
        </row>
        <row r="2111">
          <cell r="A2111">
            <v>42415</v>
          </cell>
          <cell r="FR2111">
            <v>18.80096647538706</v>
          </cell>
          <cell r="FS2111">
            <v>22.314663874962239</v>
          </cell>
          <cell r="FT2111">
            <v>20.116606119778133</v>
          </cell>
          <cell r="FU2111">
            <v>17.065595346429742</v>
          </cell>
          <cell r="FV2111">
            <v>23.167616893126525</v>
          </cell>
          <cell r="GG2111">
            <v>11.136847105113066</v>
          </cell>
          <cell r="GH2111">
            <v>13.982143405445317</v>
          </cell>
          <cell r="GI2111">
            <v>10.408007395026372</v>
          </cell>
          <cell r="GJ2111">
            <v>7.7337520878462023</v>
          </cell>
          <cell r="GK2111">
            <v>13.082262702206542</v>
          </cell>
        </row>
        <row r="2112">
          <cell r="A2112">
            <v>42416</v>
          </cell>
          <cell r="FR2112">
            <v>18.810022651768818</v>
          </cell>
          <cell r="FS2112">
            <v>22.314663874962239</v>
          </cell>
          <cell r="FT2112">
            <v>20.116606119778133</v>
          </cell>
          <cell r="FU2112">
            <v>17.065595346429742</v>
          </cell>
          <cell r="FV2112">
            <v>23.167616893126525</v>
          </cell>
          <cell r="GG2112">
            <v>12.248387792098537</v>
          </cell>
          <cell r="GH2112">
            <v>13.982143405445317</v>
          </cell>
          <cell r="GI2112">
            <v>10.408007395026372</v>
          </cell>
          <cell r="GJ2112">
            <v>7.7337520878462023</v>
          </cell>
          <cell r="GK2112">
            <v>13.082262702206542</v>
          </cell>
        </row>
        <row r="2113">
          <cell r="A2113">
            <v>42417</v>
          </cell>
          <cell r="FR2113">
            <v>19.308364240412786</v>
          </cell>
          <cell r="FS2113">
            <v>22.314663874962239</v>
          </cell>
          <cell r="FT2113">
            <v>20.116606119778133</v>
          </cell>
          <cell r="FU2113">
            <v>17.065595346429742</v>
          </cell>
          <cell r="FV2113">
            <v>23.167616893126525</v>
          </cell>
          <cell r="GG2113">
            <v>11.489891909666326</v>
          </cell>
          <cell r="GH2113">
            <v>13.982143405445317</v>
          </cell>
          <cell r="GI2113">
            <v>10.408007395026372</v>
          </cell>
          <cell r="GJ2113">
            <v>7.7337520878462023</v>
          </cell>
          <cell r="GK2113">
            <v>13.082262702206542</v>
          </cell>
        </row>
        <row r="2114">
          <cell r="A2114">
            <v>42418</v>
          </cell>
          <cell r="FR2114">
            <v>19.344615221989354</v>
          </cell>
          <cell r="FS2114">
            <v>22.314663874962239</v>
          </cell>
          <cell r="FT2114">
            <v>20.116606119778133</v>
          </cell>
          <cell r="FU2114">
            <v>17.065595346429742</v>
          </cell>
          <cell r="FV2114">
            <v>23.167616893126525</v>
          </cell>
          <cell r="GG2114">
            <v>11.760195570296927</v>
          </cell>
          <cell r="GH2114">
            <v>13.982143405445317</v>
          </cell>
          <cell r="GI2114">
            <v>10.408007395026372</v>
          </cell>
          <cell r="GJ2114">
            <v>7.7337520878462023</v>
          </cell>
          <cell r="GK2114">
            <v>13.082262702206542</v>
          </cell>
        </row>
        <row r="2115">
          <cell r="A2115">
            <v>42419</v>
          </cell>
          <cell r="FR2115">
            <v>19.52582663847986</v>
          </cell>
          <cell r="FS2115">
            <v>22.314663874962239</v>
          </cell>
          <cell r="FT2115">
            <v>20.116606119778133</v>
          </cell>
          <cell r="FU2115">
            <v>17.065595346429742</v>
          </cell>
          <cell r="FV2115">
            <v>23.167616893126525</v>
          </cell>
          <cell r="GG2115">
            <v>11.958783583151909</v>
          </cell>
          <cell r="GH2115">
            <v>13.982143405445317</v>
          </cell>
          <cell r="GI2115">
            <v>10.408007395026372</v>
          </cell>
          <cell r="GJ2115">
            <v>7.7337520878462023</v>
          </cell>
          <cell r="GK2115">
            <v>13.082262702206542</v>
          </cell>
        </row>
        <row r="2116">
          <cell r="A2116">
            <v>42422</v>
          </cell>
          <cell r="FR2116">
            <v>19.697704353085513</v>
          </cell>
          <cell r="FS2116">
            <v>22.314663874962239</v>
          </cell>
          <cell r="FT2116">
            <v>20.116606119778133</v>
          </cell>
          <cell r="FU2116">
            <v>17.065595346429742</v>
          </cell>
          <cell r="FV2116">
            <v>23.167616893126525</v>
          </cell>
          <cell r="GG2116">
            <v>11.969299729301028</v>
          </cell>
          <cell r="GH2116">
            <v>13.982143405445317</v>
          </cell>
          <cell r="GI2116">
            <v>10.408007395026372</v>
          </cell>
          <cell r="GJ2116">
            <v>7.7337520878462023</v>
          </cell>
          <cell r="GK2116">
            <v>13.082262702206542</v>
          </cell>
        </row>
        <row r="2117">
          <cell r="A2117">
            <v>42423</v>
          </cell>
          <cell r="FR2117">
            <v>19.47098125755949</v>
          </cell>
          <cell r="FS2117">
            <v>22.314663874962239</v>
          </cell>
          <cell r="FT2117">
            <v>20.116606119778133</v>
          </cell>
          <cell r="FU2117">
            <v>17.065595346429742</v>
          </cell>
          <cell r="FV2117">
            <v>23.167616893126525</v>
          </cell>
          <cell r="GG2117">
            <v>12.085319907246927</v>
          </cell>
          <cell r="GH2117">
            <v>13.982143405445317</v>
          </cell>
          <cell r="GI2117">
            <v>10.408007395026372</v>
          </cell>
          <cell r="GJ2117">
            <v>7.7337520878462023</v>
          </cell>
          <cell r="GK2117">
            <v>13.082262702206542</v>
          </cell>
        </row>
        <row r="2118">
          <cell r="A2118">
            <v>42424</v>
          </cell>
          <cell r="FR2118">
            <v>19.407491535673149</v>
          </cell>
          <cell r="FS2118">
            <v>22.314663874962239</v>
          </cell>
          <cell r="FT2118">
            <v>20.116606119778133</v>
          </cell>
          <cell r="FU2118">
            <v>17.065595346429742</v>
          </cell>
          <cell r="FV2118">
            <v>23.167616893126525</v>
          </cell>
          <cell r="GG2118">
            <v>12.074275970426013</v>
          </cell>
          <cell r="GH2118">
            <v>13.982143405445317</v>
          </cell>
          <cell r="GI2118">
            <v>10.408007395026372</v>
          </cell>
          <cell r="GJ2118">
            <v>7.7337520878462023</v>
          </cell>
          <cell r="GK2118">
            <v>13.082262702206542</v>
          </cell>
        </row>
        <row r="2119">
          <cell r="A2119">
            <v>42425</v>
          </cell>
          <cell r="FR2119">
            <v>19.597945284161682</v>
          </cell>
          <cell r="FS2119">
            <v>22.314663874962239</v>
          </cell>
          <cell r="FT2119">
            <v>20.116606119778133</v>
          </cell>
          <cell r="FU2119">
            <v>17.065595346429742</v>
          </cell>
          <cell r="FV2119">
            <v>23.167616893126525</v>
          </cell>
          <cell r="GG2119">
            <v>11.927863833070196</v>
          </cell>
          <cell r="GH2119">
            <v>13.982143405445317</v>
          </cell>
          <cell r="GI2119">
            <v>10.408007395026372</v>
          </cell>
          <cell r="GJ2119">
            <v>7.7337520878462023</v>
          </cell>
          <cell r="GK2119">
            <v>13.082262702206542</v>
          </cell>
        </row>
        <row r="2120">
          <cell r="A2120">
            <v>42426</v>
          </cell>
          <cell r="FR2120">
            <v>19.534456469167718</v>
          </cell>
          <cell r="FS2120">
            <v>22.314663874962239</v>
          </cell>
          <cell r="FT2120">
            <v>20.116606119778133</v>
          </cell>
          <cell r="FU2120">
            <v>17.065595346429742</v>
          </cell>
          <cell r="FV2120">
            <v>23.167616893126525</v>
          </cell>
          <cell r="GG2120">
            <v>12.14069485732059</v>
          </cell>
          <cell r="GH2120">
            <v>13.982143405445317</v>
          </cell>
          <cell r="GI2120">
            <v>10.408007395026372</v>
          </cell>
          <cell r="GJ2120">
            <v>7.7337520878462023</v>
          </cell>
          <cell r="GK2120">
            <v>13.082262702206542</v>
          </cell>
        </row>
        <row r="2121">
          <cell r="A2121">
            <v>42429</v>
          </cell>
          <cell r="FR2121">
            <v>19.144499093109637</v>
          </cell>
          <cell r="FS2121">
            <v>22.314663874962239</v>
          </cell>
          <cell r="FT2121">
            <v>20.116606119778133</v>
          </cell>
          <cell r="FU2121">
            <v>17.065595346429742</v>
          </cell>
          <cell r="FV2121">
            <v>23.167616893126525</v>
          </cell>
          <cell r="GG2121">
            <v>12.071600151062945</v>
          </cell>
          <cell r="GH2121">
            <v>13.982143405445317</v>
          </cell>
          <cell r="GI2121">
            <v>10.408007395026372</v>
          </cell>
          <cell r="GJ2121">
            <v>7.7337520878462023</v>
          </cell>
          <cell r="GK2121">
            <v>13.082262702206542</v>
          </cell>
        </row>
        <row r="2122">
          <cell r="A2122">
            <v>42430</v>
          </cell>
          <cell r="FR2122">
            <v>19.58651146067416</v>
          </cell>
          <cell r="FS2122">
            <v>22.314663874962239</v>
          </cell>
          <cell r="FT2122">
            <v>20.116606119778133</v>
          </cell>
          <cell r="FU2122">
            <v>17.065595346429742</v>
          </cell>
          <cell r="FV2122">
            <v>23.167616893126525</v>
          </cell>
          <cell r="GG2122">
            <v>11.996797753605643</v>
          </cell>
          <cell r="GH2122">
            <v>13.982143405445317</v>
          </cell>
          <cell r="GI2122">
            <v>10.408007395026372</v>
          </cell>
          <cell r="GJ2122">
            <v>7.7337520878462023</v>
          </cell>
          <cell r="GK2122">
            <v>13.082262702206542</v>
          </cell>
        </row>
        <row r="2123">
          <cell r="A2123">
            <v>42431</v>
          </cell>
          <cell r="FR2123">
            <v>19.847192808988769</v>
          </cell>
          <cell r="FS2123">
            <v>22.314663874962239</v>
          </cell>
          <cell r="FT2123">
            <v>20.116606119778133</v>
          </cell>
          <cell r="FU2123">
            <v>17.065595346429742</v>
          </cell>
          <cell r="FV2123">
            <v>23.167616893126525</v>
          </cell>
          <cell r="GG2123">
            <v>12.208102835276124</v>
          </cell>
          <cell r="GH2123">
            <v>13.982143405445317</v>
          </cell>
          <cell r="GI2123">
            <v>10.408007395026372</v>
          </cell>
          <cell r="GJ2123">
            <v>7.7337520878462023</v>
          </cell>
          <cell r="GK2123">
            <v>13.082262702206542</v>
          </cell>
        </row>
        <row r="2124">
          <cell r="A2124">
            <v>42432</v>
          </cell>
          <cell r="FR2124">
            <v>19.95505348314607</v>
          </cell>
          <cell r="FS2124">
            <v>22.314663874962239</v>
          </cell>
          <cell r="FT2124">
            <v>20.116606119778133</v>
          </cell>
          <cell r="FU2124">
            <v>17.065595346429742</v>
          </cell>
          <cell r="FV2124">
            <v>23.167616893126525</v>
          </cell>
          <cell r="GG2124">
            <v>12.441357279641727</v>
          </cell>
          <cell r="GH2124">
            <v>13.982143405445317</v>
          </cell>
          <cell r="GI2124">
            <v>10.408007395026372</v>
          </cell>
          <cell r="GJ2124">
            <v>7.7337520878462023</v>
          </cell>
          <cell r="GK2124">
            <v>13.082262702206542</v>
          </cell>
        </row>
        <row r="2125">
          <cell r="A2125">
            <v>42433</v>
          </cell>
          <cell r="FR2125">
            <v>20.017982022471916</v>
          </cell>
          <cell r="FS2125">
            <v>22.314663874962239</v>
          </cell>
          <cell r="FT2125">
            <v>20.116606119778133</v>
          </cell>
          <cell r="FU2125">
            <v>17.065595346429742</v>
          </cell>
          <cell r="FV2125">
            <v>23.167616893126525</v>
          </cell>
          <cell r="GG2125">
            <v>12.441357279641727</v>
          </cell>
          <cell r="GH2125">
            <v>13.982143405445317</v>
          </cell>
          <cell r="GI2125">
            <v>10.408007395026372</v>
          </cell>
          <cell r="GJ2125">
            <v>7.7337520878462023</v>
          </cell>
          <cell r="GK2125">
            <v>13.082262702206542</v>
          </cell>
        </row>
        <row r="2126">
          <cell r="A2126">
            <v>42436</v>
          </cell>
          <cell r="FR2126">
            <v>19.964230689714071</v>
          </cell>
          <cell r="FS2126">
            <v>22.314663874962239</v>
          </cell>
          <cell r="FT2126">
            <v>20.116606119778133</v>
          </cell>
          <cell r="FU2126">
            <v>17.065595346429742</v>
          </cell>
          <cell r="FV2126">
            <v>23.167616893126525</v>
          </cell>
          <cell r="GG2126">
            <v>12.440359867236197</v>
          </cell>
          <cell r="GH2126">
            <v>13.982143405445317</v>
          </cell>
          <cell r="GI2126">
            <v>10.408007395026372</v>
          </cell>
          <cell r="GJ2126">
            <v>7.7337520878462023</v>
          </cell>
          <cell r="GK2126">
            <v>13.082262702206542</v>
          </cell>
        </row>
        <row r="2127">
          <cell r="A2127">
            <v>42437</v>
          </cell>
          <cell r="FR2127">
            <v>19.550737534719417</v>
          </cell>
          <cell r="FS2127">
            <v>22.314663874962239</v>
          </cell>
          <cell r="FT2127">
            <v>20.116606119778133</v>
          </cell>
          <cell r="FU2127">
            <v>17.065595346429742</v>
          </cell>
          <cell r="FV2127">
            <v>23.167616893126525</v>
          </cell>
          <cell r="GG2127">
            <v>12.347059845746314</v>
          </cell>
          <cell r="GH2127">
            <v>13.982143405445317</v>
          </cell>
          <cell r="GI2127">
            <v>10.408007395026372</v>
          </cell>
          <cell r="GJ2127">
            <v>7.7337520878462023</v>
          </cell>
          <cell r="GK2127">
            <v>13.082262702206542</v>
          </cell>
        </row>
        <row r="2128">
          <cell r="A2128">
            <v>42438</v>
          </cell>
          <cell r="FR2128">
            <v>19.442875891019249</v>
          </cell>
          <cell r="FS2128">
            <v>22.314663874962239</v>
          </cell>
          <cell r="FT2128">
            <v>20.116606119778133</v>
          </cell>
          <cell r="FU2128">
            <v>17.065595346429742</v>
          </cell>
          <cell r="FV2128">
            <v>23.167616893126525</v>
          </cell>
          <cell r="GG2128">
            <v>12.17417726260207</v>
          </cell>
          <cell r="GH2128">
            <v>13.982143405445317</v>
          </cell>
          <cell r="GI2128">
            <v>10.408007395026372</v>
          </cell>
          <cell r="GJ2128">
            <v>7.7337520878462023</v>
          </cell>
          <cell r="GK2128">
            <v>13.082262702206542</v>
          </cell>
        </row>
        <row r="2129">
          <cell r="A2129">
            <v>42439</v>
          </cell>
          <cell r="FR2129">
            <v>19.182019775280903</v>
          </cell>
          <cell r="FS2129">
            <v>22.314663874962239</v>
          </cell>
          <cell r="FT2129">
            <v>20.116606119778133</v>
          </cell>
          <cell r="FU2129">
            <v>17.065595346429742</v>
          </cell>
          <cell r="FV2129">
            <v>23.167616893126525</v>
          </cell>
          <cell r="GG2129">
            <v>12.17417726260207</v>
          </cell>
          <cell r="GH2129">
            <v>13.982143405445317</v>
          </cell>
          <cell r="GI2129">
            <v>10.408007395026372</v>
          </cell>
          <cell r="GJ2129">
            <v>7.7337520878462023</v>
          </cell>
          <cell r="GK2129">
            <v>13.082262702206542</v>
          </cell>
        </row>
        <row r="2130">
          <cell r="A2130">
            <v>42440</v>
          </cell>
          <cell r="FR2130">
            <v>19.622473707865172</v>
          </cell>
          <cell r="FS2130">
            <v>22.314663874962239</v>
          </cell>
          <cell r="FT2130">
            <v>20.116606119778133</v>
          </cell>
          <cell r="FU2130">
            <v>17.065595346429742</v>
          </cell>
          <cell r="FV2130">
            <v>23.167616893126525</v>
          </cell>
          <cell r="GG2130">
            <v>12.088195803781471</v>
          </cell>
          <cell r="GH2130">
            <v>13.982143405445317</v>
          </cell>
          <cell r="GI2130">
            <v>10.408007395026372</v>
          </cell>
          <cell r="GJ2130">
            <v>7.7337520878462023</v>
          </cell>
          <cell r="GK2130">
            <v>13.082262702206542</v>
          </cell>
        </row>
        <row r="2131">
          <cell r="A2131">
            <v>42443</v>
          </cell>
          <cell r="FR2131">
            <v>20.116858426966296</v>
          </cell>
          <cell r="FS2131">
            <v>22.314663874962239</v>
          </cell>
          <cell r="FT2131">
            <v>20.116606119778133</v>
          </cell>
          <cell r="FU2131">
            <v>17.065595346429742</v>
          </cell>
          <cell r="FV2131">
            <v>23.167616893126525</v>
          </cell>
          <cell r="GG2131">
            <v>11.997611818935193</v>
          </cell>
          <cell r="GH2131">
            <v>13.982143405445317</v>
          </cell>
          <cell r="GI2131">
            <v>10.408007395026372</v>
          </cell>
          <cell r="GJ2131">
            <v>7.7337520878462023</v>
          </cell>
          <cell r="GK2131">
            <v>13.082262702206542</v>
          </cell>
        </row>
        <row r="2132">
          <cell r="A2132">
            <v>42444</v>
          </cell>
          <cell r="FR2132">
            <v>19.487634157303372</v>
          </cell>
          <cell r="FS2132">
            <v>22.314663874962239</v>
          </cell>
          <cell r="FT2132">
            <v>20.116606119778133</v>
          </cell>
          <cell r="FU2132">
            <v>17.065595346429742</v>
          </cell>
          <cell r="FV2132">
            <v>23.167616893126525</v>
          </cell>
          <cell r="GG2132">
            <v>12.302185677148854</v>
          </cell>
          <cell r="GH2132">
            <v>13.982143405445317</v>
          </cell>
          <cell r="GI2132">
            <v>10.408007395026372</v>
          </cell>
          <cell r="GJ2132">
            <v>7.7337520878462023</v>
          </cell>
          <cell r="GK2132">
            <v>13.082262702206542</v>
          </cell>
        </row>
        <row r="2133">
          <cell r="A2133">
            <v>42445</v>
          </cell>
          <cell r="FR2133">
            <v>19.45168539325843</v>
          </cell>
          <cell r="FS2133">
            <v>22.314663874962239</v>
          </cell>
          <cell r="FT2133">
            <v>20.116606119778133</v>
          </cell>
          <cell r="FU2133">
            <v>17.065595346429742</v>
          </cell>
          <cell r="FV2133">
            <v>23.167616893126525</v>
          </cell>
          <cell r="GG2133">
            <v>12.066210399956409</v>
          </cell>
          <cell r="GH2133">
            <v>13.982143405445317</v>
          </cell>
          <cell r="GI2133">
            <v>10.408007395026372</v>
          </cell>
          <cell r="GJ2133">
            <v>7.7337520878462023</v>
          </cell>
          <cell r="GK2133">
            <v>13.082262702206542</v>
          </cell>
        </row>
        <row r="2134">
          <cell r="A2134">
            <v>42446</v>
          </cell>
          <cell r="FR2134">
            <v>19.289893932584274</v>
          </cell>
          <cell r="FS2134">
            <v>22.314663874962239</v>
          </cell>
          <cell r="FT2134">
            <v>20.116606119778133</v>
          </cell>
          <cell r="FU2134">
            <v>17.065595346429742</v>
          </cell>
          <cell r="FV2134">
            <v>23.167616893126525</v>
          </cell>
          <cell r="GG2134">
            <v>12.022306210525537</v>
          </cell>
          <cell r="GH2134">
            <v>13.982143405445317</v>
          </cell>
          <cell r="GI2134">
            <v>10.408007395026372</v>
          </cell>
          <cell r="GJ2134">
            <v>7.7337520878462023</v>
          </cell>
          <cell r="GK2134">
            <v>13.082262702206542</v>
          </cell>
        </row>
        <row r="2135">
          <cell r="A2135">
            <v>42447</v>
          </cell>
          <cell r="FR2135">
            <v>19.604492584269668</v>
          </cell>
          <cell r="FS2135">
            <v>22.314663874962239</v>
          </cell>
          <cell r="FT2135">
            <v>20.116606119778133</v>
          </cell>
          <cell r="FU2135">
            <v>17.065595346429742</v>
          </cell>
          <cell r="FV2135">
            <v>23.167616893126525</v>
          </cell>
          <cell r="GG2135">
            <v>12.022306210525537</v>
          </cell>
          <cell r="GH2135">
            <v>13.982143405445317</v>
          </cell>
          <cell r="GI2135">
            <v>10.408007395026372</v>
          </cell>
          <cell r="GJ2135">
            <v>7.7337520878462023</v>
          </cell>
          <cell r="GK2135">
            <v>13.082262702206542</v>
          </cell>
        </row>
        <row r="2136">
          <cell r="A2136">
            <v>42450</v>
          </cell>
          <cell r="FR2136">
            <v>19.739509568625341</v>
          </cell>
          <cell r="FS2136">
            <v>22.314663874962239</v>
          </cell>
          <cell r="FT2136">
            <v>20.116606119778133</v>
          </cell>
          <cell r="FU2136">
            <v>17.065595346429742</v>
          </cell>
          <cell r="FV2136">
            <v>23.167616893126525</v>
          </cell>
          <cell r="GG2136">
            <v>11.84120485905223</v>
          </cell>
          <cell r="GH2136">
            <v>13.982143405445317</v>
          </cell>
          <cell r="GI2136">
            <v>10.408007395026372</v>
          </cell>
          <cell r="GJ2136">
            <v>7.7337520878462023</v>
          </cell>
          <cell r="GK2136">
            <v>13.082262702206542</v>
          </cell>
        </row>
        <row r="2137">
          <cell r="A2137">
            <v>42451</v>
          </cell>
          <cell r="FR2137">
            <v>19.721528283400307</v>
          </cell>
          <cell r="FS2137">
            <v>22.314663874962239</v>
          </cell>
          <cell r="FT2137">
            <v>20.116606119778133</v>
          </cell>
          <cell r="FU2137">
            <v>17.065595346429742</v>
          </cell>
          <cell r="FV2137">
            <v>23.167616893126525</v>
          </cell>
          <cell r="GG2137">
            <v>12.088158104362661</v>
          </cell>
          <cell r="GH2137">
            <v>13.982143405445317</v>
          </cell>
          <cell r="GI2137">
            <v>10.408007395026372</v>
          </cell>
          <cell r="GJ2137">
            <v>7.7337520878462023</v>
          </cell>
          <cell r="GK2137">
            <v>13.082262702206542</v>
          </cell>
        </row>
        <row r="2138">
          <cell r="A2138">
            <v>42452</v>
          </cell>
          <cell r="FR2138">
            <v>19.544369087547544</v>
          </cell>
          <cell r="FS2138">
            <v>22.314663874962239</v>
          </cell>
          <cell r="FT2138">
            <v>20.116606119778133</v>
          </cell>
          <cell r="FU2138">
            <v>17.065595346429742</v>
          </cell>
          <cell r="FV2138">
            <v>23.167616893126525</v>
          </cell>
          <cell r="GG2138">
            <v>12.007397186283393</v>
          </cell>
          <cell r="GH2138">
            <v>13.982143405445317</v>
          </cell>
          <cell r="GI2138">
            <v>10.408007395026372</v>
          </cell>
          <cell r="GJ2138">
            <v>7.7337520878462023</v>
          </cell>
          <cell r="GK2138">
            <v>13.082262702206542</v>
          </cell>
        </row>
        <row r="2139">
          <cell r="A2139">
            <v>42453</v>
          </cell>
          <cell r="FR2139">
            <v>19.52819231633341</v>
          </cell>
          <cell r="FS2139">
            <v>22.314663874962239</v>
          </cell>
          <cell r="FT2139">
            <v>20.116606119778133</v>
          </cell>
          <cell r="FU2139">
            <v>17.065595346429742</v>
          </cell>
          <cell r="FV2139">
            <v>23.167616893126525</v>
          </cell>
          <cell r="GG2139">
            <v>12.007397186283393</v>
          </cell>
          <cell r="GH2139">
            <v>13.982143405445317</v>
          </cell>
          <cell r="GI2139">
            <v>10.408007395026372</v>
          </cell>
          <cell r="GJ2139">
            <v>7.7337520878462023</v>
          </cell>
          <cell r="GK2139">
            <v>13.082262702206542</v>
          </cell>
        </row>
        <row r="2140">
          <cell r="A2140">
            <v>42454</v>
          </cell>
          <cell r="FR2140">
            <v>19.52819231633341</v>
          </cell>
          <cell r="FS2140">
            <v>22.314663874962239</v>
          </cell>
          <cell r="FT2140">
            <v>20.116606119778133</v>
          </cell>
          <cell r="FU2140">
            <v>17.065595346429742</v>
          </cell>
          <cell r="FV2140">
            <v>23.167616893126525</v>
          </cell>
          <cell r="GG2140">
            <v>12.007397186283393</v>
          </cell>
          <cell r="GH2140">
            <v>13.982143405445317</v>
          </cell>
          <cell r="GI2140">
            <v>10.408007395026372</v>
          </cell>
          <cell r="GJ2140">
            <v>7.7337520878462023</v>
          </cell>
          <cell r="GK2140">
            <v>13.082262702206542</v>
          </cell>
        </row>
        <row r="2141">
          <cell r="A2141">
            <v>42457</v>
          </cell>
          <cell r="FR2141">
            <v>19.456296562570209</v>
          </cell>
          <cell r="FS2141">
            <v>22.314663874962239</v>
          </cell>
          <cell r="FT2141">
            <v>20.116606119778133</v>
          </cell>
          <cell r="FU2141">
            <v>17.065595346429742</v>
          </cell>
          <cell r="FV2141">
            <v>23.167616893126525</v>
          </cell>
          <cell r="GG2141">
            <v>12.018371561542379</v>
          </cell>
          <cell r="GH2141">
            <v>13.982143405445317</v>
          </cell>
          <cell r="GI2141">
            <v>10.408007395026372</v>
          </cell>
          <cell r="GJ2141">
            <v>7.7337520878462023</v>
          </cell>
          <cell r="GK2141">
            <v>13.082262702206542</v>
          </cell>
        </row>
        <row r="2142">
          <cell r="A2142">
            <v>42458</v>
          </cell>
          <cell r="FR2142">
            <v>19.842733767692657</v>
          </cell>
          <cell r="FS2142">
            <v>22.314663874962239</v>
          </cell>
          <cell r="FT2142">
            <v>20.116606119778133</v>
          </cell>
          <cell r="FU2142">
            <v>17.065595346429742</v>
          </cell>
          <cell r="FV2142">
            <v>23.167616893126525</v>
          </cell>
          <cell r="GG2142">
            <v>11.971736501391142</v>
          </cell>
          <cell r="GH2142">
            <v>13.982143405445317</v>
          </cell>
          <cell r="GI2142">
            <v>10.408007395026372</v>
          </cell>
          <cell r="GJ2142">
            <v>7.7337520878462023</v>
          </cell>
          <cell r="GK2142">
            <v>13.082262702206542</v>
          </cell>
        </row>
        <row r="2143">
          <cell r="A2143">
            <v>42459</v>
          </cell>
          <cell r="FR2143">
            <v>19.81577533138621</v>
          </cell>
          <cell r="FS2143">
            <v>22.314663874962239</v>
          </cell>
          <cell r="FT2143">
            <v>20.116606119778133</v>
          </cell>
          <cell r="FU2143">
            <v>17.065595346429742</v>
          </cell>
          <cell r="FV2143">
            <v>23.167616893126525</v>
          </cell>
          <cell r="GG2143">
            <v>11.966253154024939</v>
          </cell>
          <cell r="GH2143">
            <v>13.982143405445317</v>
          </cell>
          <cell r="GI2143">
            <v>10.408007395026372</v>
          </cell>
          <cell r="GJ2143">
            <v>7.7337520878462023</v>
          </cell>
          <cell r="GK2143">
            <v>13.082262702206542</v>
          </cell>
        </row>
        <row r="2144">
          <cell r="A2144">
            <v>42460</v>
          </cell>
          <cell r="FR2144">
            <v>20.076384632666819</v>
          </cell>
          <cell r="FS2144">
            <v>22.314663874962239</v>
          </cell>
          <cell r="FT2144">
            <v>20.116606119778133</v>
          </cell>
          <cell r="FU2144">
            <v>17.065595346429742</v>
          </cell>
          <cell r="FV2144">
            <v>23.167616893126525</v>
          </cell>
          <cell r="GG2144">
            <v>11.988193675407292</v>
          </cell>
          <cell r="GH2144">
            <v>13.982143405445317</v>
          </cell>
          <cell r="GI2144">
            <v>10.408007395026372</v>
          </cell>
          <cell r="GJ2144">
            <v>7.7337520878462023</v>
          </cell>
          <cell r="GK2144">
            <v>13.082262702206542</v>
          </cell>
        </row>
        <row r="2145">
          <cell r="A2145">
            <v>42461</v>
          </cell>
          <cell r="FR2145">
            <v>20.460215558196822</v>
          </cell>
          <cell r="FS2145">
            <v>22.314663874962239</v>
          </cell>
          <cell r="FT2145">
            <v>20.116606119778133</v>
          </cell>
          <cell r="FU2145">
            <v>17.065595346429742</v>
          </cell>
          <cell r="FV2145">
            <v>23.167616893126525</v>
          </cell>
          <cell r="GG2145">
            <v>11.904712253996099</v>
          </cell>
          <cell r="GH2145">
            <v>13.982143405445317</v>
          </cell>
          <cell r="GI2145">
            <v>10.408007395026372</v>
          </cell>
          <cell r="GJ2145">
            <v>7.7337520878462023</v>
          </cell>
          <cell r="GK2145">
            <v>13.082262702206542</v>
          </cell>
        </row>
        <row r="2146">
          <cell r="A2146">
            <v>42464</v>
          </cell>
          <cell r="FR2146">
            <v>20.553619591838789</v>
          </cell>
          <cell r="FS2146">
            <v>22.314663874962239</v>
          </cell>
          <cell r="FT2146">
            <v>20.116606119778133</v>
          </cell>
          <cell r="FU2146">
            <v>17.065595346429742</v>
          </cell>
          <cell r="FV2146">
            <v>23.167616893126525</v>
          </cell>
          <cell r="GG2146">
            <v>12.212519519271401</v>
          </cell>
          <cell r="GH2146">
            <v>13.982143405445317</v>
          </cell>
          <cell r="GI2146">
            <v>10.408007395026372</v>
          </cell>
          <cell r="GJ2146">
            <v>7.7337520878462023</v>
          </cell>
          <cell r="GK2146">
            <v>13.082262702206542</v>
          </cell>
        </row>
        <row r="2147">
          <cell r="A2147">
            <v>42465</v>
          </cell>
          <cell r="FR2147">
            <v>19.582936697590085</v>
          </cell>
          <cell r="FS2147">
            <v>22.314663874962239</v>
          </cell>
          <cell r="FT2147">
            <v>20.116606119778133</v>
          </cell>
          <cell r="FU2147">
            <v>17.065595346429742</v>
          </cell>
          <cell r="FV2147">
            <v>23.167616893126525</v>
          </cell>
          <cell r="GG2147">
            <v>12.324202297939779</v>
          </cell>
          <cell r="GH2147">
            <v>13.982143405445317</v>
          </cell>
          <cell r="GI2147">
            <v>10.408007395026372</v>
          </cell>
          <cell r="GJ2147">
            <v>7.7337520878462023</v>
          </cell>
          <cell r="GK2147">
            <v>13.082262702206542</v>
          </cell>
        </row>
        <row r="2148">
          <cell r="A2148">
            <v>42466</v>
          </cell>
          <cell r="FR2148">
            <v>20.451711441309619</v>
          </cell>
          <cell r="FS2148">
            <v>22.314663874962239</v>
          </cell>
          <cell r="FT2148">
            <v>20.116606119778133</v>
          </cell>
          <cell r="FU2148">
            <v>17.065595346429742</v>
          </cell>
          <cell r="FV2148">
            <v>23.167616893126525</v>
          </cell>
          <cell r="GG2148">
            <v>12.324202297939779</v>
          </cell>
          <cell r="GH2148">
            <v>13.982143405445317</v>
          </cell>
          <cell r="GI2148">
            <v>10.408007395026372</v>
          </cell>
          <cell r="GJ2148">
            <v>7.7337520878462023</v>
          </cell>
          <cell r="GK2148">
            <v>13.082262702206542</v>
          </cell>
        </row>
        <row r="2149">
          <cell r="A2149">
            <v>42467</v>
          </cell>
          <cell r="FR2149">
            <v>20.041601188709283</v>
          </cell>
          <cell r="FS2149">
            <v>22.314663874962239</v>
          </cell>
          <cell r="FT2149">
            <v>20.116606119778133</v>
          </cell>
          <cell r="FU2149">
            <v>17.065595346429742</v>
          </cell>
          <cell r="FV2149">
            <v>23.167616893126525</v>
          </cell>
          <cell r="GG2149">
            <v>11.861136782856461</v>
          </cell>
          <cell r="GH2149">
            <v>13.982143405445317</v>
          </cell>
          <cell r="GI2149">
            <v>10.408007395026372</v>
          </cell>
          <cell r="GJ2149">
            <v>7.7337520878462023</v>
          </cell>
          <cell r="GK2149">
            <v>13.082262702206542</v>
          </cell>
        </row>
        <row r="2150">
          <cell r="A2150">
            <v>42468</v>
          </cell>
          <cell r="FR2150">
            <v>20.086108076011513</v>
          </cell>
          <cell r="FS2150">
            <v>22.314663874962239</v>
          </cell>
          <cell r="FT2150">
            <v>20.116606119778133</v>
          </cell>
          <cell r="FU2150">
            <v>17.065595346429742</v>
          </cell>
          <cell r="FV2150">
            <v>23.167616893126525</v>
          </cell>
          <cell r="GG2150">
            <v>12.169462025636539</v>
          </cell>
          <cell r="GH2150">
            <v>13.982143405445317</v>
          </cell>
          <cell r="GI2150">
            <v>10.408007395026372</v>
          </cell>
          <cell r="GJ2150">
            <v>7.7337520878462023</v>
          </cell>
          <cell r="GK2150">
            <v>13.082262702206542</v>
          </cell>
        </row>
        <row r="2151">
          <cell r="A2151">
            <v>42471</v>
          </cell>
          <cell r="FR2151">
            <v>20.194670875252932</v>
          </cell>
          <cell r="FS2151">
            <v>22.314663874962239</v>
          </cell>
          <cell r="FT2151">
            <v>20.116606119778133</v>
          </cell>
          <cell r="FU2151">
            <v>17.065595346429742</v>
          </cell>
          <cell r="FV2151">
            <v>23.167616893126525</v>
          </cell>
          <cell r="GG2151">
            <v>12.109519280904605</v>
          </cell>
          <cell r="GH2151">
            <v>13.982143405445317</v>
          </cell>
          <cell r="GI2151">
            <v>10.408007395026372</v>
          </cell>
          <cell r="GJ2151">
            <v>7.7337520878462023</v>
          </cell>
          <cell r="GK2151">
            <v>13.082262702206542</v>
          </cell>
        </row>
        <row r="2152">
          <cell r="A2152">
            <v>42472</v>
          </cell>
          <cell r="FR2152">
            <v>20.096680840451928</v>
          </cell>
          <cell r="FS2152">
            <v>22.314663874962239</v>
          </cell>
          <cell r="FT2152">
            <v>20.116606119778133</v>
          </cell>
          <cell r="FU2152">
            <v>17.065595346429742</v>
          </cell>
          <cell r="FV2152">
            <v>23.167616893126525</v>
          </cell>
          <cell r="GG2152">
            <v>12.114965351730522</v>
          </cell>
          <cell r="GH2152">
            <v>13.982143405445317</v>
          </cell>
          <cell r="GI2152">
            <v>10.408007395026372</v>
          </cell>
          <cell r="GJ2152">
            <v>7.7337520878462023</v>
          </cell>
          <cell r="GK2152">
            <v>13.082262702206542</v>
          </cell>
        </row>
        <row r="2153">
          <cell r="A2153">
            <v>42473</v>
          </cell>
          <cell r="FR2153">
            <v>20.399552813181284</v>
          </cell>
          <cell r="FS2153">
            <v>22.314663874962239</v>
          </cell>
          <cell r="FT2153">
            <v>20.116606119778133</v>
          </cell>
          <cell r="FU2153">
            <v>17.065595346429742</v>
          </cell>
          <cell r="FV2153">
            <v>23.167616893126525</v>
          </cell>
          <cell r="GG2153">
            <v>12.234851386128435</v>
          </cell>
          <cell r="GH2153">
            <v>13.982143405445317</v>
          </cell>
          <cell r="GI2153">
            <v>10.408007395026372</v>
          </cell>
          <cell r="GJ2153">
            <v>7.7337520878462023</v>
          </cell>
          <cell r="GK2153">
            <v>13.082262702206542</v>
          </cell>
        </row>
        <row r="2154">
          <cell r="A2154">
            <v>42474</v>
          </cell>
          <cell r="FR2154">
            <v>20.40451808035321</v>
          </cell>
          <cell r="FS2154">
            <v>22.314663874962239</v>
          </cell>
          <cell r="FT2154">
            <v>20.116606119778133</v>
          </cell>
          <cell r="FU2154">
            <v>17.065595346429742</v>
          </cell>
          <cell r="FV2154">
            <v>23.167616893126525</v>
          </cell>
          <cell r="GG2154">
            <v>12.316588222976813</v>
          </cell>
          <cell r="GH2154">
            <v>13.982143405445317</v>
          </cell>
          <cell r="GI2154">
            <v>10.408007395026372</v>
          </cell>
          <cell r="GJ2154">
            <v>7.7337520878462023</v>
          </cell>
          <cell r="GK2154">
            <v>13.082262702206542</v>
          </cell>
        </row>
        <row r="2155">
          <cell r="A2155">
            <v>42475</v>
          </cell>
          <cell r="FR2155">
            <v>20.698943639983156</v>
          </cell>
          <cell r="FS2155">
            <v>22.314663874962239</v>
          </cell>
          <cell r="FT2155">
            <v>20.116606119778133</v>
          </cell>
          <cell r="FU2155">
            <v>17.065595346429742</v>
          </cell>
          <cell r="FV2155">
            <v>23.167616893126525</v>
          </cell>
          <cell r="GG2155">
            <v>12.406507244481103</v>
          </cell>
          <cell r="GH2155">
            <v>13.982143405445317</v>
          </cell>
          <cell r="GI2155">
            <v>10.408007395026372</v>
          </cell>
          <cell r="GJ2155">
            <v>7.7337520878462023</v>
          </cell>
          <cell r="GK2155">
            <v>13.082262702206542</v>
          </cell>
        </row>
        <row r="2156">
          <cell r="A2156">
            <v>42478</v>
          </cell>
          <cell r="FR2156">
            <v>20.895228535997738</v>
          </cell>
          <cell r="FS2156">
            <v>22.314663874962239</v>
          </cell>
          <cell r="FT2156">
            <v>20.116606119778133</v>
          </cell>
          <cell r="FU2156">
            <v>17.065595346429742</v>
          </cell>
          <cell r="FV2156">
            <v>23.167616893126525</v>
          </cell>
          <cell r="GG2156">
            <v>12.362911431171611</v>
          </cell>
          <cell r="GH2156">
            <v>13.982143405445317</v>
          </cell>
          <cell r="GI2156">
            <v>10.408007395026372</v>
          </cell>
          <cell r="GJ2156">
            <v>7.7337520878462023</v>
          </cell>
          <cell r="GK2156">
            <v>13.082262702206542</v>
          </cell>
        </row>
        <row r="2157">
          <cell r="A2157">
            <v>42479</v>
          </cell>
          <cell r="FR2157">
            <v>21.002786101600275</v>
          </cell>
          <cell r="FS2157">
            <v>22.314663874962239</v>
          </cell>
          <cell r="FT2157">
            <v>20.116606119778133</v>
          </cell>
          <cell r="FU2157">
            <v>17.065595346429742</v>
          </cell>
          <cell r="FV2157">
            <v>23.167616893126525</v>
          </cell>
          <cell r="GG2157">
            <v>12.573766624038402</v>
          </cell>
          <cell r="GH2157">
            <v>13.982143405445317</v>
          </cell>
          <cell r="GI2157">
            <v>10.408007395026372</v>
          </cell>
          <cell r="GJ2157">
            <v>7.7337520878462023</v>
          </cell>
          <cell r="GK2157">
            <v>13.082262702206542</v>
          </cell>
        </row>
        <row r="2158">
          <cell r="A2158">
            <v>42480</v>
          </cell>
          <cell r="FR2158">
            <v>21.038453374716717</v>
          </cell>
          <cell r="FS2158">
            <v>22.314663874962239</v>
          </cell>
          <cell r="FT2158">
            <v>20.116606119778133</v>
          </cell>
          <cell r="FU2158">
            <v>17.065595346429742</v>
          </cell>
          <cell r="FV2158">
            <v>23.167616893126525</v>
          </cell>
          <cell r="GG2158">
            <v>12.555733090768699</v>
          </cell>
          <cell r="GH2158">
            <v>13.982143405445317</v>
          </cell>
          <cell r="GI2158">
            <v>10.408007395026372</v>
          </cell>
          <cell r="GJ2158">
            <v>7.7337520878462023</v>
          </cell>
          <cell r="GK2158">
            <v>13.082262702206542</v>
          </cell>
        </row>
        <row r="2159">
          <cell r="A2159">
            <v>42481</v>
          </cell>
          <cell r="FR2159">
            <v>21.43494117647273</v>
          </cell>
          <cell r="FS2159">
            <v>22.314663874962239</v>
          </cell>
          <cell r="FT2159">
            <v>20.116606119778133</v>
          </cell>
          <cell r="FU2159">
            <v>17.065595346429742</v>
          </cell>
          <cell r="FV2159">
            <v>23.167616893126525</v>
          </cell>
          <cell r="GG2159">
            <v>12.611130837531574</v>
          </cell>
          <cell r="GH2159">
            <v>13.982143405445317</v>
          </cell>
          <cell r="GI2159">
            <v>10.408007395026372</v>
          </cell>
          <cell r="GJ2159">
            <v>7.7337520878462023</v>
          </cell>
          <cell r="GK2159">
            <v>13.082262702206542</v>
          </cell>
        </row>
        <row r="2160">
          <cell r="A2160">
            <v>42482</v>
          </cell>
          <cell r="FR2160">
            <v>21.26559803921781</v>
          </cell>
          <cell r="FS2160">
            <v>22.314663874962239</v>
          </cell>
          <cell r="FT2160">
            <v>20.116606119778133</v>
          </cell>
          <cell r="FU2160">
            <v>17.065595346429742</v>
          </cell>
          <cell r="FV2160">
            <v>23.167616893126525</v>
          </cell>
          <cell r="GG2160">
            <v>12.611130837531574</v>
          </cell>
          <cell r="GH2160">
            <v>13.982143405445317</v>
          </cell>
          <cell r="GI2160">
            <v>10.408007395026372</v>
          </cell>
          <cell r="GJ2160">
            <v>7.7337520878462023</v>
          </cell>
          <cell r="GK2160">
            <v>13.082262702206542</v>
          </cell>
        </row>
        <row r="2161">
          <cell r="A2161">
            <v>42485</v>
          </cell>
          <cell r="FR2161">
            <v>21.252965463572089</v>
          </cell>
          <cell r="FS2161">
            <v>22.314663874962239</v>
          </cell>
          <cell r="FT2161">
            <v>20.116606119778133</v>
          </cell>
          <cell r="FU2161">
            <v>17.065595346429742</v>
          </cell>
          <cell r="FV2161">
            <v>23.167616893126525</v>
          </cell>
          <cell r="GG2161">
            <v>12.755311759692225</v>
          </cell>
          <cell r="GH2161">
            <v>13.982143405445317</v>
          </cell>
          <cell r="GI2161">
            <v>10.408007395026372</v>
          </cell>
          <cell r="GJ2161">
            <v>7.7337520878462023</v>
          </cell>
          <cell r="GK2161">
            <v>13.082262702206542</v>
          </cell>
        </row>
        <row r="2162">
          <cell r="A2162">
            <v>42486</v>
          </cell>
          <cell r="FR2162">
            <v>21.074731998849607</v>
          </cell>
          <cell r="FS2162">
            <v>22.314663874962239</v>
          </cell>
          <cell r="FT2162">
            <v>20.116606119778133</v>
          </cell>
          <cell r="FU2162">
            <v>17.065595346429742</v>
          </cell>
          <cell r="FV2162">
            <v>23.167616893126525</v>
          </cell>
          <cell r="GG2162">
            <v>12.793392933669086</v>
          </cell>
          <cell r="GH2162">
            <v>13.982143405445317</v>
          </cell>
          <cell r="GI2162">
            <v>10.408007395026372</v>
          </cell>
          <cell r="GJ2162">
            <v>7.7337520878462023</v>
          </cell>
          <cell r="GK2162">
            <v>13.082262702206542</v>
          </cell>
        </row>
        <row r="2163">
          <cell r="A2163">
            <v>42487</v>
          </cell>
          <cell r="FR2163">
            <v>21.04800049902337</v>
          </cell>
          <cell r="FS2163">
            <v>22.314663874962239</v>
          </cell>
          <cell r="FT2163">
            <v>20.116606119778133</v>
          </cell>
          <cell r="FU2163">
            <v>17.065595346429742</v>
          </cell>
          <cell r="FV2163">
            <v>23.167616893126525</v>
          </cell>
          <cell r="GG2163">
            <v>12.570326548402205</v>
          </cell>
          <cell r="GH2163">
            <v>13.982143405445317</v>
          </cell>
          <cell r="GI2163">
            <v>10.408007395026372</v>
          </cell>
          <cell r="GJ2163">
            <v>7.7337520878462023</v>
          </cell>
          <cell r="GK2163">
            <v>13.082262702206542</v>
          </cell>
        </row>
        <row r="2164">
          <cell r="A2164">
            <v>42488</v>
          </cell>
          <cell r="FR2164">
            <v>20.549810880268453</v>
          </cell>
          <cell r="FS2164">
            <v>22.314663874962239</v>
          </cell>
          <cell r="FT2164">
            <v>20.116606119778133</v>
          </cell>
          <cell r="FU2164">
            <v>17.065595346429742</v>
          </cell>
          <cell r="FV2164">
            <v>23.167616893126525</v>
          </cell>
          <cell r="GG2164">
            <v>12.44607449270373</v>
          </cell>
          <cell r="GH2164">
            <v>13.982143405445317</v>
          </cell>
          <cell r="GI2164">
            <v>10.408007395026372</v>
          </cell>
          <cell r="GJ2164">
            <v>7.7337520878462023</v>
          </cell>
          <cell r="GK2164">
            <v>13.082262702206542</v>
          </cell>
        </row>
        <row r="2165">
          <cell r="A2165">
            <v>42489</v>
          </cell>
          <cell r="FR2165">
            <v>20.366900622978719</v>
          </cell>
          <cell r="FS2165">
            <v>22.314663874962239</v>
          </cell>
          <cell r="FT2165">
            <v>20.116606119778133</v>
          </cell>
          <cell r="FU2165">
            <v>17.065595346429742</v>
          </cell>
          <cell r="FV2165">
            <v>23.167616893126525</v>
          </cell>
          <cell r="GG2165">
            <v>12.622841828979261</v>
          </cell>
          <cell r="GH2165">
            <v>13.982143405445317</v>
          </cell>
          <cell r="GI2165">
            <v>10.408007395026372</v>
          </cell>
          <cell r="GJ2165">
            <v>7.7337520878462023</v>
          </cell>
          <cell r="GK2165">
            <v>13.082262702206542</v>
          </cell>
        </row>
        <row r="2166">
          <cell r="A2166">
            <v>42492</v>
          </cell>
          <cell r="FR2166">
            <v>19.999619604716582</v>
          </cell>
          <cell r="FS2166">
            <v>22.314663874962239</v>
          </cell>
          <cell r="FT2166">
            <v>20.116606119778133</v>
          </cell>
          <cell r="FU2166">
            <v>17.065595346429742</v>
          </cell>
          <cell r="FV2166">
            <v>23.167616893126525</v>
          </cell>
          <cell r="GG2166">
            <v>12.285913658755055</v>
          </cell>
          <cell r="GH2166">
            <v>13.982143405445317</v>
          </cell>
          <cell r="GI2166">
            <v>10.408007395026372</v>
          </cell>
          <cell r="GJ2166">
            <v>7.7337520878462023</v>
          </cell>
          <cell r="GK2166">
            <v>13.082262702206542</v>
          </cell>
        </row>
        <row r="2167">
          <cell r="A2167">
            <v>42493</v>
          </cell>
          <cell r="FR2167">
            <v>19.777599010086199</v>
          </cell>
          <cell r="FS2167">
            <v>22.314663874962239</v>
          </cell>
          <cell r="FT2167">
            <v>20.116606119778133</v>
          </cell>
          <cell r="FU2167">
            <v>17.065595346429742</v>
          </cell>
          <cell r="FV2167">
            <v>23.167616893126525</v>
          </cell>
          <cell r="GG2167">
            <v>11.959632876486786</v>
          </cell>
          <cell r="GH2167">
            <v>13.982143405445317</v>
          </cell>
          <cell r="GI2167">
            <v>10.408007395026372</v>
          </cell>
          <cell r="GJ2167">
            <v>7.7337520878462023</v>
          </cell>
          <cell r="GK2167">
            <v>13.082262702206542</v>
          </cell>
        </row>
        <row r="2168">
          <cell r="A2168">
            <v>42494</v>
          </cell>
          <cell r="FR2168">
            <v>19.289151037652228</v>
          </cell>
          <cell r="FS2168">
            <v>22.314663874962239</v>
          </cell>
          <cell r="FT2168">
            <v>20.116606119778133</v>
          </cell>
          <cell r="FU2168">
            <v>17.065595346429742</v>
          </cell>
          <cell r="FV2168">
            <v>23.167616893126525</v>
          </cell>
          <cell r="GG2168">
            <v>11.828017982777867</v>
          </cell>
          <cell r="GH2168">
            <v>13.982143405445317</v>
          </cell>
          <cell r="GI2168">
            <v>10.408007395026372</v>
          </cell>
          <cell r="GJ2168">
            <v>7.7337520878462023</v>
          </cell>
          <cell r="GK2168">
            <v>13.082262702206542</v>
          </cell>
        </row>
        <row r="2169">
          <cell r="A2169">
            <v>42495</v>
          </cell>
          <cell r="FR2169">
            <v>19.276816538235526</v>
          </cell>
          <cell r="FS2169">
            <v>22.314663874962239</v>
          </cell>
          <cell r="FT2169">
            <v>20.116606119778133</v>
          </cell>
          <cell r="FU2169">
            <v>17.065595346429742</v>
          </cell>
          <cell r="FV2169">
            <v>23.167616893126525</v>
          </cell>
          <cell r="GG2169">
            <v>11.663501147889605</v>
          </cell>
          <cell r="GH2169">
            <v>13.982143405445317</v>
          </cell>
          <cell r="GI2169">
            <v>10.408007395026372</v>
          </cell>
          <cell r="GJ2169">
            <v>7.7337520878462023</v>
          </cell>
          <cell r="GK2169">
            <v>13.082262702206542</v>
          </cell>
        </row>
        <row r="2170">
          <cell r="A2170">
            <v>42496</v>
          </cell>
          <cell r="FR2170">
            <v>19.339063426202337</v>
          </cell>
          <cell r="FS2170">
            <v>22.314663874962239</v>
          </cell>
          <cell r="FT2170">
            <v>20.116606119778133</v>
          </cell>
          <cell r="FU2170">
            <v>17.065595346429742</v>
          </cell>
          <cell r="FV2170">
            <v>23.167616893126525</v>
          </cell>
          <cell r="GG2170">
            <v>11.663501147889605</v>
          </cell>
          <cell r="GH2170">
            <v>13.982143405445317</v>
          </cell>
          <cell r="GI2170">
            <v>10.408007395026372</v>
          </cell>
          <cell r="GJ2170">
            <v>7.7337520878462023</v>
          </cell>
          <cell r="GK2170">
            <v>13.082262702206542</v>
          </cell>
        </row>
        <row r="2171">
          <cell r="A2171">
            <v>42499</v>
          </cell>
          <cell r="FR2171">
            <v>19.508005038531934</v>
          </cell>
          <cell r="FS2171">
            <v>22.314663874962239</v>
          </cell>
          <cell r="FT2171">
            <v>20.116606119778133</v>
          </cell>
          <cell r="FU2171">
            <v>17.065595346429742</v>
          </cell>
          <cell r="FV2171">
            <v>23.167616893126525</v>
          </cell>
          <cell r="GG2171">
            <v>11.758968031889822</v>
          </cell>
          <cell r="GH2171">
            <v>13.982143405445317</v>
          </cell>
          <cell r="GI2171">
            <v>10.408007395026372</v>
          </cell>
          <cell r="GJ2171">
            <v>7.7337520878462023</v>
          </cell>
          <cell r="GK2171">
            <v>13.082262702206542</v>
          </cell>
        </row>
        <row r="2172">
          <cell r="A2172">
            <v>42500</v>
          </cell>
          <cell r="FR2172">
            <v>19.561351511560986</v>
          </cell>
          <cell r="FS2172">
            <v>22.314663874962239</v>
          </cell>
          <cell r="FT2172">
            <v>20.116606119778133</v>
          </cell>
          <cell r="FU2172">
            <v>17.065595346429742</v>
          </cell>
          <cell r="FV2172">
            <v>23.167616893126525</v>
          </cell>
          <cell r="GG2172">
            <v>11.863352947322284</v>
          </cell>
          <cell r="GH2172">
            <v>13.982143405445317</v>
          </cell>
          <cell r="GI2172">
            <v>10.408007395026372</v>
          </cell>
          <cell r="GJ2172">
            <v>7.7337520878462023</v>
          </cell>
          <cell r="GK2172">
            <v>13.082262702206542</v>
          </cell>
        </row>
        <row r="2173">
          <cell r="A2173">
            <v>42501</v>
          </cell>
          <cell r="FR2173">
            <v>19.214582987553836</v>
          </cell>
          <cell r="FS2173">
            <v>22.314663874962239</v>
          </cell>
          <cell r="FT2173">
            <v>20.116606119778133</v>
          </cell>
          <cell r="FU2173">
            <v>17.065595346429742</v>
          </cell>
          <cell r="FV2173">
            <v>23.167616893126525</v>
          </cell>
          <cell r="GG2173">
            <v>11.852371278219275</v>
          </cell>
          <cell r="GH2173">
            <v>13.982143405445317</v>
          </cell>
          <cell r="GI2173">
            <v>10.408007395026372</v>
          </cell>
          <cell r="GJ2173">
            <v>7.7337520878462023</v>
          </cell>
          <cell r="GK2173">
            <v>13.082262702206542</v>
          </cell>
        </row>
        <row r="2174">
          <cell r="A2174">
            <v>42502</v>
          </cell>
          <cell r="FR2174">
            <v>18.930048014228376</v>
          </cell>
          <cell r="FS2174">
            <v>22.314663874962239</v>
          </cell>
          <cell r="FT2174">
            <v>20.116606119778133</v>
          </cell>
          <cell r="FU2174">
            <v>17.065595346429742</v>
          </cell>
          <cell r="FV2174">
            <v>23.167616893126525</v>
          </cell>
          <cell r="GG2174">
            <v>11.764467381918394</v>
          </cell>
          <cell r="GH2174">
            <v>13.982143405445317</v>
          </cell>
          <cell r="GI2174">
            <v>10.408007395026372</v>
          </cell>
          <cell r="GJ2174">
            <v>7.7337520878462023</v>
          </cell>
          <cell r="GK2174">
            <v>13.082262702206542</v>
          </cell>
        </row>
        <row r="2175">
          <cell r="A2175">
            <v>42503</v>
          </cell>
          <cell r="FR2175">
            <v>19.050092471845463</v>
          </cell>
          <cell r="FS2175">
            <v>22.314663874962239</v>
          </cell>
          <cell r="FT2175">
            <v>20.116606119778133</v>
          </cell>
          <cell r="FU2175">
            <v>17.065595346429742</v>
          </cell>
          <cell r="FV2175">
            <v>23.167616893126525</v>
          </cell>
          <cell r="GG2175">
            <v>11.764467381918394</v>
          </cell>
          <cell r="GH2175">
            <v>13.982143405445317</v>
          </cell>
          <cell r="GI2175">
            <v>10.408007395026372</v>
          </cell>
          <cell r="GJ2175">
            <v>7.7337520878462023</v>
          </cell>
          <cell r="GK2175">
            <v>13.082262702206542</v>
          </cell>
        </row>
        <row r="2176">
          <cell r="A2176">
            <v>42506</v>
          </cell>
          <cell r="FR2176">
            <v>19.303503556611343</v>
          </cell>
          <cell r="FS2176">
            <v>22.314663874962239</v>
          </cell>
          <cell r="FT2176">
            <v>20.116606119778133</v>
          </cell>
          <cell r="FU2176">
            <v>17.065595346429742</v>
          </cell>
          <cell r="FV2176">
            <v>23.167616893126525</v>
          </cell>
          <cell r="GG2176">
            <v>11.726006543012272</v>
          </cell>
          <cell r="GH2176">
            <v>13.982143405445317</v>
          </cell>
          <cell r="GI2176">
            <v>10.408007395026372</v>
          </cell>
          <cell r="GJ2176">
            <v>7.7337520878462023</v>
          </cell>
          <cell r="GK2176">
            <v>13.082262702206542</v>
          </cell>
        </row>
        <row r="2177">
          <cell r="A2177">
            <v>42507</v>
          </cell>
          <cell r="FR2177">
            <v>19.054528452876877</v>
          </cell>
          <cell r="FS2177">
            <v>22.314663874962239</v>
          </cell>
          <cell r="FT2177">
            <v>20.116606119778133</v>
          </cell>
          <cell r="FU2177">
            <v>17.065595346429742</v>
          </cell>
          <cell r="FV2177">
            <v>23.167616893126525</v>
          </cell>
          <cell r="GG2177">
            <v>11.791938310937249</v>
          </cell>
          <cell r="GH2177">
            <v>13.982143405445317</v>
          </cell>
          <cell r="GI2177">
            <v>10.408007395026372</v>
          </cell>
          <cell r="GJ2177">
            <v>7.7337520878462023</v>
          </cell>
          <cell r="GK2177">
            <v>13.082262702206542</v>
          </cell>
        </row>
        <row r="2178">
          <cell r="A2178">
            <v>42508</v>
          </cell>
          <cell r="FR2178">
            <v>19.09898873740563</v>
          </cell>
          <cell r="FS2178">
            <v>22.314663874962239</v>
          </cell>
          <cell r="FT2178">
            <v>20.116606119778133</v>
          </cell>
          <cell r="FU2178">
            <v>17.065595346429742</v>
          </cell>
          <cell r="FV2178">
            <v>23.167616893126525</v>
          </cell>
          <cell r="GG2178">
            <v>11.649092556598664</v>
          </cell>
          <cell r="GH2178">
            <v>13.982143405445317</v>
          </cell>
          <cell r="GI2178">
            <v>10.408007395026372</v>
          </cell>
          <cell r="GJ2178">
            <v>7.7337520878462023</v>
          </cell>
          <cell r="GK2178">
            <v>13.082262702206542</v>
          </cell>
        </row>
        <row r="2179">
          <cell r="A2179">
            <v>42509</v>
          </cell>
          <cell r="FR2179">
            <v>18.77445702430542</v>
          </cell>
          <cell r="FS2179">
            <v>22.314663874962239</v>
          </cell>
          <cell r="FT2179">
            <v>20.116606119778133</v>
          </cell>
          <cell r="FU2179">
            <v>17.065595346429742</v>
          </cell>
          <cell r="FV2179">
            <v>23.167616893126525</v>
          </cell>
          <cell r="GG2179">
            <v>11.684804269876119</v>
          </cell>
          <cell r="GH2179">
            <v>13.982143405445317</v>
          </cell>
          <cell r="GI2179">
            <v>10.408007395026372</v>
          </cell>
          <cell r="GJ2179">
            <v>7.7337520878462023</v>
          </cell>
          <cell r="GK2179">
            <v>13.082262702206542</v>
          </cell>
        </row>
        <row r="2180">
          <cell r="A2180">
            <v>42510</v>
          </cell>
          <cell r="FR2180">
            <v>19.045642264376582</v>
          </cell>
          <cell r="FS2180">
            <v>22.314663874962239</v>
          </cell>
          <cell r="FT2180">
            <v>20.116606119778133</v>
          </cell>
          <cell r="FU2180">
            <v>17.065595346429742</v>
          </cell>
          <cell r="FV2180">
            <v>23.167616893126525</v>
          </cell>
          <cell r="GG2180">
            <v>11.684804269876119</v>
          </cell>
          <cell r="GH2180">
            <v>13.982143405445317</v>
          </cell>
          <cell r="GI2180">
            <v>10.408007395026372</v>
          </cell>
          <cell r="GJ2180">
            <v>7.7337520878462023</v>
          </cell>
          <cell r="GK2180">
            <v>13.082262702206542</v>
          </cell>
        </row>
        <row r="2181">
          <cell r="A2181">
            <v>42513</v>
          </cell>
          <cell r="FR2181">
            <v>19.102527290919806</v>
          </cell>
          <cell r="FS2181">
            <v>22.314663874962239</v>
          </cell>
          <cell r="FT2181">
            <v>20.116606119778133</v>
          </cell>
          <cell r="FU2181">
            <v>17.065595346429742</v>
          </cell>
          <cell r="FV2181">
            <v>23.167616893126525</v>
          </cell>
          <cell r="GG2181">
            <v>11.783698076064265</v>
          </cell>
          <cell r="GH2181">
            <v>13.982143405445317</v>
          </cell>
          <cell r="GI2181">
            <v>10.408007395026372</v>
          </cell>
          <cell r="GJ2181">
            <v>7.7337520878462023</v>
          </cell>
          <cell r="GK2181">
            <v>13.082262702206542</v>
          </cell>
        </row>
        <row r="2182">
          <cell r="A2182">
            <v>42514</v>
          </cell>
          <cell r="FR2182">
            <v>18.729015896544698</v>
          </cell>
          <cell r="FS2182">
            <v>22.314663874962239</v>
          </cell>
          <cell r="FT2182">
            <v>20.116606119778133</v>
          </cell>
          <cell r="FU2182">
            <v>17.065595346429742</v>
          </cell>
          <cell r="FV2182">
            <v>23.167616893126525</v>
          </cell>
          <cell r="GG2182">
            <v>11.720515433767957</v>
          </cell>
          <cell r="GH2182">
            <v>13.982143405445317</v>
          </cell>
          <cell r="GI2182">
            <v>10.408007395026372</v>
          </cell>
          <cell r="GJ2182">
            <v>7.7337520878462023</v>
          </cell>
          <cell r="GK2182">
            <v>13.082262702206542</v>
          </cell>
        </row>
        <row r="2183">
          <cell r="A2183">
            <v>42515</v>
          </cell>
          <cell r="FR2183">
            <v>19.271500203803807</v>
          </cell>
          <cell r="FS2183">
            <v>22.314663874962239</v>
          </cell>
          <cell r="FT2183">
            <v>20.116606119778133</v>
          </cell>
          <cell r="FU2183">
            <v>17.065595346429742</v>
          </cell>
          <cell r="FV2183">
            <v>23.167616893126525</v>
          </cell>
          <cell r="GG2183">
            <v>11.627120977608381</v>
          </cell>
          <cell r="GH2183">
            <v>13.982143405445317</v>
          </cell>
          <cell r="GI2183">
            <v>10.408007395026372</v>
          </cell>
          <cell r="GJ2183">
            <v>7.7337520878462023</v>
          </cell>
          <cell r="GK2183">
            <v>13.082262702206542</v>
          </cell>
        </row>
        <row r="2184">
          <cell r="A2184">
            <v>42516</v>
          </cell>
          <cell r="FR2184">
            <v>19.093639456036346</v>
          </cell>
          <cell r="FS2184">
            <v>22.314663874962239</v>
          </cell>
          <cell r="FT2184">
            <v>20.116606119778133</v>
          </cell>
          <cell r="FU2184">
            <v>17.065595346429742</v>
          </cell>
          <cell r="FV2184">
            <v>23.167616893126525</v>
          </cell>
          <cell r="GG2184">
            <v>11.844130493960671</v>
          </cell>
          <cell r="GH2184">
            <v>13.982143405445317</v>
          </cell>
          <cell r="GI2184">
            <v>10.408007395026372</v>
          </cell>
          <cell r="GJ2184">
            <v>7.7337520878462023</v>
          </cell>
          <cell r="GK2184">
            <v>13.082262702206542</v>
          </cell>
        </row>
        <row r="2185">
          <cell r="A2185">
            <v>42517</v>
          </cell>
          <cell r="FR2185">
            <v>19.166537742846394</v>
          </cell>
          <cell r="FS2185">
            <v>22.314663874962239</v>
          </cell>
          <cell r="FT2185">
            <v>20.116606119778133</v>
          </cell>
          <cell r="FU2185">
            <v>17.065595346429742</v>
          </cell>
          <cell r="FV2185">
            <v>23.167616893126525</v>
          </cell>
          <cell r="GG2185">
            <v>11.852223145230884</v>
          </cell>
          <cell r="GH2185">
            <v>13.982143405445317</v>
          </cell>
          <cell r="GI2185">
            <v>10.408007395026372</v>
          </cell>
          <cell r="GJ2185">
            <v>7.7337520878462023</v>
          </cell>
          <cell r="GK2185">
            <v>13.082262702206542</v>
          </cell>
        </row>
        <row r="2186">
          <cell r="A2186">
            <v>42520</v>
          </cell>
          <cell r="FR2186">
            <v>19.166551955030851</v>
          </cell>
          <cell r="FS2186">
            <v>22.314663874962239</v>
          </cell>
          <cell r="FT2186">
            <v>20.116606119778133</v>
          </cell>
          <cell r="FU2186">
            <v>17.065595346429742</v>
          </cell>
          <cell r="FV2186">
            <v>23.167616893126525</v>
          </cell>
          <cell r="GG2186">
            <v>11.797243747476985</v>
          </cell>
          <cell r="GH2186">
            <v>13.982143405445317</v>
          </cell>
          <cell r="GI2186">
            <v>10.408007395026372</v>
          </cell>
          <cell r="GJ2186">
            <v>7.7337520878462023</v>
          </cell>
          <cell r="GK2186">
            <v>13.082262702206542</v>
          </cell>
        </row>
        <row r="2187">
          <cell r="A2187">
            <v>42521</v>
          </cell>
          <cell r="FR2187">
            <v>19.202151566182874</v>
          </cell>
          <cell r="FS2187">
            <v>22.314663874962239</v>
          </cell>
          <cell r="FT2187">
            <v>20.116606119778133</v>
          </cell>
          <cell r="FU2187">
            <v>17.065595346429742</v>
          </cell>
          <cell r="FV2187">
            <v>23.167616893126525</v>
          </cell>
          <cell r="GG2187">
            <v>11.857718006344719</v>
          </cell>
          <cell r="GH2187">
            <v>13.982143405445317</v>
          </cell>
          <cell r="GI2187">
            <v>10.408007395026372</v>
          </cell>
          <cell r="GJ2187">
            <v>7.7337520878462023</v>
          </cell>
          <cell r="GK2187">
            <v>13.082262702206542</v>
          </cell>
        </row>
        <row r="2188">
          <cell r="A2188">
            <v>42522</v>
          </cell>
          <cell r="FR2188">
            <v>19.391255841869043</v>
          </cell>
          <cell r="FS2188">
            <v>22.314663874962239</v>
          </cell>
          <cell r="FT2188">
            <v>20.116606119778133</v>
          </cell>
          <cell r="FU2188">
            <v>17.065595346429742</v>
          </cell>
          <cell r="FV2188">
            <v>23.167616893126525</v>
          </cell>
          <cell r="GG2188">
            <v>11.755093814208855</v>
          </cell>
          <cell r="GH2188">
            <v>13.982143405445317</v>
          </cell>
          <cell r="GI2188">
            <v>10.408007395026372</v>
          </cell>
          <cell r="GJ2188">
            <v>7.7337520878462023</v>
          </cell>
          <cell r="GK2188">
            <v>13.082262702206542</v>
          </cell>
        </row>
        <row r="2189">
          <cell r="A2189">
            <v>42523</v>
          </cell>
          <cell r="FR2189">
            <v>19.532478364673846</v>
          </cell>
          <cell r="FS2189">
            <v>22.314663874962239</v>
          </cell>
          <cell r="FT2189">
            <v>20.116606119778133</v>
          </cell>
          <cell r="FU2189">
            <v>17.065595346429742</v>
          </cell>
          <cell r="FV2189">
            <v>23.167616893126525</v>
          </cell>
          <cell r="GG2189">
            <v>11.921594305898589</v>
          </cell>
          <cell r="GH2189">
            <v>13.982143405445317</v>
          </cell>
          <cell r="GI2189">
            <v>10.408007395026372</v>
          </cell>
          <cell r="GJ2189">
            <v>7.7337520878462023</v>
          </cell>
          <cell r="GK2189">
            <v>13.082262702206542</v>
          </cell>
        </row>
        <row r="2190">
          <cell r="A2190">
            <v>42524</v>
          </cell>
          <cell r="FR2190">
            <v>19.629308031774052</v>
          </cell>
          <cell r="FS2190">
            <v>22.314663874962239</v>
          </cell>
          <cell r="FT2190">
            <v>20.116606119778133</v>
          </cell>
          <cell r="FU2190">
            <v>17.065595346429742</v>
          </cell>
          <cell r="FV2190">
            <v>23.167616893126525</v>
          </cell>
          <cell r="GG2190">
            <v>11.919327776016685</v>
          </cell>
          <cell r="GH2190">
            <v>13.982143405445317</v>
          </cell>
          <cell r="GI2190">
            <v>10.408007395026372</v>
          </cell>
          <cell r="GJ2190">
            <v>7.7337520878462023</v>
          </cell>
          <cell r="GK2190">
            <v>13.082262702206542</v>
          </cell>
        </row>
        <row r="2191">
          <cell r="A2191">
            <v>42527</v>
          </cell>
          <cell r="FR2191">
            <v>19.788172109443956</v>
          </cell>
          <cell r="FS2191">
            <v>22.314663874962239</v>
          </cell>
          <cell r="FT2191">
            <v>20.116606119778133</v>
          </cell>
          <cell r="FU2191">
            <v>17.065595346429742</v>
          </cell>
          <cell r="FV2191">
            <v>23.167616893126525</v>
          </cell>
          <cell r="GG2191">
            <v>12.063960294665037</v>
          </cell>
          <cell r="GH2191">
            <v>13.982143405445317</v>
          </cell>
          <cell r="GI2191">
            <v>10.408007395026372</v>
          </cell>
          <cell r="GJ2191">
            <v>7.7337520878462023</v>
          </cell>
          <cell r="GK2191">
            <v>13.082262702206542</v>
          </cell>
        </row>
        <row r="2192">
          <cell r="A2192">
            <v>42528</v>
          </cell>
          <cell r="FR2192">
            <v>19.717561341571052</v>
          </cell>
          <cell r="FS2192">
            <v>22.314663874962239</v>
          </cell>
          <cell r="FT2192">
            <v>20.116606119778133</v>
          </cell>
          <cell r="FU2192">
            <v>17.065595346429742</v>
          </cell>
          <cell r="FV2192">
            <v>23.167616893126525</v>
          </cell>
          <cell r="GG2192">
            <v>11.94115536147287</v>
          </cell>
          <cell r="GH2192">
            <v>13.982143405445317</v>
          </cell>
          <cell r="GI2192">
            <v>10.408007395026372</v>
          </cell>
          <cell r="GJ2192">
            <v>7.7337520878462023</v>
          </cell>
          <cell r="GK2192">
            <v>13.082262702206542</v>
          </cell>
        </row>
        <row r="2193">
          <cell r="A2193">
            <v>42529</v>
          </cell>
          <cell r="FR2193">
            <v>19.894081200353046</v>
          </cell>
          <cell r="FS2193">
            <v>22.314663874962239</v>
          </cell>
          <cell r="FT2193">
            <v>20.116606119778133</v>
          </cell>
          <cell r="FU2193">
            <v>17.065595346429742</v>
          </cell>
          <cell r="FV2193">
            <v>23.167616893126525</v>
          </cell>
          <cell r="GG2193">
            <v>12.020296936975436</v>
          </cell>
          <cell r="GH2193">
            <v>13.982143405445317</v>
          </cell>
          <cell r="GI2193">
            <v>10.408007395026372</v>
          </cell>
          <cell r="GJ2193">
            <v>7.7337520878462023</v>
          </cell>
          <cell r="GK2193">
            <v>13.082262702206542</v>
          </cell>
        </row>
        <row r="2194">
          <cell r="A2194">
            <v>42530</v>
          </cell>
          <cell r="FR2194">
            <v>19.593995586937336</v>
          </cell>
          <cell r="FS2194">
            <v>22.314663874962239</v>
          </cell>
          <cell r="FT2194">
            <v>20.116606119778133</v>
          </cell>
          <cell r="FU2194">
            <v>17.065595346429742</v>
          </cell>
          <cell r="FV2194">
            <v>23.167616893126525</v>
          </cell>
          <cell r="GG2194">
            <v>11.982087610277848</v>
          </cell>
          <cell r="GH2194">
            <v>13.982143405445317</v>
          </cell>
          <cell r="GI2194">
            <v>10.408007395026372</v>
          </cell>
          <cell r="GJ2194">
            <v>7.7337520878462023</v>
          </cell>
          <cell r="GK2194">
            <v>13.082262702206542</v>
          </cell>
        </row>
        <row r="2195">
          <cell r="A2195">
            <v>42531</v>
          </cell>
          <cell r="FR2195">
            <v>19.161524271844662</v>
          </cell>
          <cell r="FS2195">
            <v>22.314663874962239</v>
          </cell>
          <cell r="FT2195">
            <v>20.116606119778133</v>
          </cell>
          <cell r="FU2195">
            <v>17.065595346429742</v>
          </cell>
          <cell r="FV2195">
            <v>23.167616893126525</v>
          </cell>
          <cell r="GG2195">
            <v>11.982087610277848</v>
          </cell>
          <cell r="GH2195">
            <v>13.982143405445317</v>
          </cell>
          <cell r="GI2195">
            <v>10.408007395026372</v>
          </cell>
          <cell r="GJ2195">
            <v>7.7337520878462023</v>
          </cell>
          <cell r="GK2195">
            <v>13.082262702206542</v>
          </cell>
        </row>
        <row r="2196">
          <cell r="A2196">
            <v>42534</v>
          </cell>
          <cell r="FR2196">
            <v>18.914380406001765</v>
          </cell>
          <cell r="FS2196">
            <v>22.314663874962239</v>
          </cell>
          <cell r="FT2196">
            <v>20.116606119778133</v>
          </cell>
          <cell r="FU2196">
            <v>17.065595346429742</v>
          </cell>
          <cell r="FV2196">
            <v>23.167616893126525</v>
          </cell>
          <cell r="GG2196">
            <v>11.65462143306079</v>
          </cell>
          <cell r="GH2196">
            <v>13.982143405445317</v>
          </cell>
          <cell r="GI2196">
            <v>10.408007395026372</v>
          </cell>
          <cell r="GJ2196">
            <v>7.7337520878462023</v>
          </cell>
          <cell r="GK2196">
            <v>13.082262702206542</v>
          </cell>
        </row>
        <row r="2197">
          <cell r="A2197">
            <v>42535</v>
          </cell>
          <cell r="FR2197">
            <v>18.314210061782877</v>
          </cell>
          <cell r="FS2197">
            <v>22.314663874962239</v>
          </cell>
          <cell r="FT2197">
            <v>20.116606119778133</v>
          </cell>
          <cell r="FU2197">
            <v>17.065595346429742</v>
          </cell>
          <cell r="FV2197">
            <v>23.167616893126525</v>
          </cell>
          <cell r="GG2197">
            <v>11.603035485633226</v>
          </cell>
          <cell r="GH2197">
            <v>13.982143405445317</v>
          </cell>
          <cell r="GI2197">
            <v>10.408007395026372</v>
          </cell>
          <cell r="GJ2197">
            <v>7.7337520878462023</v>
          </cell>
          <cell r="GK2197">
            <v>13.082262702206542</v>
          </cell>
        </row>
        <row r="2198">
          <cell r="A2198">
            <v>42536</v>
          </cell>
          <cell r="FR2198">
            <v>18.358344218887908</v>
          </cell>
          <cell r="FS2198">
            <v>22.314663874962239</v>
          </cell>
          <cell r="FT2198">
            <v>20.116606119778133</v>
          </cell>
          <cell r="FU2198">
            <v>17.065595346429742</v>
          </cell>
          <cell r="FV2198">
            <v>23.167616893126525</v>
          </cell>
          <cell r="GG2198">
            <v>11.373801595318623</v>
          </cell>
          <cell r="GH2198">
            <v>13.982143405445317</v>
          </cell>
          <cell r="GI2198">
            <v>10.408007395026372</v>
          </cell>
          <cell r="GJ2198">
            <v>7.7337520878462023</v>
          </cell>
          <cell r="GK2198">
            <v>13.082262702206542</v>
          </cell>
        </row>
        <row r="2199">
          <cell r="A2199">
            <v>42537</v>
          </cell>
          <cell r="FR2199">
            <v>18.305389232127098</v>
          </cell>
          <cell r="FS2199">
            <v>22.314663874962239</v>
          </cell>
          <cell r="FT2199">
            <v>20.116606119778133</v>
          </cell>
          <cell r="FU2199">
            <v>17.065595346429742</v>
          </cell>
          <cell r="FV2199">
            <v>23.167616893126525</v>
          </cell>
          <cell r="GG2199">
            <v>11.21279240200097</v>
          </cell>
          <cell r="GH2199">
            <v>13.982143405445317</v>
          </cell>
          <cell r="GI2199">
            <v>10.408007395026372</v>
          </cell>
          <cell r="GJ2199">
            <v>7.7337520878462023</v>
          </cell>
          <cell r="GK2199">
            <v>13.082262702206542</v>
          </cell>
        </row>
        <row r="2200">
          <cell r="A2200">
            <v>42538</v>
          </cell>
          <cell r="FR2200">
            <v>18.190645189761696</v>
          </cell>
          <cell r="FS2200">
            <v>22.314663874962239</v>
          </cell>
          <cell r="FT2200">
            <v>20.116606119778133</v>
          </cell>
          <cell r="FU2200">
            <v>17.065595346429742</v>
          </cell>
          <cell r="FV2200">
            <v>23.167616893126525</v>
          </cell>
          <cell r="GG2200">
            <v>11.21279240200097</v>
          </cell>
          <cell r="GH2200">
            <v>13.982143405445317</v>
          </cell>
          <cell r="GI2200">
            <v>10.408007395026372</v>
          </cell>
          <cell r="GJ2200">
            <v>7.7337520878462023</v>
          </cell>
          <cell r="GK2200">
            <v>13.082262702206542</v>
          </cell>
        </row>
        <row r="2201">
          <cell r="A2201">
            <v>42541</v>
          </cell>
          <cell r="FR2201">
            <v>18.578997352162403</v>
          </cell>
          <cell r="FS2201">
            <v>22.314663874962239</v>
          </cell>
          <cell r="FT2201">
            <v>20.116606119778133</v>
          </cell>
          <cell r="FU2201">
            <v>17.065595346429742</v>
          </cell>
          <cell r="FV2201">
            <v>23.167616893126525</v>
          </cell>
          <cell r="GG2201">
            <v>11.358662708872531</v>
          </cell>
          <cell r="GH2201">
            <v>13.982143405445317</v>
          </cell>
          <cell r="GI2201">
            <v>10.408007395026372</v>
          </cell>
          <cell r="GJ2201">
            <v>7.7337520878462023</v>
          </cell>
          <cell r="GK2201">
            <v>13.082262702206542</v>
          </cell>
        </row>
        <row r="2202">
          <cell r="A2202">
            <v>42542</v>
          </cell>
          <cell r="FR2202">
            <v>18.879082082965578</v>
          </cell>
          <cell r="FS2202">
            <v>22.314663874962239</v>
          </cell>
          <cell r="FT2202">
            <v>20.116606119778133</v>
          </cell>
          <cell r="FU2202">
            <v>17.065595346429742</v>
          </cell>
          <cell r="FV2202">
            <v>23.167616893126525</v>
          </cell>
          <cell r="GG2202">
            <v>11.372304373486463</v>
          </cell>
          <cell r="GH2202">
            <v>13.982143405445317</v>
          </cell>
          <cell r="GI2202">
            <v>10.408007395026372</v>
          </cell>
          <cell r="GJ2202">
            <v>7.7337520878462023</v>
          </cell>
          <cell r="GK2202">
            <v>13.082262702206542</v>
          </cell>
        </row>
        <row r="2203">
          <cell r="A2203">
            <v>42543</v>
          </cell>
          <cell r="FR2203">
            <v>19.196822594880846</v>
          </cell>
          <cell r="FS2203">
            <v>22.314663874962239</v>
          </cell>
          <cell r="FT2203">
            <v>20.116606119778133</v>
          </cell>
          <cell r="FU2203">
            <v>17.065595346429742</v>
          </cell>
          <cell r="FV2203">
            <v>23.167616893126525</v>
          </cell>
          <cell r="GG2203">
            <v>11.536045283671877</v>
          </cell>
          <cell r="GH2203">
            <v>13.982143405445317</v>
          </cell>
          <cell r="GI2203">
            <v>10.408007395026372</v>
          </cell>
          <cell r="GJ2203">
            <v>7.7337520878462023</v>
          </cell>
          <cell r="GK2203">
            <v>13.082262702206542</v>
          </cell>
        </row>
        <row r="2204">
          <cell r="A2204">
            <v>42544</v>
          </cell>
          <cell r="FR2204">
            <v>19.761694616063547</v>
          </cell>
          <cell r="FS2204">
            <v>22.314663874962239</v>
          </cell>
          <cell r="FT2204">
            <v>20.116606119778133</v>
          </cell>
          <cell r="FU2204">
            <v>17.065595346429742</v>
          </cell>
          <cell r="FV2204">
            <v>23.167616893126525</v>
          </cell>
          <cell r="GG2204">
            <v>11.713427858471219</v>
          </cell>
          <cell r="GH2204">
            <v>13.982143405445317</v>
          </cell>
          <cell r="GI2204">
            <v>10.408007395026372</v>
          </cell>
          <cell r="GJ2204">
            <v>7.7337520878462023</v>
          </cell>
          <cell r="GK2204">
            <v>13.082262702206542</v>
          </cell>
        </row>
        <row r="2205">
          <cell r="A2205">
            <v>42545</v>
          </cell>
          <cell r="FR2205">
            <v>18.543684907325684</v>
          </cell>
          <cell r="FS2205">
            <v>22.314663874962239</v>
          </cell>
          <cell r="FT2205">
            <v>20.116606119778133</v>
          </cell>
          <cell r="FU2205">
            <v>17.065595346429742</v>
          </cell>
          <cell r="FV2205">
            <v>23.167616893126525</v>
          </cell>
          <cell r="GG2205">
            <v>11.713427858471219</v>
          </cell>
          <cell r="GH2205">
            <v>13.982143405445317</v>
          </cell>
          <cell r="GI2205">
            <v>10.408007395026372</v>
          </cell>
          <cell r="GJ2205">
            <v>7.7337520878462023</v>
          </cell>
          <cell r="GK2205">
            <v>13.082262702206542</v>
          </cell>
        </row>
        <row r="2206">
          <cell r="A2206">
            <v>42548</v>
          </cell>
          <cell r="FR2206">
            <v>17.834588850512777</v>
          </cell>
          <cell r="FS2206">
            <v>22.314663874962239</v>
          </cell>
          <cell r="FT2206">
            <v>20.116606119778133</v>
          </cell>
          <cell r="FU2206">
            <v>17.065595346429742</v>
          </cell>
          <cell r="FV2206">
            <v>23.167616893126525</v>
          </cell>
          <cell r="GG2206">
            <v>11.322733229495352</v>
          </cell>
          <cell r="GH2206">
            <v>13.982143405445317</v>
          </cell>
          <cell r="GI2206">
            <v>10.408007395026372</v>
          </cell>
          <cell r="GJ2206">
            <v>7.7337520878462023</v>
          </cell>
          <cell r="GK2206">
            <v>13.082262702206542</v>
          </cell>
        </row>
        <row r="2207">
          <cell r="A2207">
            <v>42549</v>
          </cell>
          <cell r="FR2207">
            <v>18.316924381925176</v>
          </cell>
          <cell r="FS2207">
            <v>22.314663874962239</v>
          </cell>
          <cell r="FT2207">
            <v>20.116606119778133</v>
          </cell>
          <cell r="FU2207">
            <v>17.065595346429742</v>
          </cell>
          <cell r="FV2207">
            <v>23.167616893126525</v>
          </cell>
          <cell r="GG2207">
            <v>11.24148992898253</v>
          </cell>
          <cell r="GH2207">
            <v>13.982143405445317</v>
          </cell>
          <cell r="GI2207">
            <v>10.408007395026372</v>
          </cell>
          <cell r="GJ2207">
            <v>7.7337520878462023</v>
          </cell>
          <cell r="GK2207">
            <v>13.082262702206542</v>
          </cell>
        </row>
        <row r="2208">
          <cell r="A2208">
            <v>42550</v>
          </cell>
          <cell r="FR2208">
            <v>18.917776167671022</v>
          </cell>
          <cell r="FS2208">
            <v>22.314663874962239</v>
          </cell>
          <cell r="FT2208">
            <v>20.116606119778133</v>
          </cell>
          <cell r="FU2208">
            <v>17.065595346429742</v>
          </cell>
          <cell r="FV2208">
            <v>23.167616893126525</v>
          </cell>
          <cell r="GG2208">
            <v>11.399970997734396</v>
          </cell>
          <cell r="GH2208">
            <v>13.982143405445317</v>
          </cell>
          <cell r="GI2208">
            <v>10.408007395026372</v>
          </cell>
          <cell r="GJ2208">
            <v>7.7337520878462023</v>
          </cell>
          <cell r="GK2208">
            <v>13.082262702206542</v>
          </cell>
        </row>
        <row r="2209">
          <cell r="A2209">
            <v>42551</v>
          </cell>
          <cell r="FR2209">
            <v>19.275296509058773</v>
          </cell>
          <cell r="FS2209">
            <v>22.314663874962239</v>
          </cell>
          <cell r="FT2209">
            <v>20.116606119778133</v>
          </cell>
          <cell r="FU2209">
            <v>17.065595346429742</v>
          </cell>
          <cell r="FV2209">
            <v>23.167616893126525</v>
          </cell>
          <cell r="GG2209">
            <v>11.659539084681761</v>
          </cell>
          <cell r="GH2209">
            <v>13.982143405445317</v>
          </cell>
          <cell r="GI2209">
            <v>10.408007395026372</v>
          </cell>
          <cell r="GJ2209">
            <v>7.7337520878462023</v>
          </cell>
          <cell r="GK2209">
            <v>13.082262702206542</v>
          </cell>
        </row>
        <row r="2210">
          <cell r="A2210">
            <v>42552</v>
          </cell>
          <cell r="FR2210">
            <v>19.376056403888796</v>
          </cell>
          <cell r="FS2210">
            <v>22.314663874962239</v>
          </cell>
          <cell r="FT2210">
            <v>20.116606119778133</v>
          </cell>
          <cell r="FU2210">
            <v>17.065595346429742</v>
          </cell>
          <cell r="FV2210">
            <v>23.167616893126525</v>
          </cell>
          <cell r="GG2210">
            <v>11.578748178574143</v>
          </cell>
          <cell r="GH2210">
            <v>13.982143405445317</v>
          </cell>
          <cell r="GI2210">
            <v>10.408007395026372</v>
          </cell>
          <cell r="GJ2210">
            <v>7.7337520878462023</v>
          </cell>
          <cell r="GK2210">
            <v>13.082262702206542</v>
          </cell>
        </row>
        <row r="2211">
          <cell r="A2211">
            <v>42555</v>
          </cell>
          <cell r="FR2211">
            <v>19.382669764581465</v>
          </cell>
          <cell r="FS2211">
            <v>22.314663874962239</v>
          </cell>
          <cell r="FT2211">
            <v>20.116606119778133</v>
          </cell>
          <cell r="FU2211">
            <v>17.065595346429742</v>
          </cell>
          <cell r="FV2211">
            <v>23.167616893126525</v>
          </cell>
          <cell r="GG2211">
            <v>11.806673913586538</v>
          </cell>
          <cell r="GH2211">
            <v>13.982143405445317</v>
          </cell>
          <cell r="GI2211">
            <v>10.408007395026372</v>
          </cell>
          <cell r="GJ2211">
            <v>7.7337520878462023</v>
          </cell>
          <cell r="GK2211">
            <v>13.082262702206542</v>
          </cell>
        </row>
        <row r="2212">
          <cell r="A2212">
            <v>42556</v>
          </cell>
          <cell r="FR2212">
            <v>18.961679187684066</v>
          </cell>
          <cell r="FS2212">
            <v>22.314663874962239</v>
          </cell>
          <cell r="FT2212">
            <v>20.116606119778133</v>
          </cell>
          <cell r="FU2212">
            <v>17.065595346429742</v>
          </cell>
          <cell r="FV2212">
            <v>23.167616893126525</v>
          </cell>
          <cell r="GG2212">
            <v>11.958624584489103</v>
          </cell>
          <cell r="GH2212">
            <v>13.982143405445317</v>
          </cell>
          <cell r="GI2212">
            <v>10.408007395026372</v>
          </cell>
          <cell r="GJ2212">
            <v>7.7337520878462023</v>
          </cell>
          <cell r="GK2212">
            <v>13.082262702206542</v>
          </cell>
        </row>
        <row r="2213">
          <cell r="A2213">
            <v>42557</v>
          </cell>
          <cell r="FR2213">
            <v>18.990286257034079</v>
          </cell>
          <cell r="FS2213">
            <v>22.314663874962239</v>
          </cell>
          <cell r="FT2213">
            <v>20.116606119778133</v>
          </cell>
          <cell r="FU2213">
            <v>17.065595346429742</v>
          </cell>
          <cell r="FV2213">
            <v>23.167616893126525</v>
          </cell>
          <cell r="GG2213">
            <v>11.744070416431837</v>
          </cell>
          <cell r="GH2213">
            <v>13.982143405445317</v>
          </cell>
          <cell r="GI2213">
            <v>10.408007395026372</v>
          </cell>
          <cell r="GJ2213">
            <v>7.7337520878462023</v>
          </cell>
          <cell r="GK2213">
            <v>13.082262702206542</v>
          </cell>
        </row>
        <row r="2214">
          <cell r="A2214">
            <v>42558</v>
          </cell>
          <cell r="FR2214">
            <v>19.095491196027293</v>
          </cell>
          <cell r="FS2214">
            <v>22.314663874962239</v>
          </cell>
          <cell r="FT2214">
            <v>20.116606119778133</v>
          </cell>
          <cell r="FU2214">
            <v>17.065595346429742</v>
          </cell>
          <cell r="FV2214">
            <v>23.167616893126525</v>
          </cell>
          <cell r="GG2214">
            <v>11.744070416431837</v>
          </cell>
          <cell r="GH2214">
            <v>13.982143405445317</v>
          </cell>
          <cell r="GI2214">
            <v>10.408007395026372</v>
          </cell>
          <cell r="GJ2214">
            <v>7.7337520878462023</v>
          </cell>
          <cell r="GK2214">
            <v>13.082262702206542</v>
          </cell>
        </row>
        <row r="2215">
          <cell r="A2215">
            <v>42559</v>
          </cell>
          <cell r="FR2215">
            <v>19.419882224010081</v>
          </cell>
          <cell r="FS2215">
            <v>22.314663874962239</v>
          </cell>
          <cell r="FT2215">
            <v>20.116606119778133</v>
          </cell>
          <cell r="FU2215">
            <v>17.065595346429742</v>
          </cell>
          <cell r="FV2215">
            <v>23.167616893126525</v>
          </cell>
          <cell r="GG2215">
            <v>11.754946166570448</v>
          </cell>
          <cell r="GH2215">
            <v>13.982143405445317</v>
          </cell>
          <cell r="GI2215">
            <v>10.408007395026372</v>
          </cell>
          <cell r="GJ2215">
            <v>7.7337520878462023</v>
          </cell>
          <cell r="GK2215">
            <v>13.082262702206542</v>
          </cell>
        </row>
        <row r="2216">
          <cell r="A2216">
            <v>42562</v>
          </cell>
          <cell r="FR2216">
            <v>19.324499260208299</v>
          </cell>
          <cell r="FS2216">
            <v>22.314663874962239</v>
          </cell>
          <cell r="FT2216">
            <v>20.116606119778133</v>
          </cell>
          <cell r="FU2216">
            <v>17.065595346429742</v>
          </cell>
          <cell r="FV2216">
            <v>23.167616893126525</v>
          </cell>
          <cell r="GG2216">
            <v>12.045816483864836</v>
          </cell>
          <cell r="GH2216">
            <v>13.982143405445317</v>
          </cell>
          <cell r="GI2216">
            <v>10.408007395026372</v>
          </cell>
          <cell r="GJ2216">
            <v>7.7337520878462023</v>
          </cell>
          <cell r="GK2216">
            <v>13.082262702206542</v>
          </cell>
        </row>
        <row r="2217">
          <cell r="A2217">
            <v>42563</v>
          </cell>
          <cell r="FR2217">
            <v>19.414818228899598</v>
          </cell>
          <cell r="FS2217">
            <v>22.314663874962239</v>
          </cell>
          <cell r="FT2217">
            <v>20.116606119778133</v>
          </cell>
          <cell r="FU2217">
            <v>17.065595346429742</v>
          </cell>
          <cell r="FV2217">
            <v>23.167616893126525</v>
          </cell>
          <cell r="GG2217">
            <v>12.062126303321353</v>
          </cell>
          <cell r="GH2217">
            <v>13.982143405445317</v>
          </cell>
          <cell r="GI2217">
            <v>10.408007395026372</v>
          </cell>
          <cell r="GJ2217">
            <v>7.7337520878462023</v>
          </cell>
          <cell r="GK2217">
            <v>13.082262702206542</v>
          </cell>
        </row>
        <row r="2218">
          <cell r="A2218">
            <v>42564</v>
          </cell>
          <cell r="FR2218">
            <v>19.339495107047814</v>
          </cell>
          <cell r="FS2218">
            <v>22.314663874962239</v>
          </cell>
          <cell r="FT2218">
            <v>20.116606119778133</v>
          </cell>
          <cell r="FU2218">
            <v>17.065595346429742</v>
          </cell>
          <cell r="FV2218">
            <v>23.167616893126525</v>
          </cell>
          <cell r="GG2218">
            <v>12.024638429306714</v>
          </cell>
          <cell r="GH2218">
            <v>13.982143405445317</v>
          </cell>
          <cell r="GI2218">
            <v>10.408007395026372</v>
          </cell>
          <cell r="GJ2218">
            <v>7.7337520878462023</v>
          </cell>
          <cell r="GK2218">
            <v>13.082262702206542</v>
          </cell>
        </row>
        <row r="2219">
          <cell r="A2219">
            <v>42565</v>
          </cell>
          <cell r="FR2219">
            <v>19.358517133047847</v>
          </cell>
          <cell r="FS2219">
            <v>22.314663874962239</v>
          </cell>
          <cell r="FT2219">
            <v>20.116606119778133</v>
          </cell>
          <cell r="FU2219">
            <v>17.065595346429742</v>
          </cell>
          <cell r="FV2219">
            <v>23.167616893126525</v>
          </cell>
          <cell r="GG2219">
            <v>11.998638765076794</v>
          </cell>
          <cell r="GH2219">
            <v>13.982143405445317</v>
          </cell>
          <cell r="GI2219">
            <v>10.408007395026372</v>
          </cell>
          <cell r="GJ2219">
            <v>7.7337520878462023</v>
          </cell>
          <cell r="GK2219">
            <v>13.082262702206542</v>
          </cell>
        </row>
        <row r="2220">
          <cell r="A2220">
            <v>42566</v>
          </cell>
          <cell r="FR2220">
            <v>19.297138890920277</v>
          </cell>
          <cell r="FS2220">
            <v>22.314663874962239</v>
          </cell>
          <cell r="FT2220">
            <v>20.116606119778133</v>
          </cell>
          <cell r="FU2220">
            <v>17.065595346429742</v>
          </cell>
          <cell r="FV2220">
            <v>23.167616893126525</v>
          </cell>
          <cell r="GG2220">
            <v>11.998638765076794</v>
          </cell>
          <cell r="GH2220">
            <v>13.982143405445317</v>
          </cell>
          <cell r="GI2220">
            <v>10.408007395026372</v>
          </cell>
          <cell r="GJ2220">
            <v>7.7337520878462023</v>
          </cell>
          <cell r="GK2220">
            <v>13.082262702206542</v>
          </cell>
        </row>
        <row r="2221">
          <cell r="A2221">
            <v>42569</v>
          </cell>
          <cell r="FR2221">
            <v>19.706243671956024</v>
          </cell>
          <cell r="FS2221">
            <v>22.314663874962239</v>
          </cell>
          <cell r="FT2221">
            <v>20.116606119778133</v>
          </cell>
          <cell r="FU2221">
            <v>17.065595346429742</v>
          </cell>
          <cell r="FV2221">
            <v>23.167616893126525</v>
          </cell>
          <cell r="GG2221">
            <v>11.974292088631438</v>
          </cell>
          <cell r="GH2221">
            <v>13.982143405445317</v>
          </cell>
          <cell r="GI2221">
            <v>10.408007395026372</v>
          </cell>
          <cell r="GJ2221">
            <v>7.7337520878462023</v>
          </cell>
          <cell r="GK2221">
            <v>13.082262702206542</v>
          </cell>
        </row>
        <row r="2222">
          <cell r="A2222">
            <v>42570</v>
          </cell>
          <cell r="FR2222">
            <v>19.589872718425951</v>
          </cell>
          <cell r="FS2222">
            <v>22.314663874962239</v>
          </cell>
          <cell r="FT2222">
            <v>20.116606119778133</v>
          </cell>
          <cell r="FU2222">
            <v>17.065595346429742</v>
          </cell>
          <cell r="FV2222">
            <v>23.167616893126525</v>
          </cell>
          <cell r="GG2222">
            <v>12.068979439579632</v>
          </cell>
          <cell r="GH2222">
            <v>13.982143405445317</v>
          </cell>
          <cell r="GI2222">
            <v>10.408007395026372</v>
          </cell>
          <cell r="GJ2222">
            <v>7.7337520878462023</v>
          </cell>
          <cell r="GK2222">
            <v>13.082262702206542</v>
          </cell>
        </row>
        <row r="2223">
          <cell r="A2223">
            <v>42571</v>
          </cell>
          <cell r="FR2223">
            <v>19.993251401940771</v>
          </cell>
          <cell r="FS2223">
            <v>22.314663874962239</v>
          </cell>
          <cell r="FT2223">
            <v>20.116606119778133</v>
          </cell>
          <cell r="FU2223">
            <v>17.065595346429742</v>
          </cell>
          <cell r="FV2223">
            <v>23.167616893126525</v>
          </cell>
          <cell r="GG2223">
            <v>12.153282313776668</v>
          </cell>
          <cell r="GH2223">
            <v>13.982143405445317</v>
          </cell>
          <cell r="GI2223">
            <v>10.408007395026372</v>
          </cell>
          <cell r="GJ2223">
            <v>7.7337520878462023</v>
          </cell>
          <cell r="GK2223">
            <v>13.082262702206542</v>
          </cell>
        </row>
        <row r="2224">
          <cell r="A2224">
            <v>42572</v>
          </cell>
          <cell r="FR2224">
            <v>19.984473664597679</v>
          </cell>
          <cell r="FS2224">
            <v>22.314663874962239</v>
          </cell>
          <cell r="FT2224">
            <v>20.116606119778133</v>
          </cell>
          <cell r="FU2224">
            <v>17.065595346429742</v>
          </cell>
          <cell r="FV2224">
            <v>23.167616893126525</v>
          </cell>
          <cell r="GG2224">
            <v>12.404882741236229</v>
          </cell>
          <cell r="GH2224">
            <v>13.982143405445317</v>
          </cell>
          <cell r="GI2224">
            <v>10.408007395026372</v>
          </cell>
          <cell r="GJ2224">
            <v>7.7337520878462023</v>
          </cell>
          <cell r="GK2224">
            <v>13.082262702206542</v>
          </cell>
        </row>
        <row r="2225">
          <cell r="A2225">
            <v>42573</v>
          </cell>
          <cell r="FR2225">
            <v>20.222362342768122</v>
          </cell>
          <cell r="FS2225">
            <v>22.314663874962239</v>
          </cell>
          <cell r="FT2225">
            <v>20.116606119778133</v>
          </cell>
          <cell r="FU2225">
            <v>17.065595346429742</v>
          </cell>
          <cell r="FV2225">
            <v>23.167616893126525</v>
          </cell>
          <cell r="GG2225">
            <v>12.404882741236229</v>
          </cell>
          <cell r="GH2225">
            <v>13.982143405445317</v>
          </cell>
          <cell r="GI2225">
            <v>10.408007395026372</v>
          </cell>
          <cell r="GJ2225">
            <v>7.7337520878462023</v>
          </cell>
          <cell r="GK2225">
            <v>13.082262702206542</v>
          </cell>
        </row>
        <row r="2226">
          <cell r="A2226">
            <v>42576</v>
          </cell>
          <cell r="FR2226">
            <v>20.05693953502826</v>
          </cell>
          <cell r="FS2226">
            <v>22.314663874962239</v>
          </cell>
          <cell r="FT2226">
            <v>20.116606119778133</v>
          </cell>
          <cell r="FU2226">
            <v>17.065595346429742</v>
          </cell>
          <cell r="FV2226">
            <v>23.167616893126525</v>
          </cell>
          <cell r="GG2226">
            <v>12.520491948327495</v>
          </cell>
          <cell r="GH2226">
            <v>13.982143405445317</v>
          </cell>
          <cell r="GI2226">
            <v>10.408007395026372</v>
          </cell>
          <cell r="GJ2226">
            <v>7.7337520878462023</v>
          </cell>
          <cell r="GK2226">
            <v>13.082262702206542</v>
          </cell>
        </row>
        <row r="2227">
          <cell r="A2227">
            <v>42577</v>
          </cell>
          <cell r="FR2227">
            <v>20.258394466387255</v>
          </cell>
          <cell r="FS2227">
            <v>22.314663874962239</v>
          </cell>
          <cell r="FT2227">
            <v>20.116606119778133</v>
          </cell>
          <cell r="FU2227">
            <v>17.065595346429742</v>
          </cell>
          <cell r="FV2227">
            <v>23.167616893126525</v>
          </cell>
          <cell r="GG2227">
            <v>12.46098935225201</v>
          </cell>
          <cell r="GH2227">
            <v>13.982143405445317</v>
          </cell>
          <cell r="GI2227">
            <v>10.408007395026372</v>
          </cell>
          <cell r="GJ2227">
            <v>7.7337520878462023</v>
          </cell>
          <cell r="GK2227">
            <v>13.082262702206542</v>
          </cell>
        </row>
        <row r="2228">
          <cell r="A2228">
            <v>42578</v>
          </cell>
          <cell r="FR2228">
            <v>20.223353494895409</v>
          </cell>
          <cell r="FS2228">
            <v>22.314663874962239</v>
          </cell>
          <cell r="FT2228">
            <v>20.116606119778133</v>
          </cell>
          <cell r="FU2228">
            <v>17.065595346429742</v>
          </cell>
          <cell r="FV2228">
            <v>23.167616893126525</v>
          </cell>
          <cell r="GG2228">
            <v>12.525906684570364</v>
          </cell>
          <cell r="GH2228">
            <v>13.982143405445317</v>
          </cell>
          <cell r="GI2228">
            <v>10.408007395026372</v>
          </cell>
          <cell r="GJ2228">
            <v>7.7337520878462023</v>
          </cell>
          <cell r="GK2228">
            <v>13.082262702206542</v>
          </cell>
        </row>
        <row r="2229">
          <cell r="A2229">
            <v>42579</v>
          </cell>
          <cell r="FR2229">
            <v>20.521138691439631</v>
          </cell>
          <cell r="FS2229">
            <v>22.314663874962239</v>
          </cell>
          <cell r="FT2229">
            <v>20.116606119778133</v>
          </cell>
          <cell r="FU2229">
            <v>17.065595346429742</v>
          </cell>
          <cell r="FV2229">
            <v>23.167616893126525</v>
          </cell>
          <cell r="GG2229">
            <v>12.488037609629851</v>
          </cell>
          <cell r="GH2229">
            <v>13.982143405445317</v>
          </cell>
          <cell r="GI2229">
            <v>10.408007395026372</v>
          </cell>
          <cell r="GJ2229">
            <v>7.7337520878462023</v>
          </cell>
          <cell r="GK2229">
            <v>13.082262702206542</v>
          </cell>
        </row>
        <row r="2230">
          <cell r="A2230">
            <v>42580</v>
          </cell>
          <cell r="FR2230">
            <v>23.332062355219811</v>
          </cell>
          <cell r="FS2230">
            <v>22.314663874962239</v>
          </cell>
          <cell r="FT2230">
            <v>20.116606119778133</v>
          </cell>
          <cell r="FU2230">
            <v>17.065595346429742</v>
          </cell>
          <cell r="FV2230">
            <v>23.167616893126525</v>
          </cell>
          <cell r="GG2230">
            <v>12.304453357551921</v>
          </cell>
          <cell r="GH2230">
            <v>13.982143405445317</v>
          </cell>
          <cell r="GI2230">
            <v>10.408007395026372</v>
          </cell>
          <cell r="GJ2230">
            <v>7.7337520878462023</v>
          </cell>
          <cell r="GK2230">
            <v>13.082262702206542</v>
          </cell>
        </row>
        <row r="2231">
          <cell r="A2231">
            <v>42583</v>
          </cell>
          <cell r="FR2231">
            <v>23.036460637458894</v>
          </cell>
          <cell r="FS2231">
            <v>22.314663874962239</v>
          </cell>
          <cell r="FT2231">
            <v>20.116606119778133</v>
          </cell>
          <cell r="FU2231">
            <v>17.065595346429742</v>
          </cell>
          <cell r="FV2231">
            <v>23.167616893126525</v>
          </cell>
          <cell r="GG2231">
            <v>13.228965790038091</v>
          </cell>
          <cell r="GH2231">
            <v>13.982143405445317</v>
          </cell>
          <cell r="GI2231">
            <v>10.408007395026372</v>
          </cell>
          <cell r="GJ2231">
            <v>7.7337520878462023</v>
          </cell>
          <cell r="GK2231">
            <v>13.082262702206542</v>
          </cell>
        </row>
        <row r="2232">
          <cell r="A2232">
            <v>42584</v>
          </cell>
          <cell r="FR2232">
            <v>22.924328016142479</v>
          </cell>
          <cell r="FS2232">
            <v>22.314663874962239</v>
          </cell>
          <cell r="FT2232">
            <v>20.116606119778133</v>
          </cell>
          <cell r="FU2232">
            <v>17.065595346429742</v>
          </cell>
          <cell r="FV2232">
            <v>23.167616893126525</v>
          </cell>
          <cell r="GG2232">
            <v>13.20068610472064</v>
          </cell>
          <cell r="GH2232">
            <v>13.982143405445317</v>
          </cell>
          <cell r="GI2232">
            <v>10.408007395026372</v>
          </cell>
          <cell r="GJ2232">
            <v>7.7337520878462023</v>
          </cell>
          <cell r="GK2232">
            <v>13.082262702206542</v>
          </cell>
        </row>
        <row r="2233">
          <cell r="A2233">
            <v>42585</v>
          </cell>
          <cell r="FR2233">
            <v>22.795724622359639</v>
          </cell>
          <cell r="FS2233">
            <v>22.314663874962239</v>
          </cell>
          <cell r="FT2233">
            <v>20.116606119778133</v>
          </cell>
          <cell r="FU2233">
            <v>17.065595346429742</v>
          </cell>
          <cell r="FV2233">
            <v>23.167616893126525</v>
          </cell>
          <cell r="GG2233">
            <v>13.215741840565416</v>
          </cell>
          <cell r="GH2233">
            <v>13.982143405445317</v>
          </cell>
          <cell r="GI2233">
            <v>10.408007395026372</v>
          </cell>
          <cell r="GJ2233">
            <v>7.7337520878462023</v>
          </cell>
          <cell r="GK2233">
            <v>13.082262702206542</v>
          </cell>
        </row>
        <row r="2234">
          <cell r="A2234">
            <v>42586</v>
          </cell>
          <cell r="FR2234">
            <v>22.81287414198334</v>
          </cell>
          <cell r="FS2234">
            <v>22.314663874962239</v>
          </cell>
          <cell r="FT2234">
            <v>20.116606119778133</v>
          </cell>
          <cell r="FU2234">
            <v>17.065595346429742</v>
          </cell>
          <cell r="FV2234">
            <v>23.167616893126525</v>
          </cell>
          <cell r="GG2234">
            <v>13.215741840565416</v>
          </cell>
          <cell r="GH2234">
            <v>13.982143405445317</v>
          </cell>
          <cell r="GI2234">
            <v>10.408007395026372</v>
          </cell>
          <cell r="GJ2234">
            <v>7.7337520878462023</v>
          </cell>
          <cell r="GK2234">
            <v>13.082262702206542</v>
          </cell>
        </row>
        <row r="2235">
          <cell r="A2235">
            <v>42587</v>
          </cell>
          <cell r="FR2235">
            <v>23.104354249660815</v>
          </cell>
          <cell r="FS2235">
            <v>22.314663874962239</v>
          </cell>
          <cell r="FT2235">
            <v>20.116606119778133</v>
          </cell>
          <cell r="FU2235">
            <v>17.065595346429742</v>
          </cell>
          <cell r="FV2235">
            <v>23.167616893126525</v>
          </cell>
          <cell r="GG2235">
            <v>13.215741840565416</v>
          </cell>
          <cell r="GH2235">
            <v>13.982143405445317</v>
          </cell>
          <cell r="GI2235">
            <v>10.408007395026372</v>
          </cell>
          <cell r="GJ2235">
            <v>7.7337520878462023</v>
          </cell>
          <cell r="GK2235">
            <v>13.082262702206542</v>
          </cell>
        </row>
        <row r="2236">
          <cell r="A2236">
            <v>42590</v>
          </cell>
          <cell r="FR2236">
            <v>22.695098393856821</v>
          </cell>
          <cell r="FS2236">
            <v>22.314663874962239</v>
          </cell>
          <cell r="FT2236">
            <v>20.116606119778133</v>
          </cell>
          <cell r="FU2236">
            <v>17.065595346429742</v>
          </cell>
          <cell r="FV2236">
            <v>23.167616893126525</v>
          </cell>
          <cell r="GG2236">
            <v>14.478887527801943</v>
          </cell>
          <cell r="GH2236">
            <v>13.982143405445317</v>
          </cell>
          <cell r="GI2236">
            <v>10.408007395026372</v>
          </cell>
          <cell r="GJ2236">
            <v>7.7337520878462023</v>
          </cell>
          <cell r="GK2236">
            <v>13.082262702206542</v>
          </cell>
        </row>
        <row r="2237">
          <cell r="A2237">
            <v>42591</v>
          </cell>
          <cell r="FR2237">
            <v>22.94290649949388</v>
          </cell>
          <cell r="FS2237">
            <v>22.314663874962239</v>
          </cell>
          <cell r="FT2237">
            <v>20.116606119778133</v>
          </cell>
          <cell r="FU2237">
            <v>17.065595346429742</v>
          </cell>
          <cell r="FV2237">
            <v>23.167616893126525</v>
          </cell>
          <cell r="GG2237">
            <v>14.30670758271738</v>
          </cell>
          <cell r="GH2237">
            <v>13.982143405445317</v>
          </cell>
          <cell r="GI2237">
            <v>10.408007395026372</v>
          </cell>
          <cell r="GJ2237">
            <v>7.7337520878462023</v>
          </cell>
          <cell r="GK2237">
            <v>13.082262702206542</v>
          </cell>
        </row>
        <row r="2238">
          <cell r="A2238">
            <v>42592</v>
          </cell>
          <cell r="FR2238">
            <v>22.613602975520475</v>
          </cell>
          <cell r="FS2238">
            <v>22.314663874962239</v>
          </cell>
          <cell r="FT2238">
            <v>20.116606119778133</v>
          </cell>
          <cell r="FU2238">
            <v>17.065595346429742</v>
          </cell>
          <cell r="FV2238">
            <v>23.167616893126525</v>
          </cell>
          <cell r="GG2238">
            <v>14.863144332549613</v>
          </cell>
          <cell r="GH2238">
            <v>13.982143405445317</v>
          </cell>
          <cell r="GI2238">
            <v>10.408007395026372</v>
          </cell>
          <cell r="GJ2238">
            <v>7.7337520878462023</v>
          </cell>
          <cell r="GK2238">
            <v>13.082262702206542</v>
          </cell>
        </row>
        <row r="2239">
          <cell r="A2239">
            <v>42593</v>
          </cell>
          <cell r="FR2239">
            <v>22.715500038215264</v>
          </cell>
          <cell r="FS2239">
            <v>22.314663874962239</v>
          </cell>
          <cell r="FT2239">
            <v>20.116606119778133</v>
          </cell>
          <cell r="FU2239">
            <v>17.065595346429742</v>
          </cell>
          <cell r="FV2239">
            <v>23.167616893126525</v>
          </cell>
          <cell r="GG2239">
            <v>14.704571622126016</v>
          </cell>
          <cell r="GH2239">
            <v>13.982143405445317</v>
          </cell>
          <cell r="GI2239">
            <v>10.408007395026372</v>
          </cell>
          <cell r="GJ2239">
            <v>7.7337520878462023</v>
          </cell>
          <cell r="GK2239">
            <v>13.082262702206542</v>
          </cell>
        </row>
        <row r="2240">
          <cell r="A2240">
            <v>42594</v>
          </cell>
          <cell r="FR2240">
            <v>23.09389309954982</v>
          </cell>
          <cell r="FS2240">
            <v>22.314663874962239</v>
          </cell>
          <cell r="FT2240">
            <v>20.116606119778133</v>
          </cell>
          <cell r="FU2240">
            <v>17.065595346429742</v>
          </cell>
          <cell r="FV2240">
            <v>23.167616893126525</v>
          </cell>
          <cell r="GG2240">
            <v>14.704571622126016</v>
          </cell>
          <cell r="GH2240">
            <v>13.982143405445317</v>
          </cell>
          <cell r="GI2240">
            <v>10.408007395026372</v>
          </cell>
          <cell r="GJ2240">
            <v>7.7337520878462023</v>
          </cell>
          <cell r="GK2240">
            <v>13.082262702206542</v>
          </cell>
        </row>
        <row r="2241">
          <cell r="A2241">
            <v>42597</v>
          </cell>
          <cell r="FR2241">
            <v>23.372153631239861</v>
          </cell>
          <cell r="FS2241">
            <v>22.314663874962239</v>
          </cell>
          <cell r="FT2241">
            <v>20.116606119778133</v>
          </cell>
          <cell r="FU2241">
            <v>17.065595346429742</v>
          </cell>
          <cell r="FV2241">
            <v>23.167616893126525</v>
          </cell>
          <cell r="GG2241">
            <v>15.074574427651852</v>
          </cell>
          <cell r="GH2241">
            <v>13.982143405445317</v>
          </cell>
          <cell r="GI2241">
            <v>10.408007395026372</v>
          </cell>
          <cell r="GJ2241">
            <v>7.7337520878462023</v>
          </cell>
          <cell r="GK2241">
            <v>13.082262702206542</v>
          </cell>
        </row>
        <row r="2242">
          <cell r="A2242">
            <v>42598</v>
          </cell>
          <cell r="FR2242">
            <v>23.368242254382999</v>
          </cell>
          <cell r="FS2242">
            <v>22.314663874962239</v>
          </cell>
          <cell r="FT2242">
            <v>20.116606119778133</v>
          </cell>
          <cell r="FU2242">
            <v>17.065595346429742</v>
          </cell>
          <cell r="FV2242">
            <v>23.167616893126525</v>
          </cell>
          <cell r="GG2242">
            <v>15.035622839915066</v>
          </cell>
          <cell r="GH2242">
            <v>13.982143405445317</v>
          </cell>
          <cell r="GI2242">
            <v>10.408007395026372</v>
          </cell>
          <cell r="GJ2242">
            <v>7.7337520878462023</v>
          </cell>
          <cell r="GK2242">
            <v>13.082262702206542</v>
          </cell>
        </row>
        <row r="2243">
          <cell r="A2243">
            <v>42599</v>
          </cell>
          <cell r="FR2243">
            <v>23.114381061282117</v>
          </cell>
          <cell r="FS2243">
            <v>22.314663874962239</v>
          </cell>
          <cell r="FT2243">
            <v>20.116606119778133</v>
          </cell>
          <cell r="FU2243">
            <v>17.065595346429742</v>
          </cell>
          <cell r="FV2243">
            <v>23.167616893126525</v>
          </cell>
          <cell r="GG2243">
            <v>14.991111270229734</v>
          </cell>
          <cell r="GH2243">
            <v>13.982143405445317</v>
          </cell>
          <cell r="GI2243">
            <v>10.408007395026372</v>
          </cell>
          <cell r="GJ2243">
            <v>7.7337520878462023</v>
          </cell>
          <cell r="GK2243">
            <v>13.082262702206542</v>
          </cell>
        </row>
        <row r="2244">
          <cell r="A2244">
            <v>42600</v>
          </cell>
          <cell r="FR2244">
            <v>23.380357787812724</v>
          </cell>
          <cell r="FS2244">
            <v>22.314663874962239</v>
          </cell>
          <cell r="FT2244">
            <v>20.116606119778133</v>
          </cell>
          <cell r="FU2244">
            <v>17.065595346429742</v>
          </cell>
          <cell r="FV2244">
            <v>23.167616893126525</v>
          </cell>
          <cell r="GG2244">
            <v>14.879835406148571</v>
          </cell>
          <cell r="GH2244">
            <v>13.982143405445317</v>
          </cell>
          <cell r="GI2244">
            <v>10.408007395026372</v>
          </cell>
          <cell r="GJ2244">
            <v>7.7337520878462023</v>
          </cell>
          <cell r="GK2244">
            <v>13.082262702206542</v>
          </cell>
        </row>
        <row r="2245">
          <cell r="A2245">
            <v>42601</v>
          </cell>
          <cell r="FR2245">
            <v>23.304175225735964</v>
          </cell>
          <cell r="FS2245">
            <v>22.314663874962239</v>
          </cell>
          <cell r="FT2245">
            <v>20.116606119778133</v>
          </cell>
          <cell r="FU2245">
            <v>17.065595346429742</v>
          </cell>
          <cell r="FV2245">
            <v>23.167616893126525</v>
          </cell>
          <cell r="GG2245">
            <v>14.879835406148571</v>
          </cell>
          <cell r="GH2245">
            <v>13.982143405445317</v>
          </cell>
          <cell r="GI2245">
            <v>10.408007395026372</v>
          </cell>
          <cell r="GJ2245">
            <v>7.7337520878462023</v>
          </cell>
          <cell r="GK2245">
            <v>13.082262702206542</v>
          </cell>
        </row>
        <row r="2246">
          <cell r="A2246">
            <v>42604</v>
          </cell>
          <cell r="FR2246">
            <v>23.278781038377044</v>
          </cell>
          <cell r="FS2246">
            <v>22.314663874962239</v>
          </cell>
          <cell r="FT2246">
            <v>20.116606119778133</v>
          </cell>
          <cell r="FU2246">
            <v>17.065595346429742</v>
          </cell>
          <cell r="FV2246">
            <v>23.167616893126525</v>
          </cell>
          <cell r="GG2246">
            <v>14.907656458622609</v>
          </cell>
          <cell r="GH2246">
            <v>13.982143405445317</v>
          </cell>
          <cell r="GI2246">
            <v>10.408007395026372</v>
          </cell>
          <cell r="GJ2246">
            <v>7.7337520878462023</v>
          </cell>
          <cell r="GK2246">
            <v>13.082262702206542</v>
          </cell>
        </row>
        <row r="2247">
          <cell r="A2247">
            <v>42605</v>
          </cell>
          <cell r="FR2247">
            <v>23.312636004517003</v>
          </cell>
          <cell r="FS2247">
            <v>22.314663874962239</v>
          </cell>
          <cell r="FT2247">
            <v>20.116606119778133</v>
          </cell>
          <cell r="FU2247">
            <v>17.065595346429742</v>
          </cell>
          <cell r="FV2247">
            <v>23.167616893126525</v>
          </cell>
          <cell r="GG2247">
            <v>14.868704870885821</v>
          </cell>
          <cell r="GH2247">
            <v>13.982143405445317</v>
          </cell>
          <cell r="GI2247">
            <v>10.408007395026372</v>
          </cell>
          <cell r="GJ2247">
            <v>7.7337520878462023</v>
          </cell>
          <cell r="GK2247">
            <v>13.082262702206542</v>
          </cell>
        </row>
        <row r="2248">
          <cell r="A2248">
            <v>42606</v>
          </cell>
          <cell r="FR2248">
            <v>22.762415349889409</v>
          </cell>
          <cell r="FS2248">
            <v>22.314663874962239</v>
          </cell>
          <cell r="FT2248">
            <v>20.116606119778133</v>
          </cell>
          <cell r="FU2248">
            <v>17.065595346429742</v>
          </cell>
          <cell r="FV2248">
            <v>23.167616893126525</v>
          </cell>
          <cell r="GG2248">
            <v>14.863144332549613</v>
          </cell>
          <cell r="GH2248">
            <v>13.982143405445317</v>
          </cell>
          <cell r="GI2248">
            <v>10.408007395026372</v>
          </cell>
          <cell r="GJ2248">
            <v>7.7337520878462023</v>
          </cell>
          <cell r="GK2248">
            <v>13.082262702206542</v>
          </cell>
        </row>
        <row r="2249">
          <cell r="A2249">
            <v>42607</v>
          </cell>
          <cell r="FR2249">
            <v>22.474608352146717</v>
          </cell>
          <cell r="FS2249">
            <v>22.314663874962239</v>
          </cell>
          <cell r="FT2249">
            <v>20.116606119778133</v>
          </cell>
          <cell r="FU2249">
            <v>17.065595346429742</v>
          </cell>
          <cell r="FV2249">
            <v>23.167616893126525</v>
          </cell>
          <cell r="GG2249">
            <v>14.657283677986245</v>
          </cell>
          <cell r="GH2249">
            <v>13.982143405445317</v>
          </cell>
          <cell r="GI2249">
            <v>10.408007395026372</v>
          </cell>
          <cell r="GJ2249">
            <v>7.7337520878462023</v>
          </cell>
          <cell r="GK2249">
            <v>13.082262702206542</v>
          </cell>
        </row>
        <row r="2250">
          <cell r="A2250">
            <v>42608</v>
          </cell>
          <cell r="FR2250">
            <v>22.584644187361175</v>
          </cell>
          <cell r="FS2250">
            <v>22.314663874962239</v>
          </cell>
          <cell r="FT2250">
            <v>20.116606119778133</v>
          </cell>
          <cell r="FU2250">
            <v>17.065595346429742</v>
          </cell>
          <cell r="FV2250">
            <v>23.167616893126525</v>
          </cell>
          <cell r="GG2250">
            <v>14.657283677986245</v>
          </cell>
          <cell r="GH2250">
            <v>13.982143405445317</v>
          </cell>
          <cell r="GI2250">
            <v>10.408007395026372</v>
          </cell>
          <cell r="GJ2250">
            <v>7.7337520878462023</v>
          </cell>
          <cell r="GK2250">
            <v>13.082262702206542</v>
          </cell>
        </row>
        <row r="2251">
          <cell r="A2251">
            <v>42611</v>
          </cell>
          <cell r="FR2251">
            <v>22.745481941311528</v>
          </cell>
          <cell r="FS2251">
            <v>22.314663874962239</v>
          </cell>
          <cell r="FT2251">
            <v>20.116606119778133</v>
          </cell>
          <cell r="FU2251">
            <v>17.065595346429742</v>
          </cell>
          <cell r="FV2251">
            <v>23.167616893126525</v>
          </cell>
          <cell r="GG2251">
            <v>14.498710967562648</v>
          </cell>
          <cell r="GH2251">
            <v>13.982143405445317</v>
          </cell>
          <cell r="GI2251">
            <v>10.408007395026372</v>
          </cell>
          <cell r="GJ2251">
            <v>7.7337520878462023</v>
          </cell>
          <cell r="GK2251">
            <v>13.082262702206542</v>
          </cell>
        </row>
        <row r="2252">
          <cell r="A2252">
            <v>42612</v>
          </cell>
          <cell r="FR2252">
            <v>22.626971783297972</v>
          </cell>
          <cell r="FS2252">
            <v>22.314663874962239</v>
          </cell>
          <cell r="FT2252">
            <v>20.116606119778133</v>
          </cell>
          <cell r="FU2252">
            <v>17.065595346429742</v>
          </cell>
          <cell r="FV2252">
            <v>23.167616893126525</v>
          </cell>
          <cell r="GG2252">
            <v>14.679535289921413</v>
          </cell>
          <cell r="GH2252">
            <v>13.982143405445317</v>
          </cell>
          <cell r="GI2252">
            <v>10.408007395026372</v>
          </cell>
          <cell r="GJ2252">
            <v>7.7337520878462023</v>
          </cell>
          <cell r="GK2252">
            <v>13.082262702206542</v>
          </cell>
        </row>
        <row r="2253">
          <cell r="A2253">
            <v>42613</v>
          </cell>
          <cell r="FR2253">
            <v>22.440740688489829</v>
          </cell>
          <cell r="FS2253">
            <v>22.314663874962239</v>
          </cell>
          <cell r="FT2253">
            <v>20.116606119778133</v>
          </cell>
          <cell r="FU2253">
            <v>17.065595346429742</v>
          </cell>
          <cell r="FV2253">
            <v>23.167616893126525</v>
          </cell>
          <cell r="GG2253">
            <v>14.660059496053018</v>
          </cell>
          <cell r="GH2253">
            <v>13.982143405445317</v>
          </cell>
          <cell r="GI2253">
            <v>10.408007395026372</v>
          </cell>
          <cell r="GJ2253">
            <v>7.7337520878462023</v>
          </cell>
          <cell r="GK2253">
            <v>13.082262702206542</v>
          </cell>
        </row>
        <row r="2254">
          <cell r="A2254">
            <v>42614</v>
          </cell>
          <cell r="FR2254">
            <v>22.188685115303986</v>
          </cell>
          <cell r="FS2254">
            <v>22.314663874962239</v>
          </cell>
          <cell r="FT2254">
            <v>20.116606119778133</v>
          </cell>
          <cell r="FU2254">
            <v>17.065595346429742</v>
          </cell>
          <cell r="FV2254">
            <v>23.167616893126525</v>
          </cell>
          <cell r="GG2254">
            <v>14.43608513613461</v>
          </cell>
          <cell r="GH2254">
            <v>13.982143405445317</v>
          </cell>
          <cell r="GI2254">
            <v>10.408007395026372</v>
          </cell>
          <cell r="GJ2254">
            <v>7.7337520878462023</v>
          </cell>
          <cell r="GK2254">
            <v>13.082262702206542</v>
          </cell>
        </row>
        <row r="2255">
          <cell r="A2255">
            <v>42615</v>
          </cell>
          <cell r="FR2255">
            <v>22.331241090146754</v>
          </cell>
          <cell r="FS2255">
            <v>22.314663874962239</v>
          </cell>
          <cell r="FT2255">
            <v>20.116606119778133</v>
          </cell>
          <cell r="FU2255">
            <v>17.065595346429742</v>
          </cell>
          <cell r="FV2255">
            <v>23.167616893126525</v>
          </cell>
          <cell r="GG2255">
            <v>14.43608513613461</v>
          </cell>
          <cell r="GH2255">
            <v>13.982143405445317</v>
          </cell>
          <cell r="GI2255">
            <v>10.408007395026372</v>
          </cell>
          <cell r="GJ2255">
            <v>7.7337520878462023</v>
          </cell>
          <cell r="GK2255">
            <v>13.082262702206542</v>
          </cell>
        </row>
        <row r="2256">
          <cell r="A2256">
            <v>42618</v>
          </cell>
          <cell r="FR2256">
            <v>22.335455327000904</v>
          </cell>
          <cell r="FS2256">
            <v>22.314663874962239</v>
          </cell>
          <cell r="FT2256">
            <v>20.116606119778133</v>
          </cell>
          <cell r="FU2256">
            <v>17.065595346429742</v>
          </cell>
          <cell r="FV2256">
            <v>23.167616893126525</v>
          </cell>
          <cell r="GG2256">
            <v>14.394736312978578</v>
          </cell>
          <cell r="GH2256">
            <v>13.982143405445317</v>
          </cell>
          <cell r="GI2256">
            <v>10.408007395026372</v>
          </cell>
          <cell r="GJ2256">
            <v>7.7337520878462023</v>
          </cell>
          <cell r="GK2256">
            <v>13.082262702206542</v>
          </cell>
        </row>
        <row r="2257">
          <cell r="A2257">
            <v>42619</v>
          </cell>
          <cell r="FR2257">
            <v>22.612238787192553</v>
          </cell>
          <cell r="FS2257">
            <v>22.314663874962239</v>
          </cell>
          <cell r="FT2257">
            <v>20.116606119778133</v>
          </cell>
          <cell r="FU2257">
            <v>17.065595346429742</v>
          </cell>
          <cell r="FV2257">
            <v>23.167616893126525</v>
          </cell>
          <cell r="GG2257">
            <v>14.700725984696586</v>
          </cell>
          <cell r="GH2257">
            <v>13.982143405445317</v>
          </cell>
          <cell r="GI2257">
            <v>10.408007395026372</v>
          </cell>
          <cell r="GJ2257">
            <v>7.7337520878462023</v>
          </cell>
          <cell r="GK2257">
            <v>13.082262702206542</v>
          </cell>
        </row>
        <row r="2258">
          <cell r="A2258">
            <v>42620</v>
          </cell>
          <cell r="FR2258">
            <v>22.59546077876329</v>
          </cell>
          <cell r="FS2258">
            <v>22.314663874962239</v>
          </cell>
          <cell r="FT2258">
            <v>20.116606119778133</v>
          </cell>
          <cell r="FU2258">
            <v>17.065595346429742</v>
          </cell>
          <cell r="FV2258">
            <v>23.167616893126525</v>
          </cell>
          <cell r="GG2258">
            <v>14.642837522010202</v>
          </cell>
          <cell r="GH2258">
            <v>13.982143405445317</v>
          </cell>
          <cell r="GI2258">
            <v>10.408007395026372</v>
          </cell>
          <cell r="GJ2258">
            <v>7.7337520878462023</v>
          </cell>
          <cell r="GK2258">
            <v>13.082262702206542</v>
          </cell>
        </row>
        <row r="2259">
          <cell r="A2259">
            <v>42621</v>
          </cell>
          <cell r="FR2259">
            <v>22.5265437704894</v>
          </cell>
          <cell r="FS2259">
            <v>22.314663874962239</v>
          </cell>
          <cell r="FT2259">
            <v>20.116606119778133</v>
          </cell>
          <cell r="FU2259">
            <v>17.065595346429742</v>
          </cell>
          <cell r="FV2259">
            <v>23.167616893126525</v>
          </cell>
          <cell r="GG2259">
            <v>14.590459699582023</v>
          </cell>
          <cell r="GH2259">
            <v>13.982143405445317</v>
          </cell>
          <cell r="GI2259">
            <v>10.408007395026372</v>
          </cell>
          <cell r="GJ2259">
            <v>7.7337520878462023</v>
          </cell>
          <cell r="GK2259">
            <v>13.082262702206542</v>
          </cell>
        </row>
        <row r="2260">
          <cell r="A2260">
            <v>42622</v>
          </cell>
          <cell r="FR2260">
            <v>21.874149839592377</v>
          </cell>
          <cell r="FS2260">
            <v>22.314663874962239</v>
          </cell>
          <cell r="FT2260">
            <v>20.116606119778133</v>
          </cell>
          <cell r="FU2260">
            <v>17.065595346429742</v>
          </cell>
          <cell r="FV2260">
            <v>23.167616893126525</v>
          </cell>
          <cell r="GG2260">
            <v>14.590459699582023</v>
          </cell>
          <cell r="GH2260">
            <v>13.982143405445317</v>
          </cell>
          <cell r="GI2260">
            <v>10.408007395026372</v>
          </cell>
          <cell r="GJ2260">
            <v>7.7337520878462023</v>
          </cell>
          <cell r="GK2260">
            <v>13.082262702206542</v>
          </cell>
        </row>
        <row r="2261">
          <cell r="A2261">
            <v>42625</v>
          </cell>
          <cell r="FR2261">
            <v>21.761720491377435</v>
          </cell>
          <cell r="FS2261">
            <v>22.314663874962239</v>
          </cell>
          <cell r="FT2261">
            <v>20.116606119778133</v>
          </cell>
          <cell r="FU2261">
            <v>17.065595346429742</v>
          </cell>
          <cell r="FV2261">
            <v>23.167616893126525</v>
          </cell>
          <cell r="GG2261">
            <v>13.51745740010287</v>
          </cell>
          <cell r="GH2261">
            <v>13.982143405445317</v>
          </cell>
          <cell r="GI2261">
            <v>10.408007395026372</v>
          </cell>
          <cell r="GJ2261">
            <v>7.7337520878462023</v>
          </cell>
          <cell r="GK2261">
            <v>13.082262702206542</v>
          </cell>
        </row>
        <row r="2262">
          <cell r="A2262">
            <v>42626</v>
          </cell>
          <cell r="FR2262">
            <v>21.610881697363791</v>
          </cell>
          <cell r="FS2262">
            <v>22.314663874962239</v>
          </cell>
          <cell r="FT2262">
            <v>20.116606119778133</v>
          </cell>
          <cell r="FU2262">
            <v>17.065595346429742</v>
          </cell>
          <cell r="FV2262">
            <v>23.167616893126525</v>
          </cell>
          <cell r="GG2262">
            <v>13.616312731186587</v>
          </cell>
          <cell r="GH2262">
            <v>13.982143405445317</v>
          </cell>
          <cell r="GI2262">
            <v>10.408007395026372</v>
          </cell>
          <cell r="GJ2262">
            <v>7.7337520878462023</v>
          </cell>
          <cell r="GK2262">
            <v>13.082262702206542</v>
          </cell>
        </row>
        <row r="2263">
          <cell r="A2263">
            <v>42627</v>
          </cell>
          <cell r="FR2263">
            <v>21.778482964353351</v>
          </cell>
          <cell r="FS2263">
            <v>22.314663874962239</v>
          </cell>
          <cell r="FT2263">
            <v>20.116606119778133</v>
          </cell>
          <cell r="FU2263">
            <v>17.065595346429742</v>
          </cell>
          <cell r="FV2263">
            <v>23.167616893126525</v>
          </cell>
          <cell r="GG2263">
            <v>13.857439807301692</v>
          </cell>
          <cell r="GH2263">
            <v>13.982143405445317</v>
          </cell>
          <cell r="GI2263">
            <v>10.408007395026372</v>
          </cell>
          <cell r="GJ2263">
            <v>7.7337520878462023</v>
          </cell>
          <cell r="GK2263">
            <v>13.082262702206542</v>
          </cell>
        </row>
        <row r="2264">
          <cell r="A2264">
            <v>42628</v>
          </cell>
          <cell r="FR2264">
            <v>21.979584038613016</v>
          </cell>
          <cell r="FS2264">
            <v>22.314663874962239</v>
          </cell>
          <cell r="FT2264">
            <v>20.116606119778133</v>
          </cell>
          <cell r="FU2264">
            <v>17.065595346429742</v>
          </cell>
          <cell r="FV2264">
            <v>23.167616893126525</v>
          </cell>
          <cell r="GG2264">
            <v>13.816666100784808</v>
          </cell>
          <cell r="GH2264">
            <v>13.982143405445317</v>
          </cell>
          <cell r="GI2264">
            <v>10.408007395026372</v>
          </cell>
          <cell r="GJ2264">
            <v>7.7337520878462023</v>
          </cell>
          <cell r="GK2264">
            <v>13.082262702206542</v>
          </cell>
        </row>
        <row r="2265">
          <cell r="A2265">
            <v>42629</v>
          </cell>
          <cell r="FR2265">
            <v>22.289636997435856</v>
          </cell>
          <cell r="FS2265">
            <v>22.314663874962239</v>
          </cell>
          <cell r="FT2265">
            <v>20.116606119778133</v>
          </cell>
          <cell r="FU2265">
            <v>17.065595346429742</v>
          </cell>
          <cell r="FV2265">
            <v>23.167616893126525</v>
          </cell>
          <cell r="GG2265">
            <v>13.816666100784808</v>
          </cell>
          <cell r="GH2265">
            <v>13.982143405445317</v>
          </cell>
          <cell r="GI2265">
            <v>10.408007395026372</v>
          </cell>
          <cell r="GJ2265">
            <v>7.7337520878462023</v>
          </cell>
          <cell r="GK2265">
            <v>13.082262702206542</v>
          </cell>
        </row>
        <row r="2266">
          <cell r="A2266">
            <v>42632</v>
          </cell>
          <cell r="FR2266">
            <v>21.918729786342691</v>
          </cell>
          <cell r="FS2266">
            <v>22.314663874962239</v>
          </cell>
          <cell r="FT2266">
            <v>20.116606119778133</v>
          </cell>
          <cell r="FU2266">
            <v>17.065595346429742</v>
          </cell>
          <cell r="FV2266">
            <v>23.167616893126525</v>
          </cell>
          <cell r="GG2266">
            <v>14.254738222627793</v>
          </cell>
          <cell r="GH2266">
            <v>13.982143405445317</v>
          </cell>
          <cell r="GI2266">
            <v>10.408007395026372</v>
          </cell>
          <cell r="GJ2266">
            <v>7.7337520878462023</v>
          </cell>
          <cell r="GK2266">
            <v>13.082262702206542</v>
          </cell>
        </row>
        <row r="2267">
          <cell r="A2267">
            <v>42633</v>
          </cell>
          <cell r="FR2267">
            <v>21.943865102639297</v>
          </cell>
          <cell r="FS2267">
            <v>22.314663874962239</v>
          </cell>
          <cell r="FT2267">
            <v>20.116606119778133</v>
          </cell>
          <cell r="FU2267">
            <v>17.065595346429742</v>
          </cell>
          <cell r="FV2267">
            <v>23.167616893126525</v>
          </cell>
          <cell r="GG2267">
            <v>14.12982919091035</v>
          </cell>
          <cell r="GH2267">
            <v>13.982143405445317</v>
          </cell>
          <cell r="GI2267">
            <v>10.408007395026372</v>
          </cell>
          <cell r="GJ2267">
            <v>7.7337520878462023</v>
          </cell>
          <cell r="GK2267">
            <v>13.082262702206542</v>
          </cell>
        </row>
        <row r="2268">
          <cell r="A2268">
            <v>42634</v>
          </cell>
          <cell r="FR2268">
            <v>22.161706744868034</v>
          </cell>
          <cell r="FS2268">
            <v>22.314663874962239</v>
          </cell>
          <cell r="FT2268">
            <v>20.116606119778133</v>
          </cell>
          <cell r="FU2268">
            <v>17.065595346429742</v>
          </cell>
          <cell r="FV2268">
            <v>23.167616893126525</v>
          </cell>
          <cell r="GG2268">
            <v>14.276713656068429</v>
          </cell>
          <cell r="GH2268">
            <v>13.982143405445317</v>
          </cell>
          <cell r="GI2268">
            <v>10.408007395026372</v>
          </cell>
          <cell r="GJ2268">
            <v>7.7337520878462023</v>
          </cell>
          <cell r="GK2268">
            <v>13.082262702206542</v>
          </cell>
        </row>
        <row r="2269">
          <cell r="A2269">
            <v>42635</v>
          </cell>
          <cell r="FR2269">
            <v>22.513612065354</v>
          </cell>
          <cell r="FS2269">
            <v>22.314663874962239</v>
          </cell>
          <cell r="FT2269">
            <v>20.116606119778133</v>
          </cell>
          <cell r="FU2269">
            <v>17.065595346429742</v>
          </cell>
          <cell r="FV2269">
            <v>23.167616893126525</v>
          </cell>
          <cell r="GG2269">
            <v>14.178788140599545</v>
          </cell>
          <cell r="GH2269">
            <v>13.982143405445317</v>
          </cell>
          <cell r="GI2269">
            <v>10.408007395026372</v>
          </cell>
          <cell r="GJ2269">
            <v>7.7337520878462023</v>
          </cell>
          <cell r="GK2269">
            <v>13.082262702206542</v>
          </cell>
        </row>
        <row r="2270">
          <cell r="A2270">
            <v>42636</v>
          </cell>
          <cell r="FR2270">
            <v>22.33766568914956</v>
          </cell>
          <cell r="FS2270">
            <v>22.314663874962239</v>
          </cell>
          <cell r="FT2270">
            <v>20.116606119778133</v>
          </cell>
          <cell r="FU2270">
            <v>17.065595346429742</v>
          </cell>
          <cell r="FV2270">
            <v>23.167616893126525</v>
          </cell>
          <cell r="GG2270">
            <v>14.178788140599545</v>
          </cell>
          <cell r="GH2270">
            <v>13.982143405445317</v>
          </cell>
          <cell r="GI2270">
            <v>10.408007395026372</v>
          </cell>
          <cell r="GJ2270">
            <v>7.7337520878462023</v>
          </cell>
          <cell r="GK2270">
            <v>13.082262702206542</v>
          </cell>
        </row>
        <row r="2271">
          <cell r="A2271">
            <v>42639</v>
          </cell>
          <cell r="FR2271">
            <v>22.223017829946183</v>
          </cell>
          <cell r="FS2271">
            <v>22.314663874962239</v>
          </cell>
          <cell r="FT2271">
            <v>20.116606119778133</v>
          </cell>
          <cell r="FU2271">
            <v>17.065595346429742</v>
          </cell>
          <cell r="FV2271">
            <v>23.167616893126525</v>
          </cell>
          <cell r="GG2271">
            <v>14.189670445893976</v>
          </cell>
          <cell r="GH2271">
            <v>13.982143405445317</v>
          </cell>
          <cell r="GI2271">
            <v>10.408007395026372</v>
          </cell>
          <cell r="GJ2271">
            <v>7.7337520878462023</v>
          </cell>
          <cell r="GK2271">
            <v>13.082262702206542</v>
          </cell>
        </row>
        <row r="2272">
          <cell r="A2272">
            <v>42640</v>
          </cell>
          <cell r="FR2272">
            <v>22.725793402228589</v>
          </cell>
          <cell r="FS2272">
            <v>22.314663874962239</v>
          </cell>
          <cell r="FT2272">
            <v>20.116606119778133</v>
          </cell>
          <cell r="FU2272">
            <v>17.065595346429742</v>
          </cell>
          <cell r="FV2272">
            <v>23.167616893126525</v>
          </cell>
          <cell r="GG2272">
            <v>14.102627235719522</v>
          </cell>
          <cell r="GH2272">
            <v>13.982143405445317</v>
          </cell>
          <cell r="GI2272">
            <v>10.408007395026372</v>
          </cell>
          <cell r="GJ2272">
            <v>7.7337520878462023</v>
          </cell>
          <cell r="GK2272">
            <v>13.082262702206542</v>
          </cell>
        </row>
        <row r="2273">
          <cell r="A2273">
            <v>42641</v>
          </cell>
          <cell r="FR2273">
            <v>22.876635040212179</v>
          </cell>
          <cell r="FS2273">
            <v>22.314663874962239</v>
          </cell>
          <cell r="FT2273">
            <v>20.116606119778133</v>
          </cell>
          <cell r="FU2273">
            <v>17.065595346429742</v>
          </cell>
          <cell r="FV2273">
            <v>23.167616893126525</v>
          </cell>
          <cell r="GG2273">
            <v>14.426312169472554</v>
          </cell>
          <cell r="GH2273">
            <v>13.982143405445317</v>
          </cell>
          <cell r="GI2273">
            <v>10.408007395026372</v>
          </cell>
          <cell r="GJ2273">
            <v>7.7337520878462023</v>
          </cell>
          <cell r="GK2273">
            <v>13.082262702206542</v>
          </cell>
        </row>
        <row r="2274">
          <cell r="A2274">
            <v>42642</v>
          </cell>
          <cell r="FR2274">
            <v>22.365471369644055</v>
          </cell>
          <cell r="FS2274">
            <v>22.314663874962239</v>
          </cell>
          <cell r="FT2274">
            <v>20.116606119778133</v>
          </cell>
          <cell r="FU2274">
            <v>17.065595346429742</v>
          </cell>
          <cell r="FV2274">
            <v>23.167616893126525</v>
          </cell>
          <cell r="GG2274">
            <v>14.426312169472554</v>
          </cell>
          <cell r="GH2274">
            <v>13.982143405445317</v>
          </cell>
          <cell r="GI2274">
            <v>10.408007395026372</v>
          </cell>
          <cell r="GJ2274">
            <v>7.7337520878462023</v>
          </cell>
          <cell r="GK2274">
            <v>13.082262702206542</v>
          </cell>
        </row>
        <row r="2275">
          <cell r="A2275">
            <v>42643</v>
          </cell>
          <cell r="FR2275">
            <v>22.962345606694559</v>
          </cell>
          <cell r="FS2275">
            <v>22.314663874962239</v>
          </cell>
          <cell r="FT2275">
            <v>20.116606119778133</v>
          </cell>
          <cell r="FU2275">
            <v>17.065595346429742</v>
          </cell>
          <cell r="FV2275">
            <v>23.167616893126525</v>
          </cell>
          <cell r="GG2275">
            <v>14.198651576190173</v>
          </cell>
          <cell r="GH2275">
            <v>13.982143405445317</v>
          </cell>
          <cell r="GI2275">
            <v>10.408007395026372</v>
          </cell>
          <cell r="GJ2275">
            <v>7.7337520878462023</v>
          </cell>
          <cell r="GK2275">
            <v>13.082262702206542</v>
          </cell>
        </row>
        <row r="2276">
          <cell r="A2276">
            <v>42646</v>
          </cell>
          <cell r="FR2276">
            <v>22.605696324953776</v>
          </cell>
          <cell r="FS2276">
            <v>22.314663874962239</v>
          </cell>
          <cell r="FT2276">
            <v>20.116606119778133</v>
          </cell>
          <cell r="FU2276">
            <v>17.065595346429742</v>
          </cell>
          <cell r="FV2276">
            <v>23.167616893126525</v>
          </cell>
          <cell r="GG2276">
            <v>14.47702780417932</v>
          </cell>
          <cell r="GH2276">
            <v>13.982143405445317</v>
          </cell>
          <cell r="GI2276">
            <v>10.408007395026372</v>
          </cell>
          <cell r="GJ2276">
            <v>7.7337520878462023</v>
          </cell>
          <cell r="GK2276">
            <v>13.082262702206542</v>
          </cell>
        </row>
        <row r="2277">
          <cell r="A2277">
            <v>42647</v>
          </cell>
          <cell r="FR2277">
            <v>22.597398452613351</v>
          </cell>
          <cell r="FS2277">
            <v>22.314663874962239</v>
          </cell>
          <cell r="FT2277">
            <v>20.116606119778133</v>
          </cell>
          <cell r="FU2277">
            <v>17.065595346429742</v>
          </cell>
          <cell r="FV2277">
            <v>23.167616893126525</v>
          </cell>
          <cell r="GG2277">
            <v>14.47702780417932</v>
          </cell>
          <cell r="GH2277">
            <v>13.982143405445317</v>
          </cell>
          <cell r="GI2277">
            <v>10.408007395026372</v>
          </cell>
          <cell r="GJ2277">
            <v>7.7337520878462023</v>
          </cell>
          <cell r="GK2277">
            <v>13.082262702206542</v>
          </cell>
        </row>
        <row r="2278">
          <cell r="A2278">
            <v>42648</v>
          </cell>
          <cell r="FR2278">
            <v>22.837803813210222</v>
          </cell>
          <cell r="FS2278">
            <v>22.314663874962239</v>
          </cell>
          <cell r="FT2278">
            <v>20.116606119778133</v>
          </cell>
          <cell r="FU2278">
            <v>17.065595346429742</v>
          </cell>
          <cell r="FV2278">
            <v>23.167616893126525</v>
          </cell>
          <cell r="GG2278">
            <v>14.47702780417932</v>
          </cell>
          <cell r="GH2278">
            <v>13.982143405445317</v>
          </cell>
          <cell r="GI2278">
            <v>10.408007395026372</v>
          </cell>
          <cell r="GJ2278">
            <v>7.7337520878462023</v>
          </cell>
          <cell r="GK2278">
            <v>13.082262702206542</v>
          </cell>
        </row>
        <row r="2279">
          <cell r="A2279">
            <v>42649</v>
          </cell>
          <cell r="FR2279">
            <v>22.713451782262435</v>
          </cell>
          <cell r="FS2279">
            <v>22.314663874962239</v>
          </cell>
          <cell r="FT2279">
            <v>20.116606119778133</v>
          </cell>
          <cell r="FU2279">
            <v>17.065595346429742</v>
          </cell>
          <cell r="FV2279">
            <v>23.167616893126525</v>
          </cell>
          <cell r="GG2279">
            <v>14.47702780417932</v>
          </cell>
          <cell r="GH2279">
            <v>13.982143405445317</v>
          </cell>
          <cell r="GI2279">
            <v>10.408007395026372</v>
          </cell>
          <cell r="GJ2279">
            <v>7.7337520878462023</v>
          </cell>
          <cell r="GK2279">
            <v>13.082262702206542</v>
          </cell>
        </row>
        <row r="2280">
          <cell r="A2280">
            <v>42650</v>
          </cell>
          <cell r="FR2280">
            <v>22.69688173528813</v>
          </cell>
          <cell r="FS2280">
            <v>22.314663874962239</v>
          </cell>
          <cell r="FT2280">
            <v>20.116606119778133</v>
          </cell>
          <cell r="FU2280">
            <v>17.065595346429742</v>
          </cell>
          <cell r="FV2280">
            <v>23.167616893126525</v>
          </cell>
          <cell r="GG2280">
            <v>14.53093379619647</v>
          </cell>
          <cell r="GH2280">
            <v>13.982143405445317</v>
          </cell>
          <cell r="GI2280">
            <v>10.408007395026372</v>
          </cell>
          <cell r="GJ2280">
            <v>7.7337520878462023</v>
          </cell>
          <cell r="GK2280">
            <v>13.082262702206542</v>
          </cell>
        </row>
        <row r="2281">
          <cell r="A2281">
            <v>42653</v>
          </cell>
          <cell r="FR2281">
            <v>22.854386294558665</v>
          </cell>
          <cell r="FS2281">
            <v>22.314663874962239</v>
          </cell>
          <cell r="FT2281">
            <v>20.116606119778133</v>
          </cell>
          <cell r="FU2281">
            <v>17.065595346429742</v>
          </cell>
          <cell r="FV2281">
            <v>23.167616893126525</v>
          </cell>
          <cell r="GG2281">
            <v>14.522847708705942</v>
          </cell>
          <cell r="GH2281">
            <v>13.982143405445317</v>
          </cell>
          <cell r="GI2281">
            <v>10.408007395026372</v>
          </cell>
          <cell r="GJ2281">
            <v>7.7337520878462023</v>
          </cell>
          <cell r="GK2281">
            <v>13.082262702206542</v>
          </cell>
        </row>
        <row r="2282">
          <cell r="A2282">
            <v>42654</v>
          </cell>
          <cell r="FR2282">
            <v>21.917659298150728</v>
          </cell>
          <cell r="FS2282">
            <v>22.314663874962239</v>
          </cell>
          <cell r="FT2282">
            <v>20.116606119778133</v>
          </cell>
          <cell r="FU2282">
            <v>17.065595346429742</v>
          </cell>
          <cell r="FV2282">
            <v>23.167616893126525</v>
          </cell>
          <cell r="GG2282">
            <v>14.334164606706015</v>
          </cell>
          <cell r="GH2282">
            <v>13.982143405445317</v>
          </cell>
          <cell r="GI2282">
            <v>10.408007395026372</v>
          </cell>
          <cell r="GJ2282">
            <v>7.7337520878462023</v>
          </cell>
          <cell r="GK2282">
            <v>13.082262702206542</v>
          </cell>
        </row>
        <row r="2283">
          <cell r="A2283">
            <v>42655</v>
          </cell>
          <cell r="FR2283">
            <v>21.420279358940952</v>
          </cell>
          <cell r="FS2283">
            <v>22.314663874962239</v>
          </cell>
          <cell r="FT2283">
            <v>20.116606119778133</v>
          </cell>
          <cell r="FU2283">
            <v>17.065595346429742</v>
          </cell>
          <cell r="FV2283">
            <v>23.167616893126525</v>
          </cell>
          <cell r="GG2283">
            <v>14.134697179473704</v>
          </cell>
          <cell r="GH2283">
            <v>13.982143405445317</v>
          </cell>
          <cell r="GI2283">
            <v>10.408007395026372</v>
          </cell>
          <cell r="GJ2283">
            <v>7.7337520878462023</v>
          </cell>
          <cell r="GK2283">
            <v>13.082262702206542</v>
          </cell>
        </row>
        <row r="2284">
          <cell r="A2284">
            <v>42656</v>
          </cell>
          <cell r="FR2284">
            <v>21.403709311966651</v>
          </cell>
          <cell r="FS2284">
            <v>22.314663874962239</v>
          </cell>
          <cell r="FT2284">
            <v>20.116606119778133</v>
          </cell>
          <cell r="FU2284">
            <v>17.065595346429742</v>
          </cell>
          <cell r="FV2284">
            <v>23.167616893126525</v>
          </cell>
          <cell r="GG2284">
            <v>14.134697179473704</v>
          </cell>
          <cell r="GH2284">
            <v>13.982143405445317</v>
          </cell>
          <cell r="GI2284">
            <v>10.408007395026372</v>
          </cell>
          <cell r="GJ2284">
            <v>7.7337520878462023</v>
          </cell>
          <cell r="GK2284">
            <v>13.082262702206542</v>
          </cell>
        </row>
        <row r="2285">
          <cell r="A2285">
            <v>42657</v>
          </cell>
          <cell r="FR2285">
            <v>21.515775058558944</v>
          </cell>
          <cell r="FS2285">
            <v>22.314663874962239</v>
          </cell>
          <cell r="FT2285">
            <v>20.116606119778133</v>
          </cell>
          <cell r="FU2285">
            <v>17.065595346429742</v>
          </cell>
          <cell r="FV2285">
            <v>23.167616893126525</v>
          </cell>
          <cell r="GG2285">
            <v>13.97835087991772</v>
          </cell>
          <cell r="GH2285">
            <v>13.982143405445317</v>
          </cell>
          <cell r="GI2285">
            <v>10.408007395026372</v>
          </cell>
          <cell r="GJ2285">
            <v>7.7337520878462023</v>
          </cell>
          <cell r="GK2285">
            <v>13.082262702206542</v>
          </cell>
        </row>
        <row r="2286">
          <cell r="A2286">
            <v>42660</v>
          </cell>
          <cell r="FR2286">
            <v>21.556340120358268</v>
          </cell>
          <cell r="FS2286">
            <v>22.314663874962239</v>
          </cell>
          <cell r="FT2286">
            <v>20.116606119778133</v>
          </cell>
          <cell r="FU2286">
            <v>17.065595346429742</v>
          </cell>
          <cell r="FV2286">
            <v>23.167616893126525</v>
          </cell>
          <cell r="GG2286">
            <v>14.034040424491444</v>
          </cell>
          <cell r="GH2286">
            <v>13.982143405445317</v>
          </cell>
          <cell r="GI2286">
            <v>10.408007395026372</v>
          </cell>
          <cell r="GJ2286">
            <v>7.7337520878462023</v>
          </cell>
          <cell r="GK2286">
            <v>13.082262702206542</v>
          </cell>
        </row>
        <row r="2287">
          <cell r="A2287">
            <v>42661</v>
          </cell>
          <cell r="FR2287">
            <v>21.713869708507826</v>
          </cell>
          <cell r="FS2287">
            <v>22.314663874962239</v>
          </cell>
          <cell r="FT2287">
            <v>20.116606119778133</v>
          </cell>
          <cell r="FU2287">
            <v>17.065595346429742</v>
          </cell>
          <cell r="FV2287">
            <v>23.167616893126525</v>
          </cell>
          <cell r="GG2287">
            <v>14.127550339409549</v>
          </cell>
          <cell r="GH2287">
            <v>13.982143405445317</v>
          </cell>
          <cell r="GI2287">
            <v>10.408007395026372</v>
          </cell>
          <cell r="GJ2287">
            <v>7.7337520878462023</v>
          </cell>
          <cell r="GK2287">
            <v>13.082262702206542</v>
          </cell>
        </row>
        <row r="2288">
          <cell r="A2288">
            <v>42662</v>
          </cell>
          <cell r="FR2288">
            <v>21.519762641615735</v>
          </cell>
          <cell r="FS2288">
            <v>22.314663874962239</v>
          </cell>
          <cell r="FT2288">
            <v>20.116606119778133</v>
          </cell>
          <cell r="FU2288">
            <v>17.065595346429742</v>
          </cell>
          <cell r="FV2288">
            <v>23.167616893126525</v>
          </cell>
          <cell r="GG2288">
            <v>14.20324723610595</v>
          </cell>
          <cell r="GH2288">
            <v>13.982143405445317</v>
          </cell>
          <cell r="GI2288">
            <v>10.408007395026372</v>
          </cell>
          <cell r="GJ2288">
            <v>7.7337520878462023</v>
          </cell>
          <cell r="GK2288">
            <v>13.082262702206542</v>
          </cell>
        </row>
        <row r="2289">
          <cell r="A2289">
            <v>42663</v>
          </cell>
          <cell r="FR2289">
            <v>21.594366399559927</v>
          </cell>
          <cell r="FS2289">
            <v>22.314663874962239</v>
          </cell>
          <cell r="FT2289">
            <v>20.116606119778133</v>
          </cell>
          <cell r="FU2289">
            <v>17.065595346429742</v>
          </cell>
          <cell r="FV2289">
            <v>23.167616893126525</v>
          </cell>
          <cell r="GG2289">
            <v>14.20324723610595</v>
          </cell>
          <cell r="GH2289">
            <v>13.982143405445317</v>
          </cell>
          <cell r="GI2289">
            <v>10.408007395026372</v>
          </cell>
          <cell r="GJ2289">
            <v>7.7337520878462023</v>
          </cell>
          <cell r="GK2289">
            <v>13.082262702206542</v>
          </cell>
        </row>
        <row r="2290">
          <cell r="A2290">
            <v>42664</v>
          </cell>
          <cell r="FR2290">
            <v>21.384142859315652</v>
          </cell>
          <cell r="FS2290">
            <v>22.314663874962239</v>
          </cell>
          <cell r="FT2290">
            <v>20.116606119778133</v>
          </cell>
          <cell r="FU2290">
            <v>17.065595346429742</v>
          </cell>
          <cell r="FV2290">
            <v>23.167616893126525</v>
          </cell>
          <cell r="GG2290">
            <v>14.192439341334063</v>
          </cell>
          <cell r="GH2290">
            <v>13.982143405445317</v>
          </cell>
          <cell r="GI2290">
            <v>10.408007395026372</v>
          </cell>
          <cell r="GJ2290">
            <v>7.7337520878462023</v>
          </cell>
          <cell r="GK2290">
            <v>13.082262702206542</v>
          </cell>
        </row>
        <row r="2291">
          <cell r="A2291">
            <v>42667</v>
          </cell>
          <cell r="FR2291">
            <v>21.458735379563596</v>
          </cell>
          <cell r="FS2291">
            <v>22.314663874962239</v>
          </cell>
          <cell r="FT2291">
            <v>20.116606119778133</v>
          </cell>
          <cell r="FU2291">
            <v>17.065595346429742</v>
          </cell>
          <cell r="FV2291">
            <v>23.167616893126525</v>
          </cell>
          <cell r="GG2291">
            <v>14.159948198934577</v>
          </cell>
          <cell r="GH2291">
            <v>13.982143405445317</v>
          </cell>
          <cell r="GI2291">
            <v>10.408007395026372</v>
          </cell>
          <cell r="GJ2291">
            <v>7.7337520878462023</v>
          </cell>
          <cell r="GK2291">
            <v>13.082262702206542</v>
          </cell>
        </row>
        <row r="2292">
          <cell r="A2292">
            <v>42668</v>
          </cell>
          <cell r="FR2292">
            <v>20.605028311884368</v>
          </cell>
          <cell r="FS2292">
            <v>22.314663874962239</v>
          </cell>
          <cell r="FT2292">
            <v>20.116606119778133</v>
          </cell>
          <cell r="FU2292">
            <v>17.065595346429742</v>
          </cell>
          <cell r="FV2292">
            <v>23.167616893126525</v>
          </cell>
          <cell r="GG2292">
            <v>14.197800318286825</v>
          </cell>
          <cell r="GH2292">
            <v>13.982143405445317</v>
          </cell>
          <cell r="GI2292">
            <v>10.408007395026372</v>
          </cell>
          <cell r="GJ2292">
            <v>7.7337520878462023</v>
          </cell>
          <cell r="GK2292">
            <v>13.082262702206542</v>
          </cell>
        </row>
        <row r="2293">
          <cell r="A2293">
            <v>42669</v>
          </cell>
          <cell r="FR2293">
            <v>20.43010504549407</v>
          </cell>
          <cell r="FS2293">
            <v>22.314663874962239</v>
          </cell>
          <cell r="FT2293">
            <v>20.116606119778133</v>
          </cell>
          <cell r="FU2293">
            <v>17.065595346429742</v>
          </cell>
          <cell r="FV2293">
            <v>23.167616893126525</v>
          </cell>
          <cell r="GG2293">
            <v>13.653050450308019</v>
          </cell>
          <cell r="GH2293">
            <v>13.982143405445317</v>
          </cell>
          <cell r="GI2293">
            <v>10.408007395026372</v>
          </cell>
          <cell r="GJ2293">
            <v>7.7337520878462023</v>
          </cell>
          <cell r="GK2293">
            <v>13.082262702206542</v>
          </cell>
        </row>
        <row r="2294">
          <cell r="A2294">
            <v>42670</v>
          </cell>
          <cell r="FR2294">
            <v>20.545903225808392</v>
          </cell>
          <cell r="FS2294">
            <v>22.314663874962239</v>
          </cell>
          <cell r="FT2294">
            <v>20.116606119778133</v>
          </cell>
          <cell r="FU2294">
            <v>17.065595346429742</v>
          </cell>
          <cell r="FV2294">
            <v>23.167616893126525</v>
          </cell>
          <cell r="GG2294">
            <v>13.653050450308019</v>
          </cell>
          <cell r="GH2294">
            <v>13.982143405445317</v>
          </cell>
          <cell r="GI2294">
            <v>10.408007395026372</v>
          </cell>
          <cell r="GJ2294">
            <v>7.7337520878462023</v>
          </cell>
          <cell r="GK2294">
            <v>13.082262702206542</v>
          </cell>
        </row>
        <row r="2295">
          <cell r="A2295">
            <v>42671</v>
          </cell>
          <cell r="FR2295">
            <v>20.441523080783977</v>
          </cell>
          <cell r="FS2295">
            <v>22.314663874962239</v>
          </cell>
          <cell r="FT2295">
            <v>20.116606119778133</v>
          </cell>
          <cell r="FU2295">
            <v>17.065595346429742</v>
          </cell>
          <cell r="FV2295">
            <v>23.167616893126525</v>
          </cell>
          <cell r="GG2295">
            <v>13.671918870147191</v>
          </cell>
          <cell r="GH2295">
            <v>13.982143405445317</v>
          </cell>
          <cell r="GI2295">
            <v>10.408007395026372</v>
          </cell>
          <cell r="GJ2295">
            <v>7.7337520878462023</v>
          </cell>
          <cell r="GK2295">
            <v>13.082262702206542</v>
          </cell>
        </row>
        <row r="2296">
          <cell r="A2296">
            <v>42674</v>
          </cell>
          <cell r="FR2296">
            <v>20.160371949691942</v>
          </cell>
          <cell r="FS2296">
            <v>22.314663874962239</v>
          </cell>
          <cell r="FT2296">
            <v>20.116606119778133</v>
          </cell>
          <cell r="FU2296">
            <v>17.065595346429742</v>
          </cell>
          <cell r="FV2296">
            <v>23.167616893126525</v>
          </cell>
          <cell r="GG2296">
            <v>13.592590183830852</v>
          </cell>
          <cell r="GH2296">
            <v>13.982143405445317</v>
          </cell>
          <cell r="GI2296">
            <v>10.408007395026372</v>
          </cell>
          <cell r="GJ2296">
            <v>7.7337520878462023</v>
          </cell>
          <cell r="GK2296">
            <v>13.082262702206542</v>
          </cell>
        </row>
        <row r="2297">
          <cell r="A2297">
            <v>42675</v>
          </cell>
          <cell r="FR2297">
            <v>19.994160384649881</v>
          </cell>
          <cell r="FS2297">
            <v>22.314663874962239</v>
          </cell>
          <cell r="FT2297">
            <v>20.116606119778133</v>
          </cell>
          <cell r="FU2297">
            <v>17.065595346429742</v>
          </cell>
          <cell r="FV2297">
            <v>23.167616893126525</v>
          </cell>
          <cell r="GG2297">
            <v>13.189522103165578</v>
          </cell>
          <cell r="GH2297">
            <v>13.982143405445317</v>
          </cell>
          <cell r="GI2297">
            <v>10.408007395026372</v>
          </cell>
          <cell r="GJ2297">
            <v>7.7337520878462023</v>
          </cell>
          <cell r="GK2297">
            <v>13.082262702206542</v>
          </cell>
        </row>
        <row r="2298">
          <cell r="A2298">
            <v>42676</v>
          </cell>
          <cell r="FR2298">
            <v>19.60918398829428</v>
          </cell>
          <cell r="FS2298">
            <v>22.314663874962239</v>
          </cell>
          <cell r="FT2298">
            <v>20.116606119778133</v>
          </cell>
          <cell r="FU2298">
            <v>17.065595346429742</v>
          </cell>
          <cell r="FV2298">
            <v>23.167616893126525</v>
          </cell>
          <cell r="GG2298">
            <v>13.114744436263576</v>
          </cell>
          <cell r="GH2298">
            <v>13.982143405445317</v>
          </cell>
          <cell r="GI2298">
            <v>10.408007395026372</v>
          </cell>
          <cell r="GJ2298">
            <v>7.7337520878462023</v>
          </cell>
          <cell r="GK2298">
            <v>13.082262702206542</v>
          </cell>
        </row>
        <row r="2299">
          <cell r="A2299">
            <v>42677</v>
          </cell>
          <cell r="FR2299">
            <v>21.613991086735041</v>
          </cell>
          <cell r="FS2299">
            <v>22.314663874962239</v>
          </cell>
          <cell r="FT2299">
            <v>20.116606119778133</v>
          </cell>
          <cell r="FU2299">
            <v>17.065595346429742</v>
          </cell>
          <cell r="FV2299">
            <v>23.167616893126525</v>
          </cell>
          <cell r="GG2299">
            <v>12.94428691835757</v>
          </cell>
          <cell r="GH2299">
            <v>13.982143405445317</v>
          </cell>
          <cell r="GI2299">
            <v>10.408007395026372</v>
          </cell>
          <cell r="GJ2299">
            <v>7.7337520878462023</v>
          </cell>
          <cell r="GK2299">
            <v>13.082262702206542</v>
          </cell>
        </row>
        <row r="2300">
          <cell r="A2300">
            <v>42678</v>
          </cell>
          <cell r="FR2300">
            <v>21.87130358279752</v>
          </cell>
          <cell r="FS2300">
            <v>22.314663874962239</v>
          </cell>
          <cell r="FT2300">
            <v>20.116606119778133</v>
          </cell>
          <cell r="FU2300">
            <v>17.065595346429742</v>
          </cell>
          <cell r="FV2300">
            <v>23.167616893126525</v>
          </cell>
          <cell r="GG2300">
            <v>13.766692814896636</v>
          </cell>
          <cell r="GH2300">
            <v>13.982143405445317</v>
          </cell>
          <cell r="GI2300">
            <v>10.408007395026372</v>
          </cell>
          <cell r="GJ2300">
            <v>7.7337520878462023</v>
          </cell>
          <cell r="GK2300">
            <v>13.082262702206542</v>
          </cell>
        </row>
        <row r="2301">
          <cell r="A2301">
            <v>42681</v>
          </cell>
          <cell r="FR2301">
            <v>22.352460579303973</v>
          </cell>
          <cell r="FS2301">
            <v>22.314663874962239</v>
          </cell>
          <cell r="FT2301">
            <v>20.116606119778133</v>
          </cell>
          <cell r="FU2301">
            <v>17.065595346429742</v>
          </cell>
          <cell r="FV2301">
            <v>23.167616893126525</v>
          </cell>
          <cell r="GG2301">
            <v>14.061664532131973</v>
          </cell>
          <cell r="GH2301">
            <v>13.982143405445317</v>
          </cell>
          <cell r="GI2301">
            <v>10.408007395026372</v>
          </cell>
          <cell r="GJ2301">
            <v>7.7337520878462023</v>
          </cell>
          <cell r="GK2301">
            <v>13.082262702206542</v>
          </cell>
        </row>
        <row r="2302">
          <cell r="A2302">
            <v>42682</v>
          </cell>
          <cell r="FR2302">
            <v>22.260751381622772</v>
          </cell>
          <cell r="FS2302">
            <v>22.314663874962239</v>
          </cell>
          <cell r="FT2302">
            <v>20.116606119778133</v>
          </cell>
          <cell r="FU2302">
            <v>17.065595346429742</v>
          </cell>
          <cell r="FV2302">
            <v>23.167616893126525</v>
          </cell>
          <cell r="GG2302">
            <v>14.342720977142765</v>
          </cell>
          <cell r="GH2302">
            <v>13.982143405445317</v>
          </cell>
          <cell r="GI2302">
            <v>10.408007395026372</v>
          </cell>
          <cell r="GJ2302">
            <v>7.7337520878462023</v>
          </cell>
          <cell r="GK2302">
            <v>13.082262702206542</v>
          </cell>
        </row>
        <row r="2303">
          <cell r="A2303">
            <v>42683</v>
          </cell>
          <cell r="FR2303">
            <v>23.106397880148975</v>
          </cell>
          <cell r="FS2303">
            <v>22.314663874962239</v>
          </cell>
          <cell r="FT2303">
            <v>20.116606119778133</v>
          </cell>
          <cell r="FU2303">
            <v>17.065595346429742</v>
          </cell>
          <cell r="FV2303">
            <v>23.167616893126525</v>
          </cell>
          <cell r="GG2303">
            <v>13.768325592820794</v>
          </cell>
          <cell r="GH2303">
            <v>13.982143405445317</v>
          </cell>
          <cell r="GI2303">
            <v>10.408007395026372</v>
          </cell>
          <cell r="GJ2303">
            <v>7.7337520878462023</v>
          </cell>
          <cell r="GK2303">
            <v>13.082262702206542</v>
          </cell>
        </row>
        <row r="2304">
          <cell r="A2304">
            <v>42684</v>
          </cell>
          <cell r="FR2304">
            <v>22.927024867511371</v>
          </cell>
          <cell r="FS2304">
            <v>22.314663874962239</v>
          </cell>
          <cell r="FT2304">
            <v>20.116606119778133</v>
          </cell>
          <cell r="FU2304">
            <v>17.065595346429742</v>
          </cell>
          <cell r="FV2304">
            <v>23.167616893126525</v>
          </cell>
          <cell r="GG2304">
            <v>13.768325592820794</v>
          </cell>
          <cell r="GH2304">
            <v>13.982143405445317</v>
          </cell>
          <cell r="GI2304">
            <v>10.408007395026372</v>
          </cell>
          <cell r="GJ2304">
            <v>7.7337520878462023</v>
          </cell>
          <cell r="GK2304">
            <v>13.082262702206542</v>
          </cell>
        </row>
        <row r="2305">
          <cell r="A2305">
            <v>42685</v>
          </cell>
          <cell r="FR2305">
            <v>22.427083432409059</v>
          </cell>
          <cell r="FS2305">
            <v>22.314663874962239</v>
          </cell>
          <cell r="FT2305">
            <v>20.116606119778133</v>
          </cell>
          <cell r="FU2305">
            <v>17.065595346429742</v>
          </cell>
          <cell r="FV2305">
            <v>23.167616893126525</v>
          </cell>
          <cell r="GG2305">
            <v>14.740983703360584</v>
          </cell>
          <cell r="GH2305">
            <v>13.982143405445317</v>
          </cell>
          <cell r="GI2305">
            <v>10.408007395026372</v>
          </cell>
          <cell r="GJ2305">
            <v>7.7337520878462023</v>
          </cell>
          <cell r="GK2305">
            <v>13.082262702206542</v>
          </cell>
        </row>
        <row r="2306">
          <cell r="A2306">
            <v>42688</v>
          </cell>
          <cell r="FR2306">
            <v>22.443391373467641</v>
          </cell>
          <cell r="FS2306">
            <v>22.314663874962239</v>
          </cell>
          <cell r="FT2306">
            <v>20.116606119778133</v>
          </cell>
          <cell r="FU2306">
            <v>17.065595346429742</v>
          </cell>
          <cell r="FV2306">
            <v>23.167616893126525</v>
          </cell>
          <cell r="GG2306">
            <v>14.580692219194749</v>
          </cell>
          <cell r="GH2306">
            <v>13.982143405445317</v>
          </cell>
          <cell r="GI2306">
            <v>10.408007395026372</v>
          </cell>
          <cell r="GJ2306">
            <v>7.7337520878462023</v>
          </cell>
          <cell r="GK2306">
            <v>13.082262702206542</v>
          </cell>
        </row>
        <row r="2307">
          <cell r="A2307">
            <v>42689</v>
          </cell>
          <cell r="FR2307">
            <v>22.632168094427893</v>
          </cell>
          <cell r="FS2307">
            <v>22.314663874962239</v>
          </cell>
          <cell r="FT2307">
            <v>20.116606119778133</v>
          </cell>
          <cell r="FU2307">
            <v>17.065595346429742</v>
          </cell>
          <cell r="FV2307">
            <v>23.167616893126525</v>
          </cell>
          <cell r="GG2307">
            <v>14.772418720141005</v>
          </cell>
          <cell r="GH2307">
            <v>13.982143405445317</v>
          </cell>
          <cell r="GI2307">
            <v>10.408007395026372</v>
          </cell>
          <cell r="GJ2307">
            <v>7.7337520878462023</v>
          </cell>
          <cell r="GK2307">
            <v>13.082262702206542</v>
          </cell>
        </row>
        <row r="2308">
          <cell r="A2308">
            <v>42690</v>
          </cell>
          <cell r="FR2308">
            <v>22.378309190072994</v>
          </cell>
          <cell r="FS2308">
            <v>22.314663874962239</v>
          </cell>
          <cell r="FT2308">
            <v>20.116606119778133</v>
          </cell>
          <cell r="FU2308">
            <v>17.065595346429742</v>
          </cell>
          <cell r="FV2308">
            <v>23.167616893126525</v>
          </cell>
          <cell r="GG2308">
            <v>14.564586525034009</v>
          </cell>
          <cell r="GH2308">
            <v>13.982143405445317</v>
          </cell>
          <cell r="GI2308">
            <v>10.408007395026372</v>
          </cell>
          <cell r="GJ2308">
            <v>7.7337520878462023</v>
          </cell>
          <cell r="GK2308">
            <v>13.082262702206542</v>
          </cell>
        </row>
        <row r="2309">
          <cell r="A2309">
            <v>42691</v>
          </cell>
          <cell r="FR2309">
            <v>22.854430200979916</v>
          </cell>
          <cell r="FS2309">
            <v>22.314663874962239</v>
          </cell>
          <cell r="FT2309">
            <v>20.116606119778133</v>
          </cell>
          <cell r="FU2309">
            <v>17.065595346429742</v>
          </cell>
          <cell r="FV2309">
            <v>23.167616893126525</v>
          </cell>
          <cell r="GG2309">
            <v>14.564586525034009</v>
          </cell>
          <cell r="GH2309">
            <v>13.982143405445317</v>
          </cell>
          <cell r="GI2309">
            <v>10.408007395026372</v>
          </cell>
          <cell r="GJ2309">
            <v>7.7337520878462023</v>
          </cell>
          <cell r="GK2309">
            <v>13.082262702206542</v>
          </cell>
        </row>
        <row r="2310">
          <cell r="A2310">
            <v>42692</v>
          </cell>
          <cell r="FR2310">
            <v>22.68563996636064</v>
          </cell>
          <cell r="FS2310">
            <v>22.314663874962239</v>
          </cell>
          <cell r="FT2310">
            <v>20.116606119778133</v>
          </cell>
          <cell r="FU2310">
            <v>17.065595346429742</v>
          </cell>
          <cell r="FV2310">
            <v>23.167616893126525</v>
          </cell>
          <cell r="GG2310">
            <v>14.896045639820331</v>
          </cell>
          <cell r="GH2310">
            <v>13.982143405445317</v>
          </cell>
          <cell r="GI2310">
            <v>10.408007395026372</v>
          </cell>
          <cell r="GJ2310">
            <v>7.7337520878462023</v>
          </cell>
          <cell r="GK2310">
            <v>13.082262702206542</v>
          </cell>
        </row>
        <row r="2311">
          <cell r="A2311">
            <v>42695</v>
          </cell>
          <cell r="FR2311">
            <v>22.70351454041338</v>
          </cell>
          <cell r="FS2311">
            <v>22.314663874962239</v>
          </cell>
          <cell r="FT2311">
            <v>20.116606119778133</v>
          </cell>
          <cell r="FU2311">
            <v>17.065595346429742</v>
          </cell>
          <cell r="FV2311">
            <v>23.167616893126525</v>
          </cell>
          <cell r="GG2311">
            <v>14.932889804100222</v>
          </cell>
          <cell r="GH2311">
            <v>13.982143405445317</v>
          </cell>
          <cell r="GI2311">
            <v>10.408007395026372</v>
          </cell>
          <cell r="GJ2311">
            <v>7.7337520878462023</v>
          </cell>
          <cell r="GK2311">
            <v>13.082262702206542</v>
          </cell>
        </row>
        <row r="2312">
          <cell r="A2312">
            <v>42696</v>
          </cell>
          <cell r="FR2312">
            <v>22.434880434806871</v>
          </cell>
          <cell r="FS2312">
            <v>22.314663874962239</v>
          </cell>
          <cell r="FT2312">
            <v>20.116606119778133</v>
          </cell>
          <cell r="FU2312">
            <v>17.065595346429742</v>
          </cell>
          <cell r="FV2312">
            <v>23.167616893126525</v>
          </cell>
          <cell r="GG2312">
            <v>14.927659539591895</v>
          </cell>
          <cell r="GH2312">
            <v>13.982143405445317</v>
          </cell>
          <cell r="GI2312">
            <v>10.408007395026372</v>
          </cell>
          <cell r="GJ2312">
            <v>7.7337520878462023</v>
          </cell>
          <cell r="GK2312">
            <v>13.082262702206542</v>
          </cell>
        </row>
        <row r="2313">
          <cell r="A2313">
            <v>42697</v>
          </cell>
          <cell r="FR2313">
            <v>22.444054252002687</v>
          </cell>
          <cell r="FS2313">
            <v>22.314663874962239</v>
          </cell>
          <cell r="FT2313">
            <v>20.116606119778133</v>
          </cell>
          <cell r="FU2313">
            <v>17.065595346429742</v>
          </cell>
          <cell r="FV2313">
            <v>23.167616893126525</v>
          </cell>
          <cell r="GG2313">
            <v>14.689187074228604</v>
          </cell>
          <cell r="GH2313">
            <v>13.982143405445317</v>
          </cell>
          <cell r="GI2313">
            <v>10.408007395026372</v>
          </cell>
          <cell r="GJ2313">
            <v>7.7337520878462023</v>
          </cell>
          <cell r="GK2313">
            <v>13.082262702206542</v>
          </cell>
        </row>
        <row r="2314">
          <cell r="A2314">
            <v>42698</v>
          </cell>
          <cell r="FR2314">
            <v>22.444054252002687</v>
          </cell>
          <cell r="FS2314">
            <v>22.314663874962239</v>
          </cell>
          <cell r="FT2314">
            <v>20.116606119778133</v>
          </cell>
          <cell r="FU2314">
            <v>17.065595346429742</v>
          </cell>
          <cell r="FV2314">
            <v>23.167616893126525</v>
          </cell>
          <cell r="GG2314">
            <v>14.689187074228604</v>
          </cell>
          <cell r="GH2314">
            <v>13.982143405445317</v>
          </cell>
          <cell r="GI2314">
            <v>10.408007395026372</v>
          </cell>
          <cell r="GJ2314">
            <v>7.7337520878462023</v>
          </cell>
          <cell r="GK2314">
            <v>13.082262702206542</v>
          </cell>
        </row>
        <row r="2315">
          <cell r="A2315">
            <v>42699</v>
          </cell>
          <cell r="FR2315">
            <v>22.427775396719895</v>
          </cell>
          <cell r="FS2315">
            <v>22.314663874962239</v>
          </cell>
          <cell r="FT2315">
            <v>20.116606119778133</v>
          </cell>
          <cell r="FU2315">
            <v>17.065595346429742</v>
          </cell>
          <cell r="FV2315">
            <v>23.167616893126525</v>
          </cell>
          <cell r="GG2315">
            <v>14.542801095004805</v>
          </cell>
          <cell r="GH2315">
            <v>13.982143405445317</v>
          </cell>
          <cell r="GI2315">
            <v>10.408007395026372</v>
          </cell>
          <cell r="GJ2315">
            <v>7.7337520878462023</v>
          </cell>
          <cell r="GK2315">
            <v>13.082262702206542</v>
          </cell>
        </row>
        <row r="2316">
          <cell r="A2316">
            <v>42702</v>
          </cell>
          <cell r="FR2316">
            <v>22.053443916996546</v>
          </cell>
          <cell r="FS2316">
            <v>22.314663874962239</v>
          </cell>
          <cell r="FT2316">
            <v>20.116606119778133</v>
          </cell>
          <cell r="FU2316">
            <v>17.065595346429742</v>
          </cell>
          <cell r="FV2316">
            <v>23.167616893126525</v>
          </cell>
          <cell r="GG2316">
            <v>14.759763143712199</v>
          </cell>
          <cell r="GH2316">
            <v>13.982143405445317</v>
          </cell>
          <cell r="GI2316">
            <v>10.408007395026372</v>
          </cell>
          <cell r="GJ2316">
            <v>7.7337520878462023</v>
          </cell>
          <cell r="GK2316">
            <v>13.082262702206542</v>
          </cell>
        </row>
        <row r="2317">
          <cell r="A2317">
            <v>42703</v>
          </cell>
          <cell r="FR2317">
            <v>22.395229892854438</v>
          </cell>
          <cell r="FS2317">
            <v>22.314663874962239</v>
          </cell>
          <cell r="FT2317">
            <v>20.116606119778133</v>
          </cell>
          <cell r="FU2317">
            <v>17.065595346429742</v>
          </cell>
          <cell r="FV2317">
            <v>23.167616893126525</v>
          </cell>
          <cell r="GG2317">
            <v>14.550642706233337</v>
          </cell>
          <cell r="GH2317">
            <v>13.982143405445317</v>
          </cell>
          <cell r="GI2317">
            <v>10.408007395026372</v>
          </cell>
          <cell r="GJ2317">
            <v>7.7337520878462023</v>
          </cell>
          <cell r="GK2317">
            <v>13.082262702206542</v>
          </cell>
        </row>
        <row r="2318">
          <cell r="A2318">
            <v>42704</v>
          </cell>
          <cell r="FR2318">
            <v>22.232476332566886</v>
          </cell>
          <cell r="FS2318">
            <v>22.314663874962239</v>
          </cell>
          <cell r="FT2318">
            <v>20.116606119778133</v>
          </cell>
          <cell r="FU2318">
            <v>17.065595346429742</v>
          </cell>
          <cell r="FV2318">
            <v>23.167616893126525</v>
          </cell>
          <cell r="GG2318">
            <v>14.652586266248932</v>
          </cell>
          <cell r="GH2318">
            <v>13.982143405445317</v>
          </cell>
          <cell r="GI2318">
            <v>10.408007395026372</v>
          </cell>
          <cell r="GJ2318">
            <v>7.7337520878462023</v>
          </cell>
          <cell r="GK2318">
            <v>13.082262702206542</v>
          </cell>
        </row>
        <row r="2319">
          <cell r="A2319">
            <v>42705</v>
          </cell>
          <cell r="FR2319">
            <v>21.563753007217318</v>
          </cell>
          <cell r="FS2319">
            <v>22.314663874962239</v>
          </cell>
          <cell r="FT2319">
            <v>20.116606119778133</v>
          </cell>
          <cell r="FU2319">
            <v>17.065595346429742</v>
          </cell>
          <cell r="FV2319">
            <v>23.167616893126525</v>
          </cell>
          <cell r="GG2319">
            <v>14.473464131461329</v>
          </cell>
          <cell r="GH2319">
            <v>13.982143405445317</v>
          </cell>
          <cell r="GI2319">
            <v>10.408007395026372</v>
          </cell>
          <cell r="GJ2319">
            <v>7.7337520878462023</v>
          </cell>
          <cell r="GK2319">
            <v>13.082262702206542</v>
          </cell>
        </row>
        <row r="2320">
          <cell r="A2320">
            <v>42706</v>
          </cell>
          <cell r="FR2320">
            <v>21.877675787043348</v>
          </cell>
          <cell r="FS2320">
            <v>22.314663874962239</v>
          </cell>
          <cell r="FT2320">
            <v>20.116606119778133</v>
          </cell>
          <cell r="FU2320">
            <v>17.065595346429742</v>
          </cell>
          <cell r="FV2320">
            <v>23.167616893126525</v>
          </cell>
          <cell r="GG2320">
            <v>14.011268133786325</v>
          </cell>
          <cell r="GH2320">
            <v>13.982143405445317</v>
          </cell>
          <cell r="GI2320">
            <v>10.408007395026372</v>
          </cell>
          <cell r="GJ2320">
            <v>7.7337520878462023</v>
          </cell>
          <cell r="GK2320">
            <v>13.082262702206542</v>
          </cell>
        </row>
        <row r="2321">
          <cell r="A2321">
            <v>42709</v>
          </cell>
          <cell r="FR2321">
            <v>22.142229775771813</v>
          </cell>
          <cell r="FS2321">
            <v>22.314663874962239</v>
          </cell>
          <cell r="FT2321">
            <v>20.116606119778133</v>
          </cell>
          <cell r="FU2321">
            <v>17.065595346429742</v>
          </cell>
          <cell r="FV2321">
            <v>23.167616893126525</v>
          </cell>
          <cell r="GG2321">
            <v>14.336613930581917</v>
          </cell>
          <cell r="GH2321">
            <v>13.982143405445317</v>
          </cell>
          <cell r="GI2321">
            <v>10.408007395026372</v>
          </cell>
          <cell r="GJ2321">
            <v>7.7337520878462023</v>
          </cell>
          <cell r="GK2321">
            <v>13.082262702206542</v>
          </cell>
        </row>
        <row r="2322">
          <cell r="A2322">
            <v>42710</v>
          </cell>
          <cell r="FR2322">
            <v>22.421817963111465</v>
          </cell>
          <cell r="FS2322">
            <v>22.314663874962239</v>
          </cell>
          <cell r="FT2322">
            <v>20.116606119778133</v>
          </cell>
          <cell r="FU2322">
            <v>17.065595346429742</v>
          </cell>
          <cell r="FV2322">
            <v>23.167616893126525</v>
          </cell>
          <cell r="GG2322">
            <v>14.305629895350224</v>
          </cell>
          <cell r="GH2322">
            <v>13.982143405445317</v>
          </cell>
          <cell r="GI2322">
            <v>10.408007395026372</v>
          </cell>
          <cell r="GJ2322">
            <v>7.7337520878462023</v>
          </cell>
          <cell r="GK2322">
            <v>13.082262702206542</v>
          </cell>
        </row>
        <row r="2323">
          <cell r="A2323">
            <v>42711</v>
          </cell>
          <cell r="FR2323">
            <v>22.349635926222934</v>
          </cell>
          <cell r="FS2323">
            <v>22.314663874962239</v>
          </cell>
          <cell r="FT2323">
            <v>20.116606119778133</v>
          </cell>
          <cell r="FU2323">
            <v>17.065595346429742</v>
          </cell>
          <cell r="FV2323">
            <v>23.167616893126525</v>
          </cell>
          <cell r="GG2323">
            <v>14.483795069572768</v>
          </cell>
          <cell r="GH2323">
            <v>13.982143405445317</v>
          </cell>
          <cell r="GI2323">
            <v>10.408007395026372</v>
          </cell>
          <cell r="GJ2323">
            <v>7.7337520878462023</v>
          </cell>
          <cell r="GK2323">
            <v>13.082262702206542</v>
          </cell>
        </row>
        <row r="2324">
          <cell r="A2324">
            <v>42712</v>
          </cell>
          <cell r="FR2324">
            <v>22.566158781074577</v>
          </cell>
          <cell r="FS2324">
            <v>22.314663874962239</v>
          </cell>
          <cell r="FT2324">
            <v>20.116606119778133</v>
          </cell>
          <cell r="FU2324">
            <v>17.065595346429742</v>
          </cell>
          <cell r="FV2324">
            <v>23.167616893126525</v>
          </cell>
          <cell r="GG2324">
            <v>14.483795069572768</v>
          </cell>
          <cell r="GH2324">
            <v>13.982143405445317</v>
          </cell>
          <cell r="GI2324">
            <v>10.408007395026372</v>
          </cell>
          <cell r="GJ2324">
            <v>7.7337520878462023</v>
          </cell>
          <cell r="GK2324">
            <v>13.082262702206542</v>
          </cell>
        </row>
        <row r="2325">
          <cell r="A2325">
            <v>42713</v>
          </cell>
          <cell r="FR2325">
            <v>22.775558566286406</v>
          </cell>
          <cell r="FS2325">
            <v>22.314663874962239</v>
          </cell>
          <cell r="FT2325">
            <v>20.116606119778133</v>
          </cell>
          <cell r="FU2325">
            <v>17.065595346429742</v>
          </cell>
          <cell r="FV2325">
            <v>23.167616893126525</v>
          </cell>
          <cell r="GG2325">
            <v>14.742003970133551</v>
          </cell>
          <cell r="GH2325">
            <v>13.982143405445317</v>
          </cell>
          <cell r="GI2325">
            <v>10.408007395026372</v>
          </cell>
          <cell r="GJ2325">
            <v>7.7337520878462023</v>
          </cell>
          <cell r="GK2325">
            <v>13.082262702206542</v>
          </cell>
        </row>
        <row r="2326">
          <cell r="A2326">
            <v>42716</v>
          </cell>
          <cell r="FR2326">
            <v>22.743485197091527</v>
          </cell>
          <cell r="FS2326">
            <v>22.314663874962239</v>
          </cell>
          <cell r="FT2326">
            <v>20.116606119778133</v>
          </cell>
          <cell r="FU2326">
            <v>17.065595346429742</v>
          </cell>
          <cell r="FV2326">
            <v>23.167616893126525</v>
          </cell>
          <cell r="GG2326">
            <v>14.985298038694381</v>
          </cell>
          <cell r="GH2326">
            <v>13.982143405445317</v>
          </cell>
          <cell r="GI2326">
            <v>10.408007395026372</v>
          </cell>
          <cell r="GJ2326">
            <v>7.7337520878462023</v>
          </cell>
          <cell r="GK2326">
            <v>13.082262702206542</v>
          </cell>
        </row>
        <row r="2327">
          <cell r="A2327">
            <v>42717</v>
          </cell>
          <cell r="FR2327">
            <v>22.943903670864767</v>
          </cell>
          <cell r="FS2327">
            <v>22.314663874962239</v>
          </cell>
          <cell r="FT2327">
            <v>20.116606119778133</v>
          </cell>
          <cell r="FU2327">
            <v>17.065595346429742</v>
          </cell>
          <cell r="FV2327">
            <v>23.167616893126525</v>
          </cell>
          <cell r="GG2327">
            <v>15.122241637792357</v>
          </cell>
          <cell r="GH2327">
            <v>13.982143405445317</v>
          </cell>
          <cell r="GI2327">
            <v>10.408007395026372</v>
          </cell>
          <cell r="GJ2327">
            <v>7.7337520878462023</v>
          </cell>
          <cell r="GK2327">
            <v>13.082262702206542</v>
          </cell>
        </row>
        <row r="2328">
          <cell r="A2328">
            <v>42718</v>
          </cell>
          <cell r="FR2328">
            <v>22.598230152365677</v>
          </cell>
          <cell r="FS2328">
            <v>22.314663874962239</v>
          </cell>
          <cell r="FT2328">
            <v>20.116606119778133</v>
          </cell>
          <cell r="FU2328">
            <v>17.065595346429742</v>
          </cell>
          <cell r="FV2328">
            <v>23.167616893126525</v>
          </cell>
          <cell r="GG2328">
            <v>15.221777117112422</v>
          </cell>
          <cell r="GH2328">
            <v>13.982143405445317</v>
          </cell>
          <cell r="GI2328">
            <v>10.408007395026372</v>
          </cell>
          <cell r="GJ2328">
            <v>7.7337520878462023</v>
          </cell>
          <cell r="GK2328">
            <v>13.082262702206542</v>
          </cell>
        </row>
        <row r="2329">
          <cell r="A2329">
            <v>42719</v>
          </cell>
          <cell r="FR2329">
            <v>22.253408179631112</v>
          </cell>
          <cell r="FS2329">
            <v>22.314663874962239</v>
          </cell>
          <cell r="FT2329">
            <v>20.116606119778133</v>
          </cell>
          <cell r="FU2329">
            <v>17.065595346429742</v>
          </cell>
          <cell r="FV2329">
            <v>23.167616893126525</v>
          </cell>
          <cell r="GG2329">
            <v>15.221777117112422</v>
          </cell>
          <cell r="GH2329">
            <v>13.982143405445317</v>
          </cell>
          <cell r="GI2329">
            <v>10.408007395026372</v>
          </cell>
          <cell r="GJ2329">
            <v>7.7337520878462023</v>
          </cell>
          <cell r="GK2329">
            <v>13.082262702206542</v>
          </cell>
        </row>
        <row r="2330">
          <cell r="A2330">
            <v>42720</v>
          </cell>
          <cell r="FR2330">
            <v>22.229893623848795</v>
          </cell>
          <cell r="FS2330">
            <v>22.314663874962239</v>
          </cell>
          <cell r="FT2330">
            <v>20.116606119778133</v>
          </cell>
          <cell r="FU2330">
            <v>17.065595346429742</v>
          </cell>
          <cell r="FV2330">
            <v>23.167616893126525</v>
          </cell>
          <cell r="GG2330">
            <v>15.125059594406222</v>
          </cell>
          <cell r="GH2330">
            <v>13.982143405445317</v>
          </cell>
          <cell r="GI2330">
            <v>10.408007395026372</v>
          </cell>
          <cell r="GJ2330">
            <v>7.7337520878462023</v>
          </cell>
          <cell r="GK2330">
            <v>13.082262702206542</v>
          </cell>
        </row>
        <row r="2331">
          <cell r="A2331">
            <v>42723</v>
          </cell>
          <cell r="FR2331">
            <v>22.166930979133227</v>
          </cell>
          <cell r="FS2331">
            <v>22.314663874962239</v>
          </cell>
          <cell r="FT2331">
            <v>20.116606119778133</v>
          </cell>
          <cell r="FU2331">
            <v>17.065595346429742</v>
          </cell>
          <cell r="FV2331">
            <v>23.167616893126525</v>
          </cell>
          <cell r="GG2331">
            <v>15.016487259224069</v>
          </cell>
          <cell r="GH2331">
            <v>13.982143405445317</v>
          </cell>
          <cell r="GI2331">
            <v>10.408007395026372</v>
          </cell>
          <cell r="GJ2331">
            <v>7.7337520878462023</v>
          </cell>
          <cell r="GK2331">
            <v>13.082262702206542</v>
          </cell>
        </row>
        <row r="2332">
          <cell r="A2332">
            <v>42724</v>
          </cell>
          <cell r="FR2332">
            <v>22.094702247191012</v>
          </cell>
          <cell r="FS2332">
            <v>22.314663874962239</v>
          </cell>
          <cell r="FT2332">
            <v>20.116606119778133</v>
          </cell>
          <cell r="FU2332">
            <v>17.065595346429742</v>
          </cell>
          <cell r="FV2332">
            <v>23.167616893126525</v>
          </cell>
          <cell r="GG2332">
            <v>15.039993537088701</v>
          </cell>
          <cell r="GH2332">
            <v>13.982143405445317</v>
          </cell>
          <cell r="GI2332">
            <v>10.408007395026372</v>
          </cell>
          <cell r="GJ2332">
            <v>7.7337520878462023</v>
          </cell>
          <cell r="GK2332">
            <v>13.082262702206542</v>
          </cell>
        </row>
        <row r="2333">
          <cell r="A2333">
            <v>42725</v>
          </cell>
          <cell r="FR2333">
            <v>22.094702247191012</v>
          </cell>
          <cell r="FS2333">
            <v>22.314663874962239</v>
          </cell>
          <cell r="FT2333">
            <v>20.116606119778133</v>
          </cell>
          <cell r="FU2333">
            <v>17.065595346429742</v>
          </cell>
          <cell r="FV2333">
            <v>23.167616893126525</v>
          </cell>
          <cell r="GG2333">
            <v>15.003431582371903</v>
          </cell>
          <cell r="GH2333">
            <v>13.982143405445317</v>
          </cell>
          <cell r="GI2333">
            <v>10.408007395026372</v>
          </cell>
          <cell r="GJ2333">
            <v>7.7337520878462023</v>
          </cell>
          <cell r="GK2333">
            <v>13.082262702206542</v>
          </cell>
        </row>
        <row r="2334">
          <cell r="A2334">
            <v>42726</v>
          </cell>
          <cell r="FR2334">
            <v>22.102723916532906</v>
          </cell>
          <cell r="FS2334">
            <v>22.314663874962239</v>
          </cell>
          <cell r="FT2334">
            <v>20.116606119778133</v>
          </cell>
          <cell r="FU2334">
            <v>17.065595346429742</v>
          </cell>
          <cell r="FV2334">
            <v>23.167616893126525</v>
          </cell>
          <cell r="GG2334">
            <v>15.003431582371903</v>
          </cell>
          <cell r="GH2334">
            <v>13.982143405445317</v>
          </cell>
          <cell r="GI2334">
            <v>10.408007395026372</v>
          </cell>
          <cell r="GJ2334">
            <v>7.7337520878462023</v>
          </cell>
          <cell r="GK2334">
            <v>13.082262702206542</v>
          </cell>
        </row>
        <row r="2335">
          <cell r="A2335">
            <v>42727</v>
          </cell>
          <cell r="FR2335">
            <v>22.32745425361156</v>
          </cell>
          <cell r="FS2335">
            <v>22.314663874962239</v>
          </cell>
          <cell r="FT2335">
            <v>20.116606119778133</v>
          </cell>
          <cell r="FU2335">
            <v>17.065595346429742</v>
          </cell>
          <cell r="FV2335">
            <v>23.167616893126525</v>
          </cell>
          <cell r="GG2335">
            <v>14.94335551419039</v>
          </cell>
          <cell r="GH2335">
            <v>13.982143405445317</v>
          </cell>
          <cell r="GI2335">
            <v>10.408007395026372</v>
          </cell>
          <cell r="GJ2335">
            <v>7.7337520878462023</v>
          </cell>
          <cell r="GK2335">
            <v>13.082262702206542</v>
          </cell>
        </row>
        <row r="2336">
          <cell r="A2336">
            <v>42730</v>
          </cell>
          <cell r="FR2336">
            <v>22.32745425361156</v>
          </cell>
          <cell r="FS2336">
            <v>22.314663874962239</v>
          </cell>
          <cell r="FT2336">
            <v>20.116606119778133</v>
          </cell>
          <cell r="FU2336">
            <v>17.065595346429742</v>
          </cell>
          <cell r="FV2336">
            <v>23.167616893126525</v>
          </cell>
          <cell r="GG2336">
            <v>14.94335551419039</v>
          </cell>
          <cell r="GH2336">
            <v>13.982143405445317</v>
          </cell>
          <cell r="GI2336">
            <v>10.408007395026372</v>
          </cell>
          <cell r="GJ2336">
            <v>7.7337520878462023</v>
          </cell>
          <cell r="GK2336">
            <v>13.082262702206542</v>
          </cell>
        </row>
        <row r="2337">
          <cell r="A2337">
            <v>42731</v>
          </cell>
          <cell r="FR2337">
            <v>22.383627608346711</v>
          </cell>
          <cell r="FS2337">
            <v>22.314663874962239</v>
          </cell>
          <cell r="FT2337">
            <v>20.116606119778133</v>
          </cell>
          <cell r="FU2337">
            <v>17.065595346429742</v>
          </cell>
          <cell r="FV2337">
            <v>23.167616893126525</v>
          </cell>
          <cell r="GG2337">
            <v>14.94335551419039</v>
          </cell>
          <cell r="GH2337">
            <v>13.982143405445317</v>
          </cell>
          <cell r="GI2337">
            <v>10.408007395026372</v>
          </cell>
          <cell r="GJ2337">
            <v>7.7337520878462023</v>
          </cell>
          <cell r="GK2337">
            <v>13.082262702206542</v>
          </cell>
        </row>
        <row r="2338">
          <cell r="A2338">
            <v>42732</v>
          </cell>
          <cell r="FR2338">
            <v>22.263247191011239</v>
          </cell>
          <cell r="FS2338">
            <v>22.314663874962239</v>
          </cell>
          <cell r="FT2338">
            <v>20.116606119778133</v>
          </cell>
          <cell r="FU2338">
            <v>17.065595346429742</v>
          </cell>
          <cell r="FV2338">
            <v>23.167616893126525</v>
          </cell>
          <cell r="GG2338">
            <v>15.136631037613673</v>
          </cell>
          <cell r="GH2338">
            <v>13.982143405445317</v>
          </cell>
          <cell r="GI2338">
            <v>10.408007395026372</v>
          </cell>
          <cell r="GJ2338">
            <v>7.7337520878462023</v>
          </cell>
          <cell r="GK2338">
            <v>13.082262702206542</v>
          </cell>
        </row>
        <row r="2339">
          <cell r="A2339">
            <v>42733</v>
          </cell>
          <cell r="FR2339">
            <v>22.495986356340289</v>
          </cell>
          <cell r="FS2339">
            <v>22.314663874962239</v>
          </cell>
          <cell r="FT2339">
            <v>20.116606119778133</v>
          </cell>
          <cell r="FU2339">
            <v>17.065595346429742</v>
          </cell>
          <cell r="FV2339">
            <v>23.167616893126525</v>
          </cell>
          <cell r="GG2339">
            <v>15.071334370285978</v>
          </cell>
          <cell r="GH2339">
            <v>13.982143405445317</v>
          </cell>
          <cell r="GI2339">
            <v>10.408007395026372</v>
          </cell>
          <cell r="GJ2339">
            <v>7.7337520878462023</v>
          </cell>
          <cell r="GK2339">
            <v>13.082262702206542</v>
          </cell>
        </row>
        <row r="2340">
          <cell r="A2340">
            <v>42734</v>
          </cell>
          <cell r="FR2340">
            <v>22.487965489566616</v>
          </cell>
          <cell r="FS2340">
            <v>22.314663874962239</v>
          </cell>
          <cell r="FT2340">
            <v>20.116606119778133</v>
          </cell>
          <cell r="FU2340">
            <v>17.065595346429742</v>
          </cell>
          <cell r="FV2340">
            <v>23.167616893126525</v>
          </cell>
          <cell r="GG2340">
            <v>15.071334370285978</v>
          </cell>
          <cell r="GH2340">
            <v>13.982143405445317</v>
          </cell>
          <cell r="GI2340">
            <v>10.408007395026372</v>
          </cell>
          <cell r="GJ2340">
            <v>7.7337520878462023</v>
          </cell>
          <cell r="GK2340">
            <v>13.082262702206542</v>
          </cell>
        </row>
        <row r="2341">
          <cell r="A2341">
            <v>42737</v>
          </cell>
          <cell r="FR2341">
            <v>22.280139708062542</v>
          </cell>
          <cell r="FS2341">
            <v>22.314663874962239</v>
          </cell>
          <cell r="FT2341">
            <v>20.116606119778133</v>
          </cell>
          <cell r="FU2341">
            <v>17.065595346429742</v>
          </cell>
          <cell r="FV2341">
            <v>23.167616893126525</v>
          </cell>
          <cell r="GG2341">
            <v>15.052074495346323</v>
          </cell>
          <cell r="GH2341">
            <v>13.982143405445317</v>
          </cell>
          <cell r="GI2341">
            <v>10.408007395026372</v>
          </cell>
          <cell r="GJ2341">
            <v>7.7337520878462023</v>
          </cell>
          <cell r="GK2341">
            <v>13.082262702206542</v>
          </cell>
        </row>
        <row r="2342">
          <cell r="A2342">
            <v>42738</v>
          </cell>
          <cell r="FR2342">
            <v>22.439167556244346</v>
          </cell>
          <cell r="FS2342">
            <v>22.314663874962239</v>
          </cell>
          <cell r="FT2342">
            <v>20.116606119778133</v>
          </cell>
          <cell r="FU2342">
            <v>17.065595346429742</v>
          </cell>
          <cell r="FV2342">
            <v>23.167616893126525</v>
          </cell>
          <cell r="GG2342">
            <v>15.337522284870563</v>
          </cell>
          <cell r="GH2342">
            <v>13.982143405445317</v>
          </cell>
          <cell r="GI2342">
            <v>10.408007395026372</v>
          </cell>
          <cell r="GJ2342">
            <v>7.7337520878462023</v>
          </cell>
          <cell r="GK2342">
            <v>13.082262702206542</v>
          </cell>
        </row>
        <row r="2343">
          <cell r="A2343">
            <v>42739</v>
          </cell>
          <cell r="FR2343">
            <v>22.846515932025717</v>
          </cell>
          <cell r="FS2343">
            <v>22.314663874962239</v>
          </cell>
          <cell r="FT2343">
            <v>20.116606119778133</v>
          </cell>
          <cell r="FU2343">
            <v>17.065595346429742</v>
          </cell>
          <cell r="FV2343">
            <v>23.167616893126525</v>
          </cell>
          <cell r="GG2343">
            <v>15.175533720718473</v>
          </cell>
          <cell r="GH2343">
            <v>13.982143405445317</v>
          </cell>
          <cell r="GI2343">
            <v>10.408007395026372</v>
          </cell>
          <cell r="GJ2343">
            <v>7.7337520878462023</v>
          </cell>
          <cell r="GK2343">
            <v>13.082262702206542</v>
          </cell>
        </row>
        <row r="2344">
          <cell r="A2344">
            <v>42740</v>
          </cell>
          <cell r="FR2344">
            <v>22.82261869357643</v>
          </cell>
          <cell r="FS2344">
            <v>22.314663874962239</v>
          </cell>
          <cell r="FT2344">
            <v>20.116606119778133</v>
          </cell>
          <cell r="FU2344">
            <v>17.065595346429742</v>
          </cell>
          <cell r="FV2344">
            <v>23.167616893126525</v>
          </cell>
          <cell r="GG2344">
            <v>15.175533720718473</v>
          </cell>
          <cell r="GH2344">
            <v>13.982143405445317</v>
          </cell>
          <cell r="GI2344">
            <v>10.408007395026372</v>
          </cell>
          <cell r="GJ2344">
            <v>7.7337520878462023</v>
          </cell>
          <cell r="GK2344">
            <v>13.082262702206542</v>
          </cell>
        </row>
        <row r="2345">
          <cell r="A2345">
            <v>42741</v>
          </cell>
          <cell r="FR2345">
            <v>22.845500557128723</v>
          </cell>
          <cell r="FS2345">
            <v>22.314663874962239</v>
          </cell>
          <cell r="FT2345">
            <v>20.116606119778133</v>
          </cell>
          <cell r="FU2345">
            <v>17.065595346429742</v>
          </cell>
          <cell r="FV2345">
            <v>23.167616893126525</v>
          </cell>
          <cell r="GG2345">
            <v>15.242933241592713</v>
          </cell>
          <cell r="GH2345">
            <v>13.982143405445317</v>
          </cell>
          <cell r="GI2345">
            <v>10.408007395026372</v>
          </cell>
          <cell r="GJ2345">
            <v>7.7337520878462023</v>
          </cell>
          <cell r="GK2345">
            <v>13.082262702206542</v>
          </cell>
        </row>
        <row r="2346">
          <cell r="A2346">
            <v>42744</v>
          </cell>
          <cell r="FR2346">
            <v>22.885345119535511</v>
          </cell>
          <cell r="FS2346">
            <v>22.314663874962239</v>
          </cell>
          <cell r="FT2346">
            <v>20.116606119778133</v>
          </cell>
          <cell r="FU2346">
            <v>17.065595346429742</v>
          </cell>
          <cell r="FV2346">
            <v>23.167616893126525</v>
          </cell>
          <cell r="GG2346">
            <v>15.16025921447601</v>
          </cell>
          <cell r="GH2346">
            <v>13.982143405445317</v>
          </cell>
          <cell r="GI2346">
            <v>10.408007395026372</v>
          </cell>
          <cell r="GJ2346">
            <v>7.7337520878462023</v>
          </cell>
          <cell r="GK2346">
            <v>13.082262702206542</v>
          </cell>
        </row>
        <row r="2347">
          <cell r="A2347">
            <v>42745</v>
          </cell>
          <cell r="FR2347">
            <v>22.841570374312568</v>
          </cell>
          <cell r="FS2347">
            <v>22.314663874962239</v>
          </cell>
          <cell r="FT2347">
            <v>20.116606119778133</v>
          </cell>
          <cell r="FU2347">
            <v>17.065595346429742</v>
          </cell>
          <cell r="FV2347">
            <v>23.167616893126525</v>
          </cell>
          <cell r="GG2347">
            <v>15.337103076314774</v>
          </cell>
          <cell r="GH2347">
            <v>13.982143405445317</v>
          </cell>
          <cell r="GI2347">
            <v>10.408007395026372</v>
          </cell>
          <cell r="GJ2347">
            <v>7.7337520878462023</v>
          </cell>
          <cell r="GK2347">
            <v>13.082262702206542</v>
          </cell>
        </row>
        <row r="2348">
          <cell r="A2348">
            <v>42746</v>
          </cell>
          <cell r="FR2348">
            <v>22.681996941695036</v>
          </cell>
          <cell r="FS2348">
            <v>22.314663874962239</v>
          </cell>
          <cell r="FT2348">
            <v>20.116606119778133</v>
          </cell>
          <cell r="FU2348">
            <v>17.065595346429742</v>
          </cell>
          <cell r="FV2348">
            <v>23.167616893126525</v>
          </cell>
          <cell r="GG2348">
            <v>15.170691574526208</v>
          </cell>
          <cell r="GH2348">
            <v>13.982143405445317</v>
          </cell>
          <cell r="GI2348">
            <v>10.408007395026372</v>
          </cell>
          <cell r="GJ2348">
            <v>7.7337520878462023</v>
          </cell>
          <cell r="GK2348">
            <v>13.082262702206542</v>
          </cell>
        </row>
        <row r="2349">
          <cell r="A2349">
            <v>42747</v>
          </cell>
          <cell r="FR2349">
            <v>22.602222192675683</v>
          </cell>
          <cell r="FS2349">
            <v>22.314663874962239</v>
          </cell>
          <cell r="FT2349">
            <v>20.116606119778133</v>
          </cell>
          <cell r="FU2349">
            <v>17.065595346429742</v>
          </cell>
          <cell r="FV2349">
            <v>23.167616893126525</v>
          </cell>
          <cell r="GG2349">
            <v>15.170691574526208</v>
          </cell>
          <cell r="GH2349">
            <v>13.982143405445317</v>
          </cell>
          <cell r="GI2349">
            <v>10.408007395026372</v>
          </cell>
          <cell r="GJ2349">
            <v>7.7337520878462023</v>
          </cell>
          <cell r="GK2349">
            <v>13.082262702206542</v>
          </cell>
        </row>
        <row r="2350">
          <cell r="A2350">
            <v>42748</v>
          </cell>
          <cell r="FR2350">
            <v>22.61968643617254</v>
          </cell>
          <cell r="FS2350">
            <v>22.314663874962239</v>
          </cell>
          <cell r="FT2350">
            <v>20.116606119778133</v>
          </cell>
          <cell r="FU2350">
            <v>17.065595346429742</v>
          </cell>
          <cell r="FV2350">
            <v>23.167616893126525</v>
          </cell>
          <cell r="GG2350">
            <v>15.252189291452849</v>
          </cell>
          <cell r="GH2350">
            <v>13.982143405445317</v>
          </cell>
          <cell r="GI2350">
            <v>10.408007395026372</v>
          </cell>
          <cell r="GJ2350">
            <v>7.7337520878462023</v>
          </cell>
          <cell r="GK2350">
            <v>13.082262702206542</v>
          </cell>
        </row>
        <row r="2351">
          <cell r="A2351">
            <v>42751</v>
          </cell>
          <cell r="FR2351">
            <v>22.61968643617254</v>
          </cell>
          <cell r="FS2351">
            <v>22.314663874962239</v>
          </cell>
          <cell r="FT2351">
            <v>20.116606119778133</v>
          </cell>
          <cell r="FU2351">
            <v>17.065595346429742</v>
          </cell>
          <cell r="FV2351">
            <v>23.167616893126525</v>
          </cell>
          <cell r="GG2351">
            <v>15.062292501356723</v>
          </cell>
          <cell r="GH2351">
            <v>13.982143405445317</v>
          </cell>
          <cell r="GI2351">
            <v>10.408007395026372</v>
          </cell>
          <cell r="GJ2351">
            <v>7.7337520878462023</v>
          </cell>
          <cell r="GK2351">
            <v>13.082262702206542</v>
          </cell>
        </row>
        <row r="2352">
          <cell r="A2352">
            <v>42752</v>
          </cell>
          <cell r="FR2352">
            <v>22.093087500002273</v>
          </cell>
          <cell r="FS2352">
            <v>22.314663874962239</v>
          </cell>
          <cell r="FT2352">
            <v>20.116606119778133</v>
          </cell>
          <cell r="FU2352">
            <v>17.065595346429742</v>
          </cell>
          <cell r="FV2352">
            <v>23.167616893126525</v>
          </cell>
          <cell r="GG2352">
            <v>14.968642146590984</v>
          </cell>
          <cell r="GH2352">
            <v>13.982143405445317</v>
          </cell>
          <cell r="GI2352">
            <v>10.408007395026372</v>
          </cell>
          <cell r="GJ2352">
            <v>7.7337520878462023</v>
          </cell>
          <cell r="GK2352">
            <v>13.082262702206542</v>
          </cell>
        </row>
        <row r="2353">
          <cell r="A2353">
            <v>42753</v>
          </cell>
          <cell r="FR2353">
            <v>22.268620212768248</v>
          </cell>
          <cell r="FS2353">
            <v>22.314663874962239</v>
          </cell>
          <cell r="FT2353">
            <v>20.116606119778133</v>
          </cell>
          <cell r="FU2353">
            <v>17.065595346429742</v>
          </cell>
          <cell r="FV2353">
            <v>23.167616893126525</v>
          </cell>
          <cell r="GG2353">
            <v>14.614871802840351</v>
          </cell>
          <cell r="GH2353">
            <v>13.982143405445317</v>
          </cell>
          <cell r="GI2353">
            <v>10.408007395026372</v>
          </cell>
          <cell r="GJ2353">
            <v>7.7337520878462023</v>
          </cell>
          <cell r="GK2353">
            <v>13.082262702206542</v>
          </cell>
        </row>
        <row r="2354">
          <cell r="A2354">
            <v>42754</v>
          </cell>
          <cell r="FR2354">
            <v>22.093087500002273</v>
          </cell>
          <cell r="FS2354">
            <v>22.314663874962239</v>
          </cell>
          <cell r="FT2354">
            <v>20.116606119778133</v>
          </cell>
          <cell r="FU2354">
            <v>17.065595346429742</v>
          </cell>
          <cell r="FV2354">
            <v>23.167616893126525</v>
          </cell>
          <cell r="GG2354">
            <v>14.614871802840351</v>
          </cell>
          <cell r="GH2354">
            <v>13.982143405445317</v>
          </cell>
          <cell r="GI2354">
            <v>10.408007395026372</v>
          </cell>
          <cell r="GJ2354">
            <v>7.7337520878462023</v>
          </cell>
          <cell r="GK2354">
            <v>13.082262702206542</v>
          </cell>
        </row>
        <row r="2355">
          <cell r="A2355">
            <v>42755</v>
          </cell>
          <cell r="FR2355">
            <v>21.232228045718536</v>
          </cell>
          <cell r="FS2355">
            <v>22.314663874962239</v>
          </cell>
          <cell r="FT2355">
            <v>20.116606119778133</v>
          </cell>
          <cell r="FU2355">
            <v>17.065595346429742</v>
          </cell>
          <cell r="FV2355">
            <v>23.167616893126525</v>
          </cell>
          <cell r="GG2355">
            <v>14.712759322148345</v>
          </cell>
          <cell r="GH2355">
            <v>13.982143405445317</v>
          </cell>
          <cell r="GI2355">
            <v>10.408007395026372</v>
          </cell>
          <cell r="GJ2355">
            <v>7.7337520878462023</v>
          </cell>
          <cell r="GK2355">
            <v>13.082262702206542</v>
          </cell>
        </row>
        <row r="2356">
          <cell r="A2356">
            <v>42758</v>
          </cell>
          <cell r="FR2356">
            <v>21.370818326259649</v>
          </cell>
          <cell r="FS2356">
            <v>22.314663874962239</v>
          </cell>
          <cell r="FT2356">
            <v>20.116606119778133</v>
          </cell>
          <cell r="FU2356">
            <v>17.065595346429742</v>
          </cell>
          <cell r="FV2356">
            <v>23.167616893126525</v>
          </cell>
          <cell r="GG2356">
            <v>14.563048466812486</v>
          </cell>
          <cell r="GH2356">
            <v>13.982143405445317</v>
          </cell>
          <cell r="GI2356">
            <v>10.408007395026372</v>
          </cell>
          <cell r="GJ2356">
            <v>7.7337520878462023</v>
          </cell>
          <cell r="GK2356">
            <v>13.082262702206542</v>
          </cell>
        </row>
        <row r="2357">
          <cell r="A2357">
            <v>42759</v>
          </cell>
          <cell r="FR2357">
            <v>21.086378156405079</v>
          </cell>
          <cell r="FS2357">
            <v>22.314663874962239</v>
          </cell>
          <cell r="FT2357">
            <v>20.116606119778133</v>
          </cell>
          <cell r="FU2357">
            <v>17.065595346429742</v>
          </cell>
          <cell r="FV2357">
            <v>23.167616893126525</v>
          </cell>
          <cell r="GG2357">
            <v>14.653095716361248</v>
          </cell>
          <cell r="GH2357">
            <v>13.982143405445317</v>
          </cell>
          <cell r="GI2357">
            <v>10.408007395026372</v>
          </cell>
          <cell r="GJ2357">
            <v>7.7337520878462023</v>
          </cell>
          <cell r="GK2357">
            <v>13.082262702206542</v>
          </cell>
        </row>
        <row r="2358">
          <cell r="A2358">
            <v>42760</v>
          </cell>
          <cell r="FR2358">
            <v>21.417732846946141</v>
          </cell>
          <cell r="FS2358">
            <v>22.314663874962239</v>
          </cell>
          <cell r="FT2358">
            <v>20.116606119778133</v>
          </cell>
          <cell r="FU2358">
            <v>17.065595346429742</v>
          </cell>
          <cell r="FV2358">
            <v>23.167616893126525</v>
          </cell>
          <cell r="GG2358">
            <v>14.110026749542216</v>
          </cell>
          <cell r="GH2358">
            <v>13.982143405445317</v>
          </cell>
          <cell r="GI2358">
            <v>10.408007395026372</v>
          </cell>
          <cell r="GJ2358">
            <v>7.7337520878462023</v>
          </cell>
          <cell r="GK2358">
            <v>13.082262702206542</v>
          </cell>
        </row>
        <row r="2359">
          <cell r="A2359">
            <v>42761</v>
          </cell>
          <cell r="FR2359">
            <v>21.680998845119646</v>
          </cell>
          <cell r="FS2359">
            <v>22.314663874962239</v>
          </cell>
          <cell r="FT2359">
            <v>20.116606119778133</v>
          </cell>
          <cell r="FU2359">
            <v>17.065595346429742</v>
          </cell>
          <cell r="FV2359">
            <v>23.167616893126525</v>
          </cell>
          <cell r="GG2359">
            <v>14.110026749542216</v>
          </cell>
          <cell r="GH2359">
            <v>13.982143405445317</v>
          </cell>
          <cell r="GI2359">
            <v>10.408007395026372</v>
          </cell>
          <cell r="GJ2359">
            <v>7.7337520878462023</v>
          </cell>
          <cell r="GK2359">
            <v>13.082262702206542</v>
          </cell>
        </row>
        <row r="2360">
          <cell r="A2360">
            <v>42762</v>
          </cell>
          <cell r="FR2360">
            <v>21.872396930501182</v>
          </cell>
          <cell r="FS2360">
            <v>22.314663874962239</v>
          </cell>
          <cell r="FT2360">
            <v>20.116606119778133</v>
          </cell>
          <cell r="FU2360">
            <v>17.065595346429742</v>
          </cell>
          <cell r="FV2360">
            <v>23.167616893126525</v>
          </cell>
          <cell r="GG2360">
            <v>14.240158529331536</v>
          </cell>
          <cell r="GH2360">
            <v>13.982143405445317</v>
          </cell>
          <cell r="GI2360">
            <v>10.408007395026372</v>
          </cell>
          <cell r="GJ2360">
            <v>7.7337520878462023</v>
          </cell>
          <cell r="GK2360">
            <v>13.082262702206542</v>
          </cell>
        </row>
        <row r="2361">
          <cell r="A2361">
            <v>42765</v>
          </cell>
          <cell r="FR2361">
            <v>21.85706170009361</v>
          </cell>
          <cell r="FS2361">
            <v>22.314663874962239</v>
          </cell>
          <cell r="FT2361">
            <v>20.116606119778133</v>
          </cell>
          <cell r="FU2361">
            <v>17.065595346429742</v>
          </cell>
          <cell r="FV2361">
            <v>23.167616893126525</v>
          </cell>
          <cell r="GG2361">
            <v>14.406200347597965</v>
          </cell>
          <cell r="GH2361">
            <v>13.982143405445317</v>
          </cell>
          <cell r="GI2361">
            <v>10.408007395026372</v>
          </cell>
          <cell r="GJ2361">
            <v>7.7337520878462023</v>
          </cell>
          <cell r="GK2361">
            <v>13.082262702206542</v>
          </cell>
        </row>
        <row r="2362">
          <cell r="A2362">
            <v>42766</v>
          </cell>
          <cell r="FR2362">
            <v>22.352067740094562</v>
          </cell>
          <cell r="FS2362">
            <v>22.314663874962239</v>
          </cell>
          <cell r="FT2362">
            <v>20.116606119778133</v>
          </cell>
          <cell r="FU2362">
            <v>17.065595346429742</v>
          </cell>
          <cell r="FV2362">
            <v>23.167616893126525</v>
          </cell>
          <cell r="GG2362">
            <v>14.19842747515497</v>
          </cell>
          <cell r="GH2362">
            <v>13.982143405445317</v>
          </cell>
          <cell r="GI2362">
            <v>10.408007395026372</v>
          </cell>
          <cell r="GJ2362">
            <v>7.7337520878462023</v>
          </cell>
          <cell r="GK2362">
            <v>13.082262702206542</v>
          </cell>
        </row>
        <row r="2363">
          <cell r="A2363">
            <v>42767</v>
          </cell>
          <cell r="FR2363">
            <v>22.117033650317566</v>
          </cell>
          <cell r="FS2363">
            <v>22.314663874962239</v>
          </cell>
          <cell r="FT2363">
            <v>20.116606119778133</v>
          </cell>
          <cell r="FU2363">
            <v>17.065595346429742</v>
          </cell>
          <cell r="FV2363">
            <v>23.167616893126525</v>
          </cell>
          <cell r="GG2363">
            <v>14.214290834085373</v>
          </cell>
          <cell r="GH2363">
            <v>13.982143405445317</v>
          </cell>
          <cell r="GI2363">
            <v>10.408007395026372</v>
          </cell>
          <cell r="GJ2363">
            <v>7.7337520878462023</v>
          </cell>
          <cell r="GK2363">
            <v>13.082262702206542</v>
          </cell>
        </row>
        <row r="2364">
          <cell r="A2364">
            <v>42768</v>
          </cell>
          <cell r="FR2364">
            <v>22.510562828233464</v>
          </cell>
          <cell r="FS2364">
            <v>22.314663874962239</v>
          </cell>
          <cell r="FT2364">
            <v>20.116606119778133</v>
          </cell>
          <cell r="FU2364">
            <v>17.065595346429742</v>
          </cell>
          <cell r="FV2364">
            <v>23.167616893126525</v>
          </cell>
          <cell r="GG2364">
            <v>14.207307167590493</v>
          </cell>
          <cell r="GH2364">
            <v>13.982143405445317</v>
          </cell>
          <cell r="GI2364">
            <v>10.408007395026372</v>
          </cell>
          <cell r="GJ2364">
            <v>7.7337520878462023</v>
          </cell>
          <cell r="GK2364">
            <v>13.082262702206542</v>
          </cell>
        </row>
        <row r="2365">
          <cell r="A2365">
            <v>42769</v>
          </cell>
          <cell r="FR2365">
            <v>22.85729758525277</v>
          </cell>
          <cell r="FS2365">
            <v>22.314663874962239</v>
          </cell>
          <cell r="FT2365">
            <v>20.116606119778133</v>
          </cell>
          <cell r="FU2365">
            <v>17.065595346429742</v>
          </cell>
          <cell r="FV2365">
            <v>23.167616893126525</v>
          </cell>
          <cell r="GG2365">
            <v>14.385553921649825</v>
          </cell>
          <cell r="GH2365">
            <v>13.982143405445317</v>
          </cell>
          <cell r="GI2365">
            <v>10.408007395026372</v>
          </cell>
          <cell r="GJ2365">
            <v>7.7337520878462023</v>
          </cell>
          <cell r="GK2365">
            <v>13.082262702206542</v>
          </cell>
        </row>
        <row r="2366">
          <cell r="A2366">
            <v>42772</v>
          </cell>
          <cell r="FR2366">
            <v>22.685789162538384</v>
          </cell>
          <cell r="FS2366">
            <v>22.314663874962239</v>
          </cell>
          <cell r="FT2366">
            <v>20.116606119778133</v>
          </cell>
          <cell r="FU2366">
            <v>17.065595346429742</v>
          </cell>
          <cell r="FV2366">
            <v>23.167616893126525</v>
          </cell>
          <cell r="GG2366">
            <v>14.278699009301903</v>
          </cell>
          <cell r="GH2366">
            <v>13.982143405445317</v>
          </cell>
          <cell r="GI2366">
            <v>10.408007395026372</v>
          </cell>
          <cell r="GJ2366">
            <v>7.7337520878462023</v>
          </cell>
          <cell r="GK2366">
            <v>13.082262702206542</v>
          </cell>
        </row>
        <row r="2367">
          <cell r="A2367">
            <v>42773</v>
          </cell>
          <cell r="FR2367">
            <v>22.694897748078962</v>
          </cell>
          <cell r="FS2367">
            <v>22.314663874962239</v>
          </cell>
          <cell r="FT2367">
            <v>20.116606119778133</v>
          </cell>
          <cell r="FU2367">
            <v>17.065595346429742</v>
          </cell>
          <cell r="FV2367">
            <v>23.167616893126525</v>
          </cell>
          <cell r="GG2367">
            <v>14.066281423512502</v>
          </cell>
          <cell r="GH2367">
            <v>13.982143405445317</v>
          </cell>
          <cell r="GI2367">
            <v>10.408007395026372</v>
          </cell>
          <cell r="GJ2367">
            <v>7.7337520878462023</v>
          </cell>
          <cell r="GK2367">
            <v>13.082262702206542</v>
          </cell>
        </row>
        <row r="2368">
          <cell r="A2368">
            <v>42774</v>
          </cell>
          <cell r="FR2368">
            <v>22.593551975054375</v>
          </cell>
          <cell r="FS2368">
            <v>22.314663874962239</v>
          </cell>
          <cell r="FT2368">
            <v>20.116606119778133</v>
          </cell>
          <cell r="FU2368">
            <v>17.065595346429742</v>
          </cell>
          <cell r="FV2368">
            <v>23.167616893126525</v>
          </cell>
          <cell r="GG2368">
            <v>14.487799381510831</v>
          </cell>
          <cell r="GH2368">
            <v>13.982143405445317</v>
          </cell>
          <cell r="GI2368">
            <v>10.408007395026372</v>
          </cell>
          <cell r="GJ2368">
            <v>7.7337520878462023</v>
          </cell>
          <cell r="GK2368">
            <v>13.082262702206542</v>
          </cell>
        </row>
        <row r="2369">
          <cell r="A2369">
            <v>42775</v>
          </cell>
          <cell r="FR2369">
            <v>22.577968035345432</v>
          </cell>
          <cell r="FS2369">
            <v>22.314663874962239</v>
          </cell>
          <cell r="FT2369">
            <v>20.116606119778133</v>
          </cell>
          <cell r="FU2369">
            <v>17.065595346429742</v>
          </cell>
          <cell r="FV2369">
            <v>23.167616893126525</v>
          </cell>
          <cell r="GG2369">
            <v>14.487799381510831</v>
          </cell>
          <cell r="GH2369">
            <v>13.982143405445317</v>
          </cell>
          <cell r="GI2369">
            <v>10.408007395026372</v>
          </cell>
          <cell r="GJ2369">
            <v>7.7337520878462023</v>
          </cell>
          <cell r="GK2369">
            <v>13.082262702206542</v>
          </cell>
        </row>
        <row r="2370">
          <cell r="A2370">
            <v>42776</v>
          </cell>
          <cell r="FR2370">
            <v>22.70157866425755</v>
          </cell>
          <cell r="FS2370">
            <v>22.314663874962239</v>
          </cell>
          <cell r="FT2370">
            <v>20.116606119778133</v>
          </cell>
          <cell r="FU2370">
            <v>17.065595346429742</v>
          </cell>
          <cell r="FV2370">
            <v>23.167616893126525</v>
          </cell>
          <cell r="GG2370">
            <v>14.586010073731893</v>
          </cell>
          <cell r="GH2370">
            <v>13.982143405445317</v>
          </cell>
          <cell r="GI2370">
            <v>10.408007395026372</v>
          </cell>
          <cell r="GJ2370">
            <v>7.7337520878462023</v>
          </cell>
          <cell r="GK2370">
            <v>13.082262702206542</v>
          </cell>
        </row>
        <row r="2371">
          <cell r="A2371">
            <v>42779</v>
          </cell>
          <cell r="FR2371">
            <v>22.70157866425755</v>
          </cell>
          <cell r="FS2371">
            <v>22.314663874962239</v>
          </cell>
          <cell r="FT2371">
            <v>20.116606119778133</v>
          </cell>
          <cell r="FU2371">
            <v>17.065595346429742</v>
          </cell>
          <cell r="FV2371">
            <v>23.167616893126525</v>
          </cell>
          <cell r="GG2371">
            <v>14.576194258860639</v>
          </cell>
          <cell r="GH2371">
            <v>13.982143405445317</v>
          </cell>
          <cell r="GI2371">
            <v>10.408007395026372</v>
          </cell>
          <cell r="GJ2371">
            <v>7.7337520878462023</v>
          </cell>
          <cell r="GK2371">
            <v>13.082262702206542</v>
          </cell>
        </row>
        <row r="2372">
          <cell r="A2372">
            <v>42780</v>
          </cell>
          <cell r="FR2372">
            <v>22.633329651640391</v>
          </cell>
          <cell r="FS2372">
            <v>22.314663874962239</v>
          </cell>
          <cell r="FT2372">
            <v>20.116606119778133</v>
          </cell>
          <cell r="FU2372">
            <v>17.065595346429742</v>
          </cell>
          <cell r="FV2372">
            <v>23.167616893126525</v>
          </cell>
          <cell r="GG2372">
            <v>14.649849945487508</v>
          </cell>
          <cell r="GH2372">
            <v>13.982143405445317</v>
          </cell>
          <cell r="GI2372">
            <v>10.408007395026372</v>
          </cell>
          <cell r="GJ2372">
            <v>7.7337520878462023</v>
          </cell>
          <cell r="GK2372">
            <v>13.082262702206542</v>
          </cell>
        </row>
        <row r="2373">
          <cell r="A2373">
            <v>42781</v>
          </cell>
          <cell r="FR2373">
            <v>22.594568048877999</v>
          </cell>
          <cell r="FS2373">
            <v>22.314663874962239</v>
          </cell>
          <cell r="FT2373">
            <v>20.116606119778133</v>
          </cell>
          <cell r="FU2373">
            <v>17.065595346429742</v>
          </cell>
          <cell r="FV2373">
            <v>23.167616893126525</v>
          </cell>
          <cell r="GG2373">
            <v>14.536908410577565</v>
          </cell>
          <cell r="GH2373">
            <v>13.982143405445317</v>
          </cell>
          <cell r="GI2373">
            <v>10.408007395026372</v>
          </cell>
          <cell r="GJ2373">
            <v>7.7337520878462023</v>
          </cell>
          <cell r="GK2373">
            <v>13.082262702206542</v>
          </cell>
        </row>
        <row r="2374">
          <cell r="A2374">
            <v>42782</v>
          </cell>
          <cell r="FR2374">
            <v>22.383983101523238</v>
          </cell>
          <cell r="FS2374">
            <v>22.314663874962239</v>
          </cell>
          <cell r="FT2374">
            <v>20.116606119778133</v>
          </cell>
          <cell r="FU2374">
            <v>17.065595346429742</v>
          </cell>
          <cell r="FV2374">
            <v>23.167616893126525</v>
          </cell>
          <cell r="GG2374">
            <v>14.536908410577565</v>
          </cell>
          <cell r="GH2374">
            <v>13.982143405445317</v>
          </cell>
          <cell r="GI2374">
            <v>10.408007395026372</v>
          </cell>
          <cell r="GJ2374">
            <v>7.7337520878462023</v>
          </cell>
          <cell r="GK2374">
            <v>13.082262702206542</v>
          </cell>
        </row>
        <row r="2375">
          <cell r="A2375">
            <v>42783</v>
          </cell>
          <cell r="FR2375">
            <v>22.530268468154691</v>
          </cell>
          <cell r="FS2375">
            <v>22.314663874962239</v>
          </cell>
          <cell r="FT2375">
            <v>20.116606119778133</v>
          </cell>
          <cell r="FU2375">
            <v>17.065595346429742</v>
          </cell>
          <cell r="FV2375">
            <v>23.167616893126525</v>
          </cell>
          <cell r="GG2375">
            <v>14.341561533228052</v>
          </cell>
          <cell r="GH2375">
            <v>13.982143405445317</v>
          </cell>
          <cell r="GI2375">
            <v>10.408007395026372</v>
          </cell>
          <cell r="GJ2375">
            <v>7.7337520878462023</v>
          </cell>
          <cell r="GK2375">
            <v>13.082262702206542</v>
          </cell>
        </row>
        <row r="2376">
          <cell r="A2376">
            <v>42786</v>
          </cell>
          <cell r="FR2376">
            <v>22.530268468154691</v>
          </cell>
          <cell r="FS2376">
            <v>22.314663874962239</v>
          </cell>
          <cell r="FT2376">
            <v>20.116606119778133</v>
          </cell>
          <cell r="FU2376">
            <v>17.065595346429742</v>
          </cell>
          <cell r="FV2376">
            <v>23.167616893126525</v>
          </cell>
          <cell r="GG2376">
            <v>14.585192374403414</v>
          </cell>
          <cell r="GH2376">
            <v>13.982143405445317</v>
          </cell>
          <cell r="GI2376">
            <v>10.408007395026372</v>
          </cell>
          <cell r="GJ2376">
            <v>7.7337520878462023</v>
          </cell>
          <cell r="GK2376">
            <v>13.082262702206542</v>
          </cell>
        </row>
        <row r="2377">
          <cell r="A2377">
            <v>42787</v>
          </cell>
          <cell r="FR2377">
            <v>22.413293560276102</v>
          </cell>
          <cell r="FS2377">
            <v>22.314663874962239</v>
          </cell>
          <cell r="FT2377">
            <v>20.116606119778133</v>
          </cell>
          <cell r="FU2377">
            <v>17.065595346429742</v>
          </cell>
          <cell r="FV2377">
            <v>23.167616893126525</v>
          </cell>
          <cell r="GG2377">
            <v>14.759522480133983</v>
          </cell>
          <cell r="GH2377">
            <v>13.982143405445317</v>
          </cell>
          <cell r="GI2377">
            <v>10.408007395026372</v>
          </cell>
          <cell r="GJ2377">
            <v>7.7337520878462023</v>
          </cell>
          <cell r="GK2377">
            <v>13.082262702206542</v>
          </cell>
        </row>
        <row r="2378">
          <cell r="A2378">
            <v>42788</v>
          </cell>
          <cell r="FR2378">
            <v>22.221063198962042</v>
          </cell>
          <cell r="FS2378">
            <v>22.314663874962239</v>
          </cell>
          <cell r="FT2378">
            <v>20.116606119778133</v>
          </cell>
          <cell r="FU2378">
            <v>17.065595346429742</v>
          </cell>
          <cell r="FV2378">
            <v>23.167616893126525</v>
          </cell>
          <cell r="GG2378">
            <v>14.799369062598194</v>
          </cell>
          <cell r="GH2378">
            <v>13.982143405445317</v>
          </cell>
          <cell r="GI2378">
            <v>10.408007395026372</v>
          </cell>
          <cell r="GJ2378">
            <v>7.7337520878462023</v>
          </cell>
          <cell r="GK2378">
            <v>13.082262702206542</v>
          </cell>
        </row>
        <row r="2379">
          <cell r="A2379">
            <v>42789</v>
          </cell>
          <cell r="FR2379">
            <v>22.096235110535503</v>
          </cell>
          <cell r="FS2379">
            <v>22.314663874962239</v>
          </cell>
          <cell r="FT2379">
            <v>20.116606119778133</v>
          </cell>
          <cell r="FU2379">
            <v>17.065595346429742</v>
          </cell>
          <cell r="FV2379">
            <v>23.167616893126525</v>
          </cell>
          <cell r="GG2379">
            <v>14.799369062598194</v>
          </cell>
          <cell r="GH2379">
            <v>13.982143405445317</v>
          </cell>
          <cell r="GI2379">
            <v>10.408007395026372</v>
          </cell>
          <cell r="GJ2379">
            <v>7.7337520878462023</v>
          </cell>
          <cell r="GK2379">
            <v>13.082262702206542</v>
          </cell>
        </row>
        <row r="2380">
          <cell r="A2380">
            <v>42790</v>
          </cell>
          <cell r="FR2380">
            <v>21.955786736023132</v>
          </cell>
          <cell r="FS2380">
            <v>22.314663874962239</v>
          </cell>
          <cell r="FT2380">
            <v>20.116606119778133</v>
          </cell>
          <cell r="FU2380">
            <v>17.065595346429742</v>
          </cell>
          <cell r="FV2380">
            <v>23.167616893126525</v>
          </cell>
          <cell r="GG2380">
            <v>14.428297420972937</v>
          </cell>
          <cell r="GH2380">
            <v>13.982143405445317</v>
          </cell>
          <cell r="GI2380">
            <v>10.408007395026372</v>
          </cell>
          <cell r="GJ2380">
            <v>7.7337520878462023</v>
          </cell>
          <cell r="GK2380">
            <v>13.082262702206542</v>
          </cell>
        </row>
        <row r="2381">
          <cell r="A2381">
            <v>42793</v>
          </cell>
          <cell r="FR2381">
            <v>22.423931859560245</v>
          </cell>
          <cell r="FS2381">
            <v>22.314663874962239</v>
          </cell>
          <cell r="FT2381">
            <v>20.116606119778133</v>
          </cell>
          <cell r="FU2381">
            <v>17.065595346429742</v>
          </cell>
          <cell r="FV2381">
            <v>23.167616893126525</v>
          </cell>
          <cell r="GG2381">
            <v>14.331176574885246</v>
          </cell>
          <cell r="GH2381">
            <v>13.982143405445317</v>
          </cell>
          <cell r="GI2381">
            <v>10.408007395026372</v>
          </cell>
          <cell r="GJ2381">
            <v>7.7337520878462023</v>
          </cell>
          <cell r="GK2381">
            <v>13.082262702206542</v>
          </cell>
        </row>
        <row r="2382">
          <cell r="A2382">
            <v>42794</v>
          </cell>
          <cell r="FR2382">
            <v>22.205467100132392</v>
          </cell>
          <cell r="FS2382">
            <v>22.314663874962239</v>
          </cell>
          <cell r="FT2382">
            <v>20.116606119778133</v>
          </cell>
          <cell r="FU2382">
            <v>17.065595346429742</v>
          </cell>
          <cell r="FV2382">
            <v>23.167616893126525</v>
          </cell>
          <cell r="GG2382">
            <v>14.387828344077278</v>
          </cell>
          <cell r="GH2382">
            <v>13.982143405445317</v>
          </cell>
          <cell r="GI2382">
            <v>10.408007395026372</v>
          </cell>
          <cell r="GJ2382">
            <v>7.7337520878462023</v>
          </cell>
          <cell r="GK2382">
            <v>13.082262702206542</v>
          </cell>
        </row>
        <row r="2383">
          <cell r="A2383">
            <v>42795</v>
          </cell>
          <cell r="FR2383">
            <v>22.210205564142196</v>
          </cell>
          <cell r="FS2383">
            <v>22.314663874962239</v>
          </cell>
          <cell r="FT2383">
            <v>20.116606119778133</v>
          </cell>
          <cell r="FU2383">
            <v>17.065595346429742</v>
          </cell>
          <cell r="FV2383">
            <v>23.167616893126525</v>
          </cell>
          <cell r="GG2383">
            <v>14.207332634172953</v>
          </cell>
          <cell r="GH2383">
            <v>13.982143405445317</v>
          </cell>
          <cell r="GI2383">
            <v>10.408007395026372</v>
          </cell>
          <cell r="GJ2383">
            <v>7.7337520878462023</v>
          </cell>
          <cell r="GK2383">
            <v>13.082262702206542</v>
          </cell>
        </row>
        <row r="2384">
          <cell r="A2384">
            <v>42796</v>
          </cell>
          <cell r="FR2384">
            <v>22.125197063369399</v>
          </cell>
          <cell r="FS2384">
            <v>22.314663874962239</v>
          </cell>
          <cell r="FT2384">
            <v>20.116606119778133</v>
          </cell>
          <cell r="FU2384">
            <v>17.065595346429742</v>
          </cell>
          <cell r="FV2384">
            <v>23.167616893126525</v>
          </cell>
          <cell r="GG2384">
            <v>14.207332634172953</v>
          </cell>
          <cell r="GH2384">
            <v>13.982143405445317</v>
          </cell>
          <cell r="GI2384">
            <v>10.408007395026372</v>
          </cell>
          <cell r="GJ2384">
            <v>7.7337520878462023</v>
          </cell>
          <cell r="GK2384">
            <v>13.082262702206542</v>
          </cell>
        </row>
        <row r="2385">
          <cell r="A2385">
            <v>42797</v>
          </cell>
          <cell r="FR2385">
            <v>22.596604327666153</v>
          </cell>
          <cell r="FS2385">
            <v>22.314663874962239</v>
          </cell>
          <cell r="FT2385">
            <v>20.116606119778133</v>
          </cell>
          <cell r="FU2385">
            <v>17.065595346429742</v>
          </cell>
          <cell r="FV2385">
            <v>23.167616893126525</v>
          </cell>
          <cell r="GG2385">
            <v>14.424118790388546</v>
          </cell>
          <cell r="GH2385">
            <v>13.982143405445317</v>
          </cell>
          <cell r="GI2385">
            <v>10.408007395026372</v>
          </cell>
          <cell r="GJ2385">
            <v>7.7337520878462023</v>
          </cell>
          <cell r="GK2385">
            <v>13.082262702206542</v>
          </cell>
        </row>
        <row r="2386">
          <cell r="A2386">
            <v>42800</v>
          </cell>
          <cell r="FR2386">
            <v>22.743425811437401</v>
          </cell>
          <cell r="FS2386">
            <v>22.314663874962239</v>
          </cell>
          <cell r="FT2386">
            <v>20.116606119778133</v>
          </cell>
          <cell r="FU2386">
            <v>17.065595346429742</v>
          </cell>
          <cell r="FV2386">
            <v>23.167616893126525</v>
          </cell>
          <cell r="GG2386">
            <v>14.428995348672107</v>
          </cell>
          <cell r="GH2386">
            <v>13.982143405445317</v>
          </cell>
          <cell r="GI2386">
            <v>10.408007395026372</v>
          </cell>
          <cell r="GJ2386">
            <v>7.7337520878462023</v>
          </cell>
          <cell r="GK2386">
            <v>13.082262702206542</v>
          </cell>
        </row>
        <row r="2387">
          <cell r="A2387">
            <v>42801</v>
          </cell>
          <cell r="FR2387">
            <v>22.975267387944356</v>
          </cell>
          <cell r="FS2387">
            <v>22.314663874962239</v>
          </cell>
          <cell r="FT2387">
            <v>20.116606119778133</v>
          </cell>
          <cell r="FU2387">
            <v>17.065595346429742</v>
          </cell>
          <cell r="FV2387">
            <v>23.167616893126525</v>
          </cell>
          <cell r="GG2387">
            <v>14.733475760982317</v>
          </cell>
          <cell r="GH2387">
            <v>13.982143405445317</v>
          </cell>
          <cell r="GI2387">
            <v>10.408007395026372</v>
          </cell>
          <cell r="GJ2387">
            <v>7.7337520878462023</v>
          </cell>
          <cell r="GK2387">
            <v>13.082262702206542</v>
          </cell>
        </row>
        <row r="2388">
          <cell r="A2388">
            <v>42802</v>
          </cell>
          <cell r="FR2388">
            <v>22.913442040185469</v>
          </cell>
          <cell r="FS2388">
            <v>22.314663874962239</v>
          </cell>
          <cell r="FT2388">
            <v>20.116606119778133</v>
          </cell>
          <cell r="FU2388">
            <v>17.065595346429742</v>
          </cell>
          <cell r="FV2388">
            <v>23.167616893126525</v>
          </cell>
          <cell r="GG2388">
            <v>14.766994728304287</v>
          </cell>
          <cell r="GH2388">
            <v>13.982143405445317</v>
          </cell>
          <cell r="GI2388">
            <v>10.408007395026372</v>
          </cell>
          <cell r="GJ2388">
            <v>7.7337520878462023</v>
          </cell>
          <cell r="GK2388">
            <v>13.082262702206542</v>
          </cell>
        </row>
        <row r="2389">
          <cell r="A2389">
            <v>42803</v>
          </cell>
          <cell r="FR2389">
            <v>22.867076506955176</v>
          </cell>
          <cell r="FS2389">
            <v>22.314663874962239</v>
          </cell>
          <cell r="FT2389">
            <v>20.116606119778133</v>
          </cell>
          <cell r="FU2389">
            <v>17.065595346429742</v>
          </cell>
          <cell r="FV2389">
            <v>23.167616893126525</v>
          </cell>
          <cell r="GG2389">
            <v>14.766994728304287</v>
          </cell>
          <cell r="GH2389">
            <v>13.982143405445317</v>
          </cell>
          <cell r="GI2389">
            <v>10.408007395026372</v>
          </cell>
          <cell r="GJ2389">
            <v>7.7337520878462023</v>
          </cell>
          <cell r="GK2389">
            <v>13.082262702206542</v>
          </cell>
        </row>
        <row r="2390">
          <cell r="A2390">
            <v>42804</v>
          </cell>
          <cell r="FR2390">
            <v>23.260586824165902</v>
          </cell>
          <cell r="FS2390">
            <v>22.314663874962239</v>
          </cell>
          <cell r="FT2390">
            <v>20.116606119778133</v>
          </cell>
          <cell r="FU2390">
            <v>17.065595346429742</v>
          </cell>
          <cell r="FV2390">
            <v>23.167616893126525</v>
          </cell>
          <cell r="GG2390">
            <v>14.676843533862366</v>
          </cell>
          <cell r="GH2390">
            <v>13.982143405445317</v>
          </cell>
          <cell r="GI2390">
            <v>10.408007395026372</v>
          </cell>
          <cell r="GJ2390">
            <v>7.7337520878462023</v>
          </cell>
          <cell r="GK2390">
            <v>13.082262702206542</v>
          </cell>
        </row>
        <row r="2391">
          <cell r="A2391">
            <v>42807</v>
          </cell>
          <cell r="FR2391">
            <v>23.221841392380046</v>
          </cell>
          <cell r="FS2391">
            <v>22.314663874962239</v>
          </cell>
          <cell r="FT2391">
            <v>20.116606119778133</v>
          </cell>
          <cell r="FU2391">
            <v>17.065595346429742</v>
          </cell>
          <cell r="FV2391">
            <v>23.167616893126525</v>
          </cell>
          <cell r="GG2391">
            <v>14.669532349575739</v>
          </cell>
          <cell r="GH2391">
            <v>13.982143405445317</v>
          </cell>
          <cell r="GI2391">
            <v>10.408007395026372</v>
          </cell>
          <cell r="GJ2391">
            <v>7.7337520878462023</v>
          </cell>
          <cell r="GK2391">
            <v>13.082262702206542</v>
          </cell>
        </row>
        <row r="2392">
          <cell r="A2392">
            <v>42808</v>
          </cell>
          <cell r="FR2392">
            <v>23.307102579902573</v>
          </cell>
          <cell r="FS2392">
            <v>22.314663874962239</v>
          </cell>
          <cell r="FT2392">
            <v>20.116606119778133</v>
          </cell>
          <cell r="FU2392">
            <v>17.065595346429742</v>
          </cell>
          <cell r="FV2392">
            <v>23.167616893126525</v>
          </cell>
          <cell r="GG2392">
            <v>14.684146927343225</v>
          </cell>
          <cell r="GH2392">
            <v>13.982143405445317</v>
          </cell>
          <cell r="GI2392">
            <v>10.408007395026372</v>
          </cell>
          <cell r="GJ2392">
            <v>7.7337520878462023</v>
          </cell>
          <cell r="GK2392">
            <v>13.082262702206542</v>
          </cell>
        </row>
        <row r="2393">
          <cell r="A2393">
            <v>42809</v>
          </cell>
          <cell r="FR2393">
            <v>23.423362128099896</v>
          </cell>
          <cell r="FS2393">
            <v>22.314663874962239</v>
          </cell>
          <cell r="FT2393">
            <v>20.116606119778133</v>
          </cell>
          <cell r="FU2393">
            <v>17.065595346429742</v>
          </cell>
          <cell r="FV2393">
            <v>23.167616893126525</v>
          </cell>
          <cell r="GG2393">
            <v>14.806397429297775</v>
          </cell>
          <cell r="GH2393">
            <v>13.982143405445317</v>
          </cell>
          <cell r="GI2393">
            <v>10.408007395026372</v>
          </cell>
          <cell r="GJ2393">
            <v>7.7337520878462023</v>
          </cell>
          <cell r="GK2393">
            <v>13.082262702206542</v>
          </cell>
        </row>
        <row r="2394">
          <cell r="A2394">
            <v>42810</v>
          </cell>
          <cell r="FR2394">
            <v>22.736435658914729</v>
          </cell>
          <cell r="FS2394">
            <v>22.314663874962239</v>
          </cell>
          <cell r="FT2394">
            <v>20.116606119778133</v>
          </cell>
          <cell r="FU2394">
            <v>17.065595346429742</v>
          </cell>
          <cell r="FV2394">
            <v>23.167616893126525</v>
          </cell>
          <cell r="GG2394">
            <v>14.806397429297775</v>
          </cell>
          <cell r="GH2394">
            <v>13.982143405445317</v>
          </cell>
          <cell r="GI2394">
            <v>10.408007395026372</v>
          </cell>
          <cell r="GJ2394">
            <v>7.7337520878462023</v>
          </cell>
          <cell r="GK2394">
            <v>13.082262702206542</v>
          </cell>
        </row>
        <row r="2395">
          <cell r="A2395">
            <v>42811</v>
          </cell>
          <cell r="FR2395">
            <v>22.772284940298334</v>
          </cell>
          <cell r="FS2395">
            <v>22.314663874962239</v>
          </cell>
          <cell r="FT2395">
            <v>20.116606119778133</v>
          </cell>
          <cell r="FU2395">
            <v>17.065595346429742</v>
          </cell>
          <cell r="FV2395">
            <v>23.167616893126525</v>
          </cell>
          <cell r="GG2395">
            <v>14.39250795139321</v>
          </cell>
          <cell r="GH2395">
            <v>13.982143405445317</v>
          </cell>
          <cell r="GI2395">
            <v>10.408007395026372</v>
          </cell>
          <cell r="GJ2395">
            <v>7.7337520878462023</v>
          </cell>
          <cell r="GK2395">
            <v>13.082262702206542</v>
          </cell>
        </row>
        <row r="2396">
          <cell r="A2396">
            <v>42814</v>
          </cell>
          <cell r="FR2396">
            <v>22.65016440572423</v>
          </cell>
          <cell r="FS2396">
            <v>22.314663874962239</v>
          </cell>
          <cell r="FT2396">
            <v>20.116606119778133</v>
          </cell>
          <cell r="FU2396">
            <v>17.065595346429742</v>
          </cell>
          <cell r="FV2396">
            <v>23.167616893126525</v>
          </cell>
          <cell r="GG2396">
            <v>14.359497205149394</v>
          </cell>
          <cell r="GH2396">
            <v>13.982143405445317</v>
          </cell>
          <cell r="GI2396">
            <v>10.408007395026372</v>
          </cell>
          <cell r="GJ2396">
            <v>7.7337520878462023</v>
          </cell>
          <cell r="GK2396">
            <v>13.082262702206542</v>
          </cell>
        </row>
        <row r="2397">
          <cell r="A2397">
            <v>42815</v>
          </cell>
          <cell r="FR2397">
            <v>22.246664067213327</v>
          </cell>
          <cell r="FS2397">
            <v>22.314663874962239</v>
          </cell>
          <cell r="FT2397">
            <v>20.116606119778133</v>
          </cell>
          <cell r="FU2397">
            <v>17.065595346429742</v>
          </cell>
          <cell r="FV2397">
            <v>23.167616893126525</v>
          </cell>
          <cell r="GG2397">
            <v>14.320638129851249</v>
          </cell>
          <cell r="GH2397">
            <v>13.982143405445317</v>
          </cell>
          <cell r="GI2397">
            <v>10.408007395026372</v>
          </cell>
          <cell r="GJ2397">
            <v>7.7337520878462023</v>
          </cell>
          <cell r="GK2397">
            <v>13.082262702206542</v>
          </cell>
        </row>
        <row r="2398">
          <cell r="A2398">
            <v>42816</v>
          </cell>
          <cell r="FR2398">
            <v>22.232552713178293</v>
          </cell>
          <cell r="FS2398">
            <v>22.314663874962239</v>
          </cell>
          <cell r="FT2398">
            <v>20.116606119778133</v>
          </cell>
          <cell r="FU2398">
            <v>17.065595346429742</v>
          </cell>
          <cell r="FV2398">
            <v>23.167616893126525</v>
          </cell>
          <cell r="GG2398">
            <v>14.046794840901732</v>
          </cell>
          <cell r="GH2398">
            <v>13.982143405445317</v>
          </cell>
          <cell r="GI2398">
            <v>10.408007395026372</v>
          </cell>
          <cell r="GJ2398">
            <v>7.7337520878462023</v>
          </cell>
          <cell r="GK2398">
            <v>13.082262702206542</v>
          </cell>
        </row>
        <row r="2399">
          <cell r="A2399">
            <v>42817</v>
          </cell>
          <cell r="FR2399">
            <v>22.279074418604651</v>
          </cell>
          <cell r="FS2399">
            <v>22.314663874962239</v>
          </cell>
          <cell r="FT2399">
            <v>20.116606119778133</v>
          </cell>
          <cell r="FU2399">
            <v>17.065595346429742</v>
          </cell>
          <cell r="FV2399">
            <v>23.167616893126525</v>
          </cell>
          <cell r="GG2399">
            <v>14.046794840901732</v>
          </cell>
          <cell r="GH2399">
            <v>13.982143405445317</v>
          </cell>
          <cell r="GI2399">
            <v>10.408007395026372</v>
          </cell>
          <cell r="GJ2399">
            <v>7.7337520878462023</v>
          </cell>
          <cell r="GK2399">
            <v>13.082262702206542</v>
          </cell>
        </row>
        <row r="2400">
          <cell r="A2400">
            <v>42818</v>
          </cell>
          <cell r="FR2400">
            <v>22.801964926108372</v>
          </cell>
          <cell r="FS2400">
            <v>22.314663874962239</v>
          </cell>
          <cell r="FT2400">
            <v>20.116606119778133</v>
          </cell>
          <cell r="FU2400">
            <v>17.065595346429742</v>
          </cell>
          <cell r="FV2400">
            <v>23.167616893126525</v>
          </cell>
          <cell r="GG2400">
            <v>14.110090268502026</v>
          </cell>
          <cell r="GH2400">
            <v>13.982143405445317</v>
          </cell>
          <cell r="GI2400">
            <v>10.408007395026372</v>
          </cell>
          <cell r="GJ2400">
            <v>7.7337520878462023</v>
          </cell>
          <cell r="GK2400">
            <v>13.082262702206542</v>
          </cell>
        </row>
        <row r="2401">
          <cell r="A2401">
            <v>42821</v>
          </cell>
          <cell r="FR2401">
            <v>22.857142857142858</v>
          </cell>
          <cell r="FS2401">
            <v>22.314663874962239</v>
          </cell>
          <cell r="FT2401">
            <v>20.116606119778133</v>
          </cell>
          <cell r="FU2401">
            <v>17.065595346429742</v>
          </cell>
          <cell r="FV2401">
            <v>23.167616893126525</v>
          </cell>
          <cell r="GG2401">
            <v>14.068705508269668</v>
          </cell>
          <cell r="GH2401">
            <v>13.982143405445317</v>
          </cell>
          <cell r="GI2401">
            <v>10.408007395026372</v>
          </cell>
          <cell r="GJ2401">
            <v>7.7337520878462023</v>
          </cell>
          <cell r="GK2401">
            <v>13.082262702206542</v>
          </cell>
        </row>
        <row r="2402">
          <cell r="A2402">
            <v>42822</v>
          </cell>
          <cell r="FR2402">
            <v>22.723154285714287</v>
          </cell>
          <cell r="FS2402">
            <v>22.314663874962239</v>
          </cell>
          <cell r="FT2402">
            <v>20.116606119778133</v>
          </cell>
          <cell r="FU2402">
            <v>17.065595346429742</v>
          </cell>
          <cell r="FV2402">
            <v>23.167616893126525</v>
          </cell>
          <cell r="GG2402">
            <v>13.973751654511299</v>
          </cell>
          <cell r="GH2402">
            <v>13.982143405445317</v>
          </cell>
          <cell r="GI2402">
            <v>10.408007395026372</v>
          </cell>
          <cell r="GJ2402">
            <v>7.7337520878462023</v>
          </cell>
          <cell r="GK2402">
            <v>13.082262702206542</v>
          </cell>
        </row>
        <row r="2403">
          <cell r="A2403">
            <v>42823</v>
          </cell>
          <cell r="FR2403">
            <v>22.667976354679801</v>
          </cell>
          <cell r="FS2403">
            <v>22.314663874962239</v>
          </cell>
          <cell r="FT2403">
            <v>20.116606119778133</v>
          </cell>
          <cell r="FU2403">
            <v>17.065595346429742</v>
          </cell>
          <cell r="FV2403">
            <v>23.167616893126525</v>
          </cell>
          <cell r="GG2403">
            <v>14.017572989247169</v>
          </cell>
          <cell r="GH2403">
            <v>13.982143405445317</v>
          </cell>
          <cell r="GI2403">
            <v>10.408007395026372</v>
          </cell>
          <cell r="GJ2403">
            <v>7.7337520878462023</v>
          </cell>
          <cell r="GK2403">
            <v>13.082262702206542</v>
          </cell>
        </row>
        <row r="2404">
          <cell r="A2404">
            <v>42824</v>
          </cell>
          <cell r="FR2404">
            <v>22.904431921182265</v>
          </cell>
          <cell r="FS2404">
            <v>22.314663874962239</v>
          </cell>
          <cell r="FT2404">
            <v>20.116606119778133</v>
          </cell>
          <cell r="FU2404">
            <v>17.065595346429742</v>
          </cell>
          <cell r="FV2404">
            <v>23.167616893126525</v>
          </cell>
          <cell r="GG2404">
            <v>14.017572989247169</v>
          </cell>
          <cell r="GH2404">
            <v>13.982143405445317</v>
          </cell>
          <cell r="GI2404">
            <v>10.408007395026372</v>
          </cell>
          <cell r="GJ2404">
            <v>7.7337520878462023</v>
          </cell>
          <cell r="GK2404">
            <v>13.082262702206542</v>
          </cell>
        </row>
        <row r="2405">
          <cell r="A2405">
            <v>42825</v>
          </cell>
          <cell r="FR2405">
            <v>22.832149429590373</v>
          </cell>
          <cell r="FS2405">
            <v>22.314663874962239</v>
          </cell>
          <cell r="FT2405">
            <v>20.116606119778133</v>
          </cell>
          <cell r="FU2405">
            <v>17.065595346429742</v>
          </cell>
          <cell r="FV2405">
            <v>23.167616893126525</v>
          </cell>
          <cell r="GG2405">
            <v>14.282954127628171</v>
          </cell>
          <cell r="GH2405">
            <v>13.982143405445317</v>
          </cell>
          <cell r="GI2405">
            <v>10.408007395026372</v>
          </cell>
          <cell r="GJ2405">
            <v>7.7337520878462023</v>
          </cell>
          <cell r="GK2405">
            <v>13.082262702206542</v>
          </cell>
        </row>
        <row r="2406">
          <cell r="A2406">
            <v>42828</v>
          </cell>
          <cell r="FR2406">
            <v>22.516384843443422</v>
          </cell>
          <cell r="FS2406">
            <v>22.314663874962239</v>
          </cell>
          <cell r="FT2406">
            <v>20.116606119778133</v>
          </cell>
          <cell r="FU2406">
            <v>17.065595346429742</v>
          </cell>
          <cell r="FV2406">
            <v>23.167616893126525</v>
          </cell>
          <cell r="GG2406">
            <v>14.229846095205319</v>
          </cell>
          <cell r="GH2406">
            <v>13.982143405445317</v>
          </cell>
          <cell r="GI2406">
            <v>10.408007395026372</v>
          </cell>
          <cell r="GJ2406">
            <v>7.7337520878462023</v>
          </cell>
          <cell r="GK2406">
            <v>13.082262702206542</v>
          </cell>
        </row>
        <row r="2407">
          <cell r="A2407">
            <v>42829</v>
          </cell>
          <cell r="FR2407">
            <v>22.287278688526818</v>
          </cell>
          <cell r="FS2407">
            <v>22.314663874962239</v>
          </cell>
          <cell r="FT2407">
            <v>20.116606119778133</v>
          </cell>
          <cell r="FU2407">
            <v>17.065595346429742</v>
          </cell>
          <cell r="FV2407">
            <v>23.167616893126525</v>
          </cell>
          <cell r="GG2407">
            <v>14.225462914697586</v>
          </cell>
          <cell r="GH2407">
            <v>13.982143405445317</v>
          </cell>
          <cell r="GI2407">
            <v>10.408007395026372</v>
          </cell>
          <cell r="GJ2407">
            <v>7.7337520878462023</v>
          </cell>
          <cell r="GK2407">
            <v>13.082262702206542</v>
          </cell>
        </row>
        <row r="2408">
          <cell r="A2408">
            <v>42830</v>
          </cell>
          <cell r="FR2408">
            <v>21.834505854803119</v>
          </cell>
          <cell r="FS2408">
            <v>22.314663874962239</v>
          </cell>
          <cell r="FT2408">
            <v>20.116606119778133</v>
          </cell>
          <cell r="FU2408">
            <v>17.065595346429742</v>
          </cell>
          <cell r="FV2408">
            <v>23.167616893126525</v>
          </cell>
          <cell r="GG2408">
            <v>14.073061006343446</v>
          </cell>
          <cell r="GH2408">
            <v>13.982143405445317</v>
          </cell>
          <cell r="GI2408">
            <v>10.408007395026372</v>
          </cell>
          <cell r="GJ2408">
            <v>7.7337520878462023</v>
          </cell>
          <cell r="GK2408">
            <v>13.082262702206542</v>
          </cell>
        </row>
        <row r="2409">
          <cell r="A2409">
            <v>42831</v>
          </cell>
          <cell r="FR2409">
            <v>21.975014832164568</v>
          </cell>
          <cell r="FS2409">
            <v>22.314663874962239</v>
          </cell>
          <cell r="FT2409">
            <v>20.116606119778133</v>
          </cell>
          <cell r="FU2409">
            <v>17.065595346429742</v>
          </cell>
          <cell r="FV2409">
            <v>23.167616893126525</v>
          </cell>
          <cell r="GG2409">
            <v>13.746487147222195</v>
          </cell>
          <cell r="GH2409">
            <v>13.982143405445317</v>
          </cell>
          <cell r="GI2409">
            <v>10.408007395026372</v>
          </cell>
          <cell r="GJ2409">
            <v>7.7337520878462023</v>
          </cell>
          <cell r="GK2409">
            <v>13.082262702206542</v>
          </cell>
        </row>
        <row r="2410">
          <cell r="A2410">
            <v>42832</v>
          </cell>
          <cell r="FR2410">
            <v>21.982829039814842</v>
          </cell>
          <cell r="FS2410">
            <v>22.314663874962239</v>
          </cell>
          <cell r="FT2410">
            <v>20.116606119778133</v>
          </cell>
          <cell r="FU2410">
            <v>17.065595346429742</v>
          </cell>
          <cell r="FV2410">
            <v>23.167616893126525</v>
          </cell>
          <cell r="GG2410">
            <v>13.782779259841343</v>
          </cell>
          <cell r="GH2410">
            <v>13.982143405445317</v>
          </cell>
          <cell r="GI2410">
            <v>10.408007395026372</v>
          </cell>
          <cell r="GJ2410">
            <v>7.7337520878462023</v>
          </cell>
          <cell r="GK2410">
            <v>13.082262702206542</v>
          </cell>
        </row>
        <row r="2411">
          <cell r="A2411">
            <v>42835</v>
          </cell>
          <cell r="FR2411">
            <v>21.842307572211393</v>
          </cell>
          <cell r="FS2411">
            <v>22.314663874962239</v>
          </cell>
          <cell r="FT2411">
            <v>20.116606119778133</v>
          </cell>
          <cell r="FU2411">
            <v>17.065595346429742</v>
          </cell>
          <cell r="FV2411">
            <v>23.167616893126525</v>
          </cell>
          <cell r="GG2411">
            <v>13.927916262604599</v>
          </cell>
          <cell r="GH2411">
            <v>13.982143405445317</v>
          </cell>
          <cell r="GI2411">
            <v>10.408007395026372</v>
          </cell>
          <cell r="GJ2411">
            <v>7.7337520878462023</v>
          </cell>
          <cell r="GK2411">
            <v>13.082262702206542</v>
          </cell>
        </row>
        <row r="2412">
          <cell r="A2412">
            <v>42836</v>
          </cell>
          <cell r="FR2412">
            <v>21.725216237316769</v>
          </cell>
          <cell r="FS2412">
            <v>22.314663874962239</v>
          </cell>
          <cell r="FT2412">
            <v>20.116606119778133</v>
          </cell>
          <cell r="FU2412">
            <v>17.065595346429742</v>
          </cell>
          <cell r="FV2412">
            <v>23.167616893126525</v>
          </cell>
          <cell r="GG2412">
            <v>13.927916262604599</v>
          </cell>
          <cell r="GH2412">
            <v>13.982143405445317</v>
          </cell>
          <cell r="GI2412">
            <v>10.408007395026372</v>
          </cell>
          <cell r="GJ2412">
            <v>7.7337520878462023</v>
          </cell>
          <cell r="GK2412">
            <v>13.082262702206542</v>
          </cell>
        </row>
        <row r="2413">
          <cell r="A2413">
            <v>42837</v>
          </cell>
          <cell r="FR2413">
            <v>21.836040002812688</v>
          </cell>
          <cell r="FS2413">
            <v>22.314663874962239</v>
          </cell>
          <cell r="FT2413">
            <v>20.116606119778133</v>
          </cell>
          <cell r="FU2413">
            <v>17.065595346429742</v>
          </cell>
          <cell r="FV2413">
            <v>23.167616893126525</v>
          </cell>
          <cell r="GG2413">
            <v>13.724716620998256</v>
          </cell>
          <cell r="GH2413">
            <v>13.982143405445317</v>
          </cell>
          <cell r="GI2413">
            <v>10.408007395026372</v>
          </cell>
          <cell r="GJ2413">
            <v>7.7337520878462023</v>
          </cell>
          <cell r="GK2413">
            <v>13.082262702206542</v>
          </cell>
        </row>
        <row r="2414">
          <cell r="A2414">
            <v>42838</v>
          </cell>
          <cell r="FR2414">
            <v>21.929719496297796</v>
          </cell>
          <cell r="FS2414">
            <v>22.314663874962239</v>
          </cell>
          <cell r="FT2414">
            <v>20.116606119778133</v>
          </cell>
          <cell r="FU2414">
            <v>17.065595346429742</v>
          </cell>
          <cell r="FV2414">
            <v>23.167616893126525</v>
          </cell>
          <cell r="GG2414">
            <v>13.794871147523349</v>
          </cell>
          <cell r="GH2414">
            <v>13.982143405445317</v>
          </cell>
          <cell r="GI2414">
            <v>10.408007395026372</v>
          </cell>
          <cell r="GJ2414">
            <v>7.7337520878462023</v>
          </cell>
          <cell r="GK2414">
            <v>13.082262702206542</v>
          </cell>
        </row>
        <row r="2415">
          <cell r="A2415">
            <v>42839</v>
          </cell>
          <cell r="FR2415">
            <v>21.929719496297796</v>
          </cell>
          <cell r="FS2415">
            <v>22.314663874962239</v>
          </cell>
          <cell r="FT2415">
            <v>20.116606119778133</v>
          </cell>
          <cell r="FU2415">
            <v>17.065595346429742</v>
          </cell>
          <cell r="FV2415">
            <v>23.167616893126525</v>
          </cell>
          <cell r="GG2415">
            <v>13.794871147523349</v>
          </cell>
          <cell r="GH2415">
            <v>13.982143405445317</v>
          </cell>
          <cell r="GI2415">
            <v>10.408007395026372</v>
          </cell>
          <cell r="GJ2415">
            <v>7.7337520878462023</v>
          </cell>
          <cell r="GK2415">
            <v>13.082262702206542</v>
          </cell>
        </row>
        <row r="2416">
          <cell r="A2416">
            <v>42842</v>
          </cell>
          <cell r="FR2416">
            <v>21.941702498700788</v>
          </cell>
          <cell r="FS2416">
            <v>22.314663874962239</v>
          </cell>
          <cell r="FT2416">
            <v>20.116606119778133</v>
          </cell>
          <cell r="FU2416">
            <v>17.065595346429742</v>
          </cell>
          <cell r="FV2416">
            <v>23.167616893126525</v>
          </cell>
          <cell r="GG2416">
            <v>14.033066369871426</v>
          </cell>
          <cell r="GH2416">
            <v>13.982143405445317</v>
          </cell>
          <cell r="GI2416">
            <v>10.408007395026372</v>
          </cell>
          <cell r="GJ2416">
            <v>7.7337520878462023</v>
          </cell>
          <cell r="GK2416">
            <v>13.082262702206542</v>
          </cell>
        </row>
        <row r="2417">
          <cell r="A2417">
            <v>42843</v>
          </cell>
          <cell r="FR2417">
            <v>21.965126236337436</v>
          </cell>
          <cell r="FS2417">
            <v>22.314663874962239</v>
          </cell>
          <cell r="FT2417">
            <v>20.116606119778133</v>
          </cell>
          <cell r="FU2417">
            <v>17.065595346429742</v>
          </cell>
          <cell r="FV2417">
            <v>23.167616893126525</v>
          </cell>
          <cell r="GG2417">
            <v>14.200400962697492</v>
          </cell>
          <cell r="GH2417">
            <v>13.982143405445317</v>
          </cell>
          <cell r="GI2417">
            <v>10.408007395026372</v>
          </cell>
          <cell r="GJ2417">
            <v>7.7337520878462023</v>
          </cell>
          <cell r="GK2417">
            <v>13.082262702206542</v>
          </cell>
        </row>
        <row r="2418">
          <cell r="A2418">
            <v>42844</v>
          </cell>
          <cell r="FR2418">
            <v>22.285263404479061</v>
          </cell>
          <cell r="FS2418">
            <v>22.314663874962239</v>
          </cell>
          <cell r="FT2418">
            <v>20.116606119778133</v>
          </cell>
          <cell r="FU2418">
            <v>17.065595346429742</v>
          </cell>
          <cell r="FV2418">
            <v>23.167616893126525</v>
          </cell>
          <cell r="GG2418">
            <v>14.11181472409379</v>
          </cell>
          <cell r="GH2418">
            <v>13.982143405445317</v>
          </cell>
          <cell r="GI2418">
            <v>10.408007395026372</v>
          </cell>
          <cell r="GJ2418">
            <v>7.7337520878462023</v>
          </cell>
          <cell r="GK2418">
            <v>13.082262702206542</v>
          </cell>
        </row>
        <row r="2419">
          <cell r="A2419">
            <v>42845</v>
          </cell>
          <cell r="FR2419">
            <v>22.38677693909646</v>
          </cell>
          <cell r="FS2419">
            <v>22.314663874962239</v>
          </cell>
          <cell r="FT2419">
            <v>20.116606119778133</v>
          </cell>
          <cell r="FU2419">
            <v>17.065595346429742</v>
          </cell>
          <cell r="FV2419">
            <v>23.167616893126525</v>
          </cell>
          <cell r="GG2419">
            <v>14.11181472409379</v>
          </cell>
          <cell r="GH2419">
            <v>13.982143405445317</v>
          </cell>
          <cell r="GI2419">
            <v>10.408007395026372</v>
          </cell>
          <cell r="GJ2419">
            <v>7.7337520878462023</v>
          </cell>
          <cell r="GK2419">
            <v>13.082262702206542</v>
          </cell>
        </row>
        <row r="2420">
          <cell r="A2420">
            <v>42846</v>
          </cell>
          <cell r="FR2420">
            <v>22.409279528852853</v>
          </cell>
          <cell r="FS2420">
            <v>22.314663874962239</v>
          </cell>
          <cell r="FT2420">
            <v>20.116606119778133</v>
          </cell>
          <cell r="FU2420">
            <v>17.065595346429742</v>
          </cell>
          <cell r="FV2420">
            <v>23.167616893126525</v>
          </cell>
          <cell r="GG2420">
            <v>14.284068013028071</v>
          </cell>
          <cell r="GH2420">
            <v>13.982143405445317</v>
          </cell>
          <cell r="GI2420">
            <v>10.408007395026372</v>
          </cell>
          <cell r="GJ2420">
            <v>7.7337520878462023</v>
          </cell>
          <cell r="GK2420">
            <v>13.082262702206542</v>
          </cell>
        </row>
        <row r="2421">
          <cell r="A2421">
            <v>42849</v>
          </cell>
          <cell r="FR2421">
            <v>22.903330161008743</v>
          </cell>
          <cell r="FS2421">
            <v>22.314663874962239</v>
          </cell>
          <cell r="FT2421">
            <v>20.116606119778133</v>
          </cell>
          <cell r="FU2421">
            <v>17.065595346429742</v>
          </cell>
          <cell r="FV2421">
            <v>23.167616893126525</v>
          </cell>
          <cell r="GG2421">
            <v>14.544141585736764</v>
          </cell>
          <cell r="GH2421">
            <v>13.982143405445317</v>
          </cell>
          <cell r="GI2421">
            <v>10.408007395026372</v>
          </cell>
          <cell r="GJ2421">
            <v>7.7337520878462023</v>
          </cell>
          <cell r="GK2421">
            <v>13.082262702206542</v>
          </cell>
        </row>
        <row r="2422">
          <cell r="A2422">
            <v>42850</v>
          </cell>
          <cell r="FR2422">
            <v>23.164751824819838</v>
          </cell>
          <cell r="FS2422">
            <v>22.314663874962239</v>
          </cell>
          <cell r="FT2422">
            <v>20.116606119778133</v>
          </cell>
          <cell r="FU2422">
            <v>17.065595346429742</v>
          </cell>
          <cell r="FV2422">
            <v>23.167616893126525</v>
          </cell>
          <cell r="GG2422">
            <v>14.38742608923352</v>
          </cell>
          <cell r="GH2422">
            <v>13.982143405445317</v>
          </cell>
          <cell r="GI2422">
            <v>10.408007395026372</v>
          </cell>
          <cell r="GJ2422">
            <v>7.7337520878462023</v>
          </cell>
          <cell r="GK2422">
            <v>13.082262702206542</v>
          </cell>
        </row>
        <row r="2423">
          <cell r="A2423">
            <v>42851</v>
          </cell>
          <cell r="FR2423">
            <v>23.391556830033625</v>
          </cell>
          <cell r="FS2423">
            <v>22.314663874962239</v>
          </cell>
          <cell r="FT2423">
            <v>20.116606119778133</v>
          </cell>
          <cell r="FU2423">
            <v>17.065595346429742</v>
          </cell>
          <cell r="FV2423">
            <v>23.167616893126525</v>
          </cell>
          <cell r="GG2423">
            <v>14.38742608923352</v>
          </cell>
          <cell r="GH2423">
            <v>13.982143405445317</v>
          </cell>
          <cell r="GI2423">
            <v>10.408007395026372</v>
          </cell>
          <cell r="GJ2423">
            <v>7.7337520878462023</v>
          </cell>
          <cell r="GK2423">
            <v>13.082262702206542</v>
          </cell>
        </row>
        <row r="2424">
          <cell r="A2424">
            <v>42852</v>
          </cell>
          <cell r="FR2424">
            <v>23.445928374428188</v>
          </cell>
          <cell r="FS2424">
            <v>22.314663874962239</v>
          </cell>
          <cell r="FT2424">
            <v>20.116606119778133</v>
          </cell>
          <cell r="FU2424">
            <v>17.065595346429742</v>
          </cell>
          <cell r="FV2424">
            <v>23.167616893126525</v>
          </cell>
          <cell r="GG2424">
            <v>14.596597652379243</v>
          </cell>
          <cell r="GH2424">
            <v>13.982143405445317</v>
          </cell>
          <cell r="GI2424">
            <v>10.408007395026372</v>
          </cell>
          <cell r="GJ2424">
            <v>7.7337520878462023</v>
          </cell>
          <cell r="GK2424">
            <v>13.082262702206542</v>
          </cell>
        </row>
        <row r="2425">
          <cell r="A2425">
            <v>42853</v>
          </cell>
          <cell r="FR2425">
            <v>23.531954922500958</v>
          </cell>
          <cell r="FS2425">
            <v>22.314663874962239</v>
          </cell>
          <cell r="FT2425">
            <v>20.116606119778133</v>
          </cell>
          <cell r="FU2425">
            <v>17.065595346429742</v>
          </cell>
          <cell r="FV2425">
            <v>23.167616893126525</v>
          </cell>
          <cell r="GG2425">
            <v>14.66550024758172</v>
          </cell>
          <cell r="GH2425">
            <v>13.982143405445317</v>
          </cell>
          <cell r="GI2425">
            <v>10.408007395026372</v>
          </cell>
          <cell r="GJ2425">
            <v>7.7337520878462023</v>
          </cell>
          <cell r="GK2425">
            <v>13.082262702206542</v>
          </cell>
        </row>
        <row r="2426">
          <cell r="A2426">
            <v>42856</v>
          </cell>
          <cell r="FR2426">
            <v>23.525237561568833</v>
          </cell>
          <cell r="FS2426">
            <v>22.314663874962239</v>
          </cell>
          <cell r="FT2426">
            <v>20.116606119778133</v>
          </cell>
          <cell r="FU2426">
            <v>17.065595346429742</v>
          </cell>
          <cell r="FV2426">
            <v>23.167616893126525</v>
          </cell>
          <cell r="GG2426">
            <v>14.565109330096853</v>
          </cell>
          <cell r="GH2426">
            <v>13.982143405445317</v>
          </cell>
          <cell r="GI2426">
            <v>10.408007395026372</v>
          </cell>
          <cell r="GJ2426">
            <v>7.7337520878462023</v>
          </cell>
          <cell r="GK2426">
            <v>13.082262702206542</v>
          </cell>
        </row>
        <row r="2427">
          <cell r="A2427">
            <v>42857</v>
          </cell>
          <cell r="FR2427">
            <v>23.557851100651117</v>
          </cell>
          <cell r="FS2427">
            <v>22.314663874962239</v>
          </cell>
          <cell r="FT2427">
            <v>20.116606119778133</v>
          </cell>
          <cell r="FU2427">
            <v>17.065595346429742</v>
          </cell>
          <cell r="FV2427">
            <v>23.167616893126525</v>
          </cell>
          <cell r="GG2427">
            <v>14.666419390115614</v>
          </cell>
          <cell r="GH2427">
            <v>13.982143405445317</v>
          </cell>
          <cell r="GI2427">
            <v>10.408007395026372</v>
          </cell>
          <cell r="GJ2427">
            <v>7.7337520878462023</v>
          </cell>
          <cell r="GK2427">
            <v>13.082262702206542</v>
          </cell>
        </row>
        <row r="2428">
          <cell r="A2428">
            <v>42858</v>
          </cell>
          <cell r="FR2428">
            <v>24.007210689683262</v>
          </cell>
          <cell r="FS2428">
            <v>22.314663874962239</v>
          </cell>
          <cell r="FT2428">
            <v>20.116606119778133</v>
          </cell>
          <cell r="FU2428">
            <v>17.065595346429742</v>
          </cell>
          <cell r="FV2428">
            <v>23.167616893126525</v>
          </cell>
          <cell r="GG2428">
            <v>14.790052625139792</v>
          </cell>
          <cell r="GH2428">
            <v>13.982143405445317</v>
          </cell>
          <cell r="GI2428">
            <v>10.408007395026372</v>
          </cell>
          <cell r="GJ2428">
            <v>7.7337520878462023</v>
          </cell>
          <cell r="GK2428">
            <v>13.082262702206542</v>
          </cell>
        </row>
        <row r="2429">
          <cell r="A2429">
            <v>42859</v>
          </cell>
          <cell r="FR2429">
            <v>24.918967392008767</v>
          </cell>
          <cell r="FS2429">
            <v>22.314663874962239</v>
          </cell>
          <cell r="FT2429">
            <v>20.116606119778133</v>
          </cell>
          <cell r="FU2429">
            <v>17.065595346429742</v>
          </cell>
          <cell r="FV2429">
            <v>23.167616893126525</v>
          </cell>
          <cell r="GG2429">
            <v>14.763197150389312</v>
          </cell>
          <cell r="GH2429">
            <v>13.982143405445317</v>
          </cell>
          <cell r="GI2429">
            <v>10.408007395026372</v>
          </cell>
          <cell r="GJ2429">
            <v>7.7337520878462023</v>
          </cell>
          <cell r="GK2429">
            <v>13.082262702206542</v>
          </cell>
        </row>
        <row r="2430">
          <cell r="A2430">
            <v>42860</v>
          </cell>
          <cell r="FR2430">
            <v>24.853163336149933</v>
          </cell>
          <cell r="FS2430">
            <v>22.314663874962239</v>
          </cell>
          <cell r="FT2430">
            <v>20.116606119778133</v>
          </cell>
          <cell r="FU2430">
            <v>17.065595346429742</v>
          </cell>
          <cell r="FV2430">
            <v>23.167616893126525</v>
          </cell>
          <cell r="GG2430">
            <v>14.975666573507258</v>
          </cell>
          <cell r="GH2430">
            <v>13.982143405445317</v>
          </cell>
          <cell r="GI2430">
            <v>10.408007395026372</v>
          </cell>
          <cell r="GJ2430">
            <v>7.7337520878462023</v>
          </cell>
          <cell r="GK2430">
            <v>13.082262702206542</v>
          </cell>
        </row>
        <row r="2431">
          <cell r="A2431">
            <v>42863</v>
          </cell>
          <cell r="FR2431">
            <v>24.494140649248386</v>
          </cell>
          <cell r="FS2431">
            <v>22.314663874962239</v>
          </cell>
          <cell r="FT2431">
            <v>20.116606119778133</v>
          </cell>
          <cell r="FU2431">
            <v>17.065595346429742</v>
          </cell>
          <cell r="FV2431">
            <v>23.167616893126525</v>
          </cell>
          <cell r="GG2431">
            <v>15.417073003705109</v>
          </cell>
          <cell r="GH2431">
            <v>13.982143405445317</v>
          </cell>
          <cell r="GI2431">
            <v>10.408007395026372</v>
          </cell>
          <cell r="GJ2431">
            <v>7.7337520878462023</v>
          </cell>
          <cell r="GK2431">
            <v>13.082262702206542</v>
          </cell>
        </row>
        <row r="2432">
          <cell r="A2432">
            <v>42864</v>
          </cell>
          <cell r="FR2432">
            <v>24.579474427412379</v>
          </cell>
          <cell r="FS2432">
            <v>22.314663874962239</v>
          </cell>
          <cell r="FT2432">
            <v>20.116606119778133</v>
          </cell>
          <cell r="FU2432">
            <v>17.065595346429742</v>
          </cell>
          <cell r="FV2432">
            <v>23.167616893126525</v>
          </cell>
          <cell r="GG2432">
            <v>15.364523361772074</v>
          </cell>
          <cell r="GH2432">
            <v>13.982143405445317</v>
          </cell>
          <cell r="GI2432">
            <v>10.408007395026372</v>
          </cell>
          <cell r="GJ2432">
            <v>7.7337520878462023</v>
          </cell>
          <cell r="GK2432">
            <v>13.082262702206542</v>
          </cell>
        </row>
        <row r="2433">
          <cell r="A2433">
            <v>42865</v>
          </cell>
          <cell r="FR2433">
            <v>24.874307926264127</v>
          </cell>
          <cell r="FS2433">
            <v>22.314663874962239</v>
          </cell>
          <cell r="FT2433">
            <v>20.116606119778133</v>
          </cell>
          <cell r="FU2433">
            <v>17.065595346429742</v>
          </cell>
          <cell r="FV2433">
            <v>23.167616893126525</v>
          </cell>
          <cell r="GG2433">
            <v>15.407523778317843</v>
          </cell>
          <cell r="GH2433">
            <v>13.982143405445317</v>
          </cell>
          <cell r="GI2433">
            <v>10.408007395026372</v>
          </cell>
          <cell r="GJ2433">
            <v>7.7337520878462023</v>
          </cell>
          <cell r="GK2433">
            <v>13.082262702206542</v>
          </cell>
        </row>
        <row r="2434">
          <cell r="A2434">
            <v>42866</v>
          </cell>
          <cell r="FR2434">
            <v>24.900812913265895</v>
          </cell>
          <cell r="FS2434">
            <v>22.314663874962239</v>
          </cell>
          <cell r="FT2434">
            <v>20.116606119778133</v>
          </cell>
          <cell r="FU2434">
            <v>17.065595346429742</v>
          </cell>
          <cell r="FV2434">
            <v>23.167616893126525</v>
          </cell>
          <cell r="GG2434">
            <v>15.431916365468259</v>
          </cell>
          <cell r="GH2434">
            <v>13.982143405445317</v>
          </cell>
          <cell r="GI2434">
            <v>10.408007395026372</v>
          </cell>
          <cell r="GJ2434">
            <v>7.7337520878462023</v>
          </cell>
          <cell r="GK2434">
            <v>13.082262702206542</v>
          </cell>
        </row>
        <row r="2435">
          <cell r="A2435">
            <v>42867</v>
          </cell>
          <cell r="FR2435">
            <v>25.103495686232286</v>
          </cell>
          <cell r="FS2435">
            <v>22.314663874962239</v>
          </cell>
          <cell r="FT2435">
            <v>20.116606119778133</v>
          </cell>
          <cell r="FU2435">
            <v>17.065595346429742</v>
          </cell>
          <cell r="FV2435">
            <v>23.167616893126525</v>
          </cell>
          <cell r="GG2435">
            <v>15.604169763286697</v>
          </cell>
          <cell r="GH2435">
            <v>13.982143405445317</v>
          </cell>
          <cell r="GI2435">
            <v>10.408007395026372</v>
          </cell>
          <cell r="GJ2435">
            <v>7.7337520878462023</v>
          </cell>
          <cell r="GK2435">
            <v>13.082262702206542</v>
          </cell>
        </row>
        <row r="2436">
          <cell r="A2436">
            <v>42870</v>
          </cell>
          <cell r="FR2436">
            <v>25.282691158981017</v>
          </cell>
          <cell r="FS2436">
            <v>22.314663874962239</v>
          </cell>
          <cell r="FT2436">
            <v>20.116606119778133</v>
          </cell>
          <cell r="FU2436">
            <v>17.065595346429742</v>
          </cell>
          <cell r="FV2436">
            <v>23.167616893126525</v>
          </cell>
          <cell r="GG2436">
            <v>15.628088038097454</v>
          </cell>
          <cell r="GH2436">
            <v>13.982143405445317</v>
          </cell>
          <cell r="GI2436">
            <v>10.408007395026372</v>
          </cell>
          <cell r="GJ2436">
            <v>7.7337520878462023</v>
          </cell>
          <cell r="GK2436">
            <v>13.082262702206542</v>
          </cell>
        </row>
        <row r="2437">
          <cell r="A2437">
            <v>42871</v>
          </cell>
          <cell r="FR2437">
            <v>25.350140314410822</v>
          </cell>
          <cell r="FS2437">
            <v>22.314663874962239</v>
          </cell>
          <cell r="FT2437">
            <v>20.116606119778133</v>
          </cell>
          <cell r="FU2437">
            <v>17.065595346429742</v>
          </cell>
          <cell r="FV2437">
            <v>23.167616893126525</v>
          </cell>
          <cell r="GG2437">
            <v>15.67517780488711</v>
          </cell>
          <cell r="GH2437">
            <v>13.982143405445317</v>
          </cell>
          <cell r="GI2437">
            <v>10.408007395026372</v>
          </cell>
          <cell r="GJ2437">
            <v>7.7337520878462023</v>
          </cell>
          <cell r="GK2437">
            <v>13.082262702206542</v>
          </cell>
        </row>
        <row r="2438">
          <cell r="A2438">
            <v>42872</v>
          </cell>
          <cell r="FR2438">
            <v>25.053917110565138</v>
          </cell>
          <cell r="FS2438">
            <v>22.314663874962239</v>
          </cell>
          <cell r="FT2438">
            <v>20.116606119778133</v>
          </cell>
          <cell r="FU2438">
            <v>17.065595346429742</v>
          </cell>
          <cell r="FV2438">
            <v>23.167616893126525</v>
          </cell>
          <cell r="GG2438">
            <v>15.577003247503074</v>
          </cell>
          <cell r="GH2438">
            <v>13.982143405445317</v>
          </cell>
          <cell r="GI2438">
            <v>10.408007395026372</v>
          </cell>
          <cell r="GJ2438">
            <v>7.7337520878462023</v>
          </cell>
          <cell r="GK2438">
            <v>13.082262702206542</v>
          </cell>
        </row>
        <row r="2439">
          <cell r="A2439">
            <v>42873</v>
          </cell>
          <cell r="FR2439">
            <v>25.038323502665957</v>
          </cell>
          <cell r="FS2439">
            <v>22.314663874962239</v>
          </cell>
          <cell r="FT2439">
            <v>20.116606119778133</v>
          </cell>
          <cell r="FU2439">
            <v>17.065595346429742</v>
          </cell>
          <cell r="FV2439">
            <v>23.167616893126525</v>
          </cell>
          <cell r="GG2439">
            <v>15.577003247503074</v>
          </cell>
          <cell r="GH2439">
            <v>13.982143405445317</v>
          </cell>
          <cell r="GI2439">
            <v>10.408007395026372</v>
          </cell>
          <cell r="GJ2439">
            <v>7.7337520878462023</v>
          </cell>
          <cell r="GK2439">
            <v>13.082262702206542</v>
          </cell>
        </row>
        <row r="2440">
          <cell r="A2440">
            <v>42874</v>
          </cell>
          <cell r="FR2440">
            <v>25.384646809574875</v>
          </cell>
          <cell r="FS2440">
            <v>22.314663874962239</v>
          </cell>
          <cell r="FT2440">
            <v>20.116606119778133</v>
          </cell>
          <cell r="FU2440">
            <v>17.065595346429742</v>
          </cell>
          <cell r="FV2440">
            <v>23.167616893126525</v>
          </cell>
          <cell r="GG2440">
            <v>15.363911814526755</v>
          </cell>
          <cell r="GH2440">
            <v>13.982143405445317</v>
          </cell>
          <cell r="GI2440">
            <v>10.408007395026372</v>
          </cell>
          <cell r="GJ2440">
            <v>7.7337520878462023</v>
          </cell>
          <cell r="GK2440">
            <v>13.082262702206542</v>
          </cell>
        </row>
        <row r="2441">
          <cell r="A2441">
            <v>42877</v>
          </cell>
          <cell r="FR2441">
            <v>25.461644349016868</v>
          </cell>
          <cell r="FS2441">
            <v>22.314663874962239</v>
          </cell>
          <cell r="FT2441">
            <v>20.116606119778133</v>
          </cell>
          <cell r="FU2441">
            <v>17.065595346429742</v>
          </cell>
          <cell r="FV2441">
            <v>23.167616893126525</v>
          </cell>
          <cell r="GG2441">
            <v>15.430776860152914</v>
          </cell>
          <cell r="GH2441">
            <v>13.982143405445317</v>
          </cell>
          <cell r="GI2441">
            <v>10.408007395026372</v>
          </cell>
          <cell r="GJ2441">
            <v>7.7337520878462023</v>
          </cell>
          <cell r="GK2441">
            <v>13.082262702206542</v>
          </cell>
        </row>
        <row r="2442">
          <cell r="A2442">
            <v>42878</v>
          </cell>
          <cell r="FR2442">
            <v>25.570954518839251</v>
          </cell>
          <cell r="FS2442">
            <v>22.314663874962239</v>
          </cell>
          <cell r="FT2442">
            <v>20.116606119778133</v>
          </cell>
          <cell r="FU2442">
            <v>17.065595346429742</v>
          </cell>
          <cell r="FV2442">
            <v>23.167616893126525</v>
          </cell>
          <cell r="GG2442">
            <v>15.425980934411163</v>
          </cell>
          <cell r="GH2442">
            <v>13.982143405445317</v>
          </cell>
          <cell r="GI2442">
            <v>10.408007395026372</v>
          </cell>
          <cell r="GJ2442">
            <v>7.7337520878462023</v>
          </cell>
          <cell r="GK2442">
            <v>13.082262702206542</v>
          </cell>
        </row>
        <row r="2443">
          <cell r="A2443">
            <v>42879</v>
          </cell>
          <cell r="FR2443">
            <v>25.485067343356128</v>
          </cell>
          <cell r="FS2443">
            <v>22.314663874962239</v>
          </cell>
          <cell r="FT2443">
            <v>20.116606119778133</v>
          </cell>
          <cell r="FU2443">
            <v>17.065595346429742</v>
          </cell>
          <cell r="FV2443">
            <v>23.167616893126525</v>
          </cell>
          <cell r="GG2443">
            <v>15.555343964371316</v>
          </cell>
          <cell r="GH2443">
            <v>13.982143405445317</v>
          </cell>
          <cell r="GI2443">
            <v>10.408007395026372</v>
          </cell>
          <cell r="GJ2443">
            <v>7.7337520878462023</v>
          </cell>
          <cell r="GK2443">
            <v>13.082262702206542</v>
          </cell>
        </row>
        <row r="2444">
          <cell r="A2444">
            <v>42880</v>
          </cell>
          <cell r="FR2444">
            <v>25.64122350185702</v>
          </cell>
          <cell r="FS2444">
            <v>22.314663874962239</v>
          </cell>
          <cell r="FT2444">
            <v>20.116606119778133</v>
          </cell>
          <cell r="FU2444">
            <v>17.065595346429742</v>
          </cell>
          <cell r="FV2444">
            <v>23.167616893126525</v>
          </cell>
          <cell r="GG2444">
            <v>15.560780842364158</v>
          </cell>
          <cell r="GH2444">
            <v>13.982143405445317</v>
          </cell>
          <cell r="GI2444">
            <v>10.408007395026372</v>
          </cell>
          <cell r="GJ2444">
            <v>7.7337520878462023</v>
          </cell>
          <cell r="GK2444">
            <v>13.082262702206542</v>
          </cell>
        </row>
        <row r="2445">
          <cell r="A2445">
            <v>42881</v>
          </cell>
          <cell r="FR2445">
            <v>25.743411433000645</v>
          </cell>
          <cell r="FS2445">
            <v>22.314663874962239</v>
          </cell>
          <cell r="FT2445">
            <v>20.116606119778133</v>
          </cell>
          <cell r="FU2445">
            <v>17.065595346429742</v>
          </cell>
          <cell r="FV2445">
            <v>23.167616893126525</v>
          </cell>
          <cell r="GG2445">
            <v>15.585810638410727</v>
          </cell>
          <cell r="GH2445">
            <v>13.982143405445317</v>
          </cell>
          <cell r="GI2445">
            <v>10.408007395026372</v>
          </cell>
          <cell r="GJ2445">
            <v>7.7337520878462023</v>
          </cell>
          <cell r="GK2445">
            <v>13.082262702206542</v>
          </cell>
        </row>
        <row r="2446">
          <cell r="A2446">
            <v>42884</v>
          </cell>
          <cell r="FR2446">
            <v>25.743411433000645</v>
          </cell>
          <cell r="FS2446">
            <v>22.314663874962239</v>
          </cell>
          <cell r="FT2446">
            <v>20.116606119778133</v>
          </cell>
          <cell r="FU2446">
            <v>17.065595346429742</v>
          </cell>
          <cell r="FV2446">
            <v>23.167616893126525</v>
          </cell>
          <cell r="GG2446">
            <v>15.585810638410727</v>
          </cell>
          <cell r="GH2446">
            <v>13.982143405445317</v>
          </cell>
          <cell r="GI2446">
            <v>10.408007395026372</v>
          </cell>
          <cell r="GJ2446">
            <v>7.7337520878462023</v>
          </cell>
          <cell r="GK2446">
            <v>13.082262702206542</v>
          </cell>
        </row>
        <row r="2447">
          <cell r="A2447">
            <v>42885</v>
          </cell>
          <cell r="FR2447">
            <v>25.806010970297308</v>
          </cell>
          <cell r="FS2447">
            <v>22.314663874962239</v>
          </cell>
          <cell r="FT2447">
            <v>20.116606119778133</v>
          </cell>
          <cell r="FU2447">
            <v>17.065595346429742</v>
          </cell>
          <cell r="FV2447">
            <v>23.167616893126525</v>
          </cell>
          <cell r="GG2447">
            <v>15.688813644127256</v>
          </cell>
          <cell r="GH2447">
            <v>13.982143405445317</v>
          </cell>
          <cell r="GI2447">
            <v>10.408007395026372</v>
          </cell>
          <cell r="GJ2447">
            <v>7.7337520878462023</v>
          </cell>
          <cell r="GK2447">
            <v>13.082262702206542</v>
          </cell>
        </row>
        <row r="2448">
          <cell r="A2448">
            <v>42886</v>
          </cell>
          <cell r="FR2448">
            <v>26.257211149146961</v>
          </cell>
          <cell r="FS2448">
            <v>22.314663874962239</v>
          </cell>
          <cell r="FT2448">
            <v>20.116606119778133</v>
          </cell>
          <cell r="FU2448">
            <v>17.065595346429742</v>
          </cell>
          <cell r="FV2448">
            <v>23.167616893126525</v>
          </cell>
          <cell r="GG2448">
            <v>15.685090316928791</v>
          </cell>
          <cell r="GH2448">
            <v>13.982143405445317</v>
          </cell>
          <cell r="GI2448">
            <v>10.408007395026372</v>
          </cell>
          <cell r="GJ2448">
            <v>7.7337520878462023</v>
          </cell>
          <cell r="GK2448">
            <v>13.082262702206542</v>
          </cell>
        </row>
        <row r="2449">
          <cell r="A2449">
            <v>42887</v>
          </cell>
          <cell r="FR2449">
            <v>26.249325947160454</v>
          </cell>
          <cell r="FS2449">
            <v>22.314663874962239</v>
          </cell>
          <cell r="FT2449">
            <v>20.116606119778133</v>
          </cell>
          <cell r="FU2449">
            <v>17.065595346429742</v>
          </cell>
          <cell r="FV2449">
            <v>23.167616893126525</v>
          </cell>
          <cell r="GG2449">
            <v>15.749889898958632</v>
          </cell>
          <cell r="GH2449">
            <v>13.982143405445317</v>
          </cell>
          <cell r="GI2449">
            <v>10.408007395026372</v>
          </cell>
          <cell r="GJ2449">
            <v>7.7337520878462023</v>
          </cell>
          <cell r="GK2449">
            <v>13.082262702206542</v>
          </cell>
        </row>
        <row r="2450">
          <cell r="A2450">
            <v>42888</v>
          </cell>
          <cell r="FR2450">
            <v>26.55560247965904</v>
          </cell>
          <cell r="FS2450">
            <v>22.314663874962239</v>
          </cell>
          <cell r="FT2450">
            <v>20.116606119778133</v>
          </cell>
          <cell r="FU2450">
            <v>17.065595346429742</v>
          </cell>
          <cell r="FV2450">
            <v>23.167616893126525</v>
          </cell>
          <cell r="GG2450">
            <v>15.961720128342757</v>
          </cell>
          <cell r="GH2450">
            <v>13.982143405445317</v>
          </cell>
          <cell r="GI2450">
            <v>10.408007395026372</v>
          </cell>
          <cell r="GJ2450">
            <v>7.7337520878462023</v>
          </cell>
          <cell r="GK2450">
            <v>13.082262702206542</v>
          </cell>
        </row>
        <row r="2451">
          <cell r="A2451">
            <v>42891</v>
          </cell>
          <cell r="FR2451">
            <v>26.478108485083293</v>
          </cell>
          <cell r="FS2451">
            <v>22.314663874962239</v>
          </cell>
          <cell r="FT2451">
            <v>20.116606119778133</v>
          </cell>
          <cell r="FU2451">
            <v>17.065595346429742</v>
          </cell>
          <cell r="FV2451">
            <v>23.167616893126525</v>
          </cell>
          <cell r="GG2451">
            <v>15.961720128342757</v>
          </cell>
          <cell r="GH2451">
            <v>13.982143405445317</v>
          </cell>
          <cell r="GI2451">
            <v>10.408007395026372</v>
          </cell>
          <cell r="GJ2451">
            <v>7.7337520878462023</v>
          </cell>
          <cell r="GK2451">
            <v>13.082262702206542</v>
          </cell>
        </row>
        <row r="2452">
          <cell r="A2452">
            <v>42892</v>
          </cell>
          <cell r="FR2452">
            <v>26.989540488182872</v>
          </cell>
          <cell r="FS2452">
            <v>22.314663874962239</v>
          </cell>
          <cell r="FT2452">
            <v>20.116606119778133</v>
          </cell>
          <cell r="FU2452">
            <v>17.065595346429742</v>
          </cell>
          <cell r="FV2452">
            <v>23.167616893126525</v>
          </cell>
          <cell r="GG2452">
            <v>16.30206930642025</v>
          </cell>
          <cell r="GH2452">
            <v>13.982143405445317</v>
          </cell>
          <cell r="GI2452">
            <v>10.408007395026372</v>
          </cell>
          <cell r="GJ2452">
            <v>7.7337520878462023</v>
          </cell>
          <cell r="GK2452">
            <v>13.082262702206542</v>
          </cell>
        </row>
        <row r="2453">
          <cell r="A2453">
            <v>42893</v>
          </cell>
          <cell r="FR2453">
            <v>26.764815187911658</v>
          </cell>
          <cell r="FS2453">
            <v>22.314663874962239</v>
          </cell>
          <cell r="FT2453">
            <v>20.116606119778133</v>
          </cell>
          <cell r="FU2453">
            <v>17.065595346429742</v>
          </cell>
          <cell r="FV2453">
            <v>23.167616893126525</v>
          </cell>
          <cell r="GG2453">
            <v>16.214007867060026</v>
          </cell>
          <cell r="GH2453">
            <v>13.982143405445317</v>
          </cell>
          <cell r="GI2453">
            <v>10.408007395026372</v>
          </cell>
          <cell r="GJ2453">
            <v>7.7337520878462023</v>
          </cell>
          <cell r="GK2453">
            <v>13.082262702206542</v>
          </cell>
        </row>
        <row r="2454">
          <cell r="A2454">
            <v>42894</v>
          </cell>
          <cell r="FR2454">
            <v>26.718323130569541</v>
          </cell>
          <cell r="FS2454">
            <v>22.314663874962239</v>
          </cell>
          <cell r="FT2454">
            <v>20.116606119778133</v>
          </cell>
          <cell r="FU2454">
            <v>17.065595346429742</v>
          </cell>
          <cell r="FV2454">
            <v>23.167616893126525</v>
          </cell>
          <cell r="GG2454">
            <v>16.128321269026788</v>
          </cell>
          <cell r="GH2454">
            <v>13.982143405445317</v>
          </cell>
          <cell r="GI2454">
            <v>10.408007395026372</v>
          </cell>
          <cell r="GJ2454">
            <v>7.7337520878462023</v>
          </cell>
          <cell r="GK2454">
            <v>13.082262702206542</v>
          </cell>
        </row>
        <row r="2455">
          <cell r="A2455">
            <v>42895</v>
          </cell>
          <cell r="FR2455">
            <v>26.373281165259161</v>
          </cell>
          <cell r="FS2455">
            <v>22.314663874962239</v>
          </cell>
          <cell r="FT2455">
            <v>20.116606119778133</v>
          </cell>
          <cell r="FU2455">
            <v>17.065595346429742</v>
          </cell>
          <cell r="FV2455">
            <v>23.167616893126525</v>
          </cell>
          <cell r="GG2455">
            <v>16.142601257996162</v>
          </cell>
          <cell r="GH2455">
            <v>13.982143405445317</v>
          </cell>
          <cell r="GI2455">
            <v>10.408007395026372</v>
          </cell>
          <cell r="GJ2455">
            <v>7.7337520878462023</v>
          </cell>
          <cell r="GK2455">
            <v>13.082262702206542</v>
          </cell>
        </row>
        <row r="2456">
          <cell r="A2456">
            <v>42898</v>
          </cell>
          <cell r="FR2456">
            <v>26.156345393972266</v>
          </cell>
          <cell r="FS2456">
            <v>22.314663874962239</v>
          </cell>
          <cell r="FT2456">
            <v>20.116606119778133</v>
          </cell>
          <cell r="FU2456">
            <v>17.065595346429742</v>
          </cell>
          <cell r="FV2456">
            <v>23.167616893126525</v>
          </cell>
          <cell r="GG2456">
            <v>16.106901523580476</v>
          </cell>
          <cell r="GH2456">
            <v>13.982143405445317</v>
          </cell>
          <cell r="GI2456">
            <v>10.408007395026372</v>
          </cell>
          <cell r="GJ2456">
            <v>7.7337520878462023</v>
          </cell>
          <cell r="GK2456">
            <v>13.082262702206542</v>
          </cell>
        </row>
        <row r="2457">
          <cell r="A2457">
            <v>42899</v>
          </cell>
          <cell r="FR2457">
            <v>26.520489656775393</v>
          </cell>
          <cell r="FS2457">
            <v>22.314663874962239</v>
          </cell>
          <cell r="FT2457">
            <v>20.116606119778133</v>
          </cell>
          <cell r="FU2457">
            <v>17.065595346429742</v>
          </cell>
          <cell r="FV2457">
            <v>23.167616893126525</v>
          </cell>
          <cell r="GG2457">
            <v>15.956955213192803</v>
          </cell>
          <cell r="GH2457">
            <v>13.982143405445317</v>
          </cell>
          <cell r="GI2457">
            <v>10.408007395026372</v>
          </cell>
          <cell r="GJ2457">
            <v>7.7337520878462023</v>
          </cell>
          <cell r="GK2457">
            <v>13.082262702206542</v>
          </cell>
        </row>
        <row r="2458">
          <cell r="A2458">
            <v>42900</v>
          </cell>
          <cell r="FR2458">
            <v>26.613470984736963</v>
          </cell>
          <cell r="FS2458">
            <v>22.314663874962239</v>
          </cell>
          <cell r="FT2458">
            <v>20.116606119778133</v>
          </cell>
          <cell r="FU2458">
            <v>17.065595346429742</v>
          </cell>
          <cell r="FV2458">
            <v>23.167616893126525</v>
          </cell>
          <cell r="GG2458">
            <v>16.040259353651063</v>
          </cell>
          <cell r="GH2458">
            <v>13.982143405445317</v>
          </cell>
          <cell r="GI2458">
            <v>10.408007395026372</v>
          </cell>
          <cell r="GJ2458">
            <v>7.7337520878462023</v>
          </cell>
          <cell r="GK2458">
            <v>13.082262702206542</v>
          </cell>
        </row>
        <row r="2459">
          <cell r="A2459">
            <v>42901</v>
          </cell>
          <cell r="FR2459">
            <v>26.303553885488498</v>
          </cell>
          <cell r="FS2459">
            <v>22.314663874962239</v>
          </cell>
          <cell r="FT2459">
            <v>20.116606119778133</v>
          </cell>
          <cell r="FU2459">
            <v>17.065595346429742</v>
          </cell>
          <cell r="FV2459">
            <v>23.167616893126525</v>
          </cell>
          <cell r="GG2459">
            <v>16.078341545641727</v>
          </cell>
          <cell r="GH2459">
            <v>13.982143405445317</v>
          </cell>
          <cell r="GI2459">
            <v>10.408007395026372</v>
          </cell>
          <cell r="GJ2459">
            <v>7.7337520878462023</v>
          </cell>
          <cell r="GK2459">
            <v>13.082262702206542</v>
          </cell>
        </row>
        <row r="2460">
          <cell r="A2460">
            <v>42902</v>
          </cell>
          <cell r="FR2460">
            <v>26.264812892229024</v>
          </cell>
          <cell r="FS2460">
            <v>22.314663874962239</v>
          </cell>
          <cell r="FT2460">
            <v>20.116606119778133</v>
          </cell>
          <cell r="FU2460">
            <v>17.065595346429742</v>
          </cell>
          <cell r="FV2460">
            <v>23.167616893126525</v>
          </cell>
          <cell r="GG2460">
            <v>16.011699851727816</v>
          </cell>
          <cell r="GH2460">
            <v>13.982143405445317</v>
          </cell>
          <cell r="GI2460">
            <v>10.408007395026372</v>
          </cell>
          <cell r="GJ2460">
            <v>7.7337520878462023</v>
          </cell>
          <cell r="GK2460">
            <v>13.082262702206542</v>
          </cell>
        </row>
        <row r="2461">
          <cell r="A2461">
            <v>42905</v>
          </cell>
          <cell r="FR2461">
            <v>26.814907414581235</v>
          </cell>
          <cell r="FS2461">
            <v>22.314663874962239</v>
          </cell>
          <cell r="FT2461">
            <v>20.116606119778133</v>
          </cell>
          <cell r="FU2461">
            <v>17.065595346429742</v>
          </cell>
          <cell r="FV2461">
            <v>23.167616893126525</v>
          </cell>
          <cell r="GG2461">
            <v>16.095003992186076</v>
          </cell>
          <cell r="GH2461">
            <v>13.982143405445317</v>
          </cell>
          <cell r="GI2461">
            <v>10.408007395026372</v>
          </cell>
          <cell r="GJ2461">
            <v>7.7337520878462023</v>
          </cell>
          <cell r="GK2461">
            <v>13.082262702206542</v>
          </cell>
        </row>
        <row r="2462">
          <cell r="A2462">
            <v>42906</v>
          </cell>
          <cell r="FR2462">
            <v>26.923374912837996</v>
          </cell>
          <cell r="FS2462">
            <v>22.314663874962239</v>
          </cell>
          <cell r="FT2462">
            <v>20.116606119778133</v>
          </cell>
          <cell r="FU2462">
            <v>17.065595346429742</v>
          </cell>
          <cell r="FV2462">
            <v>23.167616893126525</v>
          </cell>
          <cell r="GG2462">
            <v>16.263987590445087</v>
          </cell>
          <cell r="GH2462">
            <v>13.982143405445317</v>
          </cell>
          <cell r="GI2462">
            <v>10.408007395026372</v>
          </cell>
          <cell r="GJ2462">
            <v>7.7337520878462023</v>
          </cell>
          <cell r="GK2462">
            <v>13.082262702206542</v>
          </cell>
        </row>
        <row r="2463">
          <cell r="A2463">
            <v>42907</v>
          </cell>
          <cell r="FR2463">
            <v>26.985358332687689</v>
          </cell>
          <cell r="FS2463">
            <v>22.314663874962239</v>
          </cell>
          <cell r="FT2463">
            <v>20.116606119778133</v>
          </cell>
          <cell r="FU2463">
            <v>17.065595346429742</v>
          </cell>
          <cell r="FV2463">
            <v>23.167616893126525</v>
          </cell>
          <cell r="GG2463">
            <v>16.347291730903347</v>
          </cell>
          <cell r="GH2463">
            <v>13.982143405445317</v>
          </cell>
          <cell r="GI2463">
            <v>10.408007395026372</v>
          </cell>
          <cell r="GJ2463">
            <v>7.7337520878462023</v>
          </cell>
          <cell r="GK2463">
            <v>13.082262702206542</v>
          </cell>
        </row>
        <row r="2464">
          <cell r="A2464">
            <v>42908</v>
          </cell>
          <cell r="FR2464">
            <v>27.062828697605955</v>
          </cell>
          <cell r="FS2464">
            <v>22.314663874962239</v>
          </cell>
          <cell r="FT2464">
            <v>20.116606119778133</v>
          </cell>
          <cell r="FU2464">
            <v>17.065595346429742</v>
          </cell>
          <cell r="FV2464">
            <v>23.167616893126525</v>
          </cell>
          <cell r="GG2464">
            <v>16.349674188478325</v>
          </cell>
          <cell r="GH2464">
            <v>13.982143405445317</v>
          </cell>
          <cell r="GI2464">
            <v>10.408007395026372</v>
          </cell>
          <cell r="GJ2464">
            <v>7.7337520878462023</v>
          </cell>
          <cell r="GK2464">
            <v>13.082262702206542</v>
          </cell>
        </row>
        <row r="2465">
          <cell r="A2465">
            <v>42909</v>
          </cell>
          <cell r="FR2465">
            <v>26.900133261021153</v>
          </cell>
          <cell r="FS2465">
            <v>22.314663874962239</v>
          </cell>
          <cell r="FT2465">
            <v>20.116606119778133</v>
          </cell>
          <cell r="FU2465">
            <v>17.065595346429742</v>
          </cell>
          <cell r="FV2465">
            <v>23.167616893126525</v>
          </cell>
          <cell r="GG2465">
            <v>16.347291730903347</v>
          </cell>
          <cell r="GH2465">
            <v>13.982143405445317</v>
          </cell>
          <cell r="GI2465">
            <v>10.408007395026372</v>
          </cell>
          <cell r="GJ2465">
            <v>7.7337520878462023</v>
          </cell>
          <cell r="GK2465">
            <v>13.082262702206542</v>
          </cell>
        </row>
        <row r="2466">
          <cell r="A2466">
            <v>42912</v>
          </cell>
          <cell r="FR2466">
            <v>26.783921902843421</v>
          </cell>
          <cell r="FS2466">
            <v>22.314663874962239</v>
          </cell>
          <cell r="FT2466">
            <v>20.116606119778133</v>
          </cell>
          <cell r="FU2466">
            <v>17.065595346429742</v>
          </cell>
          <cell r="FV2466">
            <v>23.167616893126525</v>
          </cell>
          <cell r="GG2466">
            <v>16.290172251041351</v>
          </cell>
          <cell r="GH2466">
            <v>13.982143405445317</v>
          </cell>
          <cell r="GI2466">
            <v>10.408007395026372</v>
          </cell>
          <cell r="GJ2466">
            <v>7.7337520878462023</v>
          </cell>
          <cell r="GK2466">
            <v>13.082262702206542</v>
          </cell>
        </row>
        <row r="2467">
          <cell r="A2467">
            <v>42913</v>
          </cell>
          <cell r="FR2467">
            <v>26.34146728610143</v>
          </cell>
          <cell r="FS2467">
            <v>22.314663874962239</v>
          </cell>
          <cell r="FT2467">
            <v>20.116606119778133</v>
          </cell>
          <cell r="FU2467">
            <v>17.065595346429742</v>
          </cell>
          <cell r="FV2467">
            <v>23.167616893126525</v>
          </cell>
          <cell r="GG2467">
            <v>16.218765165961983</v>
          </cell>
          <cell r="GH2467">
            <v>13.982143405445317</v>
          </cell>
          <cell r="GI2467">
            <v>10.408007395026372</v>
          </cell>
          <cell r="GJ2467">
            <v>7.7337520878462023</v>
          </cell>
          <cell r="GK2467">
            <v>13.082262702206542</v>
          </cell>
        </row>
        <row r="2468">
          <cell r="A2468">
            <v>42914</v>
          </cell>
          <cell r="FR2468">
            <v>26.558268679829656</v>
          </cell>
          <cell r="FS2468">
            <v>22.314663874962239</v>
          </cell>
          <cell r="FT2468">
            <v>20.116606119778133</v>
          </cell>
          <cell r="FU2468">
            <v>17.065595346429742</v>
          </cell>
          <cell r="FV2468">
            <v>23.167616893126525</v>
          </cell>
          <cell r="GG2468">
            <v>15.828436264499434</v>
          </cell>
          <cell r="GH2468">
            <v>13.982143405445317</v>
          </cell>
          <cell r="GI2468">
            <v>10.408007395026372</v>
          </cell>
          <cell r="GJ2468">
            <v>7.7337520878462023</v>
          </cell>
          <cell r="GK2468">
            <v>13.082262702206542</v>
          </cell>
        </row>
        <row r="2469">
          <cell r="A2469">
            <v>42915</v>
          </cell>
          <cell r="FR2469">
            <v>26.047231900890438</v>
          </cell>
          <cell r="FS2469">
            <v>22.314663874962239</v>
          </cell>
          <cell r="FT2469">
            <v>20.116606119778133</v>
          </cell>
          <cell r="FU2469">
            <v>17.065595346429742</v>
          </cell>
          <cell r="FV2469">
            <v>23.167616893126525</v>
          </cell>
          <cell r="GG2469">
            <v>15.828436264499434</v>
          </cell>
          <cell r="GH2469">
            <v>13.982143405445317</v>
          </cell>
          <cell r="GI2469">
            <v>10.408007395026372</v>
          </cell>
          <cell r="GJ2469">
            <v>7.7337520878462023</v>
          </cell>
          <cell r="GK2469">
            <v>13.082262702206542</v>
          </cell>
        </row>
        <row r="2470">
          <cell r="A2470">
            <v>42916</v>
          </cell>
          <cell r="FR2470">
            <v>25.962058846302746</v>
          </cell>
          <cell r="FS2470">
            <v>22.314663874962239</v>
          </cell>
          <cell r="FT2470">
            <v>20.116606119778133</v>
          </cell>
          <cell r="FU2470">
            <v>17.065595346429742</v>
          </cell>
          <cell r="FV2470">
            <v>23.167616893126525</v>
          </cell>
          <cell r="GG2470">
            <v>15.492844861339401</v>
          </cell>
          <cell r="GH2470">
            <v>13.982143405445317</v>
          </cell>
          <cell r="GI2470">
            <v>10.408007395026372</v>
          </cell>
          <cell r="GJ2470">
            <v>7.7337520878462023</v>
          </cell>
          <cell r="GK2470">
            <v>13.082262702206542</v>
          </cell>
        </row>
        <row r="2471">
          <cell r="A2471">
            <v>42919</v>
          </cell>
          <cell r="FR2471">
            <v>25.473833727397196</v>
          </cell>
          <cell r="FS2471">
            <v>22.314663874962239</v>
          </cell>
          <cell r="FT2471">
            <v>20.116606119778133</v>
          </cell>
          <cell r="FU2471">
            <v>17.065595346429742</v>
          </cell>
          <cell r="FV2471">
            <v>23.167616893126525</v>
          </cell>
          <cell r="GG2471">
            <v>15.355549963631617</v>
          </cell>
          <cell r="GH2471">
            <v>13.982143405445317</v>
          </cell>
          <cell r="GI2471">
            <v>10.408007395026372</v>
          </cell>
          <cell r="GJ2471">
            <v>7.7337520878462023</v>
          </cell>
          <cell r="GK2471">
            <v>13.082262702206542</v>
          </cell>
        </row>
        <row r="2472">
          <cell r="A2472">
            <v>42920</v>
          </cell>
          <cell r="FR2472">
            <v>25.473833727397196</v>
          </cell>
          <cell r="FS2472">
            <v>22.314663874962239</v>
          </cell>
          <cell r="FT2472">
            <v>20.116606119778133</v>
          </cell>
          <cell r="FU2472">
            <v>17.065595346429742</v>
          </cell>
          <cell r="FV2472">
            <v>23.167616893126525</v>
          </cell>
          <cell r="GG2472">
            <v>15.355549963631617</v>
          </cell>
          <cell r="GH2472">
            <v>13.982143405445317</v>
          </cell>
          <cell r="GI2472">
            <v>10.408007395026372</v>
          </cell>
          <cell r="GJ2472">
            <v>7.7337520878462023</v>
          </cell>
          <cell r="GK2472">
            <v>13.082262702206542</v>
          </cell>
        </row>
        <row r="2473">
          <cell r="A2473">
            <v>42921</v>
          </cell>
          <cell r="FR2473">
            <v>25.703882676211837</v>
          </cell>
          <cell r="FS2473">
            <v>22.314663874962239</v>
          </cell>
          <cell r="FT2473">
            <v>20.116606119778133</v>
          </cell>
          <cell r="FU2473">
            <v>17.065595346429742</v>
          </cell>
          <cell r="FV2473">
            <v>23.167616893126525</v>
          </cell>
          <cell r="GG2473">
            <v>15.220941122698775</v>
          </cell>
          <cell r="GH2473">
            <v>13.982143405445317</v>
          </cell>
          <cell r="GI2473">
            <v>10.408007395026372</v>
          </cell>
          <cell r="GJ2473">
            <v>7.7337520878462023</v>
          </cell>
          <cell r="GK2473">
            <v>13.082262702206542</v>
          </cell>
        </row>
        <row r="2474">
          <cell r="A2474">
            <v>42922</v>
          </cell>
          <cell r="FR2474">
            <v>25.228444501248536</v>
          </cell>
          <cell r="FS2474">
            <v>22.314663874962239</v>
          </cell>
          <cell r="FT2474">
            <v>20.116606119778133</v>
          </cell>
          <cell r="FU2474">
            <v>17.065595346429742</v>
          </cell>
          <cell r="FV2474">
            <v>23.167616893126525</v>
          </cell>
          <cell r="GG2474">
            <v>15.220941122698775</v>
          </cell>
          <cell r="GH2474">
            <v>13.982143405445317</v>
          </cell>
          <cell r="GI2474">
            <v>10.408007395026372</v>
          </cell>
          <cell r="GJ2474">
            <v>7.7337520878462023</v>
          </cell>
          <cell r="GK2474">
            <v>13.082262702206542</v>
          </cell>
        </row>
        <row r="2475">
          <cell r="A2475">
            <v>42923</v>
          </cell>
          <cell r="FR2475">
            <v>25.519466548374339</v>
          </cell>
          <cell r="FS2475">
            <v>22.314663874962239</v>
          </cell>
          <cell r="FT2475">
            <v>20.116606119778133</v>
          </cell>
          <cell r="FU2475">
            <v>17.065595346429742</v>
          </cell>
          <cell r="FV2475">
            <v>23.167616893126525</v>
          </cell>
          <cell r="GG2475">
            <v>15.079248177665106</v>
          </cell>
          <cell r="GH2475">
            <v>13.982143405445317</v>
          </cell>
          <cell r="GI2475">
            <v>10.408007395026372</v>
          </cell>
          <cell r="GJ2475">
            <v>7.7337520878462023</v>
          </cell>
          <cell r="GK2475">
            <v>13.082262702206542</v>
          </cell>
        </row>
        <row r="2476">
          <cell r="A2476">
            <v>42926</v>
          </cell>
          <cell r="FR2476">
            <v>25.416732808164028</v>
          </cell>
          <cell r="FS2476">
            <v>22.314663874962239</v>
          </cell>
          <cell r="FT2476">
            <v>20.116606119778133</v>
          </cell>
          <cell r="FU2476">
            <v>17.065595346429742</v>
          </cell>
          <cell r="FV2476">
            <v>23.167616893126525</v>
          </cell>
          <cell r="GG2476">
            <v>15.260513949366716</v>
          </cell>
          <cell r="GH2476">
            <v>13.982143405445317</v>
          </cell>
          <cell r="GI2476">
            <v>10.408007395026372</v>
          </cell>
          <cell r="GJ2476">
            <v>7.7337520878462023</v>
          </cell>
          <cell r="GK2476">
            <v>13.082262702206542</v>
          </cell>
        </row>
        <row r="2477">
          <cell r="A2477">
            <v>42927</v>
          </cell>
          <cell r="FR2477">
            <v>25.480814670821001</v>
          </cell>
          <cell r="FS2477">
            <v>22.314663874962239</v>
          </cell>
          <cell r="FT2477">
            <v>20.116606119778133</v>
          </cell>
          <cell r="FU2477">
            <v>17.065595346429742</v>
          </cell>
          <cell r="FV2477">
            <v>23.167616893126525</v>
          </cell>
          <cell r="GG2477">
            <v>15.24635284979442</v>
          </cell>
          <cell r="GH2477">
            <v>13.982143405445317</v>
          </cell>
          <cell r="GI2477">
            <v>10.408007395026372</v>
          </cell>
          <cell r="GJ2477">
            <v>7.7337520878462023</v>
          </cell>
          <cell r="GK2477">
            <v>13.082262702206542</v>
          </cell>
        </row>
        <row r="2478">
          <cell r="A2478">
            <v>42928</v>
          </cell>
          <cell r="FR2478">
            <v>25.779687384253187</v>
          </cell>
          <cell r="FS2478">
            <v>22.314663874962239</v>
          </cell>
          <cell r="FT2478">
            <v>20.116606119778133</v>
          </cell>
          <cell r="FU2478">
            <v>17.065595346429742</v>
          </cell>
          <cell r="FV2478">
            <v>23.167616893126525</v>
          </cell>
          <cell r="GG2478">
            <v>15.314804615991541</v>
          </cell>
          <cell r="GH2478">
            <v>13.982143405445317</v>
          </cell>
          <cell r="GI2478">
            <v>10.408007395026372</v>
          </cell>
          <cell r="GJ2478">
            <v>7.7337520878462023</v>
          </cell>
          <cell r="GK2478">
            <v>13.082262702206542</v>
          </cell>
        </row>
        <row r="2479">
          <cell r="A2479">
            <v>42929</v>
          </cell>
          <cell r="FR2479">
            <v>25.837320574165183</v>
          </cell>
          <cell r="FS2479">
            <v>22.314663874962239</v>
          </cell>
          <cell r="FT2479">
            <v>20.116606119778133</v>
          </cell>
          <cell r="FU2479">
            <v>17.065595346429742</v>
          </cell>
          <cell r="FV2479">
            <v>23.167616893126525</v>
          </cell>
          <cell r="GG2479">
            <v>15.303118020653866</v>
          </cell>
          <cell r="GH2479">
            <v>13.982143405445317</v>
          </cell>
          <cell r="GI2479">
            <v>10.408007395026372</v>
          </cell>
          <cell r="GJ2479">
            <v>7.7337520878462023</v>
          </cell>
          <cell r="GK2479">
            <v>13.082262702206542</v>
          </cell>
        </row>
        <row r="2480">
          <cell r="A2480">
            <v>42930</v>
          </cell>
          <cell r="FR2480">
            <v>25.849059333202646</v>
          </cell>
          <cell r="FS2480">
            <v>22.314663874962239</v>
          </cell>
          <cell r="FT2480">
            <v>20.116606119778133</v>
          </cell>
          <cell r="FU2480">
            <v>17.065595346429742</v>
          </cell>
          <cell r="FV2480">
            <v>23.167616893126525</v>
          </cell>
          <cell r="GG2480">
            <v>15.761022551823345</v>
          </cell>
          <cell r="GH2480">
            <v>13.982143405445317</v>
          </cell>
          <cell r="GI2480">
            <v>10.408007395026372</v>
          </cell>
          <cell r="GJ2480">
            <v>7.7337520878462023</v>
          </cell>
          <cell r="GK2480">
            <v>13.082262702206542</v>
          </cell>
        </row>
        <row r="2481">
          <cell r="A2481">
            <v>42933</v>
          </cell>
          <cell r="FR2481">
            <v>25.985620025747885</v>
          </cell>
          <cell r="FS2481">
            <v>22.314663874962239</v>
          </cell>
          <cell r="FT2481">
            <v>20.116606119778133</v>
          </cell>
          <cell r="FU2481">
            <v>17.065595346429742</v>
          </cell>
          <cell r="FV2481">
            <v>23.167616893126525</v>
          </cell>
          <cell r="GG2481">
            <v>15.838043400294108</v>
          </cell>
          <cell r="GH2481">
            <v>13.982143405445317</v>
          </cell>
          <cell r="GI2481">
            <v>10.408007395026372</v>
          </cell>
          <cell r="GJ2481">
            <v>7.7337520878462023</v>
          </cell>
          <cell r="GK2481">
            <v>13.082262702206542</v>
          </cell>
        </row>
        <row r="2482">
          <cell r="A2482">
            <v>42934</v>
          </cell>
          <cell r="FR2482">
            <v>26.066325000002536</v>
          </cell>
          <cell r="FS2482">
            <v>22.314663874962239</v>
          </cell>
          <cell r="FT2482">
            <v>20.116606119778133</v>
          </cell>
          <cell r="FU2482">
            <v>17.065595346429742</v>
          </cell>
          <cell r="FV2482">
            <v>23.167616893126525</v>
          </cell>
          <cell r="GG2482">
            <v>15.556996480175025</v>
          </cell>
          <cell r="GH2482">
            <v>13.982143405445317</v>
          </cell>
          <cell r="GI2482">
            <v>10.408007395026372</v>
          </cell>
          <cell r="GJ2482">
            <v>7.7337520878462023</v>
          </cell>
          <cell r="GK2482">
            <v>13.082262702206542</v>
          </cell>
        </row>
        <row r="2483">
          <cell r="A2483">
            <v>42935</v>
          </cell>
          <cell r="FR2483">
            <v>26.188777040818874</v>
          </cell>
          <cell r="FS2483">
            <v>22.314663874962239</v>
          </cell>
          <cell r="FT2483">
            <v>20.116606119778133</v>
          </cell>
          <cell r="FU2483">
            <v>17.065595346429742</v>
          </cell>
          <cell r="FV2483">
            <v>23.167616893126525</v>
          </cell>
          <cell r="GG2483">
            <v>15.389645537207114</v>
          </cell>
          <cell r="GH2483">
            <v>13.982143405445317</v>
          </cell>
          <cell r="GI2483">
            <v>10.408007395026372</v>
          </cell>
          <cell r="GJ2483">
            <v>7.7337520878462023</v>
          </cell>
          <cell r="GK2483">
            <v>13.082262702206542</v>
          </cell>
        </row>
        <row r="2484">
          <cell r="A2484">
            <v>42936</v>
          </cell>
          <cell r="FR2484">
            <v>26.441329591839306</v>
          </cell>
          <cell r="FS2484">
            <v>22.314663874962239</v>
          </cell>
          <cell r="FT2484">
            <v>20.116606119778133</v>
          </cell>
          <cell r="FU2484">
            <v>17.065595346429742</v>
          </cell>
          <cell r="FV2484">
            <v>23.167616893126525</v>
          </cell>
          <cell r="GG2484">
            <v>15.389645537207114</v>
          </cell>
          <cell r="GH2484">
            <v>13.982143405445317</v>
          </cell>
          <cell r="GI2484">
            <v>10.408007395026372</v>
          </cell>
          <cell r="GJ2484">
            <v>7.7337520878462023</v>
          </cell>
          <cell r="GK2484">
            <v>13.082262702206542</v>
          </cell>
        </row>
        <row r="2485">
          <cell r="A2485">
            <v>42937</v>
          </cell>
          <cell r="FR2485">
            <v>26.451915219223626</v>
          </cell>
          <cell r="FS2485">
            <v>22.314663874962239</v>
          </cell>
          <cell r="FT2485">
            <v>20.116606119778133</v>
          </cell>
          <cell r="FU2485">
            <v>17.065595346429742</v>
          </cell>
          <cell r="FV2485">
            <v>23.167616893126525</v>
          </cell>
          <cell r="GG2485">
            <v>15.500424186174053</v>
          </cell>
          <cell r="GH2485">
            <v>13.982143405445317</v>
          </cell>
          <cell r="GI2485">
            <v>10.408007395026372</v>
          </cell>
          <cell r="GJ2485">
            <v>7.7337520878462023</v>
          </cell>
          <cell r="GK2485">
            <v>13.082262702206542</v>
          </cell>
        </row>
        <row r="2486">
          <cell r="A2486">
            <v>42940</v>
          </cell>
          <cell r="FR2486">
            <v>26.45650904771226</v>
          </cell>
          <cell r="FS2486">
            <v>22.314663874962239</v>
          </cell>
          <cell r="FT2486">
            <v>20.116606119778133</v>
          </cell>
          <cell r="FU2486">
            <v>17.065595346429742</v>
          </cell>
          <cell r="FV2486">
            <v>23.167616893126525</v>
          </cell>
          <cell r="GG2486">
            <v>15.469813886992586</v>
          </cell>
          <cell r="GH2486">
            <v>13.982143405445317</v>
          </cell>
          <cell r="GI2486">
            <v>10.408007395026372</v>
          </cell>
          <cell r="GJ2486">
            <v>7.7337520878462023</v>
          </cell>
          <cell r="GK2486">
            <v>13.082262702206542</v>
          </cell>
        </row>
        <row r="2487">
          <cell r="A2487">
            <v>42941</v>
          </cell>
          <cell r="FR2487">
            <v>26.113042963553873</v>
          </cell>
          <cell r="FS2487">
            <v>22.314663874962239</v>
          </cell>
          <cell r="FT2487">
            <v>20.116606119778133</v>
          </cell>
          <cell r="FU2487">
            <v>17.065595346429742</v>
          </cell>
          <cell r="FV2487">
            <v>23.167616893126525</v>
          </cell>
          <cell r="GG2487">
            <v>15.469813886992586</v>
          </cell>
          <cell r="GH2487">
            <v>13.982143405445317</v>
          </cell>
          <cell r="GI2487">
            <v>10.408007395026372</v>
          </cell>
          <cell r="GJ2487">
            <v>7.7337520878462023</v>
          </cell>
          <cell r="GK2487">
            <v>13.082262702206542</v>
          </cell>
        </row>
        <row r="2488">
          <cell r="A2488">
            <v>42942</v>
          </cell>
          <cell r="FR2488">
            <v>26.204690647539501</v>
          </cell>
          <cell r="FS2488">
            <v>22.314663874962239</v>
          </cell>
          <cell r="FT2488">
            <v>20.116606119778133</v>
          </cell>
          <cell r="FU2488">
            <v>17.065595346429742</v>
          </cell>
          <cell r="FV2488">
            <v>23.167616893126525</v>
          </cell>
          <cell r="GG2488">
            <v>15.428282563776557</v>
          </cell>
          <cell r="GH2488">
            <v>13.982143405445317</v>
          </cell>
          <cell r="GI2488">
            <v>10.408007395026372</v>
          </cell>
          <cell r="GJ2488">
            <v>7.7337520878462023</v>
          </cell>
          <cell r="GK2488">
            <v>13.082262702206542</v>
          </cell>
        </row>
        <row r="2489">
          <cell r="A2489">
            <v>42943</v>
          </cell>
          <cell r="FR2489">
            <v>26.132049310544573</v>
          </cell>
          <cell r="FS2489">
            <v>22.314663874962239</v>
          </cell>
          <cell r="FT2489">
            <v>20.116606119778133</v>
          </cell>
          <cell r="FU2489">
            <v>17.065595346429742</v>
          </cell>
          <cell r="FV2489">
            <v>23.167616893126525</v>
          </cell>
          <cell r="GG2489">
            <v>15.400148409183242</v>
          </cell>
          <cell r="GH2489">
            <v>13.982143405445317</v>
          </cell>
          <cell r="GI2489">
            <v>10.408007395026372</v>
          </cell>
          <cell r="GJ2489">
            <v>7.7337520878462023</v>
          </cell>
          <cell r="GK2489">
            <v>13.082262702206542</v>
          </cell>
        </row>
        <row r="2490">
          <cell r="A2490">
            <v>42944</v>
          </cell>
          <cell r="FR2490">
            <v>25.447909110969331</v>
          </cell>
          <cell r="FS2490">
            <v>22.314663874962239</v>
          </cell>
          <cell r="FT2490">
            <v>20.116606119778133</v>
          </cell>
          <cell r="FU2490">
            <v>17.065595346429742</v>
          </cell>
          <cell r="FV2490">
            <v>23.167616893126525</v>
          </cell>
          <cell r="GG2490">
            <v>15.082141540757172</v>
          </cell>
          <cell r="GH2490">
            <v>13.982143405445317</v>
          </cell>
          <cell r="GI2490">
            <v>10.408007395026372</v>
          </cell>
          <cell r="GJ2490">
            <v>7.7337520878462023</v>
          </cell>
          <cell r="GK2490">
            <v>13.082262702206542</v>
          </cell>
        </row>
        <row r="2491">
          <cell r="A2491">
            <v>42947</v>
          </cell>
          <cell r="FR2491">
            <v>25.201601575742185</v>
          </cell>
          <cell r="FS2491">
            <v>22.314663874962239</v>
          </cell>
          <cell r="FT2491">
            <v>20.116606119778133</v>
          </cell>
          <cell r="FU2491">
            <v>17.065595346429742</v>
          </cell>
          <cell r="FV2491">
            <v>23.167616893126525</v>
          </cell>
          <cell r="GG2491">
            <v>14.6037046589752</v>
          </cell>
          <cell r="GH2491">
            <v>13.982143405445317</v>
          </cell>
          <cell r="GI2491">
            <v>10.408007395026372</v>
          </cell>
          <cell r="GJ2491">
            <v>7.7337520878462023</v>
          </cell>
          <cell r="GK2491">
            <v>13.082262702206542</v>
          </cell>
        </row>
        <row r="2492">
          <cell r="A2492">
            <v>42948</v>
          </cell>
          <cell r="FR2492">
            <v>25.022538260528574</v>
          </cell>
          <cell r="FS2492">
            <v>22.314663874962239</v>
          </cell>
          <cell r="FT2492">
            <v>20.116606119778133</v>
          </cell>
          <cell r="FU2492">
            <v>17.065595346429742</v>
          </cell>
          <cell r="FV2492">
            <v>23.167616893126525</v>
          </cell>
          <cell r="GG2492">
            <v>14.304470116981911</v>
          </cell>
          <cell r="GH2492">
            <v>13.982143405445317</v>
          </cell>
          <cell r="GI2492">
            <v>10.408007395026372</v>
          </cell>
          <cell r="GJ2492">
            <v>7.7337520878462023</v>
          </cell>
          <cell r="GK2492">
            <v>13.082262702206542</v>
          </cell>
        </row>
        <row r="2493">
          <cell r="A2493">
            <v>42949</v>
          </cell>
          <cell r="FR2493">
            <v>24.999749825285338</v>
          </cell>
          <cell r="FS2493">
            <v>22.314663874962239</v>
          </cell>
          <cell r="FT2493">
            <v>20.116606119778133</v>
          </cell>
          <cell r="FU2493">
            <v>17.065595346429742</v>
          </cell>
          <cell r="FV2493">
            <v>23.167616893126525</v>
          </cell>
          <cell r="GG2493">
            <v>14.322906253716713</v>
          </cell>
          <cell r="GH2493">
            <v>13.982143405445317</v>
          </cell>
          <cell r="GI2493">
            <v>10.408007395026372</v>
          </cell>
          <cell r="GJ2493">
            <v>7.7337520878462023</v>
          </cell>
          <cell r="GK2493">
            <v>13.082262702206542</v>
          </cell>
        </row>
        <row r="2494">
          <cell r="A2494">
            <v>42950</v>
          </cell>
          <cell r="FR2494">
            <v>24.600065356996041</v>
          </cell>
          <cell r="FS2494">
            <v>22.314663874962239</v>
          </cell>
          <cell r="FT2494">
            <v>20.116606119778133</v>
          </cell>
          <cell r="FU2494">
            <v>17.065595346429742</v>
          </cell>
          <cell r="FV2494">
            <v>23.167616893126525</v>
          </cell>
          <cell r="GG2494">
            <v>14.272641832574136</v>
          </cell>
          <cell r="GH2494">
            <v>13.982143405445317</v>
          </cell>
          <cell r="GI2494">
            <v>10.408007395026372</v>
          </cell>
          <cell r="GJ2494">
            <v>7.7337520878462023</v>
          </cell>
          <cell r="GK2494">
            <v>13.082262702206542</v>
          </cell>
        </row>
        <row r="2495">
          <cell r="A2495">
            <v>42951</v>
          </cell>
          <cell r="FR2495">
            <v>24.311085733612696</v>
          </cell>
          <cell r="FS2495">
            <v>22.314663874962239</v>
          </cell>
          <cell r="FT2495">
            <v>20.116606119778133</v>
          </cell>
          <cell r="FU2495">
            <v>17.065595346429742</v>
          </cell>
          <cell r="FV2495">
            <v>23.167616893126525</v>
          </cell>
          <cell r="GG2495">
            <v>14.037730250748179</v>
          </cell>
          <cell r="GH2495">
            <v>13.982143405445317</v>
          </cell>
          <cell r="GI2495">
            <v>10.408007395026372</v>
          </cell>
          <cell r="GJ2495">
            <v>7.7337520878462023</v>
          </cell>
          <cell r="GK2495">
            <v>13.082262702206542</v>
          </cell>
        </row>
        <row r="2496">
          <cell r="A2496">
            <v>42954</v>
          </cell>
          <cell r="FR2496">
            <v>24.304466296392224</v>
          </cell>
          <cell r="FS2496">
            <v>22.314663874962239</v>
          </cell>
          <cell r="FT2496">
            <v>20.116606119778133</v>
          </cell>
          <cell r="FU2496">
            <v>17.065595346429742</v>
          </cell>
          <cell r="FV2496">
            <v>23.167616893126525</v>
          </cell>
          <cell r="GG2496">
            <v>13.98162881031055</v>
          </cell>
          <cell r="GH2496">
            <v>13.982143405445317</v>
          </cell>
          <cell r="GI2496">
            <v>10.408007395026372</v>
          </cell>
          <cell r="GJ2496">
            <v>7.7337520878462023</v>
          </cell>
          <cell r="GK2496">
            <v>13.082262702206542</v>
          </cell>
        </row>
        <row r="2497">
          <cell r="A2497">
            <v>42955</v>
          </cell>
          <cell r="FR2497">
            <v>23.819740217119268</v>
          </cell>
          <cell r="FS2497">
            <v>22.314663874962239</v>
          </cell>
          <cell r="FT2497">
            <v>20.116606119778133</v>
          </cell>
          <cell r="FU2497">
            <v>17.065595346429742</v>
          </cell>
          <cell r="FV2497">
            <v>23.167616893126525</v>
          </cell>
          <cell r="GG2497">
            <v>13.738454014253685</v>
          </cell>
          <cell r="GH2497">
            <v>13.982143405445317</v>
          </cell>
          <cell r="GI2497">
            <v>10.408007395026372</v>
          </cell>
          <cell r="GJ2497">
            <v>7.7337520878462023</v>
          </cell>
          <cell r="GK2497">
            <v>13.082262702206542</v>
          </cell>
        </row>
        <row r="2498">
          <cell r="A2498">
            <v>42956</v>
          </cell>
          <cell r="FR2498">
            <v>23.9787962635722</v>
          </cell>
          <cell r="FS2498">
            <v>22.314663874962239</v>
          </cell>
          <cell r="FT2498">
            <v>20.116606119778133</v>
          </cell>
          <cell r="FU2498">
            <v>17.065595346429742</v>
          </cell>
          <cell r="FV2498">
            <v>23.167616893126525</v>
          </cell>
          <cell r="GG2498">
            <v>13.58451325651515</v>
          </cell>
          <cell r="GH2498">
            <v>13.982143405445317</v>
          </cell>
          <cell r="GI2498">
            <v>10.408007395026372</v>
          </cell>
          <cell r="GJ2498">
            <v>7.7337520878462023</v>
          </cell>
          <cell r="GK2498">
            <v>13.082262702206542</v>
          </cell>
        </row>
        <row r="2499">
          <cell r="A2499">
            <v>42957</v>
          </cell>
          <cell r="FR2499">
            <v>23.494070941683741</v>
          </cell>
          <cell r="FS2499">
            <v>22.314663874962239</v>
          </cell>
          <cell r="FT2499">
            <v>20.116606119778133</v>
          </cell>
          <cell r="FU2499">
            <v>17.065595346429742</v>
          </cell>
          <cell r="FV2499">
            <v>23.167616893126525</v>
          </cell>
          <cell r="GG2499">
            <v>13.58451325651515</v>
          </cell>
          <cell r="GH2499">
            <v>13.982143405445317</v>
          </cell>
          <cell r="GI2499">
            <v>10.408007395026372</v>
          </cell>
          <cell r="GJ2499">
            <v>7.7337520878462023</v>
          </cell>
          <cell r="GK2499">
            <v>13.082262702206542</v>
          </cell>
        </row>
        <row r="2500">
          <cell r="A2500">
            <v>42958</v>
          </cell>
          <cell r="FR2500">
            <v>23.839931056761948</v>
          </cell>
          <cell r="FS2500">
            <v>22.314663874962239</v>
          </cell>
          <cell r="FT2500">
            <v>20.116606119778133</v>
          </cell>
          <cell r="FU2500">
            <v>17.065595346429742</v>
          </cell>
          <cell r="FV2500">
            <v>23.167616893126525</v>
          </cell>
          <cell r="GG2500">
            <v>13.368540724365463</v>
          </cell>
          <cell r="GH2500">
            <v>13.982143405445317</v>
          </cell>
          <cell r="GI2500">
            <v>10.408007395026372</v>
          </cell>
          <cell r="GJ2500">
            <v>7.7337520878462023</v>
          </cell>
          <cell r="GK2500">
            <v>13.082262702206542</v>
          </cell>
        </row>
        <row r="2501">
          <cell r="A2501">
            <v>42961</v>
          </cell>
          <cell r="FR2501">
            <v>23.963819411475935</v>
          </cell>
          <cell r="FS2501">
            <v>22.314663874962239</v>
          </cell>
          <cell r="FT2501">
            <v>20.116606119778133</v>
          </cell>
          <cell r="FU2501">
            <v>17.065595346429742</v>
          </cell>
          <cell r="FV2501">
            <v>23.167616893126525</v>
          </cell>
          <cell r="GG2501">
            <v>13.55938818504486</v>
          </cell>
          <cell r="GH2501">
            <v>13.982143405445317</v>
          </cell>
          <cell r="GI2501">
            <v>10.408007395026372</v>
          </cell>
          <cell r="GJ2501">
            <v>7.7337520878462023</v>
          </cell>
          <cell r="GK2501">
            <v>13.082262702206542</v>
          </cell>
        </row>
        <row r="2502">
          <cell r="A2502">
            <v>42962</v>
          </cell>
          <cell r="FR2502">
            <v>23.759256462580538</v>
          </cell>
          <cell r="FS2502">
            <v>22.314663874962239</v>
          </cell>
          <cell r="FT2502">
            <v>20.116606119778133</v>
          </cell>
          <cell r="FU2502">
            <v>17.065595346429742</v>
          </cell>
          <cell r="FV2502">
            <v>23.167616893126525</v>
          </cell>
          <cell r="GG2502">
            <v>13.648899896729411</v>
          </cell>
          <cell r="GH2502">
            <v>13.982143405445317</v>
          </cell>
          <cell r="GI2502">
            <v>10.408007395026372</v>
          </cell>
          <cell r="GJ2502">
            <v>7.7337520878462023</v>
          </cell>
          <cell r="GK2502">
            <v>13.082262702206542</v>
          </cell>
        </row>
        <row r="2503">
          <cell r="A2503">
            <v>42963</v>
          </cell>
          <cell r="FR2503">
            <v>23.842596446215754</v>
          </cell>
          <cell r="FS2503">
            <v>22.314663874962239</v>
          </cell>
          <cell r="FT2503">
            <v>20.116606119778133</v>
          </cell>
          <cell r="FU2503">
            <v>17.065595346429742</v>
          </cell>
          <cell r="FV2503">
            <v>23.167616893126525</v>
          </cell>
          <cell r="GG2503">
            <v>13.577747101746061</v>
          </cell>
          <cell r="GH2503">
            <v>13.982143405445317</v>
          </cell>
          <cell r="GI2503">
            <v>10.408007395026372</v>
          </cell>
          <cell r="GJ2503">
            <v>7.7337520878462023</v>
          </cell>
          <cell r="GK2503">
            <v>13.082262702206542</v>
          </cell>
        </row>
        <row r="2504">
          <cell r="A2504">
            <v>42964</v>
          </cell>
          <cell r="FR2504">
            <v>23.84829557522362</v>
          </cell>
          <cell r="FS2504">
            <v>22.314663874962239</v>
          </cell>
          <cell r="FT2504">
            <v>20.116606119778133</v>
          </cell>
          <cell r="FU2504">
            <v>17.065595346429742</v>
          </cell>
          <cell r="FV2504">
            <v>23.167616893126525</v>
          </cell>
          <cell r="GG2504">
            <v>13.574039800706895</v>
          </cell>
          <cell r="GH2504">
            <v>13.982143405445317</v>
          </cell>
          <cell r="GI2504">
            <v>10.408007395026372</v>
          </cell>
          <cell r="GJ2504">
            <v>7.7337520878462023</v>
          </cell>
          <cell r="GK2504">
            <v>13.082262702206542</v>
          </cell>
        </row>
        <row r="2505">
          <cell r="A2505">
            <v>42965</v>
          </cell>
          <cell r="FR2505">
            <v>23.704171934262796</v>
          </cell>
          <cell r="FS2505">
            <v>22.314663874962239</v>
          </cell>
          <cell r="FT2505">
            <v>20.116606119778133</v>
          </cell>
          <cell r="FU2505">
            <v>17.065595346429742</v>
          </cell>
          <cell r="FV2505">
            <v>23.167616893126525</v>
          </cell>
          <cell r="GG2505">
            <v>13.662222390988413</v>
          </cell>
          <cell r="GH2505">
            <v>13.982143405445317</v>
          </cell>
          <cell r="GI2505">
            <v>10.408007395026372</v>
          </cell>
          <cell r="GJ2505">
            <v>7.7337520878462023</v>
          </cell>
          <cell r="GK2505">
            <v>13.082262702206542</v>
          </cell>
        </row>
        <row r="2506">
          <cell r="A2506">
            <v>42968</v>
          </cell>
          <cell r="FR2506">
            <v>23.908979772442336</v>
          </cell>
          <cell r="FS2506">
            <v>22.314663874962239</v>
          </cell>
          <cell r="FT2506">
            <v>20.116606119778133</v>
          </cell>
          <cell r="FU2506">
            <v>17.065595346429742</v>
          </cell>
          <cell r="FV2506">
            <v>23.167616893126525</v>
          </cell>
          <cell r="GG2506">
            <v>13.664522195130575</v>
          </cell>
          <cell r="GH2506">
            <v>13.982143405445317</v>
          </cell>
          <cell r="GI2506">
            <v>10.408007395026372</v>
          </cell>
          <cell r="GJ2506">
            <v>7.7337520878462023</v>
          </cell>
          <cell r="GK2506">
            <v>13.082262702206542</v>
          </cell>
        </row>
        <row r="2507">
          <cell r="A2507">
            <v>42969</v>
          </cell>
          <cell r="FR2507">
            <v>24.045509734515676</v>
          </cell>
          <cell r="FS2507">
            <v>22.314663874962239</v>
          </cell>
          <cell r="FT2507">
            <v>20.116606119778133</v>
          </cell>
          <cell r="FU2507">
            <v>17.065595346429742</v>
          </cell>
          <cell r="FV2507">
            <v>23.167616893126525</v>
          </cell>
          <cell r="GG2507">
            <v>13.588717307412443</v>
          </cell>
          <cell r="GH2507">
            <v>13.982143405445317</v>
          </cell>
          <cell r="GI2507">
            <v>10.408007395026372</v>
          </cell>
          <cell r="GJ2507">
            <v>7.7337520878462023</v>
          </cell>
          <cell r="GK2507">
            <v>13.082262702206542</v>
          </cell>
        </row>
        <row r="2508">
          <cell r="A2508">
            <v>42970</v>
          </cell>
          <cell r="FR2508">
            <v>23.954489506955618</v>
          </cell>
          <cell r="FS2508">
            <v>22.314663874962239</v>
          </cell>
          <cell r="FT2508">
            <v>20.116606119778133</v>
          </cell>
          <cell r="FU2508">
            <v>17.065595346429742</v>
          </cell>
          <cell r="FV2508">
            <v>23.167616893126525</v>
          </cell>
          <cell r="GG2508">
            <v>13.689808199019735</v>
          </cell>
          <cell r="GH2508">
            <v>13.982143405445317</v>
          </cell>
          <cell r="GI2508">
            <v>10.408007395026372</v>
          </cell>
          <cell r="GJ2508">
            <v>7.7337520878462023</v>
          </cell>
          <cell r="GK2508">
            <v>13.082262702206542</v>
          </cell>
        </row>
        <row r="2509">
          <cell r="A2509">
            <v>42971</v>
          </cell>
          <cell r="FR2509">
            <v>23.946908723137664</v>
          </cell>
          <cell r="FS2509">
            <v>22.314663874962239</v>
          </cell>
          <cell r="FT2509">
            <v>20.116606119778133</v>
          </cell>
          <cell r="FU2509">
            <v>17.065595346429742</v>
          </cell>
          <cell r="FV2509">
            <v>23.167616893126525</v>
          </cell>
          <cell r="GG2509">
            <v>13.60480171416433</v>
          </cell>
          <cell r="GH2509">
            <v>13.982143405445317</v>
          </cell>
          <cell r="GI2509">
            <v>10.408007395026372</v>
          </cell>
          <cell r="GJ2509">
            <v>7.7337520878462023</v>
          </cell>
          <cell r="GK2509">
            <v>13.082262702206542</v>
          </cell>
        </row>
        <row r="2510">
          <cell r="A2510">
            <v>42972</v>
          </cell>
          <cell r="FR2510">
            <v>23.930192716239116</v>
          </cell>
          <cell r="FS2510">
            <v>22.314663874962239</v>
          </cell>
          <cell r="FT2510">
            <v>20.116606119778133</v>
          </cell>
          <cell r="FU2510">
            <v>17.065595346429742</v>
          </cell>
          <cell r="FV2510">
            <v>23.167616893126525</v>
          </cell>
          <cell r="GG2510">
            <v>13.611675720004071</v>
          </cell>
          <cell r="GH2510">
            <v>13.982143405445317</v>
          </cell>
          <cell r="GI2510">
            <v>10.408007395026372</v>
          </cell>
          <cell r="GJ2510">
            <v>7.7337520878462023</v>
          </cell>
          <cell r="GK2510">
            <v>13.082262702206542</v>
          </cell>
        </row>
        <row r="2511">
          <cell r="A2511">
            <v>42975</v>
          </cell>
          <cell r="FR2511">
            <v>24.027324057680119</v>
          </cell>
          <cell r="FS2511">
            <v>22.314663874962239</v>
          </cell>
          <cell r="FT2511">
            <v>20.116606119778133</v>
          </cell>
          <cell r="FU2511">
            <v>17.065595346429742</v>
          </cell>
          <cell r="FV2511">
            <v>23.167616893126525</v>
          </cell>
          <cell r="GG2511">
            <v>13.603614877581842</v>
          </cell>
          <cell r="GH2511">
            <v>13.982143405445317</v>
          </cell>
          <cell r="GI2511">
            <v>10.408007395026372</v>
          </cell>
          <cell r="GJ2511">
            <v>7.7337520878462023</v>
          </cell>
          <cell r="GK2511">
            <v>13.082262702206542</v>
          </cell>
        </row>
        <row r="2512">
          <cell r="A2512">
            <v>42976</v>
          </cell>
          <cell r="FR2512">
            <v>24.004557298256891</v>
          </cell>
          <cell r="FS2512">
            <v>22.314663874962239</v>
          </cell>
          <cell r="FT2512">
            <v>20.116606119778133</v>
          </cell>
          <cell r="FU2512">
            <v>17.065595346429742</v>
          </cell>
          <cell r="FV2512">
            <v>23.167616893126525</v>
          </cell>
          <cell r="GG2512">
            <v>13.470441613359485</v>
          </cell>
          <cell r="GH2512">
            <v>13.982143405445317</v>
          </cell>
          <cell r="GI2512">
            <v>10.408007395026372</v>
          </cell>
          <cell r="GJ2512">
            <v>7.7337520878462023</v>
          </cell>
          <cell r="GK2512">
            <v>13.082262702206542</v>
          </cell>
        </row>
        <row r="2513">
          <cell r="A2513">
            <v>42977</v>
          </cell>
          <cell r="FR2513">
            <v>23.981791297750945</v>
          </cell>
          <cell r="FS2513">
            <v>22.314663874962239</v>
          </cell>
          <cell r="FT2513">
            <v>20.116606119778133</v>
          </cell>
          <cell r="FU2513">
            <v>17.065595346429742</v>
          </cell>
          <cell r="FV2513">
            <v>23.167616893126525</v>
          </cell>
          <cell r="GG2513">
            <v>13.454366753135826</v>
          </cell>
          <cell r="GH2513">
            <v>13.982143405445317</v>
          </cell>
          <cell r="GI2513">
            <v>10.408007395026372</v>
          </cell>
          <cell r="GJ2513">
            <v>7.7337520878462023</v>
          </cell>
          <cell r="GK2513">
            <v>13.082262702206542</v>
          </cell>
        </row>
        <row r="2514">
          <cell r="A2514">
            <v>42978</v>
          </cell>
          <cell r="FR2514">
            <v>24.41436807488228</v>
          </cell>
          <cell r="FS2514">
            <v>22.314663874962239</v>
          </cell>
          <cell r="FT2514">
            <v>20.116606119778133</v>
          </cell>
          <cell r="FU2514">
            <v>17.065595346429742</v>
          </cell>
          <cell r="FV2514">
            <v>23.167616893126525</v>
          </cell>
          <cell r="GG2514">
            <v>13.543912780582165</v>
          </cell>
          <cell r="GH2514">
            <v>13.982143405445317</v>
          </cell>
          <cell r="GI2514">
            <v>10.408007395026372</v>
          </cell>
          <cell r="GJ2514">
            <v>7.7337520878462023</v>
          </cell>
          <cell r="GK2514">
            <v>13.082262702206542</v>
          </cell>
        </row>
        <row r="2515">
          <cell r="A2515">
            <v>42979</v>
          </cell>
          <cell r="FR2515">
            <v>24.306377602340394</v>
          </cell>
          <cell r="FS2515">
            <v>22.314663874962239</v>
          </cell>
          <cell r="FT2515">
            <v>20.116606119778133</v>
          </cell>
          <cell r="FU2515">
            <v>17.065595346429742</v>
          </cell>
          <cell r="FV2515">
            <v>23.167616893126525</v>
          </cell>
          <cell r="GG2515">
            <v>13.610749192340649</v>
          </cell>
          <cell r="GH2515">
            <v>13.982143405445317</v>
          </cell>
          <cell r="GI2515">
            <v>10.408007395026372</v>
          </cell>
          <cell r="GJ2515">
            <v>7.7337520878462023</v>
          </cell>
          <cell r="GK2515">
            <v>13.082262702206542</v>
          </cell>
        </row>
        <row r="2516">
          <cell r="A2516">
            <v>42982</v>
          </cell>
          <cell r="FR2516">
            <v>24.554472054290294</v>
          </cell>
          <cell r="FS2516">
            <v>22.314663874962239</v>
          </cell>
          <cell r="FT2516">
            <v>20.116606119778133</v>
          </cell>
          <cell r="FU2516">
            <v>17.065595346429742</v>
          </cell>
          <cell r="FV2516">
            <v>23.167616893126525</v>
          </cell>
          <cell r="GG2516">
            <v>13.860760383199551</v>
          </cell>
          <cell r="GH2516">
            <v>13.982143405445317</v>
          </cell>
          <cell r="GI2516">
            <v>10.408007395026372</v>
          </cell>
          <cell r="GJ2516">
            <v>7.7337520878462023</v>
          </cell>
          <cell r="GK2516">
            <v>13.082262702206542</v>
          </cell>
        </row>
        <row r="2517">
          <cell r="A2517">
            <v>42983</v>
          </cell>
          <cell r="FR2517">
            <v>24.258166050335898</v>
          </cell>
          <cell r="FS2517">
            <v>22.314663874962239</v>
          </cell>
          <cell r="FT2517">
            <v>20.116606119778133</v>
          </cell>
          <cell r="FU2517">
            <v>17.065595346429742</v>
          </cell>
          <cell r="FV2517">
            <v>23.167616893126525</v>
          </cell>
          <cell r="GG2517">
            <v>13.904796456706478</v>
          </cell>
          <cell r="GH2517">
            <v>13.982143405445317</v>
          </cell>
          <cell r="GI2517">
            <v>10.408007395026372</v>
          </cell>
          <cell r="GJ2517">
            <v>7.7337520878462023</v>
          </cell>
          <cell r="GK2517">
            <v>13.082262702206542</v>
          </cell>
        </row>
        <row r="2518">
          <cell r="A2518">
            <v>42984</v>
          </cell>
          <cell r="FR2518">
            <v>24.15540430394211</v>
          </cell>
          <cell r="FS2518">
            <v>22.314663874962239</v>
          </cell>
          <cell r="FT2518">
            <v>20.116606119778133</v>
          </cell>
          <cell r="FU2518">
            <v>17.065595346429742</v>
          </cell>
          <cell r="FV2518">
            <v>23.167616893126525</v>
          </cell>
          <cell r="GG2518">
            <v>13.556936912636424</v>
          </cell>
          <cell r="GH2518">
            <v>13.982143405445317</v>
          </cell>
          <cell r="GI2518">
            <v>10.408007395026372</v>
          </cell>
          <cell r="GJ2518">
            <v>7.7337520878462023</v>
          </cell>
          <cell r="GK2518">
            <v>13.082262702206542</v>
          </cell>
        </row>
        <row r="2519">
          <cell r="A2519">
            <v>42985</v>
          </cell>
          <cell r="FR2519">
            <v>24.505807655684631</v>
          </cell>
          <cell r="FS2519">
            <v>22.314663874962239</v>
          </cell>
          <cell r="FT2519">
            <v>20.116606119778133</v>
          </cell>
          <cell r="FU2519">
            <v>17.065595346429742</v>
          </cell>
          <cell r="FV2519">
            <v>23.167616893126525</v>
          </cell>
          <cell r="GG2519">
            <v>13.556936912636424</v>
          </cell>
          <cell r="GH2519">
            <v>13.982143405445317</v>
          </cell>
          <cell r="GI2519">
            <v>10.408007395026372</v>
          </cell>
          <cell r="GJ2519">
            <v>7.7337520878462023</v>
          </cell>
          <cell r="GK2519">
            <v>13.082262702206542</v>
          </cell>
        </row>
        <row r="2520">
          <cell r="A2520">
            <v>42986</v>
          </cell>
          <cell r="FR2520">
            <v>24.367770577440012</v>
          </cell>
          <cell r="FS2520">
            <v>22.314663874962239</v>
          </cell>
          <cell r="FT2520">
            <v>20.116606119778133</v>
          </cell>
          <cell r="FU2520">
            <v>17.065595346429742</v>
          </cell>
          <cell r="FV2520">
            <v>23.167616893126525</v>
          </cell>
          <cell r="GG2520">
            <v>13.809641443569641</v>
          </cell>
          <cell r="GH2520">
            <v>13.982143405445317</v>
          </cell>
          <cell r="GI2520">
            <v>10.408007395026372</v>
          </cell>
          <cell r="GJ2520">
            <v>7.7337520878462023</v>
          </cell>
          <cell r="GK2520">
            <v>13.082262702206542</v>
          </cell>
        </row>
        <row r="2521">
          <cell r="A2521">
            <v>42989</v>
          </cell>
          <cell r="FR2521">
            <v>24.520066859070525</v>
          </cell>
          <cell r="FS2521">
            <v>22.314663874962239</v>
          </cell>
          <cell r="FT2521">
            <v>20.116606119778133</v>
          </cell>
          <cell r="FU2521">
            <v>17.065595346429742</v>
          </cell>
          <cell r="FV2521">
            <v>23.167616893126525</v>
          </cell>
          <cell r="GG2521">
            <v>13.675170145855867</v>
          </cell>
          <cell r="GH2521">
            <v>13.982143405445317</v>
          </cell>
          <cell r="GI2521">
            <v>10.408007395026372</v>
          </cell>
          <cell r="GJ2521">
            <v>7.7337520878462023</v>
          </cell>
          <cell r="GK2521">
            <v>13.082262702206542</v>
          </cell>
        </row>
        <row r="2522">
          <cell r="A2522">
            <v>42990</v>
          </cell>
          <cell r="FR2522">
            <v>24.580987808499781</v>
          </cell>
          <cell r="FS2522">
            <v>22.314663874962239</v>
          </cell>
          <cell r="FT2522">
            <v>20.116606119778133</v>
          </cell>
          <cell r="FU2522">
            <v>17.065595346429742</v>
          </cell>
          <cell r="FV2522">
            <v>23.167616893126525</v>
          </cell>
          <cell r="GG2522">
            <v>13.849050048350842</v>
          </cell>
          <cell r="GH2522">
            <v>13.982143405445317</v>
          </cell>
          <cell r="GI2522">
            <v>10.408007395026372</v>
          </cell>
          <cell r="GJ2522">
            <v>7.7337520878462023</v>
          </cell>
          <cell r="GK2522">
            <v>13.082262702206542</v>
          </cell>
        </row>
        <row r="2523">
          <cell r="A2523">
            <v>42991</v>
          </cell>
          <cell r="FR2523">
            <v>24.402642794463912</v>
          </cell>
          <cell r="FS2523">
            <v>22.314663874962239</v>
          </cell>
          <cell r="FT2523">
            <v>20.116606119778133</v>
          </cell>
          <cell r="FU2523">
            <v>17.065595346429742</v>
          </cell>
          <cell r="FV2523">
            <v>23.167616893126525</v>
          </cell>
          <cell r="GG2523">
            <v>13.842095315930782</v>
          </cell>
          <cell r="GH2523">
            <v>13.982143405445317</v>
          </cell>
          <cell r="GI2523">
            <v>10.408007395026372</v>
          </cell>
          <cell r="GJ2523">
            <v>7.7337520878462023</v>
          </cell>
          <cell r="GK2523">
            <v>13.082262702206542</v>
          </cell>
        </row>
        <row r="2524">
          <cell r="A2524">
            <v>42992</v>
          </cell>
          <cell r="FR2524">
            <v>24.511967337637675</v>
          </cell>
          <cell r="FS2524">
            <v>22.314663874962239</v>
          </cell>
          <cell r="FT2524">
            <v>20.116606119778133</v>
          </cell>
          <cell r="FU2524">
            <v>17.065595346429742</v>
          </cell>
          <cell r="FV2524">
            <v>23.167616893126525</v>
          </cell>
          <cell r="GG2524">
            <v>13.839892089169195</v>
          </cell>
          <cell r="GH2524">
            <v>13.982143405445317</v>
          </cell>
          <cell r="GI2524">
            <v>10.408007395026372</v>
          </cell>
          <cell r="GJ2524">
            <v>7.7337520878462023</v>
          </cell>
          <cell r="GK2524">
            <v>13.082262702206542</v>
          </cell>
        </row>
        <row r="2525">
          <cell r="A2525">
            <v>42993</v>
          </cell>
          <cell r="FR2525">
            <v>24.328326049781495</v>
          </cell>
          <cell r="FS2525">
            <v>22.314663874962239</v>
          </cell>
          <cell r="FT2525">
            <v>20.116606119778133</v>
          </cell>
          <cell r="FU2525">
            <v>17.065595346429742</v>
          </cell>
          <cell r="FV2525">
            <v>23.167616893126525</v>
          </cell>
          <cell r="GG2525">
            <v>13.777782010771796</v>
          </cell>
          <cell r="GH2525">
            <v>13.982143405445317</v>
          </cell>
          <cell r="GI2525">
            <v>10.408007395026372</v>
          </cell>
          <cell r="GJ2525">
            <v>7.7337520878462023</v>
          </cell>
          <cell r="GK2525">
            <v>13.082262702206542</v>
          </cell>
        </row>
        <row r="2526">
          <cell r="A2526">
            <v>42996</v>
          </cell>
          <cell r="FR2526">
            <v>24.404332889986698</v>
          </cell>
          <cell r="FS2526">
            <v>22.314663874962239</v>
          </cell>
          <cell r="FT2526">
            <v>20.116606119778133</v>
          </cell>
          <cell r="FU2526">
            <v>17.065595346429742</v>
          </cell>
          <cell r="FV2526">
            <v>23.167616893126525</v>
          </cell>
          <cell r="GG2526">
            <v>13.669685205834805</v>
          </cell>
          <cell r="GH2526">
            <v>13.982143405445317</v>
          </cell>
          <cell r="GI2526">
            <v>10.408007395026372</v>
          </cell>
          <cell r="GJ2526">
            <v>7.7337520878462023</v>
          </cell>
          <cell r="GK2526">
            <v>13.082262702206542</v>
          </cell>
        </row>
        <row r="2527">
          <cell r="A2527">
            <v>42997</v>
          </cell>
          <cell r="FR2527">
            <v>24.495531825954778</v>
          </cell>
          <cell r="FS2527">
            <v>22.314663874962239</v>
          </cell>
          <cell r="FT2527">
            <v>20.116606119778133</v>
          </cell>
          <cell r="FU2527">
            <v>17.065595346429742</v>
          </cell>
          <cell r="FV2527">
            <v>23.167616893126525</v>
          </cell>
          <cell r="GG2527">
            <v>13.669685205834805</v>
          </cell>
          <cell r="GH2527">
            <v>13.982143405445317</v>
          </cell>
          <cell r="GI2527">
            <v>10.408007395026372</v>
          </cell>
          <cell r="GJ2527">
            <v>7.7337520878462023</v>
          </cell>
          <cell r="GK2527">
            <v>13.082262702206542</v>
          </cell>
        </row>
        <row r="2528">
          <cell r="A2528">
            <v>42998</v>
          </cell>
          <cell r="FR2528">
            <v>24.284012711872453</v>
          </cell>
          <cell r="FS2528">
            <v>22.314663874962239</v>
          </cell>
          <cell r="FT2528">
            <v>20.116606119778133</v>
          </cell>
          <cell r="FU2528">
            <v>17.065595346429742</v>
          </cell>
          <cell r="FV2528">
            <v>23.167616893126525</v>
          </cell>
          <cell r="GG2528">
            <v>13.678887194689171</v>
          </cell>
          <cell r="GH2528">
            <v>13.982143405445317</v>
          </cell>
          <cell r="GI2528">
            <v>10.408007395026372</v>
          </cell>
          <cell r="GJ2528">
            <v>7.7337520878462023</v>
          </cell>
          <cell r="GK2528">
            <v>13.082262702206542</v>
          </cell>
        </row>
        <row r="2529">
          <cell r="A2529">
            <v>42999</v>
          </cell>
          <cell r="FR2529">
            <v>24.215620102690348</v>
          </cell>
          <cell r="FS2529">
            <v>22.314663874962239</v>
          </cell>
          <cell r="FT2529">
            <v>20.116606119778133</v>
          </cell>
          <cell r="FU2529">
            <v>17.065595346429742</v>
          </cell>
          <cell r="FV2529">
            <v>23.167616893126525</v>
          </cell>
          <cell r="GG2529">
            <v>13.690383585963207</v>
          </cell>
          <cell r="GH2529">
            <v>13.982143405445317</v>
          </cell>
          <cell r="GI2529">
            <v>10.408007395026372</v>
          </cell>
          <cell r="GJ2529">
            <v>7.7337520878462023</v>
          </cell>
          <cell r="GK2529">
            <v>13.082262702206542</v>
          </cell>
        </row>
        <row r="2530">
          <cell r="A2530">
            <v>43000</v>
          </cell>
          <cell r="FR2530">
            <v>24.458769425401325</v>
          </cell>
          <cell r="FS2530">
            <v>22.314663874962239</v>
          </cell>
          <cell r="FT2530">
            <v>20.116606119778133</v>
          </cell>
          <cell r="FU2530">
            <v>17.065595346429742</v>
          </cell>
          <cell r="FV2530">
            <v>23.167616893126525</v>
          </cell>
          <cell r="GG2530">
            <v>13.612187150008982</v>
          </cell>
          <cell r="GH2530">
            <v>13.982143405445317</v>
          </cell>
          <cell r="GI2530">
            <v>10.408007395026372</v>
          </cell>
          <cell r="GJ2530">
            <v>7.7337520878462023</v>
          </cell>
          <cell r="GK2530">
            <v>13.082262702206542</v>
          </cell>
        </row>
        <row r="2531">
          <cell r="A2531">
            <v>43003</v>
          </cell>
          <cell r="FR2531">
            <v>24.945056673448104</v>
          </cell>
          <cell r="FS2531">
            <v>22.314663874962239</v>
          </cell>
          <cell r="FT2531">
            <v>20.116606119778133</v>
          </cell>
          <cell r="FU2531">
            <v>17.065595346429742</v>
          </cell>
          <cell r="FV2531">
            <v>23.167616893126525</v>
          </cell>
          <cell r="GG2531">
            <v>13.706484881532225</v>
          </cell>
          <cell r="GH2531">
            <v>13.982143405445317</v>
          </cell>
          <cell r="GI2531">
            <v>10.408007395026372</v>
          </cell>
          <cell r="GJ2531">
            <v>7.7337520878462023</v>
          </cell>
          <cell r="GK2531">
            <v>13.082262702206542</v>
          </cell>
        </row>
        <row r="2532">
          <cell r="A2532">
            <v>43004</v>
          </cell>
          <cell r="FR2532">
            <v>24.474888888888888</v>
          </cell>
          <cell r="FS2532">
            <v>22.314663874962239</v>
          </cell>
          <cell r="FT2532">
            <v>20.116606119778133</v>
          </cell>
          <cell r="FU2532">
            <v>17.065595346429742</v>
          </cell>
          <cell r="FV2532">
            <v>23.167616893126525</v>
          </cell>
          <cell r="GG2532">
            <v>14.068024366600199</v>
          </cell>
          <cell r="GH2532">
            <v>13.982143405445317</v>
          </cell>
          <cell r="GI2532">
            <v>10.408007395026372</v>
          </cell>
          <cell r="GJ2532">
            <v>7.7337520878462023</v>
          </cell>
          <cell r="GK2532">
            <v>13.082262702206542</v>
          </cell>
        </row>
        <row r="2533">
          <cell r="A2533">
            <v>43005</v>
          </cell>
          <cell r="FR2533">
            <v>24.254182648401827</v>
          </cell>
          <cell r="FS2533">
            <v>22.314663874962239</v>
          </cell>
          <cell r="FT2533">
            <v>20.116606119778133</v>
          </cell>
          <cell r="FU2533">
            <v>17.065595346429742</v>
          </cell>
          <cell r="FV2533">
            <v>23.167616893126525</v>
          </cell>
          <cell r="GG2533">
            <v>13.888330895411292</v>
          </cell>
          <cell r="GH2533">
            <v>13.982143405445317</v>
          </cell>
          <cell r="GI2533">
            <v>10.408007395026372</v>
          </cell>
          <cell r="GJ2533">
            <v>7.7337520878462023</v>
          </cell>
          <cell r="GK2533">
            <v>13.082262702206542</v>
          </cell>
        </row>
        <row r="2534">
          <cell r="A2534">
            <v>43006</v>
          </cell>
          <cell r="FR2534">
            <v>23.92694292237443</v>
          </cell>
          <cell r="FS2534">
            <v>22.314663874962239</v>
          </cell>
          <cell r="FT2534">
            <v>20.116606119778133</v>
          </cell>
          <cell r="FU2534">
            <v>17.065595346429742</v>
          </cell>
          <cell r="FV2534">
            <v>23.167616893126525</v>
          </cell>
          <cell r="GG2534">
            <v>13.888330895411292</v>
          </cell>
          <cell r="GH2534">
            <v>13.982143405445317</v>
          </cell>
          <cell r="GI2534">
            <v>10.408007395026372</v>
          </cell>
          <cell r="GJ2534">
            <v>7.7337520878462023</v>
          </cell>
          <cell r="GK2534">
            <v>13.082262702206542</v>
          </cell>
        </row>
        <row r="2535">
          <cell r="A2535">
            <v>43007</v>
          </cell>
          <cell r="FR2535">
            <v>23.976434590002967</v>
          </cell>
          <cell r="FS2535">
            <v>22.314663874962239</v>
          </cell>
          <cell r="FT2535">
            <v>20.116606119778133</v>
          </cell>
          <cell r="FU2535">
            <v>17.065595346429742</v>
          </cell>
          <cell r="FV2535">
            <v>23.167616893126525</v>
          </cell>
          <cell r="GG2535">
            <v>13.655648584083719</v>
          </cell>
          <cell r="GH2535">
            <v>13.982143405445317</v>
          </cell>
          <cell r="GI2535">
            <v>10.408007395026372</v>
          </cell>
          <cell r="GJ2535">
            <v>7.7337520878462023</v>
          </cell>
          <cell r="GK2535">
            <v>13.082262702206542</v>
          </cell>
        </row>
        <row r="2536">
          <cell r="A2536">
            <v>43010</v>
          </cell>
          <cell r="FR2536">
            <v>24.117726323735145</v>
          </cell>
          <cell r="FS2536">
            <v>22.314663874962239</v>
          </cell>
          <cell r="FT2536">
            <v>20.116606119778133</v>
          </cell>
          <cell r="FU2536">
            <v>17.065595346429742</v>
          </cell>
          <cell r="FV2536">
            <v>23.167616893126525</v>
          </cell>
          <cell r="GG2536">
            <v>13.528025889394614</v>
          </cell>
          <cell r="GH2536">
            <v>13.982143405445317</v>
          </cell>
          <cell r="GI2536">
            <v>10.408007395026372</v>
          </cell>
          <cell r="GJ2536">
            <v>7.7337520878462023</v>
          </cell>
          <cell r="GK2536">
            <v>13.082262702206542</v>
          </cell>
        </row>
        <row r="2537">
          <cell r="A2537">
            <v>43011</v>
          </cell>
          <cell r="FR2537">
            <v>24.170543830966942</v>
          </cell>
          <cell r="FS2537">
            <v>22.314663874962239</v>
          </cell>
          <cell r="FT2537">
            <v>20.116606119778133</v>
          </cell>
          <cell r="FU2537">
            <v>17.065595346429742</v>
          </cell>
          <cell r="FV2537">
            <v>23.167616893126525</v>
          </cell>
          <cell r="GG2537">
            <v>13.728863674106686</v>
          </cell>
          <cell r="GH2537">
            <v>13.982143405445317</v>
          </cell>
          <cell r="GI2537">
            <v>10.408007395026372</v>
          </cell>
          <cell r="GJ2537">
            <v>7.7337520878462023</v>
          </cell>
          <cell r="GK2537">
            <v>13.082262702206542</v>
          </cell>
        </row>
        <row r="2538">
          <cell r="A2538">
            <v>43012</v>
          </cell>
          <cell r="FR2538">
            <v>24.555397308516973</v>
          </cell>
          <cell r="FS2538">
            <v>22.314663874962239</v>
          </cell>
          <cell r="FT2538">
            <v>20.116606119778133</v>
          </cell>
          <cell r="FU2538">
            <v>17.065595346429742</v>
          </cell>
          <cell r="FV2538">
            <v>23.167616893126525</v>
          </cell>
          <cell r="GG2538">
            <v>13.728863674106686</v>
          </cell>
          <cell r="GH2538">
            <v>13.982143405445317</v>
          </cell>
          <cell r="GI2538">
            <v>10.408007395026372</v>
          </cell>
          <cell r="GJ2538">
            <v>7.7337520878462023</v>
          </cell>
          <cell r="GK2538">
            <v>13.082262702206542</v>
          </cell>
        </row>
        <row r="2539">
          <cell r="A2539">
            <v>43013</v>
          </cell>
          <cell r="FR2539">
            <v>24.555397308516973</v>
          </cell>
          <cell r="FS2539">
            <v>22.314663874962239</v>
          </cell>
          <cell r="FT2539">
            <v>20.116606119778133</v>
          </cell>
          <cell r="FU2539">
            <v>17.065595346429742</v>
          </cell>
          <cell r="FV2539">
            <v>23.167616893126525</v>
          </cell>
          <cell r="GG2539">
            <v>13.728863674106686</v>
          </cell>
          <cell r="GH2539">
            <v>13.982143405445317</v>
          </cell>
          <cell r="GI2539">
            <v>10.408007395026372</v>
          </cell>
          <cell r="GJ2539">
            <v>7.7337520878462023</v>
          </cell>
          <cell r="GK2539">
            <v>13.082262702206542</v>
          </cell>
        </row>
        <row r="2540">
          <cell r="A2540">
            <v>43014</v>
          </cell>
          <cell r="FR2540">
            <v>25.762635123665351</v>
          </cell>
          <cell r="FS2540">
            <v>22.314663874962239</v>
          </cell>
          <cell r="FT2540">
            <v>20.116606119778133</v>
          </cell>
          <cell r="FU2540">
            <v>17.065595346429742</v>
          </cell>
          <cell r="FV2540">
            <v>23.167616893126525</v>
          </cell>
          <cell r="GG2540">
            <v>14.698031894349299</v>
          </cell>
          <cell r="GH2540">
            <v>13.982143405445317</v>
          </cell>
          <cell r="GI2540">
            <v>10.408007395026372</v>
          </cell>
          <cell r="GJ2540">
            <v>7.7337520878462023</v>
          </cell>
          <cell r="GK2540">
            <v>13.082262702206542</v>
          </cell>
        </row>
        <row r="2541">
          <cell r="A2541">
            <v>43017</v>
          </cell>
          <cell r="FR2541">
            <v>26.438627263583992</v>
          </cell>
          <cell r="FS2541">
            <v>22.314663874962239</v>
          </cell>
          <cell r="FT2541">
            <v>20.116606119778133</v>
          </cell>
          <cell r="FU2541">
            <v>17.065595346429742</v>
          </cell>
          <cell r="FV2541">
            <v>23.167616893126525</v>
          </cell>
          <cell r="GG2541">
            <v>14.687734770103237</v>
          </cell>
          <cell r="GH2541">
            <v>13.982143405445317</v>
          </cell>
          <cell r="GI2541">
            <v>10.408007395026372</v>
          </cell>
          <cell r="GJ2541">
            <v>7.7337520878462023</v>
          </cell>
          <cell r="GK2541">
            <v>13.082262702206542</v>
          </cell>
        </row>
        <row r="2542">
          <cell r="A2542">
            <v>43018</v>
          </cell>
          <cell r="FR2542">
            <v>26.136820925555796</v>
          </cell>
          <cell r="FS2542">
            <v>22.314663874962239</v>
          </cell>
          <cell r="FT2542">
            <v>20.116606119778133</v>
          </cell>
          <cell r="FU2542">
            <v>17.065595346429742</v>
          </cell>
          <cell r="FV2542">
            <v>23.167616893126525</v>
          </cell>
          <cell r="GG2542">
            <v>14.897969440072579</v>
          </cell>
          <cell r="GH2542">
            <v>13.982143405445317</v>
          </cell>
          <cell r="GI2542">
            <v>10.408007395026372</v>
          </cell>
          <cell r="GJ2542">
            <v>7.7337520878462023</v>
          </cell>
          <cell r="GK2542">
            <v>13.082262702206542</v>
          </cell>
        </row>
        <row r="2543">
          <cell r="A2543">
            <v>43019</v>
          </cell>
          <cell r="FR2543">
            <v>26.687622736421041</v>
          </cell>
          <cell r="FS2543">
            <v>22.314663874962239</v>
          </cell>
          <cell r="FT2543">
            <v>20.116606119778133</v>
          </cell>
          <cell r="FU2543">
            <v>17.065595346429742</v>
          </cell>
          <cell r="FV2543">
            <v>23.167616893126525</v>
          </cell>
          <cell r="GG2543">
            <v>14.872829412365016</v>
          </cell>
          <cell r="GH2543">
            <v>13.982143405445317</v>
          </cell>
          <cell r="GI2543">
            <v>10.408007395026372</v>
          </cell>
          <cell r="GJ2543">
            <v>7.7337520878462023</v>
          </cell>
          <cell r="GK2543">
            <v>13.082262702206542</v>
          </cell>
        </row>
        <row r="2544">
          <cell r="A2544">
            <v>43020</v>
          </cell>
          <cell r="FR2544">
            <v>25.782192404429001</v>
          </cell>
          <cell r="FS2544">
            <v>22.314663874962239</v>
          </cell>
          <cell r="FT2544">
            <v>20.116606119778133</v>
          </cell>
          <cell r="FU2544">
            <v>17.065595346429742</v>
          </cell>
          <cell r="FV2544">
            <v>23.167616893126525</v>
          </cell>
          <cell r="GG2544">
            <v>14.872829412365016</v>
          </cell>
          <cell r="GH2544">
            <v>13.982143405445317</v>
          </cell>
          <cell r="GI2544">
            <v>10.408007395026372</v>
          </cell>
          <cell r="GJ2544">
            <v>7.7337520878462023</v>
          </cell>
          <cell r="GK2544">
            <v>13.082262702206542</v>
          </cell>
        </row>
        <row r="2545">
          <cell r="A2545">
            <v>43021</v>
          </cell>
          <cell r="FR2545">
            <v>26.144361670022597</v>
          </cell>
          <cell r="FS2545">
            <v>22.314663874962239</v>
          </cell>
          <cell r="FT2545">
            <v>20.116606119778133</v>
          </cell>
          <cell r="FU2545">
            <v>17.065595346429742</v>
          </cell>
          <cell r="FV2545">
            <v>23.167616893126525</v>
          </cell>
          <cell r="GG2545">
            <v>14.56891102876015</v>
          </cell>
          <cell r="GH2545">
            <v>13.982143405445317</v>
          </cell>
          <cell r="GI2545">
            <v>10.408007395026372</v>
          </cell>
          <cell r="GJ2545">
            <v>7.7337520878462023</v>
          </cell>
          <cell r="GK2545">
            <v>13.082262702206542</v>
          </cell>
        </row>
        <row r="2546">
          <cell r="A2546">
            <v>43024</v>
          </cell>
          <cell r="FR2546">
            <v>26.046281438634256</v>
          </cell>
          <cell r="FS2546">
            <v>22.314663874962239</v>
          </cell>
          <cell r="FT2546">
            <v>20.116606119778133</v>
          </cell>
          <cell r="FU2546">
            <v>17.065595346429742</v>
          </cell>
          <cell r="FV2546">
            <v>23.167616893126525</v>
          </cell>
          <cell r="GG2546">
            <v>14.667169562010141</v>
          </cell>
          <cell r="GH2546">
            <v>13.982143405445317</v>
          </cell>
          <cell r="GI2546">
            <v>10.408007395026372</v>
          </cell>
          <cell r="GJ2546">
            <v>7.7337520878462023</v>
          </cell>
          <cell r="GK2546">
            <v>13.082262702206542</v>
          </cell>
        </row>
        <row r="2547">
          <cell r="A2547">
            <v>43025</v>
          </cell>
          <cell r="FR2547">
            <v>25.850096830988367</v>
          </cell>
          <cell r="FS2547">
            <v>22.314663874962239</v>
          </cell>
          <cell r="FT2547">
            <v>20.116606119778133</v>
          </cell>
          <cell r="FU2547">
            <v>17.065595346429742</v>
          </cell>
          <cell r="FV2547">
            <v>23.167616893126525</v>
          </cell>
          <cell r="GG2547">
            <v>14.680237391208589</v>
          </cell>
          <cell r="GH2547">
            <v>13.982143405445317</v>
          </cell>
          <cell r="GI2547">
            <v>10.408007395026372</v>
          </cell>
          <cell r="GJ2547">
            <v>7.7337520878462023</v>
          </cell>
          <cell r="GK2547">
            <v>13.082262702206542</v>
          </cell>
        </row>
        <row r="2548">
          <cell r="A2548">
            <v>43026</v>
          </cell>
          <cell r="FR2548">
            <v>25.955729879278113</v>
          </cell>
          <cell r="FS2548">
            <v>22.314663874962239</v>
          </cell>
          <cell r="FT2548">
            <v>20.116606119778133</v>
          </cell>
          <cell r="FU2548">
            <v>17.065595346429742</v>
          </cell>
          <cell r="FV2548">
            <v>23.167616893126525</v>
          </cell>
          <cell r="GG2548">
            <v>14.618611163710398</v>
          </cell>
          <cell r="GH2548">
            <v>13.982143405445317</v>
          </cell>
          <cell r="GI2548">
            <v>10.408007395026372</v>
          </cell>
          <cell r="GJ2548">
            <v>7.7337520878462023</v>
          </cell>
          <cell r="GK2548">
            <v>13.082262702206542</v>
          </cell>
        </row>
        <row r="2549">
          <cell r="A2549">
            <v>43027</v>
          </cell>
          <cell r="FR2549">
            <v>25.880284708251949</v>
          </cell>
          <cell r="FS2549">
            <v>22.314663874962239</v>
          </cell>
          <cell r="FT2549">
            <v>20.116606119778133</v>
          </cell>
          <cell r="FU2549">
            <v>17.065595346429742</v>
          </cell>
          <cell r="FV2549">
            <v>23.167616893126525</v>
          </cell>
          <cell r="GG2549">
            <v>14.618611163710398</v>
          </cell>
          <cell r="GH2549">
            <v>13.982143405445317</v>
          </cell>
          <cell r="GI2549">
            <v>10.408007395026372</v>
          </cell>
          <cell r="GJ2549">
            <v>7.7337520878462023</v>
          </cell>
          <cell r="GK2549">
            <v>13.082262702206542</v>
          </cell>
        </row>
        <row r="2550">
          <cell r="A2550">
            <v>43028</v>
          </cell>
          <cell r="FR2550">
            <v>25.748454061940546</v>
          </cell>
          <cell r="FS2550">
            <v>22.314663874962239</v>
          </cell>
          <cell r="FT2550">
            <v>20.116606119778133</v>
          </cell>
          <cell r="FU2550">
            <v>17.065595346429742</v>
          </cell>
          <cell r="FV2550">
            <v>23.167616893126525</v>
          </cell>
          <cell r="GG2550">
            <v>14.518179061218973</v>
          </cell>
          <cell r="GH2550">
            <v>13.982143405445317</v>
          </cell>
          <cell r="GI2550">
            <v>10.408007395026372</v>
          </cell>
          <cell r="GJ2550">
            <v>7.7337520878462023</v>
          </cell>
          <cell r="GK2550">
            <v>13.082262702206542</v>
          </cell>
        </row>
        <row r="2551">
          <cell r="A2551">
            <v>43031</v>
          </cell>
          <cell r="FR2551">
            <v>26.28175519630733</v>
          </cell>
          <cell r="FS2551">
            <v>22.314663874962239</v>
          </cell>
          <cell r="FT2551">
            <v>20.116606119778133</v>
          </cell>
          <cell r="FU2551">
            <v>17.065595346429742</v>
          </cell>
          <cell r="FV2551">
            <v>23.167616893126525</v>
          </cell>
          <cell r="GG2551">
            <v>14.516671817909186</v>
          </cell>
          <cell r="GH2551">
            <v>13.982143405445317</v>
          </cell>
          <cell r="GI2551">
            <v>10.408007395026372</v>
          </cell>
          <cell r="GJ2551">
            <v>7.7337520878462023</v>
          </cell>
          <cell r="GK2551">
            <v>13.082262702206542</v>
          </cell>
        </row>
        <row r="2552">
          <cell r="A2552">
            <v>43032</v>
          </cell>
          <cell r="FR2552">
            <v>25.804468822173334</v>
          </cell>
          <cell r="FS2552">
            <v>22.314663874962239</v>
          </cell>
          <cell r="FT2552">
            <v>20.116606119778133</v>
          </cell>
          <cell r="FU2552">
            <v>17.065595346429742</v>
          </cell>
          <cell r="FV2552">
            <v>23.167616893126525</v>
          </cell>
          <cell r="GG2552">
            <v>14.562313718589271</v>
          </cell>
          <cell r="GH2552">
            <v>13.982143405445317</v>
          </cell>
          <cell r="GI2552">
            <v>10.408007395026372</v>
          </cell>
          <cell r="GJ2552">
            <v>7.7337520878462023</v>
          </cell>
          <cell r="GK2552">
            <v>13.082262702206542</v>
          </cell>
        </row>
        <row r="2553">
          <cell r="A2553">
            <v>43033</v>
          </cell>
          <cell r="FR2553">
            <v>25.819856812935463</v>
          </cell>
          <cell r="FS2553">
            <v>22.314663874962239</v>
          </cell>
          <cell r="FT2553">
            <v>20.116606119778133</v>
          </cell>
          <cell r="FU2553">
            <v>17.065595346429742</v>
          </cell>
          <cell r="FV2553">
            <v>23.167616893126525</v>
          </cell>
          <cell r="GG2553">
            <v>14.34777702067105</v>
          </cell>
          <cell r="GH2553">
            <v>13.982143405445317</v>
          </cell>
          <cell r="GI2553">
            <v>10.408007395026372</v>
          </cell>
          <cell r="GJ2553">
            <v>7.7337520878462023</v>
          </cell>
          <cell r="GK2553">
            <v>13.082262702206542</v>
          </cell>
        </row>
        <row r="2554">
          <cell r="A2554">
            <v>43034</v>
          </cell>
          <cell r="FR2554">
            <v>25.950736720556719</v>
          </cell>
          <cell r="FS2554">
            <v>22.314663874962239</v>
          </cell>
          <cell r="FT2554">
            <v>20.116606119778133</v>
          </cell>
          <cell r="FU2554">
            <v>17.065595346429742</v>
          </cell>
          <cell r="FV2554">
            <v>23.167616893126525</v>
          </cell>
          <cell r="GG2554">
            <v>14.34777702067105</v>
          </cell>
          <cell r="GH2554">
            <v>13.982143405445317</v>
          </cell>
          <cell r="GI2554">
            <v>10.408007395026372</v>
          </cell>
          <cell r="GJ2554">
            <v>7.7337520878462023</v>
          </cell>
          <cell r="GK2554">
            <v>13.082262702206542</v>
          </cell>
        </row>
        <row r="2555">
          <cell r="A2555">
            <v>43035</v>
          </cell>
          <cell r="FR2555">
            <v>26.212037007340051</v>
          </cell>
          <cell r="FS2555">
            <v>22.314663874962239</v>
          </cell>
          <cell r="FT2555">
            <v>20.116606119778133</v>
          </cell>
          <cell r="FU2555">
            <v>17.065595346429742</v>
          </cell>
          <cell r="FV2555">
            <v>23.167616893126525</v>
          </cell>
          <cell r="GG2555">
            <v>14.521233680030745</v>
          </cell>
          <cell r="GH2555">
            <v>13.982143405445317</v>
          </cell>
          <cell r="GI2555">
            <v>10.408007395026372</v>
          </cell>
          <cell r="GJ2555">
            <v>7.7337520878462023</v>
          </cell>
          <cell r="GK2555">
            <v>13.082262702206542</v>
          </cell>
        </row>
        <row r="2556">
          <cell r="A2556">
            <v>43038</v>
          </cell>
          <cell r="FR2556">
            <v>26.004618167823853</v>
          </cell>
          <cell r="FS2556">
            <v>22.314663874962239</v>
          </cell>
          <cell r="FT2556">
            <v>20.116606119778133</v>
          </cell>
          <cell r="FU2556">
            <v>17.065595346429742</v>
          </cell>
          <cell r="FV2556">
            <v>23.167616893126525</v>
          </cell>
          <cell r="GG2556">
            <v>14.667304559938266</v>
          </cell>
          <cell r="GH2556">
            <v>13.982143405445317</v>
          </cell>
          <cell r="GI2556">
            <v>10.408007395026372</v>
          </cell>
          <cell r="GJ2556">
            <v>7.7337520878462023</v>
          </cell>
          <cell r="GK2556">
            <v>13.082262702206542</v>
          </cell>
        </row>
        <row r="2557">
          <cell r="A2557">
            <v>43039</v>
          </cell>
          <cell r="FR2557">
            <v>26.06620554272763</v>
          </cell>
          <cell r="FS2557">
            <v>22.314663874962239</v>
          </cell>
          <cell r="FT2557">
            <v>20.116606119778133</v>
          </cell>
          <cell r="FU2557">
            <v>17.065595346429742</v>
          </cell>
          <cell r="FV2557">
            <v>23.167616893126525</v>
          </cell>
          <cell r="GG2557">
            <v>14.56003598274911</v>
          </cell>
          <cell r="GH2557">
            <v>13.982143405445317</v>
          </cell>
          <cell r="GI2557">
            <v>10.408007395026372</v>
          </cell>
          <cell r="GJ2557">
            <v>7.7337520878462023</v>
          </cell>
          <cell r="GK2557">
            <v>13.082262702206542</v>
          </cell>
        </row>
        <row r="2558">
          <cell r="A2558">
            <v>43040</v>
          </cell>
          <cell r="FR2558">
            <v>26.132719298248158</v>
          </cell>
          <cell r="FS2558">
            <v>22.314663874962239</v>
          </cell>
          <cell r="FT2558">
            <v>20.116606119778133</v>
          </cell>
          <cell r="FU2558">
            <v>17.065595346429742</v>
          </cell>
          <cell r="FV2558">
            <v>23.167616893126525</v>
          </cell>
          <cell r="GG2558">
            <v>14.630495494249494</v>
          </cell>
          <cell r="GH2558">
            <v>13.982143405445317</v>
          </cell>
          <cell r="GI2558">
            <v>10.408007395026372</v>
          </cell>
          <cell r="GJ2558">
            <v>7.7337520878462023</v>
          </cell>
          <cell r="GK2558">
            <v>13.082262702206542</v>
          </cell>
        </row>
        <row r="2559">
          <cell r="A2559">
            <v>43041</v>
          </cell>
          <cell r="FR2559">
            <v>25.736083905418216</v>
          </cell>
          <cell r="FS2559">
            <v>22.314663874962239</v>
          </cell>
          <cell r="FT2559">
            <v>20.116606119778133</v>
          </cell>
          <cell r="FU2559">
            <v>17.065595346429742</v>
          </cell>
          <cell r="FV2559">
            <v>23.167616893126525</v>
          </cell>
          <cell r="GG2559">
            <v>14.630495494249494</v>
          </cell>
          <cell r="GH2559">
            <v>13.982143405445317</v>
          </cell>
          <cell r="GI2559">
            <v>10.408007395026372</v>
          </cell>
          <cell r="GJ2559">
            <v>7.7337520878462023</v>
          </cell>
          <cell r="GK2559">
            <v>13.082262702206542</v>
          </cell>
        </row>
        <row r="2560">
          <cell r="A2560">
            <v>43042</v>
          </cell>
          <cell r="FR2560">
            <v>25.705565980170313</v>
          </cell>
          <cell r="FS2560">
            <v>22.314663874962239</v>
          </cell>
          <cell r="FT2560">
            <v>20.116606119778133</v>
          </cell>
          <cell r="FU2560">
            <v>17.065595346429742</v>
          </cell>
          <cell r="FV2560">
            <v>23.167616893126525</v>
          </cell>
          <cell r="GG2560">
            <v>14.395303742336855</v>
          </cell>
          <cell r="GH2560">
            <v>13.982143405445317</v>
          </cell>
          <cell r="GI2560">
            <v>10.408007395026372</v>
          </cell>
          <cell r="GJ2560">
            <v>7.7337520878462023</v>
          </cell>
          <cell r="GK2560">
            <v>13.082262702206542</v>
          </cell>
        </row>
        <row r="2561">
          <cell r="A2561">
            <v>43045</v>
          </cell>
          <cell r="FR2561">
            <v>25.514871853549394</v>
          </cell>
          <cell r="FS2561">
            <v>22.314663874962239</v>
          </cell>
          <cell r="FT2561">
            <v>20.116606119778133</v>
          </cell>
          <cell r="FU2561">
            <v>17.065595346429742</v>
          </cell>
          <cell r="FV2561">
            <v>23.167616893126525</v>
          </cell>
          <cell r="GG2561">
            <v>14.512895999986364</v>
          </cell>
          <cell r="GH2561">
            <v>13.982143405445317</v>
          </cell>
          <cell r="GI2561">
            <v>10.408007395026372</v>
          </cell>
          <cell r="GJ2561">
            <v>7.7337520878462023</v>
          </cell>
          <cell r="GK2561">
            <v>13.082262702206542</v>
          </cell>
        </row>
        <row r="2562">
          <cell r="A2562">
            <v>43046</v>
          </cell>
          <cell r="FR2562">
            <v>23.483016078243303</v>
          </cell>
          <cell r="FS2562">
            <v>22.314663874962239</v>
          </cell>
          <cell r="FT2562">
            <v>20.116606119778133</v>
          </cell>
          <cell r="FU2562">
            <v>17.065595346429742</v>
          </cell>
          <cell r="FV2562">
            <v>23.167616893126525</v>
          </cell>
          <cell r="GG2562">
            <v>13.790393735027401</v>
          </cell>
          <cell r="GH2562">
            <v>13.982143405445317</v>
          </cell>
          <cell r="GI2562">
            <v>10.408007395026372</v>
          </cell>
          <cell r="GJ2562">
            <v>7.7337520878462023</v>
          </cell>
          <cell r="GK2562">
            <v>13.082262702206542</v>
          </cell>
        </row>
        <row r="2563">
          <cell r="A2563">
            <v>43047</v>
          </cell>
          <cell r="FR2563">
            <v>24.298739704076848</v>
          </cell>
          <cell r="FS2563">
            <v>22.314663874962239</v>
          </cell>
          <cell r="FT2563">
            <v>20.116606119778133</v>
          </cell>
          <cell r="FU2563">
            <v>17.065595346429742</v>
          </cell>
          <cell r="FV2563">
            <v>23.167616893126525</v>
          </cell>
          <cell r="GG2563">
            <v>13.75186702164307</v>
          </cell>
          <cell r="GH2563">
            <v>13.982143405445317</v>
          </cell>
          <cell r="GI2563">
            <v>10.408007395026372</v>
          </cell>
          <cell r="GJ2563">
            <v>7.7337520878462023</v>
          </cell>
          <cell r="GK2563">
            <v>13.082262702206542</v>
          </cell>
        </row>
        <row r="2564">
          <cell r="A2564">
            <v>43048</v>
          </cell>
          <cell r="FR2564">
            <v>24.23305513320366</v>
          </cell>
          <cell r="FS2564">
            <v>22.314663874962239</v>
          </cell>
          <cell r="FT2564">
            <v>20.116606119778133</v>
          </cell>
          <cell r="FU2564">
            <v>17.065595346429742</v>
          </cell>
          <cell r="FV2564">
            <v>23.167616893126525</v>
          </cell>
          <cell r="GG2564">
            <v>13.759618392959087</v>
          </cell>
          <cell r="GH2564">
            <v>13.982143405445317</v>
          </cell>
          <cell r="GI2564">
            <v>10.408007395026372</v>
          </cell>
          <cell r="GJ2564">
            <v>7.7337520878462023</v>
          </cell>
          <cell r="GK2564">
            <v>13.082262702206542</v>
          </cell>
        </row>
        <row r="2565">
          <cell r="A2565">
            <v>43049</v>
          </cell>
          <cell r="FR2565">
            <v>24.214486340964243</v>
          </cell>
          <cell r="FS2565">
            <v>22.314663874962239</v>
          </cell>
          <cell r="FT2565">
            <v>20.116606119778133</v>
          </cell>
          <cell r="FU2565">
            <v>17.065595346429742</v>
          </cell>
          <cell r="FV2565">
            <v>23.167616893126525</v>
          </cell>
          <cell r="GG2565">
            <v>13.539523168570232</v>
          </cell>
          <cell r="GH2565">
            <v>13.982143405445317</v>
          </cell>
          <cell r="GI2565">
            <v>10.408007395026372</v>
          </cell>
          <cell r="GJ2565">
            <v>7.7337520878462023</v>
          </cell>
          <cell r="GK2565">
            <v>13.082262702206542</v>
          </cell>
        </row>
        <row r="2566">
          <cell r="A2566">
            <v>43052</v>
          </cell>
          <cell r="FR2566">
            <v>23.531259977557003</v>
          </cell>
          <cell r="FS2566">
            <v>22.314663874962239</v>
          </cell>
          <cell r="FT2566">
            <v>20.116606119778133</v>
          </cell>
          <cell r="FU2566">
            <v>17.065595346429742</v>
          </cell>
          <cell r="FV2566">
            <v>23.167616893126525</v>
          </cell>
          <cell r="GG2566">
            <v>13.493507500679826</v>
          </cell>
          <cell r="GH2566">
            <v>13.982143405445317</v>
          </cell>
          <cell r="GI2566">
            <v>10.408007395026372</v>
          </cell>
          <cell r="GJ2566">
            <v>7.7337520878462023</v>
          </cell>
          <cell r="GK2566">
            <v>13.082262702206542</v>
          </cell>
        </row>
        <row r="2567">
          <cell r="A2567">
            <v>43053</v>
          </cell>
          <cell r="FR2567">
            <v>23.142567686683734</v>
          </cell>
          <cell r="FS2567">
            <v>22.314663874962239</v>
          </cell>
          <cell r="FT2567">
            <v>20.116606119778133</v>
          </cell>
          <cell r="FU2567">
            <v>17.065595346429742</v>
          </cell>
          <cell r="FV2567">
            <v>23.167616893126525</v>
          </cell>
          <cell r="GG2567">
            <v>13.173911630599331</v>
          </cell>
          <cell r="GH2567">
            <v>13.982143405445317</v>
          </cell>
          <cell r="GI2567">
            <v>10.408007395026372</v>
          </cell>
          <cell r="GJ2567">
            <v>7.7337520878462023</v>
          </cell>
          <cell r="GK2567">
            <v>13.082262702206542</v>
          </cell>
        </row>
        <row r="2568">
          <cell r="A2568">
            <v>43054</v>
          </cell>
          <cell r="FR2568">
            <v>23.015029287658933</v>
          </cell>
          <cell r="FS2568">
            <v>22.314663874962239</v>
          </cell>
          <cell r="FT2568">
            <v>20.116606119778133</v>
          </cell>
          <cell r="FU2568">
            <v>17.065595346429742</v>
          </cell>
          <cell r="FV2568">
            <v>23.167616893126525</v>
          </cell>
          <cell r="GG2568">
            <v>13.040419475087868</v>
          </cell>
          <cell r="GH2568">
            <v>13.982143405445317</v>
          </cell>
          <cell r="GI2568">
            <v>10.408007395026372</v>
          </cell>
          <cell r="GJ2568">
            <v>7.7337520878462023</v>
          </cell>
          <cell r="GK2568">
            <v>13.082262702206542</v>
          </cell>
        </row>
        <row r="2569">
          <cell r="A2569">
            <v>43055</v>
          </cell>
          <cell r="FR2569">
            <v>23.341063624398952</v>
          </cell>
          <cell r="FS2569">
            <v>22.314663874962239</v>
          </cell>
          <cell r="FT2569">
            <v>20.116606119778133</v>
          </cell>
          <cell r="FU2569">
            <v>17.065595346429742</v>
          </cell>
          <cell r="FV2569">
            <v>23.167616893126525</v>
          </cell>
          <cell r="GG2569">
            <v>13.053286860851381</v>
          </cell>
          <cell r="GH2569">
            <v>13.982143405445317</v>
          </cell>
          <cell r="GI2569">
            <v>10.408007395026372</v>
          </cell>
          <cell r="GJ2569">
            <v>7.7337520878462023</v>
          </cell>
          <cell r="GK2569">
            <v>13.082262702206542</v>
          </cell>
        </row>
        <row r="2570">
          <cell r="A2570">
            <v>43056</v>
          </cell>
          <cell r="FR2570">
            <v>23.340481030534775</v>
          </cell>
          <cell r="FS2570">
            <v>22.314663874962239</v>
          </cell>
          <cell r="FT2570">
            <v>20.116606119778133</v>
          </cell>
          <cell r="FU2570">
            <v>17.065595346429742</v>
          </cell>
          <cell r="FV2570">
            <v>23.167616893126525</v>
          </cell>
          <cell r="GG2570">
            <v>13.150673055147033</v>
          </cell>
          <cell r="GH2570">
            <v>13.982143405445317</v>
          </cell>
          <cell r="GI2570">
            <v>10.408007395026372</v>
          </cell>
          <cell r="GJ2570">
            <v>7.7337520878462023</v>
          </cell>
          <cell r="GK2570">
            <v>13.082262702206542</v>
          </cell>
        </row>
        <row r="2571">
          <cell r="A2571">
            <v>43059</v>
          </cell>
          <cell r="FR2571">
            <v>23.558681385934069</v>
          </cell>
          <cell r="FS2571">
            <v>22.314663874962239</v>
          </cell>
          <cell r="FT2571">
            <v>20.116606119778133</v>
          </cell>
          <cell r="FU2571">
            <v>17.065595346429742</v>
          </cell>
          <cell r="FV2571">
            <v>23.167616893126525</v>
          </cell>
          <cell r="GG2571">
            <v>13.150673055147033</v>
          </cell>
          <cell r="GH2571">
            <v>13.982143405445317</v>
          </cell>
          <cell r="GI2571">
            <v>10.408007395026372</v>
          </cell>
          <cell r="GJ2571">
            <v>7.7337520878462023</v>
          </cell>
          <cell r="GK2571">
            <v>13.082262702206542</v>
          </cell>
        </row>
        <row r="2572">
          <cell r="A2572">
            <v>43060</v>
          </cell>
          <cell r="FR2572">
            <v>24.168150757514478</v>
          </cell>
          <cell r="FS2572">
            <v>22.314663874962239</v>
          </cell>
          <cell r="FT2572">
            <v>20.116606119778133</v>
          </cell>
          <cell r="FU2572">
            <v>17.065595346429742</v>
          </cell>
          <cell r="FV2572">
            <v>23.167616893126525</v>
          </cell>
          <cell r="GG2572">
            <v>13.295618347802529</v>
          </cell>
          <cell r="GH2572">
            <v>13.982143405445317</v>
          </cell>
          <cell r="GI2572">
            <v>10.408007395026372</v>
          </cell>
          <cell r="GJ2572">
            <v>7.7337520878462023</v>
          </cell>
          <cell r="GK2572">
            <v>13.082262702206542</v>
          </cell>
        </row>
        <row r="2573">
          <cell r="A2573">
            <v>43061</v>
          </cell>
          <cell r="FR2573">
            <v>23.938404606912716</v>
          </cell>
          <cell r="FS2573">
            <v>22.314663874962239</v>
          </cell>
          <cell r="FT2573">
            <v>20.116606119778133</v>
          </cell>
          <cell r="FU2573">
            <v>17.065595346429742</v>
          </cell>
          <cell r="FV2573">
            <v>23.167616893126525</v>
          </cell>
          <cell r="GG2573">
            <v>13.606450833654185</v>
          </cell>
          <cell r="GH2573">
            <v>13.982143405445317</v>
          </cell>
          <cell r="GI2573">
            <v>10.408007395026372</v>
          </cell>
          <cell r="GJ2573">
            <v>7.7337520878462023</v>
          </cell>
          <cell r="GK2573">
            <v>13.082262702206542</v>
          </cell>
        </row>
        <row r="2574">
          <cell r="A2574">
            <v>43062</v>
          </cell>
          <cell r="FR2574">
            <v>23.938404606912716</v>
          </cell>
          <cell r="FS2574">
            <v>22.314663874962239</v>
          </cell>
          <cell r="FT2574">
            <v>20.116606119778133</v>
          </cell>
          <cell r="FU2574">
            <v>17.065595346429742</v>
          </cell>
          <cell r="FV2574">
            <v>23.167616893126525</v>
          </cell>
          <cell r="GG2574">
            <v>13.606450833654185</v>
          </cell>
          <cell r="GH2574">
            <v>13.982143405445317</v>
          </cell>
          <cell r="GI2574">
            <v>10.408007395026372</v>
          </cell>
          <cell r="GJ2574">
            <v>7.7337520878462023</v>
          </cell>
          <cell r="GK2574">
            <v>13.082262702206542</v>
          </cell>
        </row>
        <row r="2575">
          <cell r="A2575">
            <v>43063</v>
          </cell>
          <cell r="FR2575">
            <v>24.1929402188909</v>
          </cell>
          <cell r="FS2575">
            <v>22.314663874962239</v>
          </cell>
          <cell r="FT2575">
            <v>20.116606119778133</v>
          </cell>
          <cell r="FU2575">
            <v>17.065595346429742</v>
          </cell>
          <cell r="FV2575">
            <v>23.167616893126525</v>
          </cell>
          <cell r="GG2575">
            <v>13.412607211160067</v>
          </cell>
          <cell r="GH2575">
            <v>13.982143405445317</v>
          </cell>
          <cell r="GI2575">
            <v>10.408007395026372</v>
          </cell>
          <cell r="GJ2575">
            <v>7.7337520878462023</v>
          </cell>
          <cell r="GK2575">
            <v>13.082262702206542</v>
          </cell>
        </row>
        <row r="2576">
          <cell r="A2576">
            <v>43066</v>
          </cell>
          <cell r="FR2576">
            <v>23.907441709035876</v>
          </cell>
          <cell r="FS2576">
            <v>22.314663874962239</v>
          </cell>
          <cell r="FT2576">
            <v>20.116606119778133</v>
          </cell>
          <cell r="FU2576">
            <v>17.065595346429742</v>
          </cell>
          <cell r="FV2576">
            <v>23.167616893126525</v>
          </cell>
          <cell r="GG2576">
            <v>13.359055418531243</v>
          </cell>
          <cell r="GH2576">
            <v>13.982143405445317</v>
          </cell>
          <cell r="GI2576">
            <v>10.408007395026372</v>
          </cell>
          <cell r="GJ2576">
            <v>7.7337520878462023</v>
          </cell>
          <cell r="GK2576">
            <v>13.082262702206542</v>
          </cell>
        </row>
        <row r="2577">
          <cell r="A2577">
            <v>43067</v>
          </cell>
          <cell r="FR2577">
            <v>24.163744867303322</v>
          </cell>
          <cell r="FS2577">
            <v>22.314663874962239</v>
          </cell>
          <cell r="FT2577">
            <v>20.116606119778133</v>
          </cell>
          <cell r="FU2577">
            <v>17.065595346429742</v>
          </cell>
          <cell r="FV2577">
            <v>23.167616893126525</v>
          </cell>
          <cell r="GG2577">
            <v>13.298196603735581</v>
          </cell>
          <cell r="GH2577">
            <v>13.982143405445317</v>
          </cell>
          <cell r="GI2577">
            <v>10.408007395026372</v>
          </cell>
          <cell r="GJ2577">
            <v>7.7337520878462023</v>
          </cell>
          <cell r="GK2577">
            <v>13.082262702206542</v>
          </cell>
        </row>
        <row r="2578">
          <cell r="A2578">
            <v>43068</v>
          </cell>
          <cell r="FR2578">
            <v>23.915871557338352</v>
          </cell>
          <cell r="FS2578">
            <v>22.314663874962239</v>
          </cell>
          <cell r="FT2578">
            <v>20.116606119778133</v>
          </cell>
          <cell r="FU2578">
            <v>17.065595346429742</v>
          </cell>
          <cell r="FV2578">
            <v>23.167616893126525</v>
          </cell>
          <cell r="GG2578">
            <v>13.431189393393572</v>
          </cell>
          <cell r="GH2578">
            <v>13.982143405445317</v>
          </cell>
          <cell r="GI2578">
            <v>10.408007395026372</v>
          </cell>
          <cell r="GJ2578">
            <v>7.7337520878462023</v>
          </cell>
          <cell r="GK2578">
            <v>13.082262702206542</v>
          </cell>
        </row>
        <row r="2579">
          <cell r="A2579">
            <v>43069</v>
          </cell>
          <cell r="FR2579">
            <v>23.960936905360388</v>
          </cell>
          <cell r="FS2579">
            <v>22.314663874962239</v>
          </cell>
          <cell r="FT2579">
            <v>20.116606119778133</v>
          </cell>
          <cell r="FU2579">
            <v>17.065595346429742</v>
          </cell>
          <cell r="FV2579">
            <v>23.167616893126525</v>
          </cell>
          <cell r="GG2579">
            <v>13.431189393393572</v>
          </cell>
          <cell r="GH2579">
            <v>13.982143405445317</v>
          </cell>
          <cell r="GI2579">
            <v>10.408007395026372</v>
          </cell>
          <cell r="GJ2579">
            <v>7.7337520878462023</v>
          </cell>
          <cell r="GK2579">
            <v>13.082262702206542</v>
          </cell>
        </row>
        <row r="2580">
          <cell r="A2580">
            <v>43070</v>
          </cell>
          <cell r="FR2580">
            <v>23.634327611940297</v>
          </cell>
          <cell r="FS2580">
            <v>22.314663874962239</v>
          </cell>
          <cell r="FT2580">
            <v>20.116606119778133</v>
          </cell>
          <cell r="FU2580">
            <v>17.065595346429742</v>
          </cell>
          <cell r="FV2580">
            <v>23.167616893126525</v>
          </cell>
          <cell r="GG2580">
            <v>13.181438295030222</v>
          </cell>
          <cell r="GH2580">
            <v>13.982143405445317</v>
          </cell>
          <cell r="GI2580">
            <v>10.408007395026372</v>
          </cell>
          <cell r="GJ2580">
            <v>7.7337520878462023</v>
          </cell>
          <cell r="GK2580">
            <v>13.082262702206542</v>
          </cell>
        </row>
        <row r="2581">
          <cell r="A2581">
            <v>43073</v>
          </cell>
          <cell r="FR2581">
            <v>23.313437313432836</v>
          </cell>
          <cell r="FS2581">
            <v>22.314663874962239</v>
          </cell>
          <cell r="FT2581">
            <v>20.116606119778133</v>
          </cell>
          <cell r="FU2581">
            <v>17.065595346429742</v>
          </cell>
          <cell r="FV2581">
            <v>23.167616893126525</v>
          </cell>
          <cell r="GG2581">
            <v>13.116537359589662</v>
          </cell>
          <cell r="GH2581">
            <v>13.982143405445317</v>
          </cell>
          <cell r="GI2581">
            <v>10.408007395026372</v>
          </cell>
          <cell r="GJ2581">
            <v>7.7337520878462023</v>
          </cell>
          <cell r="GK2581">
            <v>13.082262702206542</v>
          </cell>
        </row>
        <row r="2582">
          <cell r="A2582">
            <v>43074</v>
          </cell>
          <cell r="FR2582">
            <v>23.149257462686567</v>
          </cell>
          <cell r="FS2582">
            <v>22.314663874962239</v>
          </cell>
          <cell r="FT2582">
            <v>20.116606119778133</v>
          </cell>
          <cell r="FU2582">
            <v>17.065595346429742</v>
          </cell>
          <cell r="FV2582">
            <v>23.167616893126525</v>
          </cell>
          <cell r="GG2582">
            <v>13.020292265610495</v>
          </cell>
          <cell r="GH2582">
            <v>13.982143405445317</v>
          </cell>
          <cell r="GI2582">
            <v>10.408007395026372</v>
          </cell>
          <cell r="GJ2582">
            <v>7.7337520878462023</v>
          </cell>
          <cell r="GK2582">
            <v>13.082262702206542</v>
          </cell>
        </row>
        <row r="2583">
          <cell r="A2583">
            <v>43075</v>
          </cell>
          <cell r="FR2583">
            <v>23.014923134328356</v>
          </cell>
          <cell r="FS2583">
            <v>22.314663874962239</v>
          </cell>
          <cell r="FT2583">
            <v>20.116606119778133</v>
          </cell>
          <cell r="FU2583">
            <v>17.065595346429742</v>
          </cell>
          <cell r="FV2583">
            <v>23.167616893126525</v>
          </cell>
          <cell r="GG2583">
            <v>13.020292265610495</v>
          </cell>
          <cell r="GH2583">
            <v>13.982143405445317</v>
          </cell>
          <cell r="GI2583">
            <v>10.408007395026372</v>
          </cell>
          <cell r="GJ2583">
            <v>7.7337520878462023</v>
          </cell>
          <cell r="GK2583">
            <v>13.082262702206542</v>
          </cell>
        </row>
        <row r="2584">
          <cell r="A2584">
            <v>43076</v>
          </cell>
          <cell r="FR2584">
            <v>23.313437313432836</v>
          </cell>
          <cell r="FS2584">
            <v>22.314663874962239</v>
          </cell>
          <cell r="FT2584">
            <v>20.116606119778133</v>
          </cell>
          <cell r="FU2584">
            <v>17.065595346429742</v>
          </cell>
          <cell r="FV2584">
            <v>23.167616893126525</v>
          </cell>
          <cell r="GG2584">
            <v>12.892724051543674</v>
          </cell>
          <cell r="GH2584">
            <v>13.982143405445317</v>
          </cell>
          <cell r="GI2584">
            <v>10.408007395026372</v>
          </cell>
          <cell r="GJ2584">
            <v>7.7337520878462023</v>
          </cell>
          <cell r="GK2584">
            <v>13.082262702206542</v>
          </cell>
        </row>
        <row r="2585">
          <cell r="A2585">
            <v>43077</v>
          </cell>
          <cell r="FR2585">
            <v>23.439601802931257</v>
          </cell>
          <cell r="FS2585">
            <v>22.314663874962239</v>
          </cell>
          <cell r="FT2585">
            <v>20.116606119778133</v>
          </cell>
          <cell r="FU2585">
            <v>17.065595346429742</v>
          </cell>
          <cell r="FV2585">
            <v>23.167616893126525</v>
          </cell>
          <cell r="GG2585">
            <v>13.058343661364624</v>
          </cell>
          <cell r="GH2585">
            <v>13.982143405445317</v>
          </cell>
          <cell r="GI2585">
            <v>10.408007395026372</v>
          </cell>
          <cell r="GJ2585">
            <v>7.7337520878462023</v>
          </cell>
          <cell r="GK2585">
            <v>13.082262702206542</v>
          </cell>
        </row>
        <row r="2586">
          <cell r="A2586">
            <v>43080</v>
          </cell>
          <cell r="FR2586">
            <v>23.327658129608071</v>
          </cell>
          <cell r="FS2586">
            <v>22.314663874962239</v>
          </cell>
          <cell r="FT2586">
            <v>20.116606119778133</v>
          </cell>
          <cell r="FU2586">
            <v>17.065595346429742</v>
          </cell>
          <cell r="FV2586">
            <v>23.167616893126525</v>
          </cell>
          <cell r="GG2586">
            <v>13.156821964531478</v>
          </cell>
          <cell r="GH2586">
            <v>13.982143405445317</v>
          </cell>
          <cell r="GI2586">
            <v>10.408007395026372</v>
          </cell>
          <cell r="GJ2586">
            <v>7.7337520878462023</v>
          </cell>
          <cell r="GK2586">
            <v>13.082262702206542</v>
          </cell>
        </row>
        <row r="2587">
          <cell r="A2587">
            <v>43081</v>
          </cell>
          <cell r="FR2587">
            <v>23.641384741713946</v>
          </cell>
          <cell r="FS2587">
            <v>22.314663874962239</v>
          </cell>
          <cell r="FT2587">
            <v>20.116606119778133</v>
          </cell>
          <cell r="FU2587">
            <v>17.065595346429742</v>
          </cell>
          <cell r="FV2587">
            <v>23.167616893126525</v>
          </cell>
          <cell r="GG2587">
            <v>13.116537359589662</v>
          </cell>
          <cell r="GH2587">
            <v>13.982143405445317</v>
          </cell>
          <cell r="GI2587">
            <v>10.408007395026372</v>
          </cell>
          <cell r="GJ2587">
            <v>7.7337520878462023</v>
          </cell>
          <cell r="GK2587">
            <v>13.082262702206542</v>
          </cell>
        </row>
        <row r="2588">
          <cell r="A2588">
            <v>43082</v>
          </cell>
          <cell r="FR2588">
            <v>23.917913432835821</v>
          </cell>
          <cell r="FS2588">
            <v>22.314663874962239</v>
          </cell>
          <cell r="FT2588">
            <v>20.116606119778133</v>
          </cell>
          <cell r="FU2588">
            <v>17.065595346429742</v>
          </cell>
          <cell r="FV2588">
            <v>23.167616893126525</v>
          </cell>
          <cell r="GG2588">
            <v>13.292122422988045</v>
          </cell>
          <cell r="GH2588">
            <v>13.982143405445317</v>
          </cell>
          <cell r="GI2588">
            <v>10.408007395026372</v>
          </cell>
          <cell r="GJ2588">
            <v>7.7337520878462023</v>
          </cell>
          <cell r="GK2588">
            <v>13.082262702206542</v>
          </cell>
        </row>
        <row r="2589">
          <cell r="A2589">
            <v>43083</v>
          </cell>
          <cell r="FR2589">
            <v>23.589552985074626</v>
          </cell>
          <cell r="FS2589">
            <v>22.314663874962239</v>
          </cell>
          <cell r="FT2589">
            <v>20.116606119778133</v>
          </cell>
          <cell r="FU2589">
            <v>17.065595346429742</v>
          </cell>
          <cell r="FV2589">
            <v>23.167616893126525</v>
          </cell>
          <cell r="GG2589">
            <v>13.292122422988045</v>
          </cell>
          <cell r="GH2589">
            <v>13.982143405445317</v>
          </cell>
          <cell r="GI2589">
            <v>10.408007395026372</v>
          </cell>
          <cell r="GJ2589">
            <v>7.7337520878462023</v>
          </cell>
          <cell r="GK2589">
            <v>13.082262702206542</v>
          </cell>
        </row>
        <row r="2590">
          <cell r="A2590">
            <v>43084</v>
          </cell>
          <cell r="FR2590">
            <v>23.969430763260799</v>
          </cell>
          <cell r="FS2590">
            <v>22.314663874962239</v>
          </cell>
          <cell r="FT2590">
            <v>20.116606119778133</v>
          </cell>
          <cell r="FU2590">
            <v>17.065595346429742</v>
          </cell>
          <cell r="FV2590">
            <v>23.167616893126525</v>
          </cell>
          <cell r="GG2590">
            <v>13.28539845296441</v>
          </cell>
          <cell r="GH2590">
            <v>13.982143405445317</v>
          </cell>
          <cell r="GI2590">
            <v>10.408007395026372</v>
          </cell>
          <cell r="GJ2590">
            <v>7.7337520878462023</v>
          </cell>
          <cell r="GK2590">
            <v>13.082262702206542</v>
          </cell>
        </row>
        <row r="2591">
          <cell r="A2591">
            <v>43087</v>
          </cell>
          <cell r="FR2591">
            <v>24.178378257365452</v>
          </cell>
          <cell r="FS2591">
            <v>22.314663874962239</v>
          </cell>
          <cell r="FT2591">
            <v>20.116606119778133</v>
          </cell>
          <cell r="FU2591">
            <v>17.065595346429742</v>
          </cell>
          <cell r="FV2591">
            <v>23.167616893126525</v>
          </cell>
          <cell r="GG2591">
            <v>13.462465238243446</v>
          </cell>
          <cell r="GH2591">
            <v>13.982143405445317</v>
          </cell>
          <cell r="GI2591">
            <v>10.408007395026372</v>
          </cell>
          <cell r="GJ2591">
            <v>7.7337520878462023</v>
          </cell>
          <cell r="GK2591">
            <v>13.082262702206542</v>
          </cell>
        </row>
        <row r="2592">
          <cell r="A2592">
            <v>43088</v>
          </cell>
          <cell r="FR2592">
            <v>24.282852750664162</v>
          </cell>
          <cell r="FS2592">
            <v>22.314663874962239</v>
          </cell>
          <cell r="FT2592">
            <v>20.116606119778133</v>
          </cell>
          <cell r="FU2592">
            <v>17.065595346429742</v>
          </cell>
          <cell r="FV2592">
            <v>23.167616893126525</v>
          </cell>
          <cell r="GG2592">
            <v>13.556596784192305</v>
          </cell>
          <cell r="GH2592">
            <v>13.982143405445317</v>
          </cell>
          <cell r="GI2592">
            <v>10.408007395026372</v>
          </cell>
          <cell r="GJ2592">
            <v>7.7337520878462023</v>
          </cell>
          <cell r="GK2592">
            <v>13.082262702206542</v>
          </cell>
        </row>
        <row r="2593">
          <cell r="A2593">
            <v>43089</v>
          </cell>
          <cell r="FR2593">
            <v>23.869049107142857</v>
          </cell>
          <cell r="FS2593">
            <v>22.314663874962239</v>
          </cell>
          <cell r="FT2593">
            <v>20.116606119778133</v>
          </cell>
          <cell r="FU2593">
            <v>17.065595346429742</v>
          </cell>
          <cell r="FV2593">
            <v>23.167616893126525</v>
          </cell>
          <cell r="GG2593">
            <v>13.475457229981606</v>
          </cell>
          <cell r="GH2593">
            <v>13.982143405445317</v>
          </cell>
          <cell r="GI2593">
            <v>10.408007395026372</v>
          </cell>
          <cell r="GJ2593">
            <v>7.7337520878462023</v>
          </cell>
          <cell r="GK2593">
            <v>13.082262702206542</v>
          </cell>
        </row>
        <row r="2594">
          <cell r="A2594">
            <v>43090</v>
          </cell>
          <cell r="FR2594">
            <v>23.802087797619048</v>
          </cell>
          <cell r="FS2594">
            <v>22.314663874962239</v>
          </cell>
          <cell r="FT2594">
            <v>20.116606119778133</v>
          </cell>
          <cell r="FU2594">
            <v>17.065595346429742</v>
          </cell>
          <cell r="FV2594">
            <v>23.167616893126525</v>
          </cell>
          <cell r="GG2594">
            <v>13.475457229981606</v>
          </cell>
          <cell r="GH2594">
            <v>13.982143405445317</v>
          </cell>
          <cell r="GI2594">
            <v>10.408007395026372</v>
          </cell>
          <cell r="GJ2594">
            <v>7.7337520878462023</v>
          </cell>
          <cell r="GK2594">
            <v>13.082262702206542</v>
          </cell>
        </row>
        <row r="2595">
          <cell r="A2595">
            <v>43091</v>
          </cell>
          <cell r="FR2595">
            <v>23.651271236959762</v>
          </cell>
          <cell r="FS2595">
            <v>22.314663874962239</v>
          </cell>
          <cell r="FT2595">
            <v>20.116606119778133</v>
          </cell>
          <cell r="FU2595">
            <v>17.065595346429742</v>
          </cell>
          <cell r="FV2595">
            <v>23.167616893126525</v>
          </cell>
          <cell r="GG2595">
            <v>13.218484386886146</v>
          </cell>
          <cell r="GH2595">
            <v>13.982143405445317</v>
          </cell>
          <cell r="GI2595">
            <v>10.408007395026372</v>
          </cell>
          <cell r="GJ2595">
            <v>7.7337520878462023</v>
          </cell>
          <cell r="GK2595">
            <v>13.082262702206542</v>
          </cell>
        </row>
        <row r="2596">
          <cell r="A2596">
            <v>43094</v>
          </cell>
          <cell r="FR2596">
            <v>23.651271236959762</v>
          </cell>
          <cell r="FS2596">
            <v>22.314663874962239</v>
          </cell>
          <cell r="FT2596">
            <v>20.116606119778133</v>
          </cell>
          <cell r="FU2596">
            <v>17.065595346429742</v>
          </cell>
          <cell r="FV2596">
            <v>23.167616893126525</v>
          </cell>
          <cell r="GG2596">
            <v>13.218484386886146</v>
          </cell>
          <cell r="GH2596">
            <v>13.982143405445317</v>
          </cell>
          <cell r="GI2596">
            <v>10.408007395026372</v>
          </cell>
          <cell r="GJ2596">
            <v>7.7337520878462023</v>
          </cell>
          <cell r="GK2596">
            <v>13.082262702206542</v>
          </cell>
        </row>
        <row r="2597">
          <cell r="A2597">
            <v>43095</v>
          </cell>
          <cell r="FR2597">
            <v>23.219078986587181</v>
          </cell>
          <cell r="FS2597">
            <v>22.314663874962239</v>
          </cell>
          <cell r="FT2597">
            <v>20.116606119778133</v>
          </cell>
          <cell r="FU2597">
            <v>17.065595346429742</v>
          </cell>
          <cell r="FV2597">
            <v>23.167616893126525</v>
          </cell>
          <cell r="GG2597">
            <v>13.218484386886146</v>
          </cell>
          <cell r="GH2597">
            <v>13.982143405445317</v>
          </cell>
          <cell r="GI2597">
            <v>10.408007395026372</v>
          </cell>
          <cell r="GJ2597">
            <v>7.7337520878462023</v>
          </cell>
          <cell r="GK2597">
            <v>13.082262702206542</v>
          </cell>
        </row>
        <row r="2598">
          <cell r="A2598">
            <v>43096</v>
          </cell>
          <cell r="FR2598">
            <v>23.383014157973172</v>
          </cell>
          <cell r="FS2598">
            <v>22.314663874962239</v>
          </cell>
          <cell r="FT2598">
            <v>20.116606119778133</v>
          </cell>
          <cell r="FU2598">
            <v>17.065595346429742</v>
          </cell>
          <cell r="FV2598">
            <v>23.167616893126525</v>
          </cell>
          <cell r="GG2598">
            <v>13.028545605928851</v>
          </cell>
          <cell r="GH2598">
            <v>13.982143405445317</v>
          </cell>
          <cell r="GI2598">
            <v>10.408007395026372</v>
          </cell>
          <cell r="GJ2598">
            <v>7.7337520878462023</v>
          </cell>
          <cell r="GK2598">
            <v>13.082262702206542</v>
          </cell>
        </row>
        <row r="2599">
          <cell r="A2599">
            <v>43097</v>
          </cell>
          <cell r="FR2599">
            <v>23.170642324888227</v>
          </cell>
          <cell r="FS2599">
            <v>22.314663874962239</v>
          </cell>
          <cell r="FT2599">
            <v>20.116606119778133</v>
          </cell>
          <cell r="FU2599">
            <v>17.065595346429742</v>
          </cell>
          <cell r="FV2599">
            <v>23.167616893126525</v>
          </cell>
          <cell r="GG2599">
            <v>12.974918445600641</v>
          </cell>
          <cell r="GH2599">
            <v>13.982143405445317</v>
          </cell>
          <cell r="GI2599">
            <v>10.408007395026372</v>
          </cell>
          <cell r="GJ2599">
            <v>7.7337520878462023</v>
          </cell>
          <cell r="GK2599">
            <v>13.082262702206542</v>
          </cell>
        </row>
        <row r="2600">
          <cell r="A2600">
            <v>43098</v>
          </cell>
          <cell r="FR2600">
            <v>23.047684798807747</v>
          </cell>
          <cell r="FS2600">
            <v>22.314663874962239</v>
          </cell>
          <cell r="FT2600">
            <v>20.116606119778133</v>
          </cell>
          <cell r="FU2600">
            <v>17.065595346429742</v>
          </cell>
          <cell r="FV2600">
            <v>23.167616893126525</v>
          </cell>
          <cell r="GG2600">
            <v>12.858716954230683</v>
          </cell>
          <cell r="GH2600">
            <v>13.982143405445317</v>
          </cell>
          <cell r="GI2600">
            <v>10.408007395026372</v>
          </cell>
          <cell r="GJ2600">
            <v>7.7337520878462023</v>
          </cell>
          <cell r="GK2600">
            <v>13.082262702206542</v>
          </cell>
        </row>
        <row r="2601">
          <cell r="A2601">
            <v>43101</v>
          </cell>
          <cell r="FR2601">
            <v>22.824120666056537</v>
          </cell>
          <cell r="FS2601">
            <v>22.314663874962239</v>
          </cell>
          <cell r="FT2601">
            <v>20.116606119778133</v>
          </cell>
          <cell r="FU2601">
            <v>17.065595346429742</v>
          </cell>
          <cell r="FV2601">
            <v>23.167616893126525</v>
          </cell>
          <cell r="GG2601">
            <v>12.746822943047965</v>
          </cell>
          <cell r="GH2601">
            <v>13.982143405445317</v>
          </cell>
          <cell r="GI2601">
            <v>10.408007395026372</v>
          </cell>
          <cell r="GJ2601">
            <v>7.7337520878462023</v>
          </cell>
          <cell r="GK2601">
            <v>13.082262702206542</v>
          </cell>
        </row>
        <row r="2602">
          <cell r="A2602">
            <v>43102</v>
          </cell>
          <cell r="FR2602">
            <v>23.173127990396178</v>
          </cell>
          <cell r="FS2602">
            <v>22.314663874962239</v>
          </cell>
          <cell r="FT2602">
            <v>20.116606119778133</v>
          </cell>
          <cell r="FU2602">
            <v>17.065595346429742</v>
          </cell>
          <cell r="FV2602">
            <v>23.167616893126525</v>
          </cell>
          <cell r="GG2602">
            <v>12.664864631904036</v>
          </cell>
          <cell r="GH2602">
            <v>13.982143405445317</v>
          </cell>
          <cell r="GI2602">
            <v>10.408007395026372</v>
          </cell>
          <cell r="GJ2602">
            <v>7.7337520878462023</v>
          </cell>
          <cell r="GK2602">
            <v>13.082262702206542</v>
          </cell>
        </row>
        <row r="2603">
          <cell r="A2603">
            <v>43103</v>
          </cell>
          <cell r="FR2603">
            <v>23.594317312727576</v>
          </cell>
          <cell r="FS2603">
            <v>22.314663874962239</v>
          </cell>
          <cell r="FT2603">
            <v>20.116606119778133</v>
          </cell>
          <cell r="FU2603">
            <v>17.065595346429742</v>
          </cell>
          <cell r="FV2603">
            <v>23.167616893126525</v>
          </cell>
          <cell r="GG2603">
            <v>12.693662435660235</v>
          </cell>
          <cell r="GH2603">
            <v>13.982143405445317</v>
          </cell>
          <cell r="GI2603">
            <v>10.408007395026372</v>
          </cell>
          <cell r="GJ2603">
            <v>7.7337520878462023</v>
          </cell>
          <cell r="GK2603">
            <v>13.082262702206542</v>
          </cell>
        </row>
        <row r="2604">
          <cell r="A2604">
            <v>43104</v>
          </cell>
          <cell r="FR2604">
            <v>23.884434621560676</v>
          </cell>
          <cell r="FS2604">
            <v>22.314663874962239</v>
          </cell>
          <cell r="FT2604">
            <v>20.116606119778133</v>
          </cell>
          <cell r="FU2604">
            <v>17.065595346429742</v>
          </cell>
          <cell r="FV2604">
            <v>23.167616893126525</v>
          </cell>
          <cell r="GG2604">
            <v>12.694460359095366</v>
          </cell>
          <cell r="GH2604">
            <v>13.982143405445317</v>
          </cell>
          <cell r="GI2604">
            <v>10.408007395026372</v>
          </cell>
          <cell r="GJ2604">
            <v>7.7337520878462023</v>
          </cell>
          <cell r="GK2604">
            <v>13.082262702206542</v>
          </cell>
        </row>
        <row r="2605">
          <cell r="A2605">
            <v>43105</v>
          </cell>
          <cell r="FR2605">
            <v>24.04741844672429</v>
          </cell>
          <cell r="FS2605">
            <v>22.314663874962239</v>
          </cell>
          <cell r="FT2605">
            <v>20.116606119778133</v>
          </cell>
          <cell r="FU2605">
            <v>17.065595346429742</v>
          </cell>
          <cell r="FV2605">
            <v>23.167616893126525</v>
          </cell>
          <cell r="GG2605">
            <v>13.133082604898362</v>
          </cell>
          <cell r="GH2605">
            <v>13.982143405445317</v>
          </cell>
          <cell r="GI2605">
            <v>10.408007395026372</v>
          </cell>
          <cell r="GJ2605">
            <v>7.7337520878462023</v>
          </cell>
          <cell r="GK2605">
            <v>13.082262702206542</v>
          </cell>
        </row>
        <row r="2606">
          <cell r="A2606">
            <v>43108</v>
          </cell>
          <cell r="FR2606">
            <v>23.454750463022538</v>
          </cell>
          <cell r="FS2606">
            <v>22.314663874962239</v>
          </cell>
          <cell r="FT2606">
            <v>20.116606119778133</v>
          </cell>
          <cell r="FU2606">
            <v>17.065595346429742</v>
          </cell>
          <cell r="FV2606">
            <v>23.167616893126525</v>
          </cell>
          <cell r="GG2606">
            <v>13.195109679925681</v>
          </cell>
          <cell r="GH2606">
            <v>13.982143405445317</v>
          </cell>
          <cell r="GI2606">
            <v>10.408007395026372</v>
          </cell>
          <cell r="GJ2606">
            <v>7.7337520878462023</v>
          </cell>
          <cell r="GK2606">
            <v>13.082262702206542</v>
          </cell>
        </row>
        <row r="2607">
          <cell r="A2607">
            <v>43109</v>
          </cell>
          <cell r="FR2607">
            <v>23.862210396347681</v>
          </cell>
          <cell r="FS2607">
            <v>22.314663874962239</v>
          </cell>
          <cell r="FT2607">
            <v>20.116606119778133</v>
          </cell>
          <cell r="FU2607">
            <v>17.065595346429742</v>
          </cell>
          <cell r="FV2607">
            <v>23.167616893126525</v>
          </cell>
          <cell r="GG2607">
            <v>13.195109679925681</v>
          </cell>
          <cell r="GH2607">
            <v>13.982143405445317</v>
          </cell>
          <cell r="GI2607">
            <v>10.408007395026372</v>
          </cell>
          <cell r="GJ2607">
            <v>7.7337520878462023</v>
          </cell>
          <cell r="GK2607">
            <v>13.082262702206542</v>
          </cell>
        </row>
        <row r="2608">
          <cell r="A2608">
            <v>43110</v>
          </cell>
          <cell r="FR2608">
            <v>23.682745320899347</v>
          </cell>
          <cell r="FS2608">
            <v>22.314663874962239</v>
          </cell>
          <cell r="FT2608">
            <v>20.116606119778133</v>
          </cell>
          <cell r="FU2608">
            <v>17.065595346429742</v>
          </cell>
          <cell r="FV2608">
            <v>23.167616893126525</v>
          </cell>
          <cell r="GG2608">
            <v>13.141938742060656</v>
          </cell>
          <cell r="GH2608">
            <v>13.982143405445317</v>
          </cell>
          <cell r="GI2608">
            <v>10.408007395026372</v>
          </cell>
          <cell r="GJ2608">
            <v>7.7337520878462023</v>
          </cell>
          <cell r="GK2608">
            <v>13.082262702206542</v>
          </cell>
        </row>
        <row r="2609">
          <cell r="A2609">
            <v>43111</v>
          </cell>
          <cell r="FR2609">
            <v>23.860648341468888</v>
          </cell>
          <cell r="FS2609">
            <v>22.314663874962239</v>
          </cell>
          <cell r="FT2609">
            <v>20.116606119778133</v>
          </cell>
          <cell r="FU2609">
            <v>17.065595346429742</v>
          </cell>
          <cell r="FV2609">
            <v>23.167616893126525</v>
          </cell>
          <cell r="GG2609">
            <v>12.986875041947185</v>
          </cell>
          <cell r="GH2609">
            <v>13.982143405445317</v>
          </cell>
          <cell r="GI2609">
            <v>10.408007395026372</v>
          </cell>
          <cell r="GJ2609">
            <v>7.7337520878462023</v>
          </cell>
          <cell r="GK2609">
            <v>13.082262702206542</v>
          </cell>
        </row>
        <row r="2610">
          <cell r="A2610">
            <v>43112</v>
          </cell>
          <cell r="FR2610">
            <v>24.201613935390721</v>
          </cell>
          <cell r="FS2610">
            <v>22.314663874962239</v>
          </cell>
          <cell r="FT2610">
            <v>20.116606119778133</v>
          </cell>
          <cell r="FU2610">
            <v>17.065595346429742</v>
          </cell>
          <cell r="FV2610">
            <v>23.167616893126525</v>
          </cell>
          <cell r="GG2610">
            <v>13.000166114973931</v>
          </cell>
          <cell r="GH2610">
            <v>13.982143405445317</v>
          </cell>
          <cell r="GI2610">
            <v>10.408007395026372</v>
          </cell>
          <cell r="GJ2610">
            <v>7.7337520878462023</v>
          </cell>
          <cell r="GK2610">
            <v>13.082262702206542</v>
          </cell>
        </row>
        <row r="2611">
          <cell r="A2611">
            <v>43115</v>
          </cell>
          <cell r="FR2611">
            <v>24.201613935390721</v>
          </cell>
          <cell r="FS2611">
            <v>22.314663874962239</v>
          </cell>
          <cell r="FT2611">
            <v>20.116606119778133</v>
          </cell>
          <cell r="FU2611">
            <v>17.065595346429742</v>
          </cell>
          <cell r="FV2611">
            <v>23.167616893126525</v>
          </cell>
          <cell r="GG2611">
            <v>13.000166114973931</v>
          </cell>
          <cell r="GH2611">
            <v>13.982143405445317</v>
          </cell>
          <cell r="GI2611">
            <v>10.408007395026372</v>
          </cell>
          <cell r="GJ2611">
            <v>7.7337520878462023</v>
          </cell>
          <cell r="GK2611">
            <v>13.082262702206542</v>
          </cell>
        </row>
        <row r="2612">
          <cell r="A2612">
            <v>43116</v>
          </cell>
          <cell r="FR2612">
            <v>24.171969361914901</v>
          </cell>
          <cell r="FS2612">
            <v>22.314663874962239</v>
          </cell>
          <cell r="FT2612">
            <v>20.116606119778133</v>
          </cell>
          <cell r="FU2612">
            <v>17.065595346429742</v>
          </cell>
          <cell r="FV2612">
            <v>23.167616893126525</v>
          </cell>
          <cell r="GG2612">
            <v>13.075483819977459</v>
          </cell>
          <cell r="GH2612">
            <v>13.982143405445317</v>
          </cell>
          <cell r="GI2612">
            <v>10.408007395026372</v>
          </cell>
          <cell r="GJ2612">
            <v>7.7337520878462023</v>
          </cell>
          <cell r="GK2612">
            <v>13.082262702206542</v>
          </cell>
        </row>
        <row r="2613">
          <cell r="A2613">
            <v>43117</v>
          </cell>
          <cell r="FR2613">
            <v>24.373720500099779</v>
          </cell>
          <cell r="FS2613">
            <v>22.314663874962239</v>
          </cell>
          <cell r="FT2613">
            <v>20.116606119778133</v>
          </cell>
          <cell r="FU2613">
            <v>17.065595346429742</v>
          </cell>
          <cell r="FV2613">
            <v>23.167616893126525</v>
          </cell>
          <cell r="GG2613">
            <v>12.973584411970975</v>
          </cell>
          <cell r="GH2613">
            <v>13.982143405445317</v>
          </cell>
          <cell r="GI2613">
            <v>10.408007395026372</v>
          </cell>
          <cell r="GJ2613">
            <v>7.7337520878462023</v>
          </cell>
          <cell r="GK2613">
            <v>13.082262702206542</v>
          </cell>
        </row>
        <row r="2614">
          <cell r="A2614">
            <v>43118</v>
          </cell>
          <cell r="FR2614">
            <v>24.221548326866959</v>
          </cell>
          <cell r="FS2614">
            <v>22.314663874962239</v>
          </cell>
          <cell r="FT2614">
            <v>20.116606119778133</v>
          </cell>
          <cell r="FU2614">
            <v>17.065595346429742</v>
          </cell>
          <cell r="FV2614">
            <v>23.167616893126525</v>
          </cell>
          <cell r="GG2614">
            <v>12.966835507583465</v>
          </cell>
          <cell r="GH2614">
            <v>13.982143405445317</v>
          </cell>
          <cell r="GI2614">
            <v>10.408007395026372</v>
          </cell>
          <cell r="GJ2614">
            <v>7.7337520878462023</v>
          </cell>
          <cell r="GK2614">
            <v>13.082262702206542</v>
          </cell>
        </row>
        <row r="2615">
          <cell r="A2615">
            <v>43119</v>
          </cell>
          <cell r="FR2615">
            <v>24.080303830422029</v>
          </cell>
          <cell r="FS2615">
            <v>22.314663874962239</v>
          </cell>
          <cell r="FT2615">
            <v>20.116606119778133</v>
          </cell>
          <cell r="FU2615">
            <v>17.065595346429742</v>
          </cell>
          <cell r="FV2615">
            <v>23.167616893126525</v>
          </cell>
          <cell r="GG2615">
            <v>12.857472446888387</v>
          </cell>
          <cell r="GH2615">
            <v>13.982143405445317</v>
          </cell>
          <cell r="GI2615">
            <v>10.408007395026372</v>
          </cell>
          <cell r="GJ2615">
            <v>7.7337520878462023</v>
          </cell>
          <cell r="GK2615">
            <v>13.082262702206542</v>
          </cell>
        </row>
        <row r="2616">
          <cell r="A2616">
            <v>43122</v>
          </cell>
          <cell r="FR2616">
            <v>24.243271851036596</v>
          </cell>
          <cell r="FS2616">
            <v>22.314663874962239</v>
          </cell>
          <cell r="FT2616">
            <v>20.116606119778133</v>
          </cell>
          <cell r="FU2616">
            <v>17.065595346429742</v>
          </cell>
          <cell r="FV2616">
            <v>23.167616893126525</v>
          </cell>
          <cell r="GG2616">
            <v>12.874460314018826</v>
          </cell>
          <cell r="GH2616">
            <v>13.982143405445317</v>
          </cell>
          <cell r="GI2616">
            <v>10.408007395026372</v>
          </cell>
          <cell r="GJ2616">
            <v>7.7337520878462023</v>
          </cell>
          <cell r="GK2616">
            <v>13.082262702206542</v>
          </cell>
        </row>
        <row r="2617">
          <cell r="A2617">
            <v>43123</v>
          </cell>
          <cell r="FR2617">
            <v>24.610038400460258</v>
          </cell>
          <cell r="FS2617">
            <v>22.314663874962239</v>
          </cell>
          <cell r="FT2617">
            <v>20.116606119778133</v>
          </cell>
          <cell r="FU2617">
            <v>17.065595346429742</v>
          </cell>
          <cell r="FV2617">
            <v>23.167616893126525</v>
          </cell>
          <cell r="GG2617">
            <v>12.933482474257303</v>
          </cell>
          <cell r="GH2617">
            <v>13.982143405445317</v>
          </cell>
          <cell r="GI2617">
            <v>10.408007395026372</v>
          </cell>
          <cell r="GJ2617">
            <v>7.7337520878462023</v>
          </cell>
          <cell r="GK2617">
            <v>13.082262702206542</v>
          </cell>
        </row>
        <row r="2618">
          <cell r="A2618">
            <v>43124</v>
          </cell>
          <cell r="FR2618">
            <v>24.926918838238777</v>
          </cell>
          <cell r="FS2618">
            <v>22.314663874962239</v>
          </cell>
          <cell r="FT2618">
            <v>20.116606119778133</v>
          </cell>
          <cell r="FU2618">
            <v>17.065595346429742</v>
          </cell>
          <cell r="FV2618">
            <v>23.167616893126525</v>
          </cell>
          <cell r="GG2618">
            <v>13.258778473908945</v>
          </cell>
          <cell r="GH2618">
            <v>13.982143405445317</v>
          </cell>
          <cell r="GI2618">
            <v>10.408007395026372</v>
          </cell>
          <cell r="GJ2618">
            <v>7.7337520878462023</v>
          </cell>
          <cell r="GK2618">
            <v>13.082262702206542</v>
          </cell>
        </row>
        <row r="2619">
          <cell r="A2619">
            <v>43125</v>
          </cell>
          <cell r="FR2619">
            <v>25.337394365323842</v>
          </cell>
          <cell r="FS2619">
            <v>22.314663874962239</v>
          </cell>
          <cell r="FT2619">
            <v>20.116606119778133</v>
          </cell>
          <cell r="FU2619">
            <v>17.065595346429742</v>
          </cell>
          <cell r="FV2619">
            <v>23.167616893126525</v>
          </cell>
          <cell r="GG2619">
            <v>13.152607935721926</v>
          </cell>
          <cell r="GH2619">
            <v>13.982143405445317</v>
          </cell>
          <cell r="GI2619">
            <v>10.408007395026372</v>
          </cell>
          <cell r="GJ2619">
            <v>7.7337520878462023</v>
          </cell>
          <cell r="GK2619">
            <v>13.082262702206542</v>
          </cell>
        </row>
        <row r="2620">
          <cell r="A2620">
            <v>43126</v>
          </cell>
          <cell r="FR2620">
            <v>25.914349298839937</v>
          </cell>
          <cell r="FS2620">
            <v>22.314663874962239</v>
          </cell>
          <cell r="FT2620">
            <v>20.116606119778133</v>
          </cell>
          <cell r="FU2620">
            <v>17.065595346429742</v>
          </cell>
          <cell r="FV2620">
            <v>23.167616893126525</v>
          </cell>
          <cell r="GG2620">
            <v>13.364941934237027</v>
          </cell>
          <cell r="GH2620">
            <v>13.982143405445317</v>
          </cell>
          <cell r="GI2620">
            <v>10.408007395026372</v>
          </cell>
          <cell r="GJ2620">
            <v>7.7337520878462023</v>
          </cell>
          <cell r="GK2620">
            <v>13.082262702206542</v>
          </cell>
        </row>
        <row r="2621">
          <cell r="A2621">
            <v>43129</v>
          </cell>
          <cell r="FR2621">
            <v>25.669066515650446</v>
          </cell>
          <cell r="FS2621">
            <v>22.314663874962239</v>
          </cell>
          <cell r="FT2621">
            <v>20.116606119778133</v>
          </cell>
          <cell r="FU2621">
            <v>17.065595346429742</v>
          </cell>
          <cell r="FV2621">
            <v>23.167616893126525</v>
          </cell>
          <cell r="GG2621">
            <v>13.518203298870452</v>
          </cell>
          <cell r="GH2621">
            <v>13.982143405445317</v>
          </cell>
          <cell r="GI2621">
            <v>10.408007395026372</v>
          </cell>
          <cell r="GJ2621">
            <v>7.7337520878462023</v>
          </cell>
          <cell r="GK2621">
            <v>13.082262702206542</v>
          </cell>
        </row>
        <row r="2622">
          <cell r="A2622">
            <v>43130</v>
          </cell>
          <cell r="FR2622">
            <v>25.228203954734603</v>
          </cell>
          <cell r="FS2622">
            <v>22.314663874962239</v>
          </cell>
          <cell r="FT2622">
            <v>20.116606119778133</v>
          </cell>
          <cell r="FU2622">
            <v>17.065595346429742</v>
          </cell>
          <cell r="FV2622">
            <v>23.167616893126525</v>
          </cell>
          <cell r="GG2622">
            <v>13.508564358638825</v>
          </cell>
          <cell r="GH2622">
            <v>13.982143405445317</v>
          </cell>
          <cell r="GI2622">
            <v>10.408007395026372</v>
          </cell>
          <cell r="GJ2622">
            <v>7.7337520878462023</v>
          </cell>
          <cell r="GK2622">
            <v>13.082262702206542</v>
          </cell>
        </row>
        <row r="2623">
          <cell r="A2623">
            <v>43131</v>
          </cell>
          <cell r="FR2623">
            <v>24.989495807727508</v>
          </cell>
          <cell r="FS2623">
            <v>22.314663874962239</v>
          </cell>
          <cell r="FT2623">
            <v>20.116606119778133</v>
          </cell>
          <cell r="FU2623">
            <v>17.065595346429742</v>
          </cell>
          <cell r="FV2623">
            <v>23.167616893126525</v>
          </cell>
          <cell r="GG2623">
            <v>13.508564358638825</v>
          </cell>
          <cell r="GH2623">
            <v>13.982143405445317</v>
          </cell>
          <cell r="GI2623">
            <v>10.408007395026372</v>
          </cell>
          <cell r="GJ2623">
            <v>7.7337520878462023</v>
          </cell>
          <cell r="GK2623">
            <v>13.082262702206542</v>
          </cell>
        </row>
      </sheetData>
      <sheetData sheetId="6">
        <row r="11">
          <cell r="AF11" t="str">
            <v>Abs NTM P/E</v>
          </cell>
        </row>
      </sheetData>
      <sheetData sheetId="7"/>
      <sheetData sheetId="8">
        <row r="8">
          <cell r="Z8">
            <v>1.133952236175263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8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2183" customWidth="1"/>
    <col min="2" max="5" width="9.140625" style="2183"/>
    <col min="6" max="6" width="18.7109375" style="2183" customWidth="1"/>
    <col min="7" max="256" width="9.140625" style="2183"/>
    <col min="257" max="257" width="100.7109375" style="2183" customWidth="1"/>
    <col min="258" max="512" width="9.140625" style="2183"/>
    <col min="513" max="513" width="100.7109375" style="2183" customWidth="1"/>
    <col min="514" max="768" width="9.140625" style="2183"/>
    <col min="769" max="769" width="100.7109375" style="2183" customWidth="1"/>
    <col min="770" max="1024" width="9.140625" style="2183"/>
    <col min="1025" max="1025" width="100.7109375" style="2183" customWidth="1"/>
    <col min="1026" max="1280" width="9.140625" style="2183"/>
    <col min="1281" max="1281" width="100.7109375" style="2183" customWidth="1"/>
    <col min="1282" max="1536" width="9.140625" style="2183"/>
    <col min="1537" max="1537" width="100.7109375" style="2183" customWidth="1"/>
    <col min="1538" max="1792" width="9.140625" style="2183"/>
    <col min="1793" max="1793" width="100.7109375" style="2183" customWidth="1"/>
    <col min="1794" max="2048" width="9.140625" style="2183"/>
    <col min="2049" max="2049" width="100.7109375" style="2183" customWidth="1"/>
    <col min="2050" max="2304" width="9.140625" style="2183"/>
    <col min="2305" max="2305" width="100.7109375" style="2183" customWidth="1"/>
    <col min="2306" max="2560" width="9.140625" style="2183"/>
    <col min="2561" max="2561" width="100.7109375" style="2183" customWidth="1"/>
    <col min="2562" max="2816" width="9.140625" style="2183"/>
    <col min="2817" max="2817" width="100.7109375" style="2183" customWidth="1"/>
    <col min="2818" max="3072" width="9.140625" style="2183"/>
    <col min="3073" max="3073" width="100.7109375" style="2183" customWidth="1"/>
    <col min="3074" max="3328" width="9.140625" style="2183"/>
    <col min="3329" max="3329" width="100.7109375" style="2183" customWidth="1"/>
    <col min="3330" max="3584" width="9.140625" style="2183"/>
    <col min="3585" max="3585" width="100.7109375" style="2183" customWidth="1"/>
    <col min="3586" max="3840" width="9.140625" style="2183"/>
    <col min="3841" max="3841" width="100.7109375" style="2183" customWidth="1"/>
    <col min="3842" max="4096" width="9.140625" style="2183"/>
    <col min="4097" max="4097" width="100.7109375" style="2183" customWidth="1"/>
    <col min="4098" max="4352" width="9.140625" style="2183"/>
    <col min="4353" max="4353" width="100.7109375" style="2183" customWidth="1"/>
    <col min="4354" max="4608" width="9.140625" style="2183"/>
    <col min="4609" max="4609" width="100.7109375" style="2183" customWidth="1"/>
    <col min="4610" max="4864" width="9.140625" style="2183"/>
    <col min="4865" max="4865" width="100.7109375" style="2183" customWidth="1"/>
    <col min="4866" max="5120" width="9.140625" style="2183"/>
    <col min="5121" max="5121" width="100.7109375" style="2183" customWidth="1"/>
    <col min="5122" max="5376" width="9.140625" style="2183"/>
    <col min="5377" max="5377" width="100.7109375" style="2183" customWidth="1"/>
    <col min="5378" max="5632" width="9.140625" style="2183"/>
    <col min="5633" max="5633" width="100.7109375" style="2183" customWidth="1"/>
    <col min="5634" max="5888" width="9.140625" style="2183"/>
    <col min="5889" max="5889" width="100.7109375" style="2183" customWidth="1"/>
    <col min="5890" max="6144" width="9.140625" style="2183"/>
    <col min="6145" max="6145" width="100.7109375" style="2183" customWidth="1"/>
    <col min="6146" max="6400" width="9.140625" style="2183"/>
    <col min="6401" max="6401" width="100.7109375" style="2183" customWidth="1"/>
    <col min="6402" max="6656" width="9.140625" style="2183"/>
    <col min="6657" max="6657" width="100.7109375" style="2183" customWidth="1"/>
    <col min="6658" max="6912" width="9.140625" style="2183"/>
    <col min="6913" max="6913" width="100.7109375" style="2183" customWidth="1"/>
    <col min="6914" max="7168" width="9.140625" style="2183"/>
    <col min="7169" max="7169" width="100.7109375" style="2183" customWidth="1"/>
    <col min="7170" max="7424" width="9.140625" style="2183"/>
    <col min="7425" max="7425" width="100.7109375" style="2183" customWidth="1"/>
    <col min="7426" max="7680" width="9.140625" style="2183"/>
    <col min="7681" max="7681" width="100.7109375" style="2183" customWidth="1"/>
    <col min="7682" max="7936" width="9.140625" style="2183"/>
    <col min="7937" max="7937" width="100.7109375" style="2183" customWidth="1"/>
    <col min="7938" max="8192" width="9.140625" style="2183"/>
    <col min="8193" max="8193" width="100.7109375" style="2183" customWidth="1"/>
    <col min="8194" max="8448" width="9.140625" style="2183"/>
    <col min="8449" max="8449" width="100.7109375" style="2183" customWidth="1"/>
    <col min="8450" max="8704" width="9.140625" style="2183"/>
    <col min="8705" max="8705" width="100.7109375" style="2183" customWidth="1"/>
    <col min="8706" max="8960" width="9.140625" style="2183"/>
    <col min="8961" max="8961" width="100.7109375" style="2183" customWidth="1"/>
    <col min="8962" max="9216" width="9.140625" style="2183"/>
    <col min="9217" max="9217" width="100.7109375" style="2183" customWidth="1"/>
    <col min="9218" max="9472" width="9.140625" style="2183"/>
    <col min="9473" max="9473" width="100.7109375" style="2183" customWidth="1"/>
    <col min="9474" max="9728" width="9.140625" style="2183"/>
    <col min="9729" max="9729" width="100.7109375" style="2183" customWidth="1"/>
    <col min="9730" max="9984" width="9.140625" style="2183"/>
    <col min="9985" max="9985" width="100.7109375" style="2183" customWidth="1"/>
    <col min="9986" max="10240" width="9.140625" style="2183"/>
    <col min="10241" max="10241" width="100.7109375" style="2183" customWidth="1"/>
    <col min="10242" max="10496" width="9.140625" style="2183"/>
    <col min="10497" max="10497" width="100.7109375" style="2183" customWidth="1"/>
    <col min="10498" max="10752" width="9.140625" style="2183"/>
    <col min="10753" max="10753" width="100.7109375" style="2183" customWidth="1"/>
    <col min="10754" max="11008" width="9.140625" style="2183"/>
    <col min="11009" max="11009" width="100.7109375" style="2183" customWidth="1"/>
    <col min="11010" max="11264" width="9.140625" style="2183"/>
    <col min="11265" max="11265" width="100.7109375" style="2183" customWidth="1"/>
    <col min="11266" max="11520" width="9.140625" style="2183"/>
    <col min="11521" max="11521" width="100.7109375" style="2183" customWidth="1"/>
    <col min="11522" max="11776" width="9.140625" style="2183"/>
    <col min="11777" max="11777" width="100.7109375" style="2183" customWidth="1"/>
    <col min="11778" max="12032" width="9.140625" style="2183"/>
    <col min="12033" max="12033" width="100.7109375" style="2183" customWidth="1"/>
    <col min="12034" max="12288" width="9.140625" style="2183"/>
    <col min="12289" max="12289" width="100.7109375" style="2183" customWidth="1"/>
    <col min="12290" max="12544" width="9.140625" style="2183"/>
    <col min="12545" max="12545" width="100.7109375" style="2183" customWidth="1"/>
    <col min="12546" max="12800" width="9.140625" style="2183"/>
    <col min="12801" max="12801" width="100.7109375" style="2183" customWidth="1"/>
    <col min="12802" max="13056" width="9.140625" style="2183"/>
    <col min="13057" max="13057" width="100.7109375" style="2183" customWidth="1"/>
    <col min="13058" max="13312" width="9.140625" style="2183"/>
    <col min="13313" max="13313" width="100.7109375" style="2183" customWidth="1"/>
    <col min="13314" max="13568" width="9.140625" style="2183"/>
    <col min="13569" max="13569" width="100.7109375" style="2183" customWidth="1"/>
    <col min="13570" max="13824" width="9.140625" style="2183"/>
    <col min="13825" max="13825" width="100.7109375" style="2183" customWidth="1"/>
    <col min="13826" max="14080" width="9.140625" style="2183"/>
    <col min="14081" max="14081" width="100.7109375" style="2183" customWidth="1"/>
    <col min="14082" max="14336" width="9.140625" style="2183"/>
    <col min="14337" max="14337" width="100.7109375" style="2183" customWidth="1"/>
    <col min="14338" max="14592" width="9.140625" style="2183"/>
    <col min="14593" max="14593" width="100.7109375" style="2183" customWidth="1"/>
    <col min="14594" max="14848" width="9.140625" style="2183"/>
    <col min="14849" max="14849" width="100.7109375" style="2183" customWidth="1"/>
    <col min="14850" max="15104" width="9.140625" style="2183"/>
    <col min="15105" max="15105" width="100.7109375" style="2183" customWidth="1"/>
    <col min="15106" max="15360" width="9.140625" style="2183"/>
    <col min="15361" max="15361" width="100.7109375" style="2183" customWidth="1"/>
    <col min="15362" max="15616" width="9.140625" style="2183"/>
    <col min="15617" max="15617" width="100.7109375" style="2183" customWidth="1"/>
    <col min="15618" max="15872" width="9.140625" style="2183"/>
    <col min="15873" max="15873" width="100.7109375" style="2183" customWidth="1"/>
    <col min="15874" max="16128" width="9.140625" style="2183"/>
    <col min="16129" max="16129" width="100.7109375" style="2183" customWidth="1"/>
    <col min="16130" max="16384" width="9.140625" style="2183"/>
  </cols>
  <sheetData>
    <row r="1" spans="1:8" ht="30" customHeight="1" x14ac:dyDescent="0.2">
      <c r="A1" s="2181"/>
      <c r="B1" s="2182"/>
      <c r="C1" s="2182"/>
      <c r="D1" s="2182"/>
      <c r="E1" s="2182"/>
      <c r="F1" s="2182"/>
      <c r="G1" s="2182"/>
      <c r="H1" s="2182"/>
    </row>
    <row r="2" spans="1:8" ht="14.25" x14ac:dyDescent="0.2">
      <c r="A2" s="2184" t="s">
        <v>733</v>
      </c>
      <c r="B2" s="2182"/>
      <c r="C2" s="2182"/>
      <c r="D2" s="2182"/>
      <c r="E2" s="2182"/>
      <c r="F2" s="2182"/>
      <c r="G2" s="2182"/>
      <c r="H2" s="2182"/>
    </row>
    <row r="3" spans="1:8" ht="14.25" x14ac:dyDescent="0.2">
      <c r="A3" s="2184" t="s">
        <v>734</v>
      </c>
      <c r="B3" s="2182"/>
      <c r="C3" s="2182"/>
      <c r="D3" s="2182"/>
      <c r="E3" s="2182"/>
      <c r="F3" s="2182"/>
      <c r="G3" s="2182"/>
      <c r="H3" s="2182"/>
    </row>
    <row r="4" spans="1:8" ht="14.25" x14ac:dyDescent="0.2">
      <c r="A4" s="2184" t="s">
        <v>162</v>
      </c>
      <c r="B4" s="2182"/>
      <c r="C4" s="2182"/>
      <c r="D4" s="2182"/>
      <c r="E4" s="2182"/>
      <c r="F4" s="2182"/>
      <c r="G4" s="2182"/>
      <c r="H4" s="2182"/>
    </row>
    <row r="5" spans="1:8" ht="14.25" x14ac:dyDescent="0.2">
      <c r="A5" s="2184" t="s">
        <v>735</v>
      </c>
      <c r="B5" s="2182"/>
      <c r="C5" s="2182"/>
      <c r="D5" s="2182"/>
      <c r="E5" s="2182"/>
      <c r="F5" s="2182"/>
      <c r="G5" s="2182"/>
      <c r="H5" s="2182"/>
    </row>
    <row r="6" spans="1:8" ht="14.25" x14ac:dyDescent="0.2">
      <c r="A6" s="2184"/>
      <c r="B6" s="2182"/>
      <c r="C6" s="2182"/>
      <c r="D6" s="2182"/>
      <c r="E6" s="2182"/>
      <c r="F6" s="2182"/>
      <c r="G6" s="2182"/>
      <c r="H6" s="2182"/>
    </row>
    <row r="7" spans="1:8" x14ac:dyDescent="0.2">
      <c r="A7" s="2181" t="s">
        <v>736</v>
      </c>
      <c r="B7" s="2182"/>
      <c r="C7" s="2182"/>
      <c r="D7" s="2182"/>
      <c r="E7" s="2182"/>
      <c r="F7" s="2182"/>
      <c r="G7" s="2182"/>
      <c r="H7" s="2182"/>
    </row>
    <row r="8" spans="1:8" x14ac:dyDescent="0.2">
      <c r="A8" s="2181" t="s">
        <v>737</v>
      </c>
      <c r="B8" s="2182"/>
      <c r="C8" s="2182"/>
      <c r="D8" s="2182"/>
      <c r="E8" s="2182"/>
      <c r="F8" s="2182"/>
      <c r="G8" s="2182"/>
      <c r="H8" s="2182"/>
    </row>
    <row r="9" spans="1:8" x14ac:dyDescent="0.2">
      <c r="A9" s="2181"/>
      <c r="B9" s="2182"/>
      <c r="C9" s="2182"/>
      <c r="D9" s="2182"/>
      <c r="E9" s="2182"/>
      <c r="F9" s="2182"/>
      <c r="G9" s="2182"/>
      <c r="H9" s="2182"/>
    </row>
    <row r="10" spans="1:8" x14ac:dyDescent="0.2">
      <c r="A10" s="2185" t="s">
        <v>738</v>
      </c>
      <c r="B10" s="2182"/>
      <c r="C10" s="2182"/>
      <c r="D10" s="2182"/>
      <c r="E10" s="2182"/>
      <c r="F10" s="2182"/>
      <c r="G10" s="2182"/>
      <c r="H10" s="2182"/>
    </row>
    <row r="11" spans="1:8" x14ac:dyDescent="0.2">
      <c r="A11" s="2185" t="s">
        <v>739</v>
      </c>
      <c r="B11" s="2182"/>
      <c r="C11" s="2182"/>
      <c r="D11" s="2182"/>
      <c r="E11" s="2182"/>
      <c r="F11" s="2182"/>
      <c r="G11" s="2182"/>
      <c r="H11" s="2182"/>
    </row>
    <row r="12" spans="1:8" x14ac:dyDescent="0.2">
      <c r="A12" s="2185" t="s">
        <v>740</v>
      </c>
      <c r="B12" s="2182"/>
      <c r="C12" s="2182"/>
      <c r="D12" s="2182"/>
      <c r="E12" s="2182"/>
      <c r="F12" s="2182"/>
      <c r="G12" s="2182"/>
      <c r="H12" s="2182"/>
    </row>
    <row r="13" spans="1:8" x14ac:dyDescent="0.2">
      <c r="A13" s="2185" t="s">
        <v>741</v>
      </c>
      <c r="B13" s="2182"/>
      <c r="C13" s="2182"/>
      <c r="D13" s="2182"/>
      <c r="E13" s="2182"/>
      <c r="F13" s="2182"/>
      <c r="G13" s="2182"/>
      <c r="H13" s="2182"/>
    </row>
    <row r="14" spans="1:8" x14ac:dyDescent="0.2">
      <c r="A14" s="2185" t="s">
        <v>742</v>
      </c>
      <c r="B14" s="2182"/>
      <c r="C14" s="2182"/>
      <c r="D14" s="2182"/>
      <c r="E14" s="2182"/>
      <c r="F14" s="2182"/>
      <c r="G14" s="2182"/>
      <c r="H14" s="2182"/>
    </row>
    <row r="15" spans="1:8" x14ac:dyDescent="0.2">
      <c r="A15" s="2185" t="s">
        <v>743</v>
      </c>
      <c r="B15" s="2182"/>
      <c r="C15" s="2182"/>
      <c r="D15" s="2182"/>
      <c r="E15" s="2182"/>
      <c r="F15" s="2182"/>
      <c r="G15" s="2182"/>
      <c r="H15" s="2182"/>
    </row>
    <row r="16" spans="1:8" x14ac:dyDescent="0.2">
      <c r="A16" s="2185"/>
      <c r="B16" s="2182"/>
      <c r="C16" s="2182"/>
      <c r="D16" s="2182"/>
      <c r="E16" s="2182"/>
      <c r="F16" s="2182"/>
      <c r="G16" s="2182"/>
      <c r="H16" s="2182"/>
    </row>
    <row r="17" spans="1:8" x14ac:dyDescent="0.2">
      <c r="A17" s="2185" t="s">
        <v>730</v>
      </c>
      <c r="B17" s="2182"/>
      <c r="C17" s="2182"/>
      <c r="D17" s="2182"/>
      <c r="E17" s="2182"/>
      <c r="F17" s="2182"/>
      <c r="G17" s="2182"/>
      <c r="H17" s="2182"/>
    </row>
    <row r="18" spans="1:8" x14ac:dyDescent="0.2">
      <c r="A18" s="2185"/>
      <c r="B18" s="2182"/>
      <c r="C18" s="2182"/>
      <c r="D18" s="2182"/>
      <c r="E18" s="2182"/>
      <c r="F18" s="2182"/>
      <c r="G18" s="2182"/>
      <c r="H18" s="2182"/>
    </row>
    <row r="19" spans="1:8" x14ac:dyDescent="0.2">
      <c r="A19" s="2185" t="s">
        <v>731</v>
      </c>
      <c r="B19" s="2182"/>
      <c r="C19" s="2182"/>
      <c r="D19" s="2182"/>
      <c r="E19" s="2182"/>
      <c r="F19" s="2182"/>
      <c r="G19" s="2182"/>
      <c r="H19" s="2182"/>
    </row>
    <row r="20" spans="1:8" x14ac:dyDescent="0.2">
      <c r="A20" s="2181"/>
      <c r="B20" s="2182"/>
      <c r="C20" s="2182"/>
      <c r="D20" s="2182"/>
      <c r="E20" s="2182"/>
      <c r="F20" s="2182"/>
      <c r="G20" s="2182"/>
      <c r="H20" s="2182"/>
    </row>
    <row r="21" spans="1:8" x14ac:dyDescent="0.2">
      <c r="A21" s="2186" t="s">
        <v>732</v>
      </c>
      <c r="B21" s="2182"/>
      <c r="C21" s="2182"/>
      <c r="D21" s="2182"/>
      <c r="E21" s="2182"/>
      <c r="F21" s="2182"/>
      <c r="G21" s="2182"/>
      <c r="H21" s="2182"/>
    </row>
    <row r="22" spans="1:8" x14ac:dyDescent="0.2">
      <c r="A22" s="2187"/>
      <c r="B22" s="2187"/>
      <c r="C22" s="2187"/>
      <c r="D22" s="2187"/>
      <c r="E22" s="2187"/>
      <c r="F22" s="2187"/>
      <c r="G22" s="2187"/>
      <c r="H22" s="2187"/>
    </row>
    <row r="23" spans="1:8" x14ac:dyDescent="0.2">
      <c r="A23" s="2188" t="s">
        <v>1019</v>
      </c>
      <c r="B23" s="2187"/>
      <c r="C23" s="2187"/>
      <c r="D23" s="2187"/>
      <c r="E23" s="2187"/>
      <c r="F23" s="2187"/>
      <c r="G23" s="2187"/>
      <c r="H23" s="2187"/>
    </row>
    <row r="24" spans="1:8" x14ac:dyDescent="0.2">
      <c r="A24" s="2188" t="s">
        <v>1020</v>
      </c>
      <c r="B24" s="2187"/>
      <c r="C24" s="2187"/>
      <c r="D24" s="2187"/>
      <c r="E24" s="2187"/>
      <c r="F24" s="2187"/>
      <c r="G24" s="2187"/>
      <c r="H24" s="2187"/>
    </row>
    <row r="25" spans="1:8" x14ac:dyDescent="0.2">
      <c r="A25" s="2188" t="s">
        <v>1021</v>
      </c>
      <c r="B25" s="2187"/>
      <c r="C25" s="2187"/>
      <c r="D25" s="2187"/>
      <c r="E25" s="2187"/>
      <c r="F25" s="2187"/>
      <c r="G25" s="2187"/>
      <c r="H25" s="2187"/>
    </row>
    <row r="26" spans="1:8" x14ac:dyDescent="0.2">
      <c r="A26" s="2188" t="s">
        <v>1022</v>
      </c>
      <c r="B26" s="2187"/>
      <c r="C26" s="2187"/>
      <c r="D26" s="2187"/>
      <c r="E26" s="2187"/>
      <c r="F26" s="2187"/>
      <c r="G26" s="2187"/>
      <c r="H26" s="2187"/>
    </row>
    <row r="27" spans="1:8" x14ac:dyDescent="0.2">
      <c r="A27" s="2187"/>
      <c r="B27" s="2187"/>
      <c r="C27" s="2187"/>
      <c r="D27" s="2187"/>
      <c r="E27" s="2187"/>
      <c r="F27" s="2187"/>
      <c r="G27" s="2187"/>
      <c r="H27" s="2187"/>
    </row>
    <row r="28" spans="1:8" x14ac:dyDescent="0.2">
      <c r="A28" s="2187"/>
      <c r="B28" s="2187"/>
      <c r="C28" s="2187"/>
      <c r="D28" s="2187"/>
      <c r="E28" s="2187"/>
      <c r="F28" s="2187"/>
      <c r="G28" s="2187"/>
      <c r="H28" s="2187"/>
    </row>
    <row r="29" spans="1:8" x14ac:dyDescent="0.2">
      <c r="A29" s="2188" t="s">
        <v>1014</v>
      </c>
      <c r="B29" s="2187"/>
      <c r="C29" s="2187"/>
      <c r="D29" s="2187"/>
      <c r="E29" s="2187"/>
      <c r="F29" s="2187"/>
      <c r="G29" s="2187"/>
      <c r="H29" s="2187"/>
    </row>
    <row r="30" spans="1:8" x14ac:dyDescent="0.2">
      <c r="A30" s="2188" t="s">
        <v>1015</v>
      </c>
      <c r="B30" s="2187"/>
      <c r="C30" s="2187"/>
      <c r="D30" s="2187"/>
      <c r="E30" s="2187"/>
      <c r="F30" s="2187"/>
      <c r="G30" s="2187"/>
      <c r="H30" s="2187"/>
    </row>
    <row r="31" spans="1:8" x14ac:dyDescent="0.2">
      <c r="A31" s="2188" t="s">
        <v>1016</v>
      </c>
      <c r="B31" s="2187"/>
      <c r="C31" s="2187"/>
      <c r="D31" s="2187"/>
      <c r="E31" s="2187"/>
      <c r="F31" s="2187"/>
      <c r="G31" s="2187"/>
      <c r="H31" s="2187"/>
    </row>
    <row r="32" spans="1:8" x14ac:dyDescent="0.2">
      <c r="A32" s="2188" t="s">
        <v>1017</v>
      </c>
      <c r="B32" s="2187"/>
      <c r="C32" s="2187"/>
      <c r="D32" s="2187"/>
      <c r="E32" s="2187"/>
      <c r="F32" s="2187"/>
      <c r="G32" s="2187"/>
      <c r="H32" s="2187"/>
    </row>
    <row r="33" spans="1:8" x14ac:dyDescent="0.2">
      <c r="A33" s="2188" t="s">
        <v>1018</v>
      </c>
      <c r="B33" s="2187"/>
      <c r="C33" s="2187"/>
      <c r="D33" s="2187"/>
      <c r="E33" s="2187"/>
      <c r="F33" s="2187"/>
      <c r="G33" s="2187"/>
      <c r="H33" s="2187"/>
    </row>
    <row r="34" spans="1:8" x14ac:dyDescent="0.2">
      <c r="A34" s="2187"/>
      <c r="B34" s="2187"/>
      <c r="C34" s="2187"/>
      <c r="D34" s="2187"/>
      <c r="E34" s="2187"/>
      <c r="F34" s="2187"/>
      <c r="G34" s="2187"/>
      <c r="H34" s="2187"/>
    </row>
    <row r="35" spans="1:8" x14ac:dyDescent="0.2">
      <c r="A35" s="2188" t="s">
        <v>1010</v>
      </c>
      <c r="B35" s="2187"/>
      <c r="C35" s="2187"/>
      <c r="D35" s="2187"/>
      <c r="E35" s="2187"/>
      <c r="F35" s="2187"/>
      <c r="G35" s="2187"/>
      <c r="H35" s="2187"/>
    </row>
    <row r="36" spans="1:8" x14ac:dyDescent="0.2">
      <c r="A36" s="2188" t="s">
        <v>1011</v>
      </c>
      <c r="B36" s="2187"/>
      <c r="C36" s="2187"/>
      <c r="D36" s="2187"/>
      <c r="E36" s="2187"/>
      <c r="F36" s="2187"/>
      <c r="G36" s="2187"/>
      <c r="H36" s="2187"/>
    </row>
    <row r="37" spans="1:8" x14ac:dyDescent="0.2">
      <c r="A37" s="2188" t="s">
        <v>1012</v>
      </c>
      <c r="B37" s="2187"/>
      <c r="C37" s="2187"/>
      <c r="D37" s="2187"/>
      <c r="E37" s="2187"/>
      <c r="F37" s="2187"/>
      <c r="G37" s="2187"/>
      <c r="H37" s="2187"/>
    </row>
    <row r="38" spans="1:8" x14ac:dyDescent="0.2">
      <c r="A38" s="2188" t="s">
        <v>1013</v>
      </c>
      <c r="B38" s="2187"/>
      <c r="C38" s="2187"/>
      <c r="D38" s="2187"/>
      <c r="E38" s="2187"/>
      <c r="F38" s="2187"/>
      <c r="G38" s="2187"/>
      <c r="H38" s="2187"/>
    </row>
    <row r="39" spans="1:8" x14ac:dyDescent="0.2">
      <c r="A39" s="2187"/>
      <c r="B39" s="2187"/>
      <c r="C39" s="2187"/>
      <c r="D39" s="2187"/>
      <c r="E39" s="2187"/>
      <c r="F39" s="2187"/>
      <c r="G39" s="2187"/>
      <c r="H39" s="2187"/>
    </row>
    <row r="40" spans="1:8" x14ac:dyDescent="0.2">
      <c r="A40" s="2188" t="s">
        <v>1004</v>
      </c>
      <c r="B40" s="2187"/>
      <c r="C40" s="2187"/>
      <c r="D40" s="2187"/>
      <c r="E40" s="2187"/>
      <c r="F40" s="2187"/>
      <c r="G40" s="2187"/>
      <c r="H40" s="2187"/>
    </row>
    <row r="41" spans="1:8" x14ac:dyDescent="0.2">
      <c r="A41" s="2188" t="s">
        <v>1005</v>
      </c>
      <c r="B41" s="2187"/>
      <c r="C41" s="2187"/>
      <c r="D41" s="2187"/>
      <c r="E41" s="2187"/>
      <c r="F41" s="2187"/>
      <c r="G41" s="2187"/>
      <c r="H41" s="2187"/>
    </row>
    <row r="42" spans="1:8" x14ac:dyDescent="0.2">
      <c r="A42" s="2188" t="s">
        <v>1006</v>
      </c>
      <c r="B42" s="2187"/>
      <c r="C42" s="2187"/>
      <c r="D42" s="2187"/>
      <c r="E42" s="2187"/>
      <c r="F42" s="2187"/>
      <c r="G42" s="2187"/>
      <c r="H42" s="2187"/>
    </row>
    <row r="43" spans="1:8" x14ac:dyDescent="0.2">
      <c r="A43" s="2188" t="s">
        <v>1007</v>
      </c>
      <c r="B43" s="2187"/>
      <c r="C43" s="2187"/>
      <c r="D43" s="2187"/>
      <c r="E43" s="2187"/>
      <c r="F43" s="2187"/>
      <c r="G43" s="2187"/>
      <c r="H43" s="2187"/>
    </row>
    <row r="44" spans="1:8" x14ac:dyDescent="0.2">
      <c r="A44" s="2188" t="s">
        <v>1008</v>
      </c>
      <c r="B44" s="2187"/>
      <c r="C44" s="2187"/>
      <c r="D44" s="2187"/>
      <c r="E44" s="2187"/>
      <c r="F44" s="2187"/>
      <c r="G44" s="2187"/>
      <c r="H44" s="2187"/>
    </row>
    <row r="45" spans="1:8" x14ac:dyDescent="0.2">
      <c r="A45" s="2188" t="s">
        <v>1009</v>
      </c>
      <c r="B45" s="2187"/>
      <c r="C45" s="2187"/>
      <c r="D45" s="2187"/>
      <c r="E45" s="2187"/>
      <c r="F45" s="2187"/>
      <c r="G45" s="2187"/>
      <c r="H45" s="2187"/>
    </row>
    <row r="46" spans="1:8" x14ac:dyDescent="0.2">
      <c r="A46" s="2187"/>
      <c r="B46" s="2187"/>
      <c r="C46" s="2187"/>
      <c r="D46" s="2187"/>
      <c r="E46" s="2187"/>
      <c r="F46" s="2187"/>
      <c r="G46" s="2187"/>
      <c r="H46" s="2187"/>
    </row>
    <row r="47" spans="1:8" ht="15.75" x14ac:dyDescent="0.2">
      <c r="A47" s="2189" t="s">
        <v>744</v>
      </c>
      <c r="B47" s="2187"/>
      <c r="C47" s="2187"/>
      <c r="D47" s="2187"/>
      <c r="E47" s="2187"/>
      <c r="F47" s="2187"/>
      <c r="G47" s="2187"/>
      <c r="H47" s="2187"/>
    </row>
    <row r="48" spans="1:8" x14ac:dyDescent="0.2">
      <c r="A48" s="2187"/>
      <c r="B48" s="2187"/>
      <c r="C48" s="2187"/>
      <c r="D48" s="2187"/>
      <c r="E48" s="2187"/>
      <c r="F48" s="2187"/>
      <c r="G48" s="2187"/>
      <c r="H48" s="2187"/>
    </row>
    <row r="49" spans="1:8" x14ac:dyDescent="0.2">
      <c r="A49" s="2188" t="s">
        <v>1000</v>
      </c>
      <c r="B49" s="2187"/>
      <c r="C49" s="2187"/>
      <c r="D49" s="2187"/>
      <c r="E49" s="2187"/>
      <c r="F49" s="2187"/>
      <c r="G49" s="2187"/>
      <c r="H49" s="2187"/>
    </row>
    <row r="50" spans="1:8" x14ac:dyDescent="0.2">
      <c r="A50" s="2188" t="s">
        <v>1001</v>
      </c>
      <c r="B50" s="2187"/>
      <c r="C50" s="2187"/>
      <c r="D50" s="2187"/>
      <c r="E50" s="2187"/>
      <c r="F50" s="2187"/>
      <c r="G50" s="2187"/>
      <c r="H50" s="2187"/>
    </row>
    <row r="51" spans="1:8" x14ac:dyDescent="0.2">
      <c r="A51" s="2188" t="s">
        <v>1002</v>
      </c>
      <c r="B51" s="2187"/>
      <c r="C51" s="2187"/>
      <c r="D51" s="2187"/>
      <c r="E51" s="2187"/>
      <c r="F51" s="2187"/>
      <c r="G51" s="2187"/>
      <c r="H51" s="2187"/>
    </row>
    <row r="52" spans="1:8" x14ac:dyDescent="0.2">
      <c r="A52" s="2188" t="s">
        <v>1003</v>
      </c>
      <c r="B52" s="2187"/>
      <c r="C52" s="2187"/>
      <c r="D52" s="2187"/>
      <c r="E52" s="2187"/>
      <c r="F52" s="2187"/>
      <c r="G52" s="2187"/>
      <c r="H52" s="2187"/>
    </row>
    <row r="53" spans="1:8" x14ac:dyDescent="0.2">
      <c r="A53" s="2187"/>
      <c r="B53" s="2187"/>
      <c r="C53" s="2187"/>
      <c r="D53" s="2187"/>
      <c r="E53" s="2187"/>
      <c r="F53" s="2187"/>
      <c r="G53" s="2187"/>
      <c r="H53" s="2187"/>
    </row>
    <row r="54" spans="1:8" x14ac:dyDescent="0.2">
      <c r="A54" s="2188" t="s">
        <v>745</v>
      </c>
      <c r="B54" s="2187"/>
      <c r="C54" s="2187"/>
      <c r="D54" s="2187"/>
      <c r="E54" s="2187"/>
      <c r="F54" s="2187"/>
      <c r="G54" s="2187"/>
      <c r="H54" s="2187"/>
    </row>
    <row r="55" spans="1:8" x14ac:dyDescent="0.2">
      <c r="A55" s="2187"/>
      <c r="B55" s="2187"/>
      <c r="C55" s="2187"/>
      <c r="D55" s="2187"/>
      <c r="E55" s="2187"/>
      <c r="F55" s="2187"/>
      <c r="G55" s="2187"/>
      <c r="H55" s="2187"/>
    </row>
    <row r="56" spans="1:8" ht="15.75" x14ac:dyDescent="0.2">
      <c r="A56" s="2189" t="s">
        <v>746</v>
      </c>
      <c r="B56" s="2187"/>
      <c r="C56" s="2187"/>
      <c r="D56" s="2187"/>
      <c r="E56" s="2187"/>
      <c r="F56" s="2187"/>
      <c r="G56" s="2187"/>
      <c r="H56" s="2187"/>
    </row>
    <row r="57" spans="1:8" x14ac:dyDescent="0.2">
      <c r="A57" s="2187"/>
      <c r="B57" s="2187"/>
      <c r="C57" s="2187"/>
      <c r="D57" s="2187"/>
      <c r="E57" s="2187"/>
      <c r="F57" s="2187"/>
      <c r="G57" s="2187"/>
      <c r="H57" s="2187"/>
    </row>
    <row r="58" spans="1:8" x14ac:dyDescent="0.2">
      <c r="A58" s="2188" t="s">
        <v>998</v>
      </c>
      <c r="B58" s="2187"/>
      <c r="C58" s="2187"/>
      <c r="D58" s="2187"/>
      <c r="E58" s="2187"/>
      <c r="F58" s="2187"/>
      <c r="G58" s="2187"/>
      <c r="H58" s="2187"/>
    </row>
    <row r="59" spans="1:8" x14ac:dyDescent="0.2">
      <c r="A59" s="2188" t="s">
        <v>999</v>
      </c>
      <c r="B59" s="2187"/>
      <c r="C59" s="2187"/>
      <c r="D59" s="2187"/>
      <c r="E59" s="2187"/>
      <c r="F59" s="2187"/>
      <c r="G59" s="2187"/>
      <c r="H59" s="2187"/>
    </row>
    <row r="60" spans="1:8" x14ac:dyDescent="0.2">
      <c r="A60" s="2187"/>
      <c r="B60" s="2187"/>
      <c r="C60" s="2187"/>
      <c r="D60" s="2187"/>
      <c r="E60" s="2187"/>
      <c r="F60" s="2187"/>
      <c r="G60" s="2187"/>
      <c r="H60" s="2187"/>
    </row>
    <row r="61" spans="1:8" ht="15.75" x14ac:dyDescent="0.2">
      <c r="A61" s="2189" t="s">
        <v>747</v>
      </c>
      <c r="B61" s="2187"/>
      <c r="C61" s="2187"/>
      <c r="D61" s="2187"/>
      <c r="E61" s="2187"/>
      <c r="F61" s="2187"/>
      <c r="G61" s="2187"/>
      <c r="H61" s="2187"/>
    </row>
    <row r="62" spans="1:8" x14ac:dyDescent="0.2">
      <c r="A62" s="2187"/>
      <c r="B62" s="2187"/>
      <c r="C62" s="2187"/>
      <c r="D62" s="2187"/>
      <c r="E62" s="2187"/>
      <c r="F62" s="2187"/>
      <c r="G62" s="2187"/>
      <c r="H62" s="2187"/>
    </row>
    <row r="63" spans="1:8" x14ac:dyDescent="0.2">
      <c r="A63" s="2188" t="s">
        <v>996</v>
      </c>
      <c r="B63" s="2187"/>
      <c r="C63" s="2187"/>
      <c r="D63" s="2187"/>
      <c r="E63" s="2187"/>
      <c r="F63" s="2187"/>
      <c r="G63" s="2187"/>
      <c r="H63" s="2187"/>
    </row>
    <row r="64" spans="1:8" x14ac:dyDescent="0.2">
      <c r="A64" s="2188" t="s">
        <v>997</v>
      </c>
      <c r="B64" s="2187"/>
      <c r="C64" s="2187"/>
      <c r="D64" s="2187"/>
      <c r="E64" s="2187"/>
      <c r="F64" s="2187"/>
      <c r="G64" s="2187"/>
      <c r="H64" s="2187"/>
    </row>
    <row r="65" spans="1:8" x14ac:dyDescent="0.2">
      <c r="A65" s="2187"/>
      <c r="B65" s="2187"/>
      <c r="C65" s="2187"/>
      <c r="D65" s="2187"/>
      <c r="E65" s="2187"/>
      <c r="F65" s="2187"/>
      <c r="G65" s="2187"/>
      <c r="H65" s="2187"/>
    </row>
    <row r="66" spans="1:8" x14ac:dyDescent="0.2">
      <c r="A66" s="2188" t="s">
        <v>994</v>
      </c>
      <c r="B66" s="2187"/>
      <c r="C66" s="2187"/>
      <c r="D66" s="2187"/>
      <c r="E66" s="2187"/>
      <c r="F66" s="2187"/>
      <c r="G66" s="2187"/>
      <c r="H66" s="2187"/>
    </row>
    <row r="67" spans="1:8" x14ac:dyDescent="0.2">
      <c r="A67" s="2188" t="s">
        <v>995</v>
      </c>
      <c r="B67" s="2187"/>
      <c r="C67" s="2187"/>
      <c r="D67" s="2187"/>
      <c r="E67" s="2187"/>
      <c r="F67" s="2187"/>
      <c r="G67" s="2187"/>
      <c r="H67" s="2187"/>
    </row>
    <row r="68" spans="1:8" x14ac:dyDescent="0.2">
      <c r="A68" s="2187"/>
      <c r="B68" s="2187"/>
      <c r="C68" s="2187"/>
      <c r="D68" s="2187"/>
      <c r="E68" s="2187"/>
      <c r="F68" s="2187"/>
      <c r="G68" s="2187"/>
      <c r="H68" s="2187"/>
    </row>
    <row r="69" spans="1:8" x14ac:dyDescent="0.2">
      <c r="A69" s="2188" t="s">
        <v>991</v>
      </c>
      <c r="B69" s="2187"/>
      <c r="C69" s="2187"/>
      <c r="D69" s="2187"/>
      <c r="E69" s="2187"/>
      <c r="F69" s="2187"/>
      <c r="G69" s="2187"/>
      <c r="H69" s="2187"/>
    </row>
    <row r="70" spans="1:8" x14ac:dyDescent="0.2">
      <c r="A70" s="2188" t="s">
        <v>992</v>
      </c>
      <c r="B70" s="2187"/>
      <c r="C70" s="2187"/>
      <c r="D70" s="2187"/>
      <c r="E70" s="2187"/>
      <c r="F70" s="2187"/>
      <c r="G70" s="2187"/>
      <c r="H70" s="2187"/>
    </row>
    <row r="71" spans="1:8" x14ac:dyDescent="0.2">
      <c r="A71" s="2188" t="s">
        <v>993</v>
      </c>
      <c r="B71" s="2187"/>
      <c r="C71" s="2187"/>
      <c r="D71" s="2187"/>
      <c r="E71" s="2187"/>
      <c r="F71" s="2187"/>
      <c r="G71" s="2187"/>
      <c r="H71" s="2187"/>
    </row>
    <row r="72" spans="1:8" x14ac:dyDescent="0.2">
      <c r="A72" s="2187"/>
      <c r="B72" s="2187"/>
      <c r="C72" s="2187"/>
      <c r="D72" s="2187"/>
      <c r="E72" s="2187"/>
      <c r="F72" s="2187"/>
      <c r="G72" s="2187"/>
      <c r="H72" s="2187"/>
    </row>
    <row r="73" spans="1:8" x14ac:dyDescent="0.2">
      <c r="A73" s="2188" t="s">
        <v>748</v>
      </c>
      <c r="B73" s="2187"/>
      <c r="C73" s="2187"/>
      <c r="D73" s="2187"/>
      <c r="E73" s="2187"/>
      <c r="F73" s="2187"/>
      <c r="G73" s="2187"/>
      <c r="H73" s="2187"/>
    </row>
    <row r="74" spans="1:8" x14ac:dyDescent="0.2">
      <c r="A74" s="2187"/>
      <c r="B74" s="2187"/>
      <c r="C74" s="2187"/>
      <c r="D74" s="2187"/>
      <c r="E74" s="2187"/>
      <c r="F74" s="2187"/>
      <c r="G74" s="2187"/>
      <c r="H74" s="2187"/>
    </row>
    <row r="75" spans="1:8" x14ac:dyDescent="0.2">
      <c r="A75" s="2188" t="s">
        <v>986</v>
      </c>
      <c r="B75" s="2187"/>
      <c r="C75" s="2187"/>
      <c r="D75" s="2187"/>
      <c r="E75" s="2187"/>
      <c r="F75" s="2187"/>
      <c r="G75" s="2187"/>
      <c r="H75" s="2187"/>
    </row>
    <row r="76" spans="1:8" x14ac:dyDescent="0.2">
      <c r="A76" s="2188" t="s">
        <v>987</v>
      </c>
      <c r="B76" s="2187"/>
      <c r="C76" s="2187"/>
      <c r="D76" s="2187"/>
      <c r="E76" s="2187"/>
      <c r="F76" s="2187"/>
      <c r="G76" s="2187"/>
      <c r="H76" s="2187"/>
    </row>
    <row r="77" spans="1:8" x14ac:dyDescent="0.2">
      <c r="A77" s="2188" t="s">
        <v>988</v>
      </c>
      <c r="B77" s="2187"/>
      <c r="C77" s="2187"/>
      <c r="D77" s="2187"/>
      <c r="E77" s="2187"/>
      <c r="F77" s="2187"/>
      <c r="G77" s="2187"/>
      <c r="H77" s="2187"/>
    </row>
    <row r="78" spans="1:8" x14ac:dyDescent="0.2">
      <c r="A78" s="2188" t="s">
        <v>989</v>
      </c>
      <c r="B78" s="2187"/>
      <c r="C78" s="2187"/>
      <c r="D78" s="2187"/>
      <c r="E78" s="2187"/>
      <c r="F78" s="2187"/>
      <c r="G78" s="2187"/>
      <c r="H78" s="2187"/>
    </row>
    <row r="79" spans="1:8" x14ac:dyDescent="0.2">
      <c r="A79" s="2188" t="s">
        <v>990</v>
      </c>
      <c r="B79" s="2187"/>
      <c r="C79" s="2187"/>
      <c r="D79" s="2187"/>
      <c r="E79" s="2187"/>
      <c r="F79" s="2187"/>
      <c r="G79" s="2187"/>
      <c r="H79" s="2187"/>
    </row>
    <row r="80" spans="1:8" x14ac:dyDescent="0.2">
      <c r="A80" s="2188" t="s">
        <v>873</v>
      </c>
      <c r="B80" s="2187"/>
      <c r="C80" s="2187"/>
      <c r="D80" s="2187"/>
      <c r="E80" s="2187"/>
      <c r="F80" s="2187"/>
      <c r="G80" s="2187"/>
      <c r="H80" s="2187"/>
    </row>
    <row r="81" spans="1:8" x14ac:dyDescent="0.2">
      <c r="A81" s="2187"/>
      <c r="B81" s="2187"/>
      <c r="C81" s="2187"/>
      <c r="D81" s="2187"/>
      <c r="E81" s="2187"/>
      <c r="F81" s="2187"/>
      <c r="G81" s="2187"/>
      <c r="H81" s="2187"/>
    </row>
    <row r="82" spans="1:8" x14ac:dyDescent="0.2">
      <c r="A82" s="2188" t="s">
        <v>979</v>
      </c>
      <c r="B82" s="2187"/>
      <c r="C82" s="2187"/>
      <c r="D82" s="2187"/>
      <c r="E82" s="2187"/>
      <c r="F82" s="2187"/>
      <c r="G82" s="2187"/>
      <c r="H82" s="2187"/>
    </row>
    <row r="83" spans="1:8" x14ac:dyDescent="0.2">
      <c r="A83" s="2188" t="s">
        <v>980</v>
      </c>
      <c r="B83" s="2187"/>
      <c r="C83" s="2187"/>
      <c r="D83" s="2187"/>
      <c r="E83" s="2187"/>
      <c r="F83" s="2187"/>
      <c r="G83" s="2187"/>
      <c r="H83" s="2187"/>
    </row>
    <row r="84" spans="1:8" x14ac:dyDescent="0.2">
      <c r="A84" s="2188" t="s">
        <v>981</v>
      </c>
      <c r="B84" s="2187"/>
      <c r="C84" s="2187"/>
      <c r="D84" s="2187"/>
      <c r="E84" s="2187"/>
      <c r="F84" s="2187"/>
      <c r="G84" s="2187"/>
      <c r="H84" s="2187"/>
    </row>
    <row r="85" spans="1:8" x14ac:dyDescent="0.2">
      <c r="A85" s="2188" t="s">
        <v>982</v>
      </c>
      <c r="B85" s="2187"/>
      <c r="C85" s="2187"/>
      <c r="D85" s="2187"/>
      <c r="E85" s="2187"/>
      <c r="F85" s="2187"/>
      <c r="G85" s="2187"/>
      <c r="H85" s="2187"/>
    </row>
    <row r="86" spans="1:8" x14ac:dyDescent="0.2">
      <c r="A86" s="2188" t="s">
        <v>983</v>
      </c>
      <c r="B86" s="2187"/>
      <c r="C86" s="2187"/>
      <c r="D86" s="2187"/>
      <c r="E86" s="2187"/>
      <c r="F86" s="2187"/>
      <c r="G86" s="2187"/>
      <c r="H86" s="2187"/>
    </row>
    <row r="87" spans="1:8" x14ac:dyDescent="0.2">
      <c r="A87" s="2188" t="s">
        <v>984</v>
      </c>
      <c r="B87" s="2187"/>
      <c r="C87" s="2187"/>
      <c r="D87" s="2187"/>
      <c r="E87" s="2187"/>
      <c r="F87" s="2187"/>
      <c r="G87" s="2187"/>
      <c r="H87" s="2187"/>
    </row>
    <row r="88" spans="1:8" x14ac:dyDescent="0.2">
      <c r="A88" s="2188" t="s">
        <v>985</v>
      </c>
      <c r="B88" s="2187"/>
      <c r="C88" s="2187"/>
      <c r="D88" s="2187"/>
      <c r="E88" s="2187"/>
      <c r="F88" s="2187"/>
      <c r="G88" s="2187"/>
      <c r="H88" s="2187"/>
    </row>
    <row r="89" spans="1:8" x14ac:dyDescent="0.2">
      <c r="A89" s="2187"/>
      <c r="B89" s="2187"/>
      <c r="C89" s="2187"/>
      <c r="D89" s="2187"/>
      <c r="E89" s="2187"/>
      <c r="F89" s="2187"/>
      <c r="G89" s="2187"/>
      <c r="H89" s="2187"/>
    </row>
    <row r="90" spans="1:8" x14ac:dyDescent="0.2">
      <c r="A90" s="2188" t="s">
        <v>977</v>
      </c>
      <c r="B90" s="2187"/>
      <c r="C90" s="2187"/>
      <c r="D90" s="2187"/>
      <c r="E90" s="2187"/>
      <c r="F90" s="2187"/>
      <c r="G90" s="2187"/>
      <c r="H90" s="2187"/>
    </row>
    <row r="91" spans="1:8" x14ac:dyDescent="0.2">
      <c r="A91" s="2188" t="s">
        <v>978</v>
      </c>
      <c r="B91" s="2187"/>
      <c r="C91" s="2187"/>
      <c r="D91" s="2187"/>
      <c r="E91" s="2187"/>
      <c r="F91" s="2187"/>
      <c r="G91" s="2187"/>
      <c r="H91" s="2187"/>
    </row>
    <row r="92" spans="1:8" x14ac:dyDescent="0.2">
      <c r="A92" s="2187"/>
      <c r="B92" s="2187"/>
      <c r="C92" s="2187"/>
      <c r="D92" s="2187"/>
      <c r="E92" s="2187"/>
      <c r="F92" s="2187"/>
      <c r="G92" s="2187"/>
      <c r="H92" s="2187"/>
    </row>
    <row r="93" spans="1:8" ht="15.75" x14ac:dyDescent="0.2">
      <c r="A93" s="2189" t="s">
        <v>749</v>
      </c>
      <c r="B93" s="2187"/>
      <c r="C93" s="2187"/>
      <c r="D93" s="2187"/>
      <c r="E93" s="2187"/>
      <c r="F93" s="2187"/>
      <c r="G93" s="2187"/>
      <c r="H93" s="2187"/>
    </row>
    <row r="94" spans="1:8" x14ac:dyDescent="0.2">
      <c r="A94" s="2187"/>
      <c r="B94" s="2187"/>
      <c r="C94" s="2187"/>
      <c r="D94" s="2187"/>
      <c r="E94" s="2187"/>
      <c r="F94" s="2187"/>
      <c r="G94" s="2187"/>
      <c r="H94" s="2187"/>
    </row>
    <row r="95" spans="1:8" x14ac:dyDescent="0.2">
      <c r="A95" s="2188" t="s">
        <v>968</v>
      </c>
      <c r="B95" s="2187"/>
      <c r="C95" s="2187"/>
      <c r="D95" s="2187"/>
      <c r="E95" s="2187"/>
      <c r="F95" s="2187"/>
      <c r="G95" s="2187"/>
      <c r="H95" s="2187"/>
    </row>
    <row r="96" spans="1:8" x14ac:dyDescent="0.2">
      <c r="A96" s="2188" t="s">
        <v>969</v>
      </c>
      <c r="B96" s="2187"/>
      <c r="C96" s="2187"/>
      <c r="D96" s="2187"/>
      <c r="E96" s="2187"/>
      <c r="F96" s="2187"/>
      <c r="G96" s="2187"/>
      <c r="H96" s="2187"/>
    </row>
    <row r="97" spans="1:8" x14ac:dyDescent="0.2">
      <c r="A97" s="2188" t="s">
        <v>970</v>
      </c>
      <c r="B97" s="2187"/>
      <c r="C97" s="2187"/>
      <c r="D97" s="2187"/>
      <c r="E97" s="2187"/>
      <c r="F97" s="2187"/>
      <c r="G97" s="2187"/>
      <c r="H97" s="2187"/>
    </row>
    <row r="98" spans="1:8" x14ac:dyDescent="0.2">
      <c r="A98" s="2188" t="s">
        <v>971</v>
      </c>
      <c r="B98" s="2187"/>
      <c r="C98" s="2187"/>
      <c r="D98" s="2187"/>
      <c r="E98" s="2187"/>
      <c r="F98" s="2187"/>
      <c r="G98" s="2187"/>
      <c r="H98" s="2187"/>
    </row>
    <row r="99" spans="1:8" x14ac:dyDescent="0.2">
      <c r="A99" s="2188" t="s">
        <v>972</v>
      </c>
      <c r="B99" s="2187"/>
      <c r="C99" s="2187"/>
      <c r="D99" s="2187"/>
      <c r="E99" s="2187"/>
      <c r="F99" s="2187"/>
      <c r="G99" s="2187"/>
      <c r="H99" s="2187"/>
    </row>
    <row r="100" spans="1:8" x14ac:dyDescent="0.2">
      <c r="A100" s="2188" t="s">
        <v>973</v>
      </c>
      <c r="B100" s="2187"/>
      <c r="C100" s="2187"/>
      <c r="D100" s="2187"/>
      <c r="E100" s="2187"/>
      <c r="F100" s="2187"/>
      <c r="G100" s="2187"/>
      <c r="H100" s="2187"/>
    </row>
    <row r="101" spans="1:8" x14ac:dyDescent="0.2">
      <c r="A101" s="2188" t="s">
        <v>974</v>
      </c>
      <c r="B101" s="2187"/>
      <c r="C101" s="2187"/>
      <c r="D101" s="2187"/>
      <c r="E101" s="2187"/>
      <c r="F101" s="2187"/>
      <c r="G101" s="2187"/>
      <c r="H101" s="2187"/>
    </row>
    <row r="102" spans="1:8" x14ac:dyDescent="0.2">
      <c r="A102" s="2188" t="s">
        <v>975</v>
      </c>
      <c r="B102" s="2187"/>
      <c r="C102" s="2187"/>
      <c r="D102" s="2187"/>
      <c r="E102" s="2187"/>
      <c r="F102" s="2187"/>
      <c r="G102" s="2187"/>
      <c r="H102" s="2187"/>
    </row>
    <row r="103" spans="1:8" x14ac:dyDescent="0.2">
      <c r="A103" s="2188" t="s">
        <v>976</v>
      </c>
      <c r="B103" s="2187"/>
      <c r="C103" s="2187"/>
      <c r="D103" s="2187"/>
      <c r="E103" s="2187"/>
      <c r="F103" s="2187"/>
      <c r="G103" s="2187"/>
      <c r="H103" s="2187"/>
    </row>
    <row r="104" spans="1:8" x14ac:dyDescent="0.2">
      <c r="A104" s="2187"/>
      <c r="B104" s="2187"/>
      <c r="C104" s="2187"/>
      <c r="D104" s="2187"/>
      <c r="E104" s="2187"/>
      <c r="F104" s="2187"/>
      <c r="G104" s="2187"/>
      <c r="H104" s="2187"/>
    </row>
    <row r="105" spans="1:8" ht="15.75" x14ac:dyDescent="0.2">
      <c r="A105" s="2190" t="s">
        <v>750</v>
      </c>
      <c r="B105" s="2190"/>
      <c r="C105" s="2190"/>
      <c r="D105" s="2190"/>
      <c r="E105" s="2190"/>
      <c r="F105" s="2190"/>
      <c r="G105" s="2190"/>
      <c r="H105" s="2190"/>
    </row>
    <row r="106" spans="1:8" x14ac:dyDescent="0.2">
      <c r="A106" s="2191" t="s">
        <v>751</v>
      </c>
      <c r="B106" s="2191"/>
      <c r="C106" s="2191"/>
      <c r="D106" s="2191"/>
      <c r="E106" s="2191"/>
      <c r="F106" s="2191"/>
      <c r="G106" s="2191"/>
      <c r="H106" s="2191"/>
    </row>
    <row r="107" spans="1:8" x14ac:dyDescent="0.2">
      <c r="A107" s="2192"/>
      <c r="B107" s="2192"/>
      <c r="C107" s="2192"/>
      <c r="D107" s="2192"/>
      <c r="E107" s="2192"/>
      <c r="F107" s="2192"/>
      <c r="G107" s="2192"/>
      <c r="H107" s="2192"/>
    </row>
    <row r="108" spans="1:8" x14ac:dyDescent="0.2">
      <c r="A108" s="2191" t="s">
        <v>966</v>
      </c>
      <c r="B108" s="2191"/>
      <c r="C108" s="2191"/>
      <c r="D108" s="2191"/>
      <c r="E108" s="2191"/>
      <c r="F108" s="2191"/>
      <c r="G108" s="2191"/>
      <c r="H108" s="2191"/>
    </row>
    <row r="109" spans="1:8" x14ac:dyDescent="0.2">
      <c r="A109" s="2188" t="s">
        <v>967</v>
      </c>
      <c r="B109" s="2188"/>
      <c r="C109" s="2188"/>
      <c r="D109" s="2188"/>
      <c r="E109" s="2188"/>
      <c r="F109" s="2188"/>
      <c r="G109" s="2188"/>
      <c r="H109" s="2188"/>
    </row>
    <row r="110" spans="1:8" x14ac:dyDescent="0.2">
      <c r="A110" s="2192"/>
      <c r="B110" s="2192"/>
      <c r="C110" s="2192"/>
      <c r="D110" s="2192"/>
      <c r="E110" s="2192"/>
      <c r="F110" s="2192"/>
      <c r="G110" s="2192"/>
      <c r="H110" s="2192"/>
    </row>
    <row r="111" spans="1:8" x14ac:dyDescent="0.2">
      <c r="A111" s="2191" t="s">
        <v>959</v>
      </c>
      <c r="B111" s="2191"/>
      <c r="C111" s="2191"/>
      <c r="D111" s="2191"/>
      <c r="E111" s="2191"/>
      <c r="F111" s="2191"/>
      <c r="G111" s="2191"/>
      <c r="H111" s="2191"/>
    </row>
    <row r="112" spans="1:8" x14ac:dyDescent="0.2">
      <c r="A112" s="2188" t="s">
        <v>960</v>
      </c>
      <c r="B112" s="2188"/>
      <c r="C112" s="2188"/>
      <c r="D112" s="2188"/>
      <c r="E112" s="2188"/>
      <c r="F112" s="2188"/>
      <c r="G112" s="2188"/>
      <c r="H112" s="2188"/>
    </row>
    <row r="113" spans="1:8" x14ac:dyDescent="0.2">
      <c r="A113" s="2188" t="s">
        <v>961</v>
      </c>
      <c r="B113" s="2188"/>
      <c r="C113" s="2188"/>
      <c r="D113" s="2188"/>
      <c r="E113" s="2188"/>
      <c r="F113" s="2188"/>
      <c r="G113" s="2188"/>
      <c r="H113" s="2188"/>
    </row>
    <row r="114" spans="1:8" x14ac:dyDescent="0.2">
      <c r="A114" s="2188" t="s">
        <v>962</v>
      </c>
      <c r="B114" s="2188"/>
      <c r="C114" s="2188"/>
      <c r="D114" s="2188"/>
      <c r="E114" s="2188"/>
      <c r="F114" s="2188"/>
      <c r="G114" s="2188"/>
      <c r="H114" s="2188"/>
    </row>
    <row r="115" spans="1:8" x14ac:dyDescent="0.2">
      <c r="A115" s="2188" t="s">
        <v>963</v>
      </c>
      <c r="B115" s="2188"/>
      <c r="C115" s="2188"/>
      <c r="D115" s="2188"/>
      <c r="E115" s="2188"/>
      <c r="F115" s="2188"/>
      <c r="G115" s="2188"/>
      <c r="H115" s="2188"/>
    </row>
    <row r="116" spans="1:8" x14ac:dyDescent="0.2">
      <c r="A116" s="2188" t="s">
        <v>964</v>
      </c>
      <c r="B116" s="2188"/>
      <c r="C116" s="2188"/>
      <c r="D116" s="2188"/>
      <c r="E116" s="2188"/>
      <c r="F116" s="2188"/>
      <c r="G116" s="2188"/>
      <c r="H116" s="2188"/>
    </row>
    <row r="117" spans="1:8" x14ac:dyDescent="0.2">
      <c r="A117" s="2188" t="s">
        <v>965</v>
      </c>
      <c r="B117" s="2188"/>
      <c r="C117" s="2188"/>
      <c r="D117" s="2188"/>
      <c r="E117" s="2188"/>
      <c r="F117" s="2188"/>
      <c r="G117" s="2188"/>
      <c r="H117" s="2188"/>
    </row>
    <row r="118" spans="1:8" x14ac:dyDescent="0.2">
      <c r="A118" s="2193"/>
      <c r="B118" s="2193"/>
      <c r="C118" s="2193"/>
      <c r="D118" s="2193"/>
      <c r="E118" s="2193"/>
      <c r="F118" s="2193"/>
      <c r="G118" s="2193"/>
      <c r="H118" s="2193"/>
    </row>
    <row r="119" spans="1:8" x14ac:dyDescent="0.2">
      <c r="A119" s="2194"/>
      <c r="B119" s="2195" t="s">
        <v>752</v>
      </c>
      <c r="C119" s="2196"/>
      <c r="D119" s="2195" t="s">
        <v>753</v>
      </c>
      <c r="E119" s="2197"/>
      <c r="F119" s="2196"/>
      <c r="G119" s="2195" t="s">
        <v>754</v>
      </c>
      <c r="H119" s="2196"/>
    </row>
    <row r="120" spans="1:8" x14ac:dyDescent="0.2">
      <c r="A120" s="2194" t="s">
        <v>755</v>
      </c>
      <c r="B120" s="2194" t="s">
        <v>320</v>
      </c>
      <c r="C120" s="2194" t="s">
        <v>504</v>
      </c>
      <c r="D120" s="2194" t="s">
        <v>320</v>
      </c>
      <c r="E120" s="2194" t="s">
        <v>756</v>
      </c>
      <c r="F120" s="2194" t="s">
        <v>757</v>
      </c>
      <c r="G120" s="2194" t="s">
        <v>320</v>
      </c>
      <c r="H120" s="2194" t="s">
        <v>758</v>
      </c>
    </row>
    <row r="121" spans="1:8" x14ac:dyDescent="0.2">
      <c r="A121" s="2194" t="s">
        <v>759</v>
      </c>
      <c r="B121" s="2194">
        <v>1175</v>
      </c>
      <c r="C121" s="2198">
        <v>0.37</v>
      </c>
      <c r="D121" s="2194">
        <v>315</v>
      </c>
      <c r="E121" s="2198">
        <v>0.41</v>
      </c>
      <c r="F121" s="2198">
        <v>0.27</v>
      </c>
      <c r="G121" s="2194">
        <v>555</v>
      </c>
      <c r="H121" s="2198">
        <v>0.39</v>
      </c>
    </row>
    <row r="122" spans="1:8" x14ac:dyDescent="0.2">
      <c r="A122" s="2194" t="s">
        <v>760</v>
      </c>
      <c r="B122" s="2194">
        <v>1369</v>
      </c>
      <c r="C122" s="2198">
        <v>0.43</v>
      </c>
      <c r="D122" s="2194">
        <v>357</v>
      </c>
      <c r="E122" s="2198">
        <v>0.47</v>
      </c>
      <c r="F122" s="2198">
        <v>0.26</v>
      </c>
      <c r="G122" s="2194">
        <v>643</v>
      </c>
      <c r="H122" s="2198">
        <v>0.45</v>
      </c>
    </row>
    <row r="123" spans="1:8" x14ac:dyDescent="0.2">
      <c r="A123" s="2194" t="s">
        <v>761</v>
      </c>
      <c r="B123" s="2194">
        <v>53</v>
      </c>
      <c r="C123" s="2198">
        <v>0.02</v>
      </c>
      <c r="D123" s="2194">
        <v>5</v>
      </c>
      <c r="E123" s="2198">
        <v>0.01</v>
      </c>
      <c r="F123" s="2198">
        <v>0.09</v>
      </c>
      <c r="G123" s="2194">
        <v>7</v>
      </c>
      <c r="H123" s="2198">
        <v>0</v>
      </c>
    </row>
    <row r="124" spans="1:8" x14ac:dyDescent="0.2">
      <c r="A124" s="2194" t="s">
        <v>762</v>
      </c>
      <c r="B124" s="2194">
        <v>552</v>
      </c>
      <c r="C124" s="2198">
        <v>0.18</v>
      </c>
      <c r="D124" s="2194">
        <v>87</v>
      </c>
      <c r="E124" s="2198">
        <v>0.11</v>
      </c>
      <c r="F124" s="2198">
        <v>0.16</v>
      </c>
      <c r="G124" s="2194">
        <v>222</v>
      </c>
      <c r="H124" s="2198">
        <v>0.16</v>
      </c>
    </row>
    <row r="125" spans="1:8" x14ac:dyDescent="0.2">
      <c r="A125" s="2194" t="s">
        <v>84</v>
      </c>
      <c r="B125" s="2199">
        <v>3149</v>
      </c>
      <c r="C125" s="2194"/>
      <c r="D125" s="2194">
        <v>764</v>
      </c>
      <c r="E125" s="2194"/>
      <c r="F125" s="2194"/>
      <c r="G125" s="2194">
        <v>1427</v>
      </c>
      <c r="H125" s="2194"/>
    </row>
    <row r="126" spans="1:8" x14ac:dyDescent="0.2">
      <c r="A126" s="2200"/>
      <c r="B126" s="2200"/>
      <c r="C126" s="2200"/>
      <c r="D126" s="2200"/>
      <c r="E126" s="2200"/>
      <c r="F126" s="2200"/>
      <c r="G126" s="2200"/>
      <c r="H126" s="2200"/>
    </row>
    <row r="127" spans="1:8" x14ac:dyDescent="0.2">
      <c r="A127" s="2191" t="s">
        <v>955</v>
      </c>
      <c r="B127" s="2191"/>
      <c r="C127" s="2191"/>
      <c r="D127" s="2191"/>
      <c r="E127" s="2191"/>
      <c r="F127" s="2191"/>
      <c r="G127" s="2191"/>
      <c r="H127" s="2191"/>
    </row>
    <row r="128" spans="1:8" x14ac:dyDescent="0.2">
      <c r="A128" s="2188" t="s">
        <v>956</v>
      </c>
      <c r="B128" s="2188"/>
      <c r="C128" s="2188"/>
      <c r="D128" s="2188"/>
      <c r="E128" s="2188"/>
      <c r="F128" s="2188"/>
      <c r="G128" s="2188"/>
      <c r="H128" s="2188"/>
    </row>
    <row r="129" spans="1:8" x14ac:dyDescent="0.2">
      <c r="A129" s="2188" t="s">
        <v>957</v>
      </c>
      <c r="B129" s="2188"/>
      <c r="C129" s="2188"/>
      <c r="D129" s="2188"/>
      <c r="E129" s="2188"/>
      <c r="F129" s="2188"/>
      <c r="G129" s="2188"/>
      <c r="H129" s="2188"/>
    </row>
    <row r="130" spans="1:8" x14ac:dyDescent="0.2">
      <c r="A130" s="2188" t="s">
        <v>958</v>
      </c>
      <c r="B130" s="2188"/>
      <c r="C130" s="2188"/>
      <c r="D130" s="2188"/>
      <c r="E130" s="2188"/>
      <c r="F130" s="2188"/>
      <c r="G130" s="2188"/>
      <c r="H130" s="2188"/>
    </row>
    <row r="131" spans="1:8" x14ac:dyDescent="0.2">
      <c r="A131" s="2187"/>
      <c r="B131" s="2187"/>
      <c r="C131" s="2187"/>
      <c r="D131" s="2187"/>
      <c r="E131" s="2187"/>
      <c r="F131" s="2187"/>
      <c r="G131" s="2187"/>
      <c r="H131" s="2187"/>
    </row>
    <row r="132" spans="1:8" ht="15.75" x14ac:dyDescent="0.2">
      <c r="A132" s="2189" t="s">
        <v>763</v>
      </c>
      <c r="B132" s="2187"/>
      <c r="C132" s="2187"/>
      <c r="D132" s="2187"/>
      <c r="E132" s="2187"/>
      <c r="F132" s="2187"/>
      <c r="G132" s="2187"/>
      <c r="H132" s="2187"/>
    </row>
    <row r="133" spans="1:8" x14ac:dyDescent="0.2">
      <c r="A133" s="2187"/>
      <c r="B133" s="2187"/>
      <c r="C133" s="2187"/>
      <c r="D133" s="2187"/>
      <c r="E133" s="2187"/>
      <c r="F133" s="2187"/>
      <c r="G133" s="2187"/>
      <c r="H133" s="2187"/>
    </row>
    <row r="134" spans="1:8" x14ac:dyDescent="0.2">
      <c r="A134" s="2188" t="s">
        <v>953</v>
      </c>
      <c r="B134" s="2187"/>
      <c r="C134" s="2187"/>
      <c r="D134" s="2187"/>
      <c r="E134" s="2187"/>
      <c r="F134" s="2187"/>
      <c r="G134" s="2187"/>
      <c r="H134" s="2187"/>
    </row>
    <row r="135" spans="1:8" x14ac:dyDescent="0.2">
      <c r="A135" s="2188" t="s">
        <v>954</v>
      </c>
      <c r="B135" s="2187"/>
      <c r="C135" s="2187"/>
      <c r="D135" s="2187"/>
      <c r="E135" s="2187"/>
      <c r="F135" s="2187"/>
      <c r="G135" s="2187"/>
      <c r="H135" s="2187"/>
    </row>
    <row r="136" spans="1:8" x14ac:dyDescent="0.2">
      <c r="A136" s="2187"/>
      <c r="B136" s="2187"/>
      <c r="C136" s="2187"/>
      <c r="D136" s="2187"/>
      <c r="E136" s="2187"/>
      <c r="F136" s="2187"/>
      <c r="G136" s="2187"/>
      <c r="H136" s="2187"/>
    </row>
    <row r="137" spans="1:8" x14ac:dyDescent="0.2">
      <c r="A137" s="2188" t="s">
        <v>950</v>
      </c>
      <c r="B137" s="2187"/>
      <c r="C137" s="2187"/>
      <c r="D137" s="2187"/>
      <c r="E137" s="2187"/>
      <c r="F137" s="2187"/>
      <c r="G137" s="2187"/>
      <c r="H137" s="2187"/>
    </row>
    <row r="138" spans="1:8" x14ac:dyDescent="0.2">
      <c r="A138" s="2188" t="s">
        <v>951</v>
      </c>
      <c r="B138" s="2187"/>
      <c r="C138" s="2187"/>
      <c r="D138" s="2187"/>
      <c r="E138" s="2187"/>
      <c r="F138" s="2187"/>
      <c r="G138" s="2187"/>
      <c r="H138" s="2187"/>
    </row>
    <row r="139" spans="1:8" x14ac:dyDescent="0.2">
      <c r="A139" s="2188" t="s">
        <v>952</v>
      </c>
      <c r="B139" s="2187"/>
      <c r="C139" s="2187"/>
      <c r="D139" s="2187"/>
      <c r="E139" s="2187"/>
      <c r="F139" s="2187"/>
      <c r="G139" s="2187"/>
      <c r="H139" s="2187"/>
    </row>
    <row r="140" spans="1:8" x14ac:dyDescent="0.2">
      <c r="A140" s="2187"/>
      <c r="B140" s="2187"/>
      <c r="C140" s="2187"/>
      <c r="D140" s="2187"/>
      <c r="E140" s="2187"/>
      <c r="F140" s="2187"/>
      <c r="G140" s="2187"/>
      <c r="H140" s="2187"/>
    </row>
    <row r="141" spans="1:8" x14ac:dyDescent="0.2">
      <c r="A141" s="2188" t="s">
        <v>947</v>
      </c>
      <c r="B141" s="2187"/>
      <c r="C141" s="2187"/>
      <c r="D141" s="2187"/>
      <c r="E141" s="2187"/>
      <c r="F141" s="2187"/>
      <c r="G141" s="2187"/>
      <c r="H141" s="2187"/>
    </row>
    <row r="142" spans="1:8" x14ac:dyDescent="0.2">
      <c r="A142" s="2188" t="s">
        <v>948</v>
      </c>
      <c r="B142" s="2187"/>
      <c r="C142" s="2187"/>
      <c r="D142" s="2187"/>
      <c r="E142" s="2187"/>
      <c r="F142" s="2187"/>
      <c r="G142" s="2187"/>
      <c r="H142" s="2187"/>
    </row>
    <row r="143" spans="1:8" x14ac:dyDescent="0.2">
      <c r="A143" s="2188" t="s">
        <v>949</v>
      </c>
      <c r="B143" s="2187"/>
      <c r="C143" s="2187"/>
      <c r="D143" s="2187"/>
      <c r="E143" s="2187"/>
      <c r="F143" s="2187"/>
      <c r="G143" s="2187"/>
      <c r="H143" s="2187"/>
    </row>
    <row r="144" spans="1:8" x14ac:dyDescent="0.2">
      <c r="A144" s="2187"/>
      <c r="B144" s="2187"/>
      <c r="C144" s="2187"/>
      <c r="D144" s="2187"/>
      <c r="E144" s="2187"/>
      <c r="F144" s="2187"/>
      <c r="G144" s="2187"/>
      <c r="H144" s="2187"/>
    </row>
    <row r="145" spans="1:8" x14ac:dyDescent="0.2">
      <c r="A145" s="2188" t="s">
        <v>944</v>
      </c>
      <c r="B145" s="2187"/>
      <c r="C145" s="2187"/>
      <c r="D145" s="2187"/>
      <c r="E145" s="2187"/>
      <c r="F145" s="2187"/>
      <c r="G145" s="2187"/>
      <c r="H145" s="2187"/>
    </row>
    <row r="146" spans="1:8" x14ac:dyDescent="0.2">
      <c r="A146" s="2188" t="s">
        <v>945</v>
      </c>
      <c r="B146" s="2187"/>
      <c r="C146" s="2187"/>
      <c r="D146" s="2187"/>
      <c r="E146" s="2187"/>
      <c r="F146" s="2187"/>
      <c r="G146" s="2187"/>
      <c r="H146" s="2187"/>
    </row>
    <row r="147" spans="1:8" x14ac:dyDescent="0.2">
      <c r="A147" s="2188" t="s">
        <v>946</v>
      </c>
      <c r="B147" s="2187"/>
      <c r="C147" s="2187"/>
      <c r="D147" s="2187"/>
      <c r="E147" s="2187"/>
      <c r="F147" s="2187"/>
      <c r="G147" s="2187"/>
      <c r="H147" s="2187"/>
    </row>
    <row r="148" spans="1:8" x14ac:dyDescent="0.2">
      <c r="A148" s="2187"/>
      <c r="B148" s="2187"/>
      <c r="C148" s="2187"/>
      <c r="D148" s="2187"/>
      <c r="E148" s="2187"/>
      <c r="F148" s="2187"/>
      <c r="G148" s="2187"/>
      <c r="H148" s="2187"/>
    </row>
    <row r="149" spans="1:8" x14ac:dyDescent="0.2">
      <c r="A149" s="2188" t="s">
        <v>942</v>
      </c>
      <c r="B149" s="2187"/>
      <c r="C149" s="2187"/>
      <c r="D149" s="2187"/>
      <c r="E149" s="2187"/>
      <c r="F149" s="2187"/>
      <c r="G149" s="2187"/>
      <c r="H149" s="2187"/>
    </row>
    <row r="150" spans="1:8" x14ac:dyDescent="0.2">
      <c r="A150" s="2188" t="s">
        <v>943</v>
      </c>
      <c r="B150" s="2187"/>
      <c r="C150" s="2187"/>
      <c r="D150" s="2187"/>
      <c r="E150" s="2187"/>
      <c r="F150" s="2187"/>
      <c r="G150" s="2187"/>
      <c r="H150" s="2187"/>
    </row>
    <row r="151" spans="1:8" x14ac:dyDescent="0.2">
      <c r="A151" s="2187"/>
      <c r="B151" s="2187"/>
      <c r="C151" s="2187"/>
      <c r="D151" s="2187"/>
      <c r="E151" s="2187"/>
      <c r="F151" s="2187"/>
      <c r="G151" s="2187"/>
      <c r="H151" s="2187"/>
    </row>
    <row r="152" spans="1:8" ht="15.75" x14ac:dyDescent="0.2">
      <c r="A152" s="2189" t="s">
        <v>764</v>
      </c>
      <c r="B152" s="2187"/>
      <c r="C152" s="2187"/>
      <c r="D152" s="2187"/>
      <c r="E152" s="2187"/>
      <c r="F152" s="2187"/>
      <c r="G152" s="2187"/>
      <c r="H152" s="2187"/>
    </row>
    <row r="153" spans="1:8" x14ac:dyDescent="0.2">
      <c r="A153" s="2187"/>
      <c r="B153" s="2187"/>
      <c r="C153" s="2187"/>
      <c r="D153" s="2187"/>
      <c r="E153" s="2187"/>
      <c r="F153" s="2187"/>
      <c r="G153" s="2187"/>
      <c r="H153" s="2187"/>
    </row>
    <row r="154" spans="1:8" x14ac:dyDescent="0.2">
      <c r="A154" s="2188" t="s">
        <v>940</v>
      </c>
      <c r="B154" s="2187"/>
      <c r="C154" s="2187"/>
      <c r="D154" s="2187"/>
      <c r="E154" s="2187"/>
      <c r="F154" s="2187"/>
      <c r="G154" s="2187"/>
      <c r="H154" s="2187"/>
    </row>
    <row r="155" spans="1:8" x14ac:dyDescent="0.2">
      <c r="A155" s="2188" t="s">
        <v>941</v>
      </c>
      <c r="B155" s="2187"/>
      <c r="C155" s="2187"/>
      <c r="D155" s="2187"/>
      <c r="E155" s="2187"/>
      <c r="F155" s="2187"/>
      <c r="G155" s="2187"/>
      <c r="H155" s="2187"/>
    </row>
    <row r="156" spans="1:8" x14ac:dyDescent="0.2">
      <c r="A156" s="2187"/>
      <c r="B156" s="2187"/>
      <c r="C156" s="2187"/>
      <c r="D156" s="2187"/>
      <c r="E156" s="2187"/>
      <c r="F156" s="2187"/>
      <c r="G156" s="2187"/>
      <c r="H156" s="2187"/>
    </row>
    <row r="157" spans="1:8" x14ac:dyDescent="0.2">
      <c r="A157" s="2188" t="s">
        <v>938</v>
      </c>
      <c r="B157" s="2187"/>
      <c r="C157" s="2187"/>
      <c r="D157" s="2187"/>
      <c r="E157" s="2187"/>
      <c r="F157" s="2187"/>
      <c r="G157" s="2187"/>
      <c r="H157" s="2187"/>
    </row>
    <row r="158" spans="1:8" x14ac:dyDescent="0.2">
      <c r="A158" s="2188" t="s">
        <v>939</v>
      </c>
      <c r="B158" s="2187"/>
      <c r="C158" s="2187"/>
      <c r="D158" s="2187"/>
      <c r="E158" s="2187"/>
      <c r="F158" s="2187"/>
      <c r="G158" s="2187"/>
      <c r="H158" s="2187"/>
    </row>
    <row r="159" spans="1:8" x14ac:dyDescent="0.2">
      <c r="A159" s="2187"/>
      <c r="B159" s="2187"/>
      <c r="C159" s="2187"/>
      <c r="D159" s="2187"/>
      <c r="E159" s="2187"/>
      <c r="F159" s="2187"/>
      <c r="G159" s="2187"/>
      <c r="H159" s="2187"/>
    </row>
    <row r="160" spans="1:8" x14ac:dyDescent="0.2">
      <c r="A160" s="2188" t="s">
        <v>936</v>
      </c>
      <c r="B160" s="2187"/>
      <c r="C160" s="2187"/>
      <c r="D160" s="2187"/>
      <c r="E160" s="2187"/>
      <c r="F160" s="2187"/>
      <c r="G160" s="2187"/>
      <c r="H160" s="2187"/>
    </row>
    <row r="161" spans="1:8" x14ac:dyDescent="0.2">
      <c r="A161" s="2188" t="s">
        <v>937</v>
      </c>
      <c r="B161" s="2187"/>
      <c r="C161" s="2187"/>
      <c r="D161" s="2187"/>
      <c r="E161" s="2187"/>
      <c r="F161" s="2187"/>
      <c r="G161" s="2187"/>
      <c r="H161" s="2187"/>
    </row>
    <row r="162" spans="1:8" x14ac:dyDescent="0.2">
      <c r="A162" s="2187"/>
      <c r="B162" s="2187"/>
      <c r="C162" s="2187"/>
      <c r="D162" s="2187"/>
      <c r="E162" s="2187"/>
      <c r="F162" s="2187"/>
      <c r="G162" s="2187"/>
      <c r="H162" s="2187"/>
    </row>
    <row r="163" spans="1:8" x14ac:dyDescent="0.2">
      <c r="A163" s="2188" t="s">
        <v>933</v>
      </c>
      <c r="B163" s="2187"/>
      <c r="C163" s="2187"/>
      <c r="D163" s="2187"/>
      <c r="E163" s="2187"/>
      <c r="F163" s="2187"/>
      <c r="G163" s="2187"/>
      <c r="H163" s="2187"/>
    </row>
    <row r="164" spans="1:8" x14ac:dyDescent="0.2">
      <c r="A164" s="2188" t="s">
        <v>934</v>
      </c>
      <c r="B164" s="2187"/>
      <c r="C164" s="2187"/>
      <c r="D164" s="2187"/>
      <c r="E164" s="2187"/>
      <c r="F164" s="2187"/>
      <c r="G164" s="2187"/>
      <c r="H164" s="2187"/>
    </row>
    <row r="165" spans="1:8" x14ac:dyDescent="0.2">
      <c r="A165" s="2188" t="s">
        <v>935</v>
      </c>
      <c r="B165" s="2187"/>
      <c r="C165" s="2187"/>
      <c r="D165" s="2187"/>
      <c r="E165" s="2187"/>
      <c r="F165" s="2187"/>
      <c r="G165" s="2187"/>
      <c r="H165" s="2187"/>
    </row>
    <row r="166" spans="1:8" x14ac:dyDescent="0.2">
      <c r="A166" s="2187"/>
      <c r="B166" s="2187"/>
      <c r="C166" s="2187"/>
      <c r="D166" s="2187"/>
      <c r="E166" s="2187"/>
      <c r="F166" s="2187"/>
      <c r="G166" s="2187"/>
      <c r="H166" s="2187"/>
    </row>
    <row r="167" spans="1:8" x14ac:dyDescent="0.2">
      <c r="A167" s="2187"/>
      <c r="B167" s="2187"/>
      <c r="C167" s="2187"/>
      <c r="D167" s="2187"/>
      <c r="E167" s="2187"/>
      <c r="F167" s="2187"/>
      <c r="G167" s="2187"/>
      <c r="H167" s="2187"/>
    </row>
    <row r="168" spans="1:8" x14ac:dyDescent="0.2">
      <c r="A168" s="2188" t="s">
        <v>765</v>
      </c>
      <c r="B168" s="2187"/>
      <c r="C168" s="2187"/>
      <c r="D168" s="2187"/>
      <c r="E168" s="2187"/>
      <c r="F168" s="2187"/>
      <c r="G168" s="2187"/>
      <c r="H168" s="2187"/>
    </row>
    <row r="169" spans="1:8" x14ac:dyDescent="0.2">
      <c r="A169" s="2187"/>
      <c r="B169" s="2187"/>
      <c r="C169" s="2187"/>
      <c r="D169" s="2187"/>
      <c r="E169" s="2187"/>
      <c r="F169" s="2187"/>
      <c r="G169" s="2187"/>
      <c r="H169" s="2187"/>
    </row>
    <row r="170" spans="1:8" ht="15.75" x14ac:dyDescent="0.2">
      <c r="A170" s="2189" t="s">
        <v>766</v>
      </c>
      <c r="B170" s="2187"/>
      <c r="C170" s="2187"/>
      <c r="D170" s="2187"/>
      <c r="E170" s="2187"/>
      <c r="F170" s="2187"/>
      <c r="G170" s="2187"/>
      <c r="H170" s="2187"/>
    </row>
    <row r="171" spans="1:8" x14ac:dyDescent="0.2">
      <c r="A171" s="2187"/>
      <c r="B171" s="2187"/>
      <c r="C171" s="2187"/>
      <c r="D171" s="2187"/>
      <c r="E171" s="2187"/>
      <c r="F171" s="2187"/>
      <c r="G171" s="2187"/>
      <c r="H171" s="2187"/>
    </row>
    <row r="172" spans="1:8" x14ac:dyDescent="0.2">
      <c r="A172" s="2187"/>
      <c r="B172" s="2187"/>
      <c r="C172" s="2187"/>
      <c r="D172" s="2187"/>
      <c r="E172" s="2187"/>
      <c r="F172" s="2187"/>
      <c r="G172" s="2187"/>
      <c r="H172" s="2187"/>
    </row>
    <row r="173" spans="1:8" x14ac:dyDescent="0.2">
      <c r="A173" s="2187"/>
      <c r="B173" s="2187"/>
      <c r="C173" s="2187"/>
      <c r="D173" s="2187"/>
      <c r="E173" s="2187"/>
      <c r="F173" s="2187"/>
      <c r="G173" s="2187"/>
      <c r="H173" s="2187"/>
    </row>
    <row r="174" spans="1:8" x14ac:dyDescent="0.2">
      <c r="A174" s="2187"/>
      <c r="B174" s="2187"/>
      <c r="C174" s="2187"/>
      <c r="D174" s="2187"/>
      <c r="E174" s="2187"/>
      <c r="F174" s="2187"/>
      <c r="G174" s="2187"/>
      <c r="H174" s="2187"/>
    </row>
    <row r="175" spans="1:8" x14ac:dyDescent="0.2">
      <c r="A175" s="2187"/>
      <c r="B175" s="2187"/>
      <c r="C175" s="2187"/>
      <c r="D175" s="2187"/>
      <c r="E175" s="2187"/>
      <c r="F175" s="2187"/>
      <c r="G175" s="2187"/>
      <c r="H175" s="2187"/>
    </row>
    <row r="176" spans="1:8" x14ac:dyDescent="0.2">
      <c r="A176" s="2187"/>
      <c r="B176" s="2187"/>
      <c r="C176" s="2187"/>
      <c r="D176" s="2187"/>
      <c r="E176" s="2187"/>
      <c r="F176" s="2187"/>
      <c r="G176" s="2187"/>
      <c r="H176" s="2187"/>
    </row>
    <row r="177" spans="1:8" x14ac:dyDescent="0.2">
      <c r="A177" s="2187"/>
      <c r="B177" s="2187"/>
      <c r="C177" s="2187"/>
      <c r="D177" s="2187"/>
      <c r="E177" s="2187"/>
      <c r="F177" s="2187"/>
      <c r="G177" s="2187"/>
      <c r="H177" s="2187"/>
    </row>
    <row r="178" spans="1:8" x14ac:dyDescent="0.2">
      <c r="A178" s="2187"/>
      <c r="B178" s="2187"/>
      <c r="C178" s="2187"/>
      <c r="D178" s="2187"/>
      <c r="E178" s="2187"/>
      <c r="F178" s="2187"/>
      <c r="G178" s="2187"/>
      <c r="H178" s="2187"/>
    </row>
    <row r="179" spans="1:8" x14ac:dyDescent="0.2">
      <c r="A179" s="2187"/>
      <c r="B179" s="2187"/>
      <c r="C179" s="2187"/>
      <c r="D179" s="2187"/>
      <c r="E179" s="2187"/>
      <c r="F179" s="2187"/>
      <c r="G179" s="2187"/>
      <c r="H179" s="2187"/>
    </row>
    <row r="180" spans="1:8" x14ac:dyDescent="0.2">
      <c r="A180" s="2187"/>
      <c r="B180" s="2187"/>
      <c r="C180" s="2187"/>
      <c r="D180" s="2187"/>
      <c r="E180" s="2187"/>
      <c r="F180" s="2187"/>
      <c r="G180" s="2187"/>
      <c r="H180" s="2187"/>
    </row>
    <row r="181" spans="1:8" x14ac:dyDescent="0.2">
      <c r="A181" s="2187"/>
      <c r="B181" s="2187"/>
      <c r="C181" s="2187"/>
      <c r="D181" s="2187"/>
      <c r="E181" s="2187"/>
      <c r="F181" s="2187"/>
      <c r="G181" s="2187"/>
      <c r="H181" s="2187"/>
    </row>
    <row r="182" spans="1:8" x14ac:dyDescent="0.2">
      <c r="A182" s="2187"/>
      <c r="B182" s="2187"/>
      <c r="C182" s="2187"/>
      <c r="D182" s="2187"/>
      <c r="E182" s="2187"/>
      <c r="F182" s="2187"/>
      <c r="G182" s="2187"/>
      <c r="H182" s="2187"/>
    </row>
    <row r="183" spans="1:8" x14ac:dyDescent="0.2">
      <c r="A183" s="2187"/>
      <c r="B183" s="2187"/>
      <c r="C183" s="2187"/>
      <c r="D183" s="2187"/>
      <c r="E183" s="2187"/>
      <c r="F183" s="2187"/>
      <c r="G183" s="2187"/>
      <c r="H183" s="2187"/>
    </row>
    <row r="184" spans="1:8" x14ac:dyDescent="0.2">
      <c r="A184" s="2187"/>
      <c r="B184" s="2187"/>
      <c r="C184" s="2187"/>
      <c r="D184" s="2187"/>
      <c r="E184" s="2187"/>
      <c r="F184" s="2187"/>
      <c r="G184" s="2187"/>
      <c r="H184" s="2187"/>
    </row>
    <row r="185" spans="1:8" x14ac:dyDescent="0.2">
      <c r="A185" s="2187"/>
      <c r="B185" s="2187"/>
      <c r="C185" s="2187"/>
      <c r="D185" s="2187"/>
      <c r="E185" s="2187"/>
      <c r="F185" s="2187"/>
      <c r="G185" s="2187"/>
      <c r="H185" s="2187"/>
    </row>
    <row r="186" spans="1:8" x14ac:dyDescent="0.2">
      <c r="A186" s="2187"/>
      <c r="B186" s="2187"/>
      <c r="C186" s="2187"/>
      <c r="D186" s="2187"/>
      <c r="E186" s="2187"/>
      <c r="F186" s="2187"/>
      <c r="G186" s="2187"/>
      <c r="H186" s="2187"/>
    </row>
    <row r="187" spans="1:8" x14ac:dyDescent="0.2">
      <c r="A187" s="2187"/>
      <c r="B187" s="2187"/>
      <c r="C187" s="2187"/>
      <c r="D187" s="2187"/>
      <c r="E187" s="2187"/>
      <c r="F187" s="2187"/>
      <c r="G187" s="2187"/>
      <c r="H187" s="2187"/>
    </row>
    <row r="188" spans="1:8" x14ac:dyDescent="0.2">
      <c r="A188" s="2187"/>
      <c r="B188" s="2187"/>
      <c r="C188" s="2187"/>
      <c r="D188" s="2187"/>
      <c r="E188" s="2187"/>
      <c r="F188" s="2187"/>
      <c r="G188" s="2187"/>
      <c r="H188" s="2187"/>
    </row>
    <row r="189" spans="1:8" x14ac:dyDescent="0.2">
      <c r="A189" s="2187"/>
      <c r="B189" s="2187"/>
      <c r="C189" s="2187"/>
      <c r="D189" s="2187"/>
      <c r="E189" s="2187"/>
      <c r="F189" s="2187"/>
      <c r="G189" s="2187"/>
      <c r="H189" s="2187"/>
    </row>
    <row r="190" spans="1:8" x14ac:dyDescent="0.2">
      <c r="A190" s="2187"/>
      <c r="B190" s="2187"/>
      <c r="C190" s="2187"/>
      <c r="D190" s="2187"/>
      <c r="E190" s="2187"/>
      <c r="F190" s="2187"/>
      <c r="G190" s="2187"/>
      <c r="H190" s="2187"/>
    </row>
    <row r="191" spans="1:8" x14ac:dyDescent="0.2">
      <c r="A191" s="2187"/>
      <c r="B191" s="2187"/>
      <c r="C191" s="2187"/>
      <c r="D191" s="2187"/>
      <c r="E191" s="2187"/>
      <c r="F191" s="2187"/>
      <c r="G191" s="2187"/>
      <c r="H191" s="2187"/>
    </row>
    <row r="192" spans="1:8" x14ac:dyDescent="0.2">
      <c r="A192" s="2187"/>
      <c r="B192" s="2187"/>
      <c r="C192" s="2187"/>
      <c r="D192" s="2187"/>
      <c r="E192" s="2187"/>
      <c r="F192" s="2187"/>
      <c r="G192" s="2187"/>
      <c r="H192" s="2187"/>
    </row>
    <row r="193" spans="1:8" x14ac:dyDescent="0.2">
      <c r="A193" s="2187"/>
      <c r="B193" s="2187"/>
      <c r="C193" s="2187"/>
      <c r="D193" s="2187"/>
      <c r="E193" s="2187"/>
      <c r="F193" s="2187"/>
      <c r="G193" s="2187"/>
      <c r="H193" s="2187"/>
    </row>
    <row r="194" spans="1:8" x14ac:dyDescent="0.2">
      <c r="A194" s="2187"/>
      <c r="B194" s="2187"/>
      <c r="C194" s="2187"/>
      <c r="D194" s="2187"/>
      <c r="E194" s="2187"/>
      <c r="F194" s="2187"/>
      <c r="G194" s="2187"/>
      <c r="H194" s="2187"/>
    </row>
    <row r="195" spans="1:8" x14ac:dyDescent="0.2">
      <c r="A195" s="2187"/>
      <c r="B195" s="2187"/>
      <c r="C195" s="2187"/>
      <c r="D195" s="2187"/>
      <c r="E195" s="2187"/>
      <c r="F195" s="2187"/>
      <c r="G195" s="2187"/>
      <c r="H195" s="2187"/>
    </row>
    <row r="196" spans="1:8" x14ac:dyDescent="0.2">
      <c r="A196" s="2187"/>
      <c r="B196" s="2187"/>
      <c r="C196" s="2187"/>
      <c r="D196" s="2187"/>
      <c r="E196" s="2187"/>
      <c r="F196" s="2187"/>
      <c r="G196" s="2187"/>
      <c r="H196" s="2187"/>
    </row>
    <row r="197" spans="1:8" ht="15.75" x14ac:dyDescent="0.2">
      <c r="A197" s="2189" t="s">
        <v>767</v>
      </c>
      <c r="B197" s="2187"/>
      <c r="C197" s="2187"/>
      <c r="D197" s="2187"/>
      <c r="E197" s="2187"/>
      <c r="F197" s="2187"/>
      <c r="G197" s="2187"/>
      <c r="H197" s="2187"/>
    </row>
    <row r="198" spans="1:8" x14ac:dyDescent="0.2">
      <c r="A198" s="2187"/>
      <c r="B198" s="2187"/>
      <c r="C198" s="2187"/>
      <c r="D198" s="2187"/>
      <c r="E198" s="2187"/>
      <c r="F198" s="2187"/>
      <c r="G198" s="2187"/>
      <c r="H198" s="2187"/>
    </row>
    <row r="199" spans="1:8" x14ac:dyDescent="0.2">
      <c r="A199" s="2188" t="s">
        <v>928</v>
      </c>
      <c r="B199" s="2187"/>
      <c r="C199" s="2187"/>
      <c r="D199" s="2187"/>
      <c r="E199" s="2187"/>
      <c r="F199" s="2187"/>
      <c r="G199" s="2187"/>
      <c r="H199" s="2187"/>
    </row>
    <row r="200" spans="1:8" x14ac:dyDescent="0.2">
      <c r="A200" s="2188" t="s">
        <v>929</v>
      </c>
      <c r="B200" s="2187"/>
      <c r="C200" s="2187"/>
      <c r="D200" s="2187"/>
      <c r="E200" s="2187"/>
      <c r="F200" s="2187"/>
      <c r="G200" s="2187"/>
      <c r="H200" s="2187"/>
    </row>
    <row r="201" spans="1:8" x14ac:dyDescent="0.2">
      <c r="A201" s="2188" t="s">
        <v>930</v>
      </c>
      <c r="B201" s="2187"/>
      <c r="C201" s="2187"/>
      <c r="D201" s="2187"/>
      <c r="E201" s="2187"/>
      <c r="F201" s="2187"/>
      <c r="G201" s="2187"/>
      <c r="H201" s="2187"/>
    </row>
    <row r="202" spans="1:8" x14ac:dyDescent="0.2">
      <c r="A202" s="2188" t="s">
        <v>931</v>
      </c>
      <c r="B202" s="2187"/>
      <c r="C202" s="2187"/>
      <c r="D202" s="2187"/>
      <c r="E202" s="2187"/>
      <c r="F202" s="2187"/>
      <c r="G202" s="2187"/>
      <c r="H202" s="2187"/>
    </row>
    <row r="203" spans="1:8" x14ac:dyDescent="0.2">
      <c r="A203" s="2188" t="s">
        <v>932</v>
      </c>
      <c r="B203" s="2187"/>
      <c r="C203" s="2187"/>
      <c r="D203" s="2187"/>
      <c r="E203" s="2187"/>
      <c r="F203" s="2187"/>
      <c r="G203" s="2187"/>
      <c r="H203" s="2187"/>
    </row>
    <row r="204" spans="1:8" x14ac:dyDescent="0.2">
      <c r="A204" s="2187"/>
      <c r="B204" s="2187"/>
      <c r="C204" s="2187"/>
      <c r="D204" s="2187"/>
      <c r="E204" s="2187"/>
      <c r="F204" s="2187"/>
      <c r="G204" s="2187"/>
      <c r="H204" s="2187"/>
    </row>
    <row r="205" spans="1:8" x14ac:dyDescent="0.2">
      <c r="A205" s="2188" t="s">
        <v>925</v>
      </c>
      <c r="B205" s="2187"/>
      <c r="C205" s="2187"/>
      <c r="D205" s="2187"/>
      <c r="E205" s="2187"/>
      <c r="F205" s="2187"/>
      <c r="G205" s="2187"/>
      <c r="H205" s="2187"/>
    </row>
    <row r="206" spans="1:8" x14ac:dyDescent="0.2">
      <c r="A206" s="2188" t="s">
        <v>926</v>
      </c>
      <c r="B206" s="2187"/>
      <c r="C206" s="2187"/>
      <c r="D206" s="2187"/>
      <c r="E206" s="2187"/>
      <c r="F206" s="2187"/>
      <c r="G206" s="2187"/>
      <c r="H206" s="2187"/>
    </row>
    <row r="207" spans="1:8" x14ac:dyDescent="0.2">
      <c r="A207" s="2188" t="s">
        <v>927</v>
      </c>
      <c r="B207" s="2187"/>
      <c r="C207" s="2187"/>
      <c r="D207" s="2187"/>
      <c r="E207" s="2187"/>
      <c r="F207" s="2187"/>
      <c r="G207" s="2187"/>
      <c r="H207" s="2187"/>
    </row>
    <row r="208" spans="1:8" ht="15.75" x14ac:dyDescent="0.2">
      <c r="A208" s="2189" t="s">
        <v>768</v>
      </c>
      <c r="B208" s="2187"/>
      <c r="C208" s="2187"/>
      <c r="D208" s="2187"/>
      <c r="E208" s="2187"/>
      <c r="F208" s="2187"/>
      <c r="G208" s="2187"/>
      <c r="H208" s="2187"/>
    </row>
    <row r="209" spans="1:8" x14ac:dyDescent="0.2">
      <c r="A209" s="2187"/>
      <c r="B209" s="2187"/>
      <c r="C209" s="2187"/>
      <c r="D209" s="2187"/>
      <c r="E209" s="2187"/>
      <c r="F209" s="2187"/>
      <c r="G209" s="2187"/>
      <c r="H209" s="2187"/>
    </row>
    <row r="210" spans="1:8" x14ac:dyDescent="0.2">
      <c r="A210" s="2188" t="s">
        <v>923</v>
      </c>
      <c r="B210" s="2187"/>
      <c r="C210" s="2187"/>
      <c r="D210" s="2187"/>
      <c r="E210" s="2187"/>
      <c r="F210" s="2187"/>
      <c r="G210" s="2187"/>
      <c r="H210" s="2187"/>
    </row>
    <row r="211" spans="1:8" x14ac:dyDescent="0.2">
      <c r="A211" s="2188" t="s">
        <v>924</v>
      </c>
      <c r="B211" s="2187"/>
      <c r="C211" s="2187"/>
      <c r="D211" s="2187"/>
      <c r="E211" s="2187"/>
      <c r="F211" s="2187"/>
      <c r="G211" s="2187"/>
      <c r="H211" s="2187"/>
    </row>
    <row r="212" spans="1:8" x14ac:dyDescent="0.2">
      <c r="A212" s="2187"/>
      <c r="B212" s="2187"/>
      <c r="C212" s="2187"/>
      <c r="D212" s="2187"/>
      <c r="E212" s="2187"/>
      <c r="F212" s="2187"/>
      <c r="G212" s="2187"/>
      <c r="H212" s="2187"/>
    </row>
    <row r="213" spans="1:8" x14ac:dyDescent="0.2">
      <c r="A213" s="2188" t="s">
        <v>916</v>
      </c>
      <c r="B213" s="2187"/>
      <c r="C213" s="2187"/>
      <c r="D213" s="2187"/>
      <c r="E213" s="2187"/>
      <c r="F213" s="2187"/>
      <c r="G213" s="2187"/>
      <c r="H213" s="2187"/>
    </row>
    <row r="214" spans="1:8" x14ac:dyDescent="0.2">
      <c r="A214" s="2188" t="s">
        <v>917</v>
      </c>
      <c r="B214" s="2187"/>
      <c r="C214" s="2187"/>
      <c r="D214" s="2187"/>
      <c r="E214" s="2187"/>
      <c r="F214" s="2187"/>
      <c r="G214" s="2187"/>
      <c r="H214" s="2187"/>
    </row>
    <row r="215" spans="1:8" x14ac:dyDescent="0.2">
      <c r="A215" s="2188" t="s">
        <v>918</v>
      </c>
      <c r="B215" s="2187"/>
      <c r="C215" s="2187"/>
      <c r="D215" s="2187"/>
      <c r="E215" s="2187"/>
      <c r="F215" s="2187"/>
      <c r="G215" s="2187"/>
      <c r="H215" s="2187"/>
    </row>
    <row r="216" spans="1:8" x14ac:dyDescent="0.2">
      <c r="A216" s="2188" t="s">
        <v>919</v>
      </c>
      <c r="B216" s="2187"/>
      <c r="C216" s="2187"/>
      <c r="D216" s="2187"/>
      <c r="E216" s="2187"/>
      <c r="F216" s="2187"/>
      <c r="G216" s="2187"/>
      <c r="H216" s="2187"/>
    </row>
    <row r="217" spans="1:8" x14ac:dyDescent="0.2">
      <c r="A217" s="2188" t="s">
        <v>920</v>
      </c>
      <c r="B217" s="2187"/>
      <c r="C217" s="2187"/>
      <c r="D217" s="2187"/>
      <c r="E217" s="2187"/>
      <c r="F217" s="2187"/>
      <c r="G217" s="2187"/>
      <c r="H217" s="2187"/>
    </row>
    <row r="218" spans="1:8" x14ac:dyDescent="0.2">
      <c r="A218" s="2188" t="s">
        <v>921</v>
      </c>
      <c r="B218" s="2187"/>
      <c r="C218" s="2187"/>
      <c r="D218" s="2187"/>
      <c r="E218" s="2187"/>
      <c r="F218" s="2187"/>
      <c r="G218" s="2187"/>
      <c r="H218" s="2187"/>
    </row>
    <row r="219" spans="1:8" x14ac:dyDescent="0.2">
      <c r="A219" s="2188" t="s">
        <v>922</v>
      </c>
      <c r="B219" s="2187"/>
      <c r="C219" s="2187"/>
      <c r="D219" s="2187"/>
      <c r="E219" s="2187"/>
      <c r="F219" s="2187"/>
      <c r="G219" s="2187"/>
      <c r="H219" s="2187"/>
    </row>
    <row r="220" spans="1:8" x14ac:dyDescent="0.2">
      <c r="A220" s="2187"/>
      <c r="B220" s="2187"/>
      <c r="C220" s="2187"/>
      <c r="D220" s="2187"/>
      <c r="E220" s="2187"/>
      <c r="F220" s="2187"/>
      <c r="G220" s="2187"/>
      <c r="H220" s="2187"/>
    </row>
    <row r="221" spans="1:8" x14ac:dyDescent="0.2">
      <c r="A221" s="2188" t="s">
        <v>913</v>
      </c>
      <c r="B221" s="2187"/>
      <c r="C221" s="2187"/>
      <c r="D221" s="2187"/>
      <c r="E221" s="2187"/>
      <c r="F221" s="2187"/>
      <c r="G221" s="2187"/>
      <c r="H221" s="2187"/>
    </row>
    <row r="222" spans="1:8" x14ac:dyDescent="0.2">
      <c r="A222" s="2188" t="s">
        <v>914</v>
      </c>
      <c r="B222" s="2187"/>
      <c r="C222" s="2187"/>
      <c r="D222" s="2187"/>
      <c r="E222" s="2187"/>
      <c r="F222" s="2187"/>
      <c r="G222" s="2187"/>
      <c r="H222" s="2187"/>
    </row>
    <row r="223" spans="1:8" x14ac:dyDescent="0.2">
      <c r="A223" s="2188" t="s">
        <v>915</v>
      </c>
      <c r="B223" s="2187"/>
      <c r="C223" s="2187"/>
      <c r="D223" s="2187"/>
      <c r="E223" s="2187"/>
      <c r="F223" s="2187"/>
      <c r="G223" s="2187"/>
      <c r="H223" s="2187"/>
    </row>
    <row r="224" spans="1:8" x14ac:dyDescent="0.2">
      <c r="A224" s="2187"/>
      <c r="B224" s="2187"/>
      <c r="C224" s="2187"/>
      <c r="D224" s="2187"/>
      <c r="E224" s="2187"/>
      <c r="F224" s="2187"/>
      <c r="G224" s="2187"/>
      <c r="H224" s="2187"/>
    </row>
    <row r="225" spans="1:8" x14ac:dyDescent="0.2">
      <c r="A225" s="2188" t="s">
        <v>908</v>
      </c>
      <c r="B225" s="2187"/>
      <c r="C225" s="2187"/>
      <c r="D225" s="2187"/>
      <c r="E225" s="2187"/>
      <c r="F225" s="2187"/>
      <c r="G225" s="2187"/>
      <c r="H225" s="2187"/>
    </row>
    <row r="226" spans="1:8" x14ac:dyDescent="0.2">
      <c r="A226" s="2188" t="s">
        <v>909</v>
      </c>
      <c r="B226" s="2187"/>
      <c r="C226" s="2187"/>
      <c r="D226" s="2187"/>
      <c r="E226" s="2187"/>
      <c r="F226" s="2187"/>
      <c r="G226" s="2187"/>
      <c r="H226" s="2187"/>
    </row>
    <row r="227" spans="1:8" x14ac:dyDescent="0.2">
      <c r="A227" s="2188" t="s">
        <v>910</v>
      </c>
      <c r="B227" s="2187"/>
      <c r="C227" s="2187"/>
      <c r="D227" s="2187"/>
      <c r="E227" s="2187"/>
      <c r="F227" s="2187"/>
      <c r="G227" s="2187"/>
      <c r="H227" s="2187"/>
    </row>
    <row r="228" spans="1:8" x14ac:dyDescent="0.2">
      <c r="A228" s="2188" t="s">
        <v>911</v>
      </c>
      <c r="B228" s="2187"/>
      <c r="C228" s="2187"/>
      <c r="D228" s="2187"/>
      <c r="E228" s="2187"/>
      <c r="F228" s="2187"/>
      <c r="G228" s="2187"/>
      <c r="H228" s="2187"/>
    </row>
    <row r="229" spans="1:8" x14ac:dyDescent="0.2">
      <c r="A229" s="2188" t="s">
        <v>912</v>
      </c>
      <c r="B229" s="2187"/>
      <c r="C229" s="2187"/>
      <c r="D229" s="2187"/>
      <c r="E229" s="2187"/>
      <c r="F229" s="2187"/>
      <c r="G229" s="2187"/>
      <c r="H229" s="2187"/>
    </row>
    <row r="230" spans="1:8" x14ac:dyDescent="0.2">
      <c r="A230" s="2187"/>
      <c r="B230" s="2187"/>
      <c r="C230" s="2187"/>
      <c r="D230" s="2187"/>
      <c r="E230" s="2187"/>
      <c r="F230" s="2187"/>
      <c r="G230" s="2187"/>
      <c r="H230" s="2187"/>
    </row>
    <row r="231" spans="1:8" x14ac:dyDescent="0.2">
      <c r="A231" s="2188" t="s">
        <v>902</v>
      </c>
      <c r="B231" s="2187"/>
      <c r="C231" s="2187"/>
      <c r="D231" s="2187"/>
      <c r="E231" s="2187"/>
      <c r="F231" s="2187"/>
      <c r="G231" s="2187"/>
      <c r="H231" s="2187"/>
    </row>
    <row r="232" spans="1:8" x14ac:dyDescent="0.2">
      <c r="A232" s="2188" t="s">
        <v>903</v>
      </c>
      <c r="B232" s="2187"/>
      <c r="C232" s="2187"/>
      <c r="D232" s="2187"/>
      <c r="E232" s="2187"/>
      <c r="F232" s="2187"/>
      <c r="G232" s="2187"/>
      <c r="H232" s="2187"/>
    </row>
    <row r="233" spans="1:8" x14ac:dyDescent="0.2">
      <c r="A233" s="2188" t="s">
        <v>904</v>
      </c>
      <c r="B233" s="2187"/>
      <c r="C233" s="2187"/>
      <c r="D233" s="2187"/>
      <c r="E233" s="2187"/>
      <c r="F233" s="2187"/>
      <c r="G233" s="2187"/>
      <c r="H233" s="2187"/>
    </row>
    <row r="234" spans="1:8" x14ac:dyDescent="0.2">
      <c r="A234" s="2188" t="s">
        <v>905</v>
      </c>
      <c r="B234" s="2187"/>
      <c r="C234" s="2187"/>
      <c r="D234" s="2187"/>
      <c r="E234" s="2187"/>
      <c r="F234" s="2187"/>
      <c r="G234" s="2187"/>
      <c r="H234" s="2187"/>
    </row>
    <row r="235" spans="1:8" x14ac:dyDescent="0.2">
      <c r="A235" s="2188" t="s">
        <v>906</v>
      </c>
      <c r="B235" s="2187"/>
      <c r="C235" s="2187"/>
      <c r="D235" s="2187"/>
      <c r="E235" s="2187"/>
      <c r="F235" s="2187"/>
      <c r="G235" s="2187"/>
      <c r="H235" s="2187"/>
    </row>
    <row r="236" spans="1:8" x14ac:dyDescent="0.2">
      <c r="A236" s="2188" t="s">
        <v>907</v>
      </c>
      <c r="B236" s="2187"/>
      <c r="C236" s="2187"/>
      <c r="D236" s="2187"/>
      <c r="E236" s="2187"/>
      <c r="F236" s="2187"/>
      <c r="G236" s="2187"/>
      <c r="H236" s="2187"/>
    </row>
    <row r="237" spans="1:8" x14ac:dyDescent="0.2">
      <c r="A237" s="2187"/>
      <c r="B237" s="2187"/>
      <c r="C237" s="2187"/>
      <c r="D237" s="2187"/>
      <c r="E237" s="2187"/>
      <c r="F237" s="2187"/>
      <c r="G237" s="2187"/>
      <c r="H237" s="2187"/>
    </row>
    <row r="238" spans="1:8" x14ac:dyDescent="0.2">
      <c r="A238" s="2188" t="s">
        <v>892</v>
      </c>
      <c r="B238" s="2187"/>
      <c r="C238" s="2187"/>
      <c r="D238" s="2187"/>
      <c r="E238" s="2187"/>
      <c r="F238" s="2187"/>
      <c r="G238" s="2187"/>
      <c r="H238" s="2187"/>
    </row>
    <row r="239" spans="1:8" x14ac:dyDescent="0.2">
      <c r="A239" s="2188" t="s">
        <v>893</v>
      </c>
      <c r="B239" s="2187"/>
      <c r="C239" s="2187"/>
      <c r="D239" s="2187"/>
      <c r="E239" s="2187"/>
      <c r="F239" s="2187"/>
      <c r="G239" s="2187"/>
      <c r="H239" s="2187"/>
    </row>
    <row r="240" spans="1:8" x14ac:dyDescent="0.2">
      <c r="A240" s="2188" t="s">
        <v>894</v>
      </c>
      <c r="B240" s="2187"/>
      <c r="C240" s="2187"/>
      <c r="D240" s="2187"/>
      <c r="E240" s="2187"/>
      <c r="F240" s="2187"/>
      <c r="G240" s="2187"/>
      <c r="H240" s="2187"/>
    </row>
    <row r="241" spans="1:8" x14ac:dyDescent="0.2">
      <c r="A241" s="2188" t="s">
        <v>895</v>
      </c>
      <c r="B241" s="2187"/>
      <c r="C241" s="2187"/>
      <c r="D241" s="2187"/>
      <c r="E241" s="2187"/>
      <c r="F241" s="2187"/>
      <c r="G241" s="2187"/>
      <c r="H241" s="2187"/>
    </row>
    <row r="242" spans="1:8" x14ac:dyDescent="0.2">
      <c r="A242" s="2188" t="s">
        <v>896</v>
      </c>
      <c r="B242" s="2187"/>
      <c r="C242" s="2187"/>
      <c r="D242" s="2187"/>
      <c r="E242" s="2187"/>
      <c r="F242" s="2187"/>
      <c r="G242" s="2187"/>
      <c r="H242" s="2187"/>
    </row>
    <row r="243" spans="1:8" x14ac:dyDescent="0.2">
      <c r="A243" s="2188" t="s">
        <v>897</v>
      </c>
      <c r="B243" s="2187"/>
      <c r="C243" s="2187"/>
      <c r="D243" s="2187"/>
      <c r="E243" s="2187"/>
      <c r="F243" s="2187"/>
      <c r="G243" s="2187"/>
      <c r="H243" s="2187"/>
    </row>
    <row r="244" spans="1:8" x14ac:dyDescent="0.2">
      <c r="A244" s="2188" t="s">
        <v>898</v>
      </c>
      <c r="B244" s="2187"/>
      <c r="C244" s="2187"/>
      <c r="D244" s="2187"/>
      <c r="E244" s="2187"/>
      <c r="F244" s="2187"/>
      <c r="G244" s="2187"/>
      <c r="H244" s="2187"/>
    </row>
    <row r="245" spans="1:8" x14ac:dyDescent="0.2">
      <c r="A245" s="2188" t="s">
        <v>899</v>
      </c>
      <c r="B245" s="2187"/>
      <c r="C245" s="2187"/>
      <c r="D245" s="2187"/>
      <c r="E245" s="2187"/>
      <c r="F245" s="2187"/>
      <c r="G245" s="2187"/>
      <c r="H245" s="2187"/>
    </row>
    <row r="246" spans="1:8" x14ac:dyDescent="0.2">
      <c r="A246" s="2188" t="s">
        <v>900</v>
      </c>
      <c r="B246" s="2187"/>
      <c r="C246" s="2187"/>
      <c r="D246" s="2187"/>
      <c r="E246" s="2187"/>
      <c r="F246" s="2187"/>
      <c r="G246" s="2187"/>
      <c r="H246" s="2187"/>
    </row>
    <row r="247" spans="1:8" x14ac:dyDescent="0.2">
      <c r="A247" s="2188" t="s">
        <v>901</v>
      </c>
      <c r="B247" s="2187"/>
      <c r="C247" s="2187"/>
      <c r="D247" s="2187"/>
      <c r="E247" s="2187"/>
      <c r="F247" s="2187"/>
      <c r="G247" s="2187"/>
      <c r="H247" s="2187"/>
    </row>
    <row r="248" spans="1:8" x14ac:dyDescent="0.2">
      <c r="A248" s="2187"/>
      <c r="B248" s="2187"/>
      <c r="C248" s="2187"/>
      <c r="D248" s="2187"/>
      <c r="E248" s="2187"/>
      <c r="F248" s="2187"/>
      <c r="G248" s="2187"/>
      <c r="H248" s="2187"/>
    </row>
    <row r="249" spans="1:8" x14ac:dyDescent="0.2">
      <c r="A249" s="2188" t="s">
        <v>890</v>
      </c>
      <c r="B249" s="2187"/>
      <c r="C249" s="2187"/>
      <c r="D249" s="2187"/>
      <c r="E249" s="2187"/>
      <c r="F249" s="2187"/>
      <c r="G249" s="2187"/>
      <c r="H249" s="2187"/>
    </row>
    <row r="250" spans="1:8" x14ac:dyDescent="0.2">
      <c r="A250" s="2188" t="s">
        <v>891</v>
      </c>
      <c r="B250" s="2187"/>
      <c r="C250" s="2187"/>
      <c r="D250" s="2187"/>
      <c r="E250" s="2187"/>
      <c r="F250" s="2187"/>
      <c r="G250" s="2187"/>
      <c r="H250" s="2187"/>
    </row>
    <row r="251" spans="1:8" x14ac:dyDescent="0.2">
      <c r="A251" s="2187"/>
      <c r="B251" s="2187"/>
      <c r="C251" s="2187"/>
      <c r="D251" s="2187"/>
      <c r="E251" s="2187"/>
      <c r="F251" s="2187"/>
      <c r="G251" s="2187"/>
      <c r="H251" s="2187"/>
    </row>
    <row r="252" spans="1:8" x14ac:dyDescent="0.2">
      <c r="A252" s="2188" t="s">
        <v>874</v>
      </c>
      <c r="B252" s="2187"/>
      <c r="C252" s="2187"/>
      <c r="D252" s="2187"/>
      <c r="E252" s="2187"/>
      <c r="F252" s="2187"/>
      <c r="G252" s="2187"/>
      <c r="H252" s="2187"/>
    </row>
    <row r="253" spans="1:8" x14ac:dyDescent="0.2">
      <c r="A253" s="2188" t="s">
        <v>875</v>
      </c>
      <c r="B253" s="2187"/>
      <c r="C253" s="2187"/>
      <c r="D253" s="2187"/>
      <c r="E253" s="2187"/>
      <c r="F253" s="2187"/>
      <c r="G253" s="2187"/>
      <c r="H253" s="2187"/>
    </row>
    <row r="254" spans="1:8" x14ac:dyDescent="0.2">
      <c r="A254" s="2188" t="s">
        <v>876</v>
      </c>
      <c r="B254" s="2187"/>
      <c r="C254" s="2187"/>
      <c r="D254" s="2187"/>
      <c r="E254" s="2187"/>
      <c r="F254" s="2187"/>
      <c r="G254" s="2187"/>
      <c r="H254" s="2187"/>
    </row>
    <row r="255" spans="1:8" x14ac:dyDescent="0.2">
      <c r="A255" s="2188" t="s">
        <v>877</v>
      </c>
      <c r="B255" s="2187"/>
      <c r="C255" s="2187"/>
      <c r="D255" s="2187"/>
      <c r="E255" s="2187"/>
      <c r="F255" s="2187"/>
      <c r="G255" s="2187"/>
      <c r="H255" s="2187"/>
    </row>
    <row r="256" spans="1:8" x14ac:dyDescent="0.2">
      <c r="A256" s="2188" t="s">
        <v>878</v>
      </c>
      <c r="B256" s="2187"/>
      <c r="C256" s="2187"/>
      <c r="D256" s="2187"/>
      <c r="E256" s="2187"/>
      <c r="F256" s="2187"/>
      <c r="G256" s="2187"/>
      <c r="H256" s="2187"/>
    </row>
    <row r="257" spans="1:8" x14ac:dyDescent="0.2">
      <c r="A257" s="2188" t="s">
        <v>879</v>
      </c>
      <c r="B257" s="2187"/>
      <c r="C257" s="2187"/>
      <c r="D257" s="2187"/>
      <c r="E257" s="2187"/>
      <c r="F257" s="2187"/>
      <c r="G257" s="2187"/>
      <c r="H257" s="2187"/>
    </row>
    <row r="258" spans="1:8" x14ac:dyDescent="0.2">
      <c r="A258" s="2188" t="s">
        <v>880</v>
      </c>
      <c r="B258" s="2187"/>
      <c r="C258" s="2187"/>
      <c r="D258" s="2187"/>
      <c r="E258" s="2187"/>
      <c r="F258" s="2187"/>
      <c r="G258" s="2187"/>
      <c r="H258" s="2187"/>
    </row>
    <row r="259" spans="1:8" x14ac:dyDescent="0.2">
      <c r="A259" s="2188" t="s">
        <v>881</v>
      </c>
      <c r="B259" s="2187"/>
      <c r="C259" s="2187"/>
      <c r="D259" s="2187"/>
      <c r="E259" s="2187"/>
      <c r="F259" s="2187"/>
      <c r="G259" s="2187"/>
      <c r="H259" s="2187"/>
    </row>
    <row r="260" spans="1:8" x14ac:dyDescent="0.2">
      <c r="A260" s="2188" t="s">
        <v>882</v>
      </c>
      <c r="B260" s="2187"/>
      <c r="C260" s="2187"/>
      <c r="D260" s="2187"/>
      <c r="E260" s="2187"/>
      <c r="F260" s="2187"/>
      <c r="G260" s="2187"/>
      <c r="H260" s="2187"/>
    </row>
    <row r="261" spans="1:8" x14ac:dyDescent="0.2">
      <c r="A261" s="2188" t="s">
        <v>883</v>
      </c>
      <c r="B261" s="2187"/>
      <c r="C261" s="2187"/>
      <c r="D261" s="2187"/>
      <c r="E261" s="2187"/>
      <c r="F261" s="2187"/>
      <c r="G261" s="2187"/>
      <c r="H261" s="2187"/>
    </row>
    <row r="262" spans="1:8" x14ac:dyDescent="0.2">
      <c r="A262" s="2188" t="s">
        <v>884</v>
      </c>
      <c r="B262" s="2187"/>
      <c r="C262" s="2187"/>
      <c r="D262" s="2187"/>
      <c r="E262" s="2187"/>
      <c r="F262" s="2187"/>
      <c r="G262" s="2187"/>
      <c r="H262" s="2187"/>
    </row>
    <row r="263" spans="1:8" x14ac:dyDescent="0.2">
      <c r="A263" s="2188" t="s">
        <v>885</v>
      </c>
      <c r="B263" s="2187"/>
      <c r="C263" s="2187"/>
      <c r="D263" s="2187"/>
      <c r="E263" s="2187"/>
      <c r="F263" s="2187"/>
      <c r="G263" s="2187"/>
      <c r="H263" s="2187"/>
    </row>
    <row r="264" spans="1:8" x14ac:dyDescent="0.2">
      <c r="A264" s="2188" t="s">
        <v>886</v>
      </c>
      <c r="B264" s="2187"/>
      <c r="C264" s="2187"/>
      <c r="D264" s="2187"/>
      <c r="E264" s="2187"/>
      <c r="F264" s="2187"/>
      <c r="G264" s="2187"/>
      <c r="H264" s="2187"/>
    </row>
    <row r="265" spans="1:8" x14ac:dyDescent="0.2">
      <c r="A265" s="2188" t="s">
        <v>887</v>
      </c>
      <c r="B265" s="2187"/>
      <c r="C265" s="2187"/>
      <c r="D265" s="2187"/>
      <c r="E265" s="2187"/>
      <c r="F265" s="2187"/>
      <c r="G265" s="2187"/>
      <c r="H265" s="2187"/>
    </row>
    <row r="266" spans="1:8" x14ac:dyDescent="0.2">
      <c r="A266" s="2188" t="s">
        <v>888</v>
      </c>
      <c r="B266" s="2187"/>
      <c r="C266" s="2187"/>
      <c r="D266" s="2187"/>
      <c r="E266" s="2187"/>
      <c r="F266" s="2187"/>
      <c r="G266" s="2187"/>
      <c r="H266" s="2187"/>
    </row>
    <row r="267" spans="1:8" x14ac:dyDescent="0.2">
      <c r="A267" s="2188" t="s">
        <v>889</v>
      </c>
      <c r="B267" s="2187"/>
      <c r="C267" s="2187"/>
      <c r="D267" s="2187"/>
      <c r="E267" s="2187"/>
      <c r="F267" s="2187"/>
      <c r="G267" s="2187"/>
      <c r="H267" s="2187"/>
    </row>
    <row r="268" spans="1:8" x14ac:dyDescent="0.2">
      <c r="A268" s="2187"/>
      <c r="B268" s="2187"/>
      <c r="C268" s="2187"/>
      <c r="D268" s="2187"/>
      <c r="E268" s="2187"/>
      <c r="F268" s="2187"/>
      <c r="G268" s="2187"/>
      <c r="H268" s="2187"/>
    </row>
    <row r="269" spans="1:8" x14ac:dyDescent="0.2">
      <c r="A269" s="2188" t="s">
        <v>867</v>
      </c>
      <c r="B269" s="2187"/>
      <c r="C269" s="2187"/>
      <c r="D269" s="2187"/>
      <c r="E269" s="2187"/>
      <c r="F269" s="2187"/>
      <c r="G269" s="2187"/>
      <c r="H269" s="2187"/>
    </row>
    <row r="270" spans="1:8" x14ac:dyDescent="0.2">
      <c r="A270" s="2188" t="s">
        <v>868</v>
      </c>
      <c r="B270" s="2187"/>
      <c r="C270" s="2187"/>
      <c r="D270" s="2187"/>
      <c r="E270" s="2187"/>
      <c r="F270" s="2187"/>
      <c r="G270" s="2187"/>
      <c r="H270" s="2187"/>
    </row>
    <row r="271" spans="1:8" x14ac:dyDescent="0.2">
      <c r="A271" s="2188" t="s">
        <v>869</v>
      </c>
      <c r="B271" s="2187"/>
      <c r="C271" s="2187"/>
      <c r="D271" s="2187"/>
      <c r="E271" s="2187"/>
      <c r="F271" s="2187"/>
      <c r="G271" s="2187"/>
      <c r="H271" s="2187"/>
    </row>
    <row r="272" spans="1:8" x14ac:dyDescent="0.2">
      <c r="A272" s="2188" t="s">
        <v>870</v>
      </c>
      <c r="B272" s="2187"/>
      <c r="C272" s="2187"/>
      <c r="D272" s="2187"/>
      <c r="E272" s="2187"/>
      <c r="F272" s="2187"/>
      <c r="G272" s="2187"/>
      <c r="H272" s="2187"/>
    </row>
    <row r="273" spans="1:8" x14ac:dyDescent="0.2">
      <c r="A273" s="2188" t="s">
        <v>871</v>
      </c>
      <c r="B273" s="2187"/>
      <c r="C273" s="2187"/>
      <c r="D273" s="2187"/>
      <c r="E273" s="2187"/>
      <c r="F273" s="2187"/>
      <c r="G273" s="2187"/>
      <c r="H273" s="2187"/>
    </row>
    <row r="274" spans="1:8" x14ac:dyDescent="0.2">
      <c r="A274" s="2188" t="s">
        <v>872</v>
      </c>
      <c r="B274" s="2187"/>
      <c r="C274" s="2187"/>
      <c r="D274" s="2187"/>
      <c r="E274" s="2187"/>
      <c r="F274" s="2187"/>
      <c r="G274" s="2187"/>
      <c r="H274" s="2187"/>
    </row>
    <row r="275" spans="1:8" x14ac:dyDescent="0.2">
      <c r="A275" s="2188" t="s">
        <v>873</v>
      </c>
      <c r="B275" s="2187"/>
      <c r="C275" s="2187"/>
      <c r="D275" s="2187"/>
      <c r="E275" s="2187"/>
      <c r="F275" s="2187"/>
      <c r="G275" s="2187"/>
      <c r="H275" s="2187"/>
    </row>
    <row r="276" spans="1:8" x14ac:dyDescent="0.2">
      <c r="A276" s="2187"/>
      <c r="B276" s="2187"/>
      <c r="C276" s="2187"/>
      <c r="D276" s="2187"/>
      <c r="E276" s="2187"/>
      <c r="F276" s="2187"/>
      <c r="G276" s="2187"/>
      <c r="H276" s="2187"/>
    </row>
    <row r="277" spans="1:8" x14ac:dyDescent="0.2">
      <c r="A277" s="2188" t="s">
        <v>858</v>
      </c>
      <c r="B277" s="2187"/>
      <c r="C277" s="2187"/>
      <c r="D277" s="2187"/>
      <c r="E277" s="2187"/>
      <c r="F277" s="2187"/>
      <c r="G277" s="2187"/>
      <c r="H277" s="2187"/>
    </row>
    <row r="278" spans="1:8" x14ac:dyDescent="0.2">
      <c r="A278" s="2188" t="s">
        <v>859</v>
      </c>
      <c r="B278" s="2187"/>
      <c r="C278" s="2187"/>
      <c r="D278" s="2187"/>
      <c r="E278" s="2187"/>
      <c r="F278" s="2187"/>
      <c r="G278" s="2187"/>
      <c r="H278" s="2187"/>
    </row>
    <row r="279" spans="1:8" x14ac:dyDescent="0.2">
      <c r="A279" s="2188" t="s">
        <v>860</v>
      </c>
      <c r="B279" s="2187"/>
      <c r="C279" s="2187"/>
      <c r="D279" s="2187"/>
      <c r="E279" s="2187"/>
      <c r="F279" s="2187"/>
      <c r="G279" s="2187"/>
      <c r="H279" s="2187"/>
    </row>
    <row r="280" spans="1:8" x14ac:dyDescent="0.2">
      <c r="A280" s="2188" t="s">
        <v>861</v>
      </c>
      <c r="B280" s="2187"/>
      <c r="C280" s="2187"/>
      <c r="D280" s="2187"/>
      <c r="E280" s="2187"/>
      <c r="F280" s="2187"/>
      <c r="G280" s="2187"/>
      <c r="H280" s="2187"/>
    </row>
    <row r="281" spans="1:8" x14ac:dyDescent="0.2">
      <c r="A281" s="2188" t="s">
        <v>862</v>
      </c>
      <c r="B281" s="2187"/>
      <c r="C281" s="2187"/>
      <c r="D281" s="2187"/>
      <c r="E281" s="2187"/>
      <c r="F281" s="2187"/>
      <c r="G281" s="2187"/>
      <c r="H281" s="2187"/>
    </row>
    <row r="282" spans="1:8" x14ac:dyDescent="0.2">
      <c r="A282" s="2188" t="s">
        <v>863</v>
      </c>
      <c r="B282" s="2187"/>
      <c r="C282" s="2187"/>
      <c r="D282" s="2187"/>
      <c r="E282" s="2187"/>
      <c r="F282" s="2187"/>
      <c r="G282" s="2187"/>
      <c r="H282" s="2187"/>
    </row>
    <row r="283" spans="1:8" x14ac:dyDescent="0.2">
      <c r="A283" s="2188" t="s">
        <v>864</v>
      </c>
      <c r="B283" s="2187"/>
      <c r="C283" s="2187"/>
      <c r="D283" s="2187"/>
      <c r="E283" s="2187"/>
      <c r="F283" s="2187"/>
      <c r="G283" s="2187"/>
      <c r="H283" s="2187"/>
    </row>
    <row r="284" spans="1:8" x14ac:dyDescent="0.2">
      <c r="A284" s="2188" t="s">
        <v>865</v>
      </c>
      <c r="B284" s="2187"/>
      <c r="C284" s="2187"/>
      <c r="D284" s="2187"/>
      <c r="E284" s="2187"/>
      <c r="F284" s="2187"/>
      <c r="G284" s="2187"/>
      <c r="H284" s="2187"/>
    </row>
    <row r="285" spans="1:8" x14ac:dyDescent="0.2">
      <c r="A285" s="2188" t="s">
        <v>866</v>
      </c>
      <c r="B285" s="2187"/>
      <c r="C285" s="2187"/>
      <c r="D285" s="2187"/>
      <c r="E285" s="2187"/>
      <c r="F285" s="2187"/>
      <c r="G285" s="2187"/>
      <c r="H285" s="2187"/>
    </row>
    <row r="286" spans="1:8" x14ac:dyDescent="0.2">
      <c r="A286" s="2187"/>
      <c r="B286" s="2187"/>
      <c r="C286" s="2187"/>
      <c r="D286" s="2187"/>
      <c r="E286" s="2187"/>
      <c r="F286" s="2187"/>
      <c r="G286" s="2187"/>
      <c r="H286" s="2187"/>
    </row>
    <row r="287" spans="1:8" x14ac:dyDescent="0.2">
      <c r="A287" s="2188" t="s">
        <v>851</v>
      </c>
      <c r="B287" s="2187"/>
      <c r="C287" s="2187"/>
      <c r="D287" s="2187"/>
      <c r="E287" s="2187"/>
      <c r="F287" s="2187"/>
      <c r="G287" s="2187"/>
      <c r="H287" s="2187"/>
    </row>
    <row r="288" spans="1:8" x14ac:dyDescent="0.2">
      <c r="A288" s="2188" t="s">
        <v>852</v>
      </c>
      <c r="B288" s="2187"/>
      <c r="C288" s="2187"/>
      <c r="D288" s="2187"/>
      <c r="E288" s="2187"/>
      <c r="F288" s="2187"/>
      <c r="G288" s="2187"/>
      <c r="H288" s="2187"/>
    </row>
    <row r="289" spans="1:8" x14ac:dyDescent="0.2">
      <c r="A289" s="2188" t="s">
        <v>853</v>
      </c>
      <c r="B289" s="2187"/>
      <c r="C289" s="2187"/>
      <c r="D289" s="2187"/>
      <c r="E289" s="2187"/>
      <c r="F289" s="2187"/>
      <c r="G289" s="2187"/>
      <c r="H289" s="2187"/>
    </row>
    <row r="290" spans="1:8" x14ac:dyDescent="0.2">
      <c r="A290" s="2188" t="s">
        <v>854</v>
      </c>
      <c r="B290" s="2187"/>
      <c r="C290" s="2187"/>
      <c r="D290" s="2187"/>
      <c r="E290" s="2187"/>
      <c r="F290" s="2187"/>
      <c r="G290" s="2187"/>
      <c r="H290" s="2187"/>
    </row>
    <row r="291" spans="1:8" x14ac:dyDescent="0.2">
      <c r="A291" s="2188" t="s">
        <v>855</v>
      </c>
      <c r="B291" s="2187"/>
      <c r="C291" s="2187"/>
      <c r="D291" s="2187"/>
      <c r="E291" s="2187"/>
      <c r="F291" s="2187"/>
      <c r="G291" s="2187"/>
      <c r="H291" s="2187"/>
    </row>
    <row r="292" spans="1:8" x14ac:dyDescent="0.2">
      <c r="A292" s="2188" t="s">
        <v>856</v>
      </c>
      <c r="B292" s="2187"/>
      <c r="C292" s="2187"/>
      <c r="D292" s="2187"/>
      <c r="E292" s="2187"/>
      <c r="F292" s="2187"/>
      <c r="G292" s="2187"/>
      <c r="H292" s="2187"/>
    </row>
    <row r="293" spans="1:8" x14ac:dyDescent="0.2">
      <c r="A293" s="2188" t="s">
        <v>857</v>
      </c>
      <c r="B293" s="2187"/>
      <c r="C293" s="2187"/>
      <c r="D293" s="2187"/>
      <c r="E293" s="2187"/>
      <c r="F293" s="2187"/>
      <c r="G293" s="2187"/>
      <c r="H293" s="2187"/>
    </row>
    <row r="294" spans="1:8" x14ac:dyDescent="0.2">
      <c r="A294" s="2187"/>
      <c r="B294" s="2187"/>
      <c r="C294" s="2187"/>
      <c r="D294" s="2187"/>
      <c r="E294" s="2187"/>
      <c r="F294" s="2187"/>
      <c r="G294" s="2187"/>
      <c r="H294" s="2187"/>
    </row>
    <row r="295" spans="1:8" x14ac:dyDescent="0.2">
      <c r="A295" s="2188" t="s">
        <v>848</v>
      </c>
      <c r="B295" s="2187"/>
      <c r="C295" s="2187"/>
      <c r="D295" s="2187"/>
      <c r="E295" s="2187"/>
      <c r="F295" s="2187"/>
      <c r="G295" s="2187"/>
      <c r="H295" s="2187"/>
    </row>
    <row r="296" spans="1:8" x14ac:dyDescent="0.2">
      <c r="A296" s="2188" t="s">
        <v>849</v>
      </c>
      <c r="B296" s="2187"/>
      <c r="C296" s="2187"/>
      <c r="D296" s="2187"/>
      <c r="E296" s="2187"/>
      <c r="F296" s="2187"/>
      <c r="G296" s="2187"/>
      <c r="H296" s="2187"/>
    </row>
    <row r="297" spans="1:8" x14ac:dyDescent="0.2">
      <c r="A297" s="2188" t="s">
        <v>850</v>
      </c>
      <c r="B297" s="2187"/>
      <c r="C297" s="2187"/>
      <c r="D297" s="2187"/>
      <c r="E297" s="2187"/>
      <c r="F297" s="2187"/>
      <c r="G297" s="2187"/>
      <c r="H297" s="2187"/>
    </row>
    <row r="298" spans="1:8" x14ac:dyDescent="0.2">
      <c r="A298" s="2187"/>
      <c r="B298" s="2187"/>
      <c r="C298" s="2187"/>
      <c r="D298" s="2187"/>
      <c r="E298" s="2187"/>
      <c r="F298" s="2187"/>
      <c r="G298" s="2187"/>
      <c r="H298" s="2187"/>
    </row>
    <row r="299" spans="1:8" x14ac:dyDescent="0.2">
      <c r="A299" s="2188" t="s">
        <v>846</v>
      </c>
      <c r="B299" s="2187"/>
      <c r="C299" s="2187"/>
      <c r="D299" s="2187"/>
      <c r="E299" s="2187"/>
      <c r="F299" s="2187"/>
      <c r="G299" s="2187"/>
      <c r="H299" s="2187"/>
    </row>
    <row r="300" spans="1:8" x14ac:dyDescent="0.2">
      <c r="A300" s="2188" t="s">
        <v>847</v>
      </c>
      <c r="B300" s="2187"/>
      <c r="C300" s="2187"/>
      <c r="D300" s="2187"/>
      <c r="E300" s="2187"/>
      <c r="F300" s="2187"/>
      <c r="G300" s="2187"/>
      <c r="H300" s="2187"/>
    </row>
    <row r="301" spans="1:8" x14ac:dyDescent="0.2">
      <c r="A301" s="2187"/>
      <c r="B301" s="2187"/>
      <c r="C301" s="2187"/>
      <c r="D301" s="2187"/>
      <c r="E301" s="2187"/>
      <c r="F301" s="2187"/>
      <c r="G301" s="2187"/>
      <c r="H301" s="2187"/>
    </row>
    <row r="302" spans="1:8" x14ac:dyDescent="0.2">
      <c r="A302" s="2188" t="s">
        <v>833</v>
      </c>
      <c r="B302" s="2187"/>
      <c r="C302" s="2187"/>
      <c r="D302" s="2187"/>
      <c r="E302" s="2187"/>
      <c r="F302" s="2187"/>
      <c r="G302" s="2187"/>
      <c r="H302" s="2187"/>
    </row>
    <row r="303" spans="1:8" x14ac:dyDescent="0.2">
      <c r="A303" s="2188" t="s">
        <v>834</v>
      </c>
      <c r="B303" s="2187"/>
      <c r="C303" s="2187"/>
      <c r="D303" s="2187"/>
      <c r="E303" s="2187"/>
      <c r="F303" s="2187"/>
      <c r="G303" s="2187"/>
      <c r="H303" s="2187"/>
    </row>
    <row r="304" spans="1:8" x14ac:dyDescent="0.2">
      <c r="A304" s="2188" t="s">
        <v>835</v>
      </c>
      <c r="B304" s="2187"/>
      <c r="C304" s="2187"/>
      <c r="D304" s="2187"/>
      <c r="E304" s="2187"/>
      <c r="F304" s="2187"/>
      <c r="G304" s="2187"/>
      <c r="H304" s="2187"/>
    </row>
    <row r="305" spans="1:8" x14ac:dyDescent="0.2">
      <c r="A305" s="2188" t="s">
        <v>836</v>
      </c>
      <c r="B305" s="2187"/>
      <c r="C305" s="2187"/>
      <c r="D305" s="2187"/>
      <c r="E305" s="2187"/>
      <c r="F305" s="2187"/>
      <c r="G305" s="2187"/>
      <c r="H305" s="2187"/>
    </row>
    <row r="306" spans="1:8" x14ac:dyDescent="0.2">
      <c r="A306" s="2188" t="s">
        <v>837</v>
      </c>
      <c r="B306" s="2187"/>
      <c r="C306" s="2187"/>
      <c r="D306" s="2187"/>
      <c r="E306" s="2187"/>
      <c r="F306" s="2187"/>
      <c r="G306" s="2187"/>
      <c r="H306" s="2187"/>
    </row>
    <row r="307" spans="1:8" x14ac:dyDescent="0.2">
      <c r="A307" s="2188" t="s">
        <v>838</v>
      </c>
      <c r="B307" s="2187"/>
      <c r="C307" s="2187"/>
      <c r="D307" s="2187"/>
      <c r="E307" s="2187"/>
      <c r="F307" s="2187"/>
      <c r="G307" s="2187"/>
      <c r="H307" s="2187"/>
    </row>
    <row r="308" spans="1:8" x14ac:dyDescent="0.2">
      <c r="A308" s="2188" t="s">
        <v>839</v>
      </c>
      <c r="B308" s="2187"/>
      <c r="C308" s="2187"/>
      <c r="D308" s="2187"/>
      <c r="E308" s="2187"/>
      <c r="F308" s="2187"/>
      <c r="G308" s="2187"/>
      <c r="H308" s="2187"/>
    </row>
    <row r="309" spans="1:8" x14ac:dyDescent="0.2">
      <c r="A309" s="2188" t="s">
        <v>840</v>
      </c>
      <c r="B309" s="2187"/>
      <c r="C309" s="2187"/>
      <c r="D309" s="2187"/>
      <c r="E309" s="2187"/>
      <c r="F309" s="2187"/>
      <c r="G309" s="2187"/>
      <c r="H309" s="2187"/>
    </row>
    <row r="310" spans="1:8" x14ac:dyDescent="0.2">
      <c r="A310" s="2188" t="s">
        <v>841</v>
      </c>
      <c r="B310" s="2187"/>
      <c r="C310" s="2187"/>
      <c r="D310" s="2187"/>
      <c r="E310" s="2187"/>
      <c r="F310" s="2187"/>
      <c r="G310" s="2187"/>
      <c r="H310" s="2187"/>
    </row>
    <row r="311" spans="1:8" x14ac:dyDescent="0.2">
      <c r="A311" s="2188" t="s">
        <v>842</v>
      </c>
      <c r="B311" s="2187"/>
      <c r="C311" s="2187"/>
      <c r="D311" s="2187"/>
      <c r="E311" s="2187"/>
      <c r="F311" s="2187"/>
      <c r="G311" s="2187"/>
      <c r="H311" s="2187"/>
    </row>
    <row r="312" spans="1:8" x14ac:dyDescent="0.2">
      <c r="A312" s="2188" t="s">
        <v>843</v>
      </c>
      <c r="B312" s="2187"/>
      <c r="C312" s="2187"/>
      <c r="D312" s="2187"/>
      <c r="E312" s="2187"/>
      <c r="F312" s="2187"/>
      <c r="G312" s="2187"/>
      <c r="H312" s="2187"/>
    </row>
    <row r="313" spans="1:8" x14ac:dyDescent="0.2">
      <c r="A313" s="2188" t="s">
        <v>844</v>
      </c>
      <c r="B313" s="2187"/>
      <c r="C313" s="2187"/>
      <c r="D313" s="2187"/>
      <c r="E313" s="2187"/>
      <c r="F313" s="2187"/>
      <c r="G313" s="2187"/>
      <c r="H313" s="2187"/>
    </row>
    <row r="314" spans="1:8" x14ac:dyDescent="0.2">
      <c r="A314" s="2188" t="s">
        <v>845</v>
      </c>
      <c r="B314" s="2187"/>
      <c r="C314" s="2187"/>
      <c r="D314" s="2187"/>
      <c r="E314" s="2187"/>
      <c r="F314" s="2187"/>
      <c r="G314" s="2187"/>
      <c r="H314" s="2187"/>
    </row>
    <row r="315" spans="1:8" x14ac:dyDescent="0.2">
      <c r="A315" s="2187"/>
      <c r="B315" s="2187"/>
      <c r="C315" s="2187"/>
      <c r="D315" s="2187"/>
      <c r="E315" s="2187"/>
      <c r="F315" s="2187"/>
      <c r="G315" s="2187"/>
      <c r="H315" s="2187"/>
    </row>
    <row r="316" spans="1:8" x14ac:dyDescent="0.2">
      <c r="A316" s="2188" t="s">
        <v>825</v>
      </c>
      <c r="B316" s="2187"/>
      <c r="C316" s="2187"/>
      <c r="D316" s="2187"/>
      <c r="E316" s="2187"/>
      <c r="F316" s="2187"/>
      <c r="G316" s="2187"/>
      <c r="H316" s="2187"/>
    </row>
    <row r="317" spans="1:8" x14ac:dyDescent="0.2">
      <c r="A317" s="2188" t="s">
        <v>826</v>
      </c>
      <c r="B317" s="2187"/>
      <c r="C317" s="2187"/>
      <c r="D317" s="2187"/>
      <c r="E317" s="2187"/>
      <c r="F317" s="2187"/>
      <c r="G317" s="2187"/>
      <c r="H317" s="2187"/>
    </row>
    <row r="318" spans="1:8" x14ac:dyDescent="0.2">
      <c r="A318" s="2188" t="s">
        <v>827</v>
      </c>
      <c r="B318" s="2187"/>
      <c r="C318" s="2187"/>
      <c r="D318" s="2187"/>
      <c r="E318" s="2187"/>
      <c r="F318" s="2187"/>
      <c r="G318" s="2187"/>
      <c r="H318" s="2187"/>
    </row>
    <row r="319" spans="1:8" x14ac:dyDescent="0.2">
      <c r="A319" s="2188" t="s">
        <v>828</v>
      </c>
      <c r="B319" s="2187"/>
      <c r="C319" s="2187"/>
      <c r="D319" s="2187"/>
      <c r="E319" s="2187"/>
      <c r="F319" s="2187"/>
      <c r="G319" s="2187"/>
      <c r="H319" s="2187"/>
    </row>
    <row r="320" spans="1:8" x14ac:dyDescent="0.2">
      <c r="A320" s="2188" t="s">
        <v>829</v>
      </c>
      <c r="B320" s="2187"/>
      <c r="C320" s="2187"/>
      <c r="D320" s="2187"/>
      <c r="E320" s="2187"/>
      <c r="F320" s="2187"/>
      <c r="G320" s="2187"/>
      <c r="H320" s="2187"/>
    </row>
    <row r="321" spans="1:8" x14ac:dyDescent="0.2">
      <c r="A321" s="2188" t="s">
        <v>830</v>
      </c>
      <c r="B321" s="2187"/>
      <c r="C321" s="2187"/>
      <c r="D321" s="2187"/>
      <c r="E321" s="2187"/>
      <c r="F321" s="2187"/>
      <c r="G321" s="2187"/>
      <c r="H321" s="2187"/>
    </row>
    <row r="322" spans="1:8" x14ac:dyDescent="0.2">
      <c r="A322" s="2188" t="s">
        <v>831</v>
      </c>
      <c r="B322" s="2187"/>
      <c r="C322" s="2187"/>
      <c r="D322" s="2187"/>
      <c r="E322" s="2187"/>
      <c r="F322" s="2187"/>
      <c r="G322" s="2187"/>
      <c r="H322" s="2187"/>
    </row>
    <row r="323" spans="1:8" x14ac:dyDescent="0.2">
      <c r="A323" s="2188" t="s">
        <v>832</v>
      </c>
      <c r="B323" s="2187"/>
      <c r="C323" s="2187"/>
      <c r="D323" s="2187"/>
      <c r="E323" s="2187"/>
      <c r="F323" s="2187"/>
      <c r="G323" s="2187"/>
      <c r="H323" s="2187"/>
    </row>
    <row r="324" spans="1:8" x14ac:dyDescent="0.2">
      <c r="A324" s="2187"/>
      <c r="B324" s="2187"/>
      <c r="C324" s="2187"/>
      <c r="D324" s="2187"/>
      <c r="E324" s="2187"/>
      <c r="F324" s="2187"/>
      <c r="G324" s="2187"/>
      <c r="H324" s="2187"/>
    </row>
    <row r="325" spans="1:8" x14ac:dyDescent="0.2">
      <c r="A325" s="2188" t="s">
        <v>790</v>
      </c>
      <c r="B325" s="2187"/>
      <c r="C325" s="2187"/>
      <c r="D325" s="2187"/>
      <c r="E325" s="2187"/>
      <c r="F325" s="2187"/>
      <c r="G325" s="2187"/>
      <c r="H325" s="2187"/>
    </row>
    <row r="326" spans="1:8" x14ac:dyDescent="0.2">
      <c r="A326" s="2188" t="s">
        <v>791</v>
      </c>
      <c r="B326" s="2187"/>
      <c r="C326" s="2187"/>
      <c r="D326" s="2187"/>
      <c r="E326" s="2187"/>
      <c r="F326" s="2187"/>
      <c r="G326" s="2187"/>
      <c r="H326" s="2187"/>
    </row>
    <row r="327" spans="1:8" x14ac:dyDescent="0.2">
      <c r="A327" s="2188" t="s">
        <v>792</v>
      </c>
      <c r="B327" s="2187"/>
      <c r="C327" s="2187"/>
      <c r="D327" s="2187"/>
      <c r="E327" s="2187"/>
      <c r="F327" s="2187"/>
      <c r="G327" s="2187"/>
      <c r="H327" s="2187"/>
    </row>
    <row r="328" spans="1:8" x14ac:dyDescent="0.2">
      <c r="A328" s="2188" t="s">
        <v>793</v>
      </c>
      <c r="B328" s="2187"/>
      <c r="C328" s="2187"/>
      <c r="D328" s="2187"/>
      <c r="E328" s="2187"/>
      <c r="F328" s="2187"/>
      <c r="G328" s="2187"/>
      <c r="H328" s="2187"/>
    </row>
    <row r="329" spans="1:8" x14ac:dyDescent="0.2">
      <c r="A329" s="2188" t="s">
        <v>794</v>
      </c>
      <c r="B329" s="2187"/>
      <c r="C329" s="2187"/>
      <c r="D329" s="2187"/>
      <c r="E329" s="2187"/>
      <c r="F329" s="2187"/>
      <c r="G329" s="2187"/>
      <c r="H329" s="2187"/>
    </row>
    <row r="330" spans="1:8" x14ac:dyDescent="0.2">
      <c r="A330" s="2188" t="s">
        <v>795</v>
      </c>
      <c r="B330" s="2187"/>
      <c r="C330" s="2187"/>
      <c r="D330" s="2187"/>
      <c r="E330" s="2187"/>
      <c r="F330" s="2187"/>
      <c r="G330" s="2187"/>
      <c r="H330" s="2187"/>
    </row>
    <row r="331" spans="1:8" x14ac:dyDescent="0.2">
      <c r="A331" s="2188" t="s">
        <v>796</v>
      </c>
      <c r="B331" s="2187"/>
      <c r="C331" s="2187"/>
      <c r="D331" s="2187"/>
      <c r="E331" s="2187"/>
      <c r="F331" s="2187"/>
      <c r="G331" s="2187"/>
      <c r="H331" s="2187"/>
    </row>
    <row r="332" spans="1:8" x14ac:dyDescent="0.2">
      <c r="A332" s="2188" t="s">
        <v>797</v>
      </c>
      <c r="B332" s="2187"/>
      <c r="C332" s="2187"/>
      <c r="D332" s="2187"/>
      <c r="E332" s="2187"/>
      <c r="F332" s="2187"/>
      <c r="G332" s="2187"/>
      <c r="H332" s="2187"/>
    </row>
    <row r="333" spans="1:8" x14ac:dyDescent="0.2">
      <c r="A333" s="2188" t="s">
        <v>798</v>
      </c>
      <c r="B333" s="2187"/>
      <c r="C333" s="2187"/>
      <c r="D333" s="2187"/>
      <c r="E333" s="2187"/>
      <c r="F333" s="2187"/>
      <c r="G333" s="2187"/>
      <c r="H333" s="2187"/>
    </row>
    <row r="334" spans="1:8" x14ac:dyDescent="0.2">
      <c r="A334" s="2188" t="s">
        <v>799</v>
      </c>
      <c r="B334" s="2187"/>
      <c r="C334" s="2187"/>
      <c r="D334" s="2187"/>
      <c r="E334" s="2187"/>
      <c r="F334" s="2187"/>
      <c r="G334" s="2187"/>
      <c r="H334" s="2187"/>
    </row>
    <row r="335" spans="1:8" x14ac:dyDescent="0.2">
      <c r="A335" s="2188" t="s">
        <v>800</v>
      </c>
      <c r="B335" s="2187"/>
      <c r="C335" s="2187"/>
      <c r="D335" s="2187"/>
      <c r="E335" s="2187"/>
      <c r="F335" s="2187"/>
      <c r="G335" s="2187"/>
      <c r="H335" s="2187"/>
    </row>
    <row r="336" spans="1:8" x14ac:dyDescent="0.2">
      <c r="A336" s="2188" t="s">
        <v>801</v>
      </c>
      <c r="B336" s="2187"/>
      <c r="C336" s="2187"/>
      <c r="D336" s="2187"/>
      <c r="E336" s="2187"/>
      <c r="F336" s="2187"/>
      <c r="G336" s="2187"/>
      <c r="H336" s="2187"/>
    </row>
    <row r="337" spans="1:8" x14ac:dyDescent="0.2">
      <c r="A337" s="2188" t="s">
        <v>802</v>
      </c>
      <c r="B337" s="2187"/>
      <c r="C337" s="2187"/>
      <c r="D337" s="2187"/>
      <c r="E337" s="2187"/>
      <c r="F337" s="2187"/>
      <c r="G337" s="2187"/>
      <c r="H337" s="2187"/>
    </row>
    <row r="338" spans="1:8" x14ac:dyDescent="0.2">
      <c r="A338" s="2188" t="s">
        <v>803</v>
      </c>
      <c r="B338" s="2187"/>
      <c r="C338" s="2187"/>
      <c r="D338" s="2187"/>
      <c r="E338" s="2187"/>
      <c r="F338" s="2187"/>
      <c r="G338" s="2187"/>
      <c r="H338" s="2187"/>
    </row>
    <row r="339" spans="1:8" x14ac:dyDescent="0.2">
      <c r="A339" s="2188" t="s">
        <v>804</v>
      </c>
      <c r="B339" s="2187"/>
      <c r="C339" s="2187"/>
      <c r="D339" s="2187"/>
      <c r="E339" s="2187"/>
      <c r="F339" s="2187"/>
      <c r="G339" s="2187"/>
      <c r="H339" s="2187"/>
    </row>
    <row r="340" spans="1:8" x14ac:dyDescent="0.2">
      <c r="A340" s="2188" t="s">
        <v>805</v>
      </c>
      <c r="B340" s="2187"/>
      <c r="C340" s="2187"/>
      <c r="D340" s="2187"/>
      <c r="E340" s="2187"/>
      <c r="F340" s="2187"/>
      <c r="G340" s="2187"/>
      <c r="H340" s="2187"/>
    </row>
    <row r="341" spans="1:8" x14ac:dyDescent="0.2">
      <c r="A341" s="2188" t="s">
        <v>806</v>
      </c>
      <c r="B341" s="2187"/>
      <c r="C341" s="2187"/>
      <c r="D341" s="2187"/>
      <c r="E341" s="2187"/>
      <c r="F341" s="2187"/>
      <c r="G341" s="2187"/>
      <c r="H341" s="2187"/>
    </row>
    <row r="342" spans="1:8" x14ac:dyDescent="0.2">
      <c r="A342" s="2188" t="s">
        <v>807</v>
      </c>
      <c r="B342" s="2187"/>
      <c r="C342" s="2187"/>
      <c r="D342" s="2187"/>
      <c r="E342" s="2187"/>
      <c r="F342" s="2187"/>
      <c r="G342" s="2187"/>
      <c r="H342" s="2187"/>
    </row>
    <row r="343" spans="1:8" x14ac:dyDescent="0.2">
      <c r="A343" s="2188" t="s">
        <v>808</v>
      </c>
      <c r="B343" s="2187"/>
      <c r="C343" s="2187"/>
      <c r="D343" s="2187"/>
      <c r="E343" s="2187"/>
      <c r="F343" s="2187"/>
      <c r="G343" s="2187"/>
      <c r="H343" s="2187"/>
    </row>
    <row r="344" spans="1:8" x14ac:dyDescent="0.2">
      <c r="A344" s="2188" t="s">
        <v>809</v>
      </c>
      <c r="B344" s="2187"/>
      <c r="C344" s="2187"/>
      <c r="D344" s="2187"/>
      <c r="E344" s="2187"/>
      <c r="F344" s="2187"/>
      <c r="G344" s="2187"/>
      <c r="H344" s="2187"/>
    </row>
    <row r="345" spans="1:8" x14ac:dyDescent="0.2">
      <c r="A345" s="2188" t="s">
        <v>810</v>
      </c>
      <c r="B345" s="2187"/>
      <c r="C345" s="2187"/>
      <c r="D345" s="2187"/>
      <c r="E345" s="2187"/>
      <c r="F345" s="2187"/>
      <c r="G345" s="2187"/>
      <c r="H345" s="2187"/>
    </row>
    <row r="346" spans="1:8" x14ac:dyDescent="0.2">
      <c r="A346" s="2188" t="s">
        <v>811</v>
      </c>
      <c r="B346" s="2187"/>
      <c r="C346" s="2187"/>
      <c r="D346" s="2187"/>
      <c r="E346" s="2187"/>
      <c r="F346" s="2187"/>
      <c r="G346" s="2187"/>
      <c r="H346" s="2187"/>
    </row>
    <row r="347" spans="1:8" x14ac:dyDescent="0.2">
      <c r="A347" s="2188" t="s">
        <v>812</v>
      </c>
      <c r="B347" s="2187"/>
      <c r="C347" s="2187"/>
      <c r="D347" s="2187"/>
      <c r="E347" s="2187"/>
      <c r="F347" s="2187"/>
      <c r="G347" s="2187"/>
      <c r="H347" s="2187"/>
    </row>
    <row r="348" spans="1:8" x14ac:dyDescent="0.2">
      <c r="A348" s="2188" t="s">
        <v>813</v>
      </c>
      <c r="B348" s="2187"/>
      <c r="C348" s="2187"/>
      <c r="D348" s="2187"/>
      <c r="E348" s="2187"/>
      <c r="F348" s="2187"/>
      <c r="G348" s="2187"/>
      <c r="H348" s="2187"/>
    </row>
    <row r="349" spans="1:8" x14ac:dyDescent="0.2">
      <c r="A349" s="2188" t="s">
        <v>814</v>
      </c>
      <c r="B349" s="2187"/>
      <c r="C349" s="2187"/>
      <c r="D349" s="2187"/>
      <c r="E349" s="2187"/>
      <c r="F349" s="2187"/>
      <c r="G349" s="2187"/>
      <c r="H349" s="2187"/>
    </row>
    <row r="350" spans="1:8" x14ac:dyDescent="0.2">
      <c r="A350" s="2188" t="s">
        <v>815</v>
      </c>
      <c r="B350" s="2187"/>
      <c r="C350" s="2187"/>
      <c r="D350" s="2187"/>
      <c r="E350" s="2187"/>
      <c r="F350" s="2187"/>
      <c r="G350" s="2187"/>
      <c r="H350" s="2187"/>
    </row>
    <row r="351" spans="1:8" x14ac:dyDescent="0.2">
      <c r="A351" s="2188" t="s">
        <v>816</v>
      </c>
      <c r="B351" s="2187"/>
      <c r="C351" s="2187"/>
      <c r="D351" s="2187"/>
      <c r="E351" s="2187"/>
      <c r="F351" s="2187"/>
      <c r="G351" s="2187"/>
      <c r="H351" s="2187"/>
    </row>
    <row r="352" spans="1:8" x14ac:dyDescent="0.2">
      <c r="A352" s="2188" t="s">
        <v>817</v>
      </c>
      <c r="B352" s="2187"/>
      <c r="C352" s="2187"/>
      <c r="D352" s="2187"/>
      <c r="E352" s="2187"/>
      <c r="F352" s="2187"/>
      <c r="G352" s="2187"/>
      <c r="H352" s="2187"/>
    </row>
    <row r="353" spans="1:8" x14ac:dyDescent="0.2">
      <c r="A353" s="2188" t="s">
        <v>818</v>
      </c>
      <c r="B353" s="2187"/>
      <c r="C353" s="2187"/>
      <c r="D353" s="2187"/>
      <c r="E353" s="2187"/>
      <c r="F353" s="2187"/>
      <c r="G353" s="2187"/>
      <c r="H353" s="2187"/>
    </row>
    <row r="354" spans="1:8" x14ac:dyDescent="0.2">
      <c r="A354" s="2188" t="s">
        <v>819</v>
      </c>
      <c r="B354" s="2187"/>
      <c r="C354" s="2187"/>
      <c r="D354" s="2187"/>
      <c r="E354" s="2187"/>
      <c r="F354" s="2187"/>
      <c r="G354" s="2187"/>
      <c r="H354" s="2187"/>
    </row>
    <row r="355" spans="1:8" x14ac:dyDescent="0.2">
      <c r="A355" s="2188" t="s">
        <v>820</v>
      </c>
      <c r="B355" s="2187"/>
      <c r="C355" s="2187"/>
      <c r="D355" s="2187"/>
      <c r="E355" s="2187"/>
      <c r="F355" s="2187"/>
      <c r="G355" s="2187"/>
      <c r="H355" s="2187"/>
    </row>
    <row r="356" spans="1:8" x14ac:dyDescent="0.2">
      <c r="A356" s="2188" t="s">
        <v>821</v>
      </c>
      <c r="B356" s="2187"/>
      <c r="C356" s="2187"/>
      <c r="D356" s="2187"/>
      <c r="E356" s="2187"/>
      <c r="F356" s="2187"/>
      <c r="G356" s="2187"/>
      <c r="H356" s="2187"/>
    </row>
    <row r="357" spans="1:8" x14ac:dyDescent="0.2">
      <c r="A357" s="2188" t="s">
        <v>822</v>
      </c>
      <c r="B357" s="2187"/>
      <c r="C357" s="2187"/>
      <c r="D357" s="2187"/>
      <c r="E357" s="2187"/>
      <c r="F357" s="2187"/>
      <c r="G357" s="2187"/>
      <c r="H357" s="2187"/>
    </row>
    <row r="358" spans="1:8" x14ac:dyDescent="0.2">
      <c r="A358" s="2188" t="s">
        <v>823</v>
      </c>
      <c r="B358" s="2187"/>
      <c r="C358" s="2187"/>
      <c r="D358" s="2187"/>
      <c r="E358" s="2187"/>
      <c r="F358" s="2187"/>
      <c r="G358" s="2187"/>
      <c r="H358" s="2187"/>
    </row>
    <row r="359" spans="1:8" x14ac:dyDescent="0.2">
      <c r="A359" s="2188" t="s">
        <v>824</v>
      </c>
      <c r="B359" s="2187"/>
      <c r="C359" s="2187"/>
      <c r="D359" s="2187"/>
      <c r="E359" s="2187"/>
      <c r="F359" s="2187"/>
      <c r="G359" s="2187"/>
      <c r="H359" s="2187"/>
    </row>
    <row r="360" spans="1:8" x14ac:dyDescent="0.2">
      <c r="A360" s="2187"/>
      <c r="B360" s="2187"/>
      <c r="C360" s="2187"/>
      <c r="D360" s="2187"/>
      <c r="E360" s="2187"/>
      <c r="F360" s="2187"/>
      <c r="G360" s="2187"/>
      <c r="H360" s="2187"/>
    </row>
    <row r="361" spans="1:8" x14ac:dyDescent="0.2">
      <c r="A361" s="2188" t="s">
        <v>782</v>
      </c>
      <c r="B361" s="2187"/>
      <c r="C361" s="2187"/>
      <c r="D361" s="2187"/>
      <c r="E361" s="2187"/>
      <c r="F361" s="2187"/>
      <c r="G361" s="2187"/>
      <c r="H361" s="2187"/>
    </row>
    <row r="362" spans="1:8" x14ac:dyDescent="0.2">
      <c r="A362" s="2188" t="s">
        <v>786</v>
      </c>
      <c r="B362" s="2187"/>
      <c r="C362" s="2187"/>
      <c r="D362" s="2187"/>
      <c r="E362" s="2187"/>
      <c r="F362" s="2187"/>
      <c r="G362" s="2187"/>
      <c r="H362" s="2187"/>
    </row>
    <row r="363" spans="1:8" x14ac:dyDescent="0.2">
      <c r="A363" s="2188" t="s">
        <v>787</v>
      </c>
      <c r="B363" s="2187"/>
      <c r="C363" s="2187"/>
      <c r="D363" s="2187"/>
      <c r="E363" s="2187"/>
      <c r="F363" s="2187"/>
      <c r="G363" s="2187"/>
      <c r="H363" s="2187"/>
    </row>
    <row r="364" spans="1:8" x14ac:dyDescent="0.2">
      <c r="A364" s="2188" t="s">
        <v>788</v>
      </c>
      <c r="B364" s="2187"/>
      <c r="C364" s="2187"/>
      <c r="D364" s="2187"/>
      <c r="E364" s="2187"/>
      <c r="F364" s="2187"/>
      <c r="G364" s="2187"/>
      <c r="H364" s="2187"/>
    </row>
    <row r="365" spans="1:8" x14ac:dyDescent="0.2">
      <c r="A365" s="2188" t="s">
        <v>789</v>
      </c>
      <c r="B365" s="2187"/>
      <c r="C365" s="2187"/>
      <c r="D365" s="2187"/>
      <c r="E365" s="2187"/>
      <c r="F365" s="2187"/>
      <c r="G365" s="2187"/>
      <c r="H365" s="2187"/>
    </row>
    <row r="366" spans="1:8" x14ac:dyDescent="0.2">
      <c r="A366" s="2187"/>
      <c r="B366" s="2187"/>
      <c r="C366" s="2187"/>
      <c r="D366" s="2187"/>
      <c r="E366" s="2187"/>
      <c r="F366" s="2187"/>
      <c r="G366" s="2187"/>
      <c r="H366" s="2187"/>
    </row>
    <row r="367" spans="1:8" x14ac:dyDescent="0.2">
      <c r="A367" s="2188" t="s">
        <v>782</v>
      </c>
      <c r="B367" s="2187"/>
      <c r="C367" s="2187"/>
      <c r="D367" s="2187"/>
      <c r="E367" s="2187"/>
      <c r="F367" s="2187"/>
      <c r="G367" s="2187"/>
      <c r="H367" s="2187"/>
    </row>
    <row r="368" spans="1:8" x14ac:dyDescent="0.2">
      <c r="A368" s="2188" t="s">
        <v>783</v>
      </c>
      <c r="B368" s="2187"/>
      <c r="C368" s="2187"/>
      <c r="D368" s="2187"/>
      <c r="E368" s="2187"/>
      <c r="F368" s="2187"/>
      <c r="G368" s="2187"/>
      <c r="H368" s="2187"/>
    </row>
    <row r="369" spans="1:8" x14ac:dyDescent="0.2">
      <c r="A369" s="2188" t="s">
        <v>784</v>
      </c>
      <c r="B369" s="2187"/>
      <c r="C369" s="2187"/>
      <c r="D369" s="2187"/>
      <c r="E369" s="2187"/>
      <c r="F369" s="2187"/>
      <c r="G369" s="2187"/>
      <c r="H369" s="2187"/>
    </row>
    <row r="370" spans="1:8" x14ac:dyDescent="0.2">
      <c r="A370" s="2188" t="s">
        <v>785</v>
      </c>
      <c r="B370" s="2187"/>
      <c r="C370" s="2187"/>
      <c r="D370" s="2187"/>
      <c r="E370" s="2187"/>
      <c r="F370" s="2187"/>
      <c r="G370" s="2187"/>
      <c r="H370" s="2187"/>
    </row>
    <row r="371" spans="1:8" x14ac:dyDescent="0.2">
      <c r="A371" s="2187"/>
      <c r="B371" s="2187"/>
      <c r="C371" s="2187"/>
      <c r="D371" s="2187"/>
      <c r="E371" s="2187"/>
      <c r="F371" s="2187"/>
      <c r="G371" s="2187"/>
      <c r="H371" s="2187"/>
    </row>
    <row r="372" spans="1:8" x14ac:dyDescent="0.2">
      <c r="A372" s="2188" t="s">
        <v>776</v>
      </c>
      <c r="B372" s="2187"/>
      <c r="C372" s="2187"/>
      <c r="D372" s="2187"/>
      <c r="E372" s="2187"/>
      <c r="F372" s="2187"/>
      <c r="G372" s="2187"/>
      <c r="H372" s="2187"/>
    </row>
    <row r="373" spans="1:8" x14ac:dyDescent="0.2">
      <c r="A373" s="2188" t="s">
        <v>777</v>
      </c>
      <c r="B373" s="2187"/>
      <c r="C373" s="2187"/>
      <c r="D373" s="2187"/>
      <c r="E373" s="2187"/>
      <c r="F373" s="2187"/>
      <c r="G373" s="2187"/>
      <c r="H373" s="2187"/>
    </row>
    <row r="374" spans="1:8" x14ac:dyDescent="0.2">
      <c r="A374" s="2188" t="s">
        <v>778</v>
      </c>
      <c r="B374" s="2187"/>
      <c r="C374" s="2187"/>
      <c r="D374" s="2187"/>
      <c r="E374" s="2187"/>
      <c r="F374" s="2187"/>
      <c r="G374" s="2187"/>
      <c r="H374" s="2187"/>
    </row>
    <row r="375" spans="1:8" x14ac:dyDescent="0.2">
      <c r="A375" s="2188" t="s">
        <v>779</v>
      </c>
      <c r="B375" s="2187"/>
      <c r="C375" s="2187"/>
      <c r="D375" s="2187"/>
      <c r="E375" s="2187"/>
      <c r="F375" s="2187"/>
      <c r="G375" s="2187"/>
      <c r="H375" s="2187"/>
    </row>
    <row r="376" spans="1:8" x14ac:dyDescent="0.2">
      <c r="A376" s="2188" t="s">
        <v>780</v>
      </c>
      <c r="B376" s="2187"/>
      <c r="C376" s="2187"/>
      <c r="D376" s="2187"/>
      <c r="E376" s="2187"/>
      <c r="F376" s="2187"/>
      <c r="G376" s="2187"/>
      <c r="H376" s="2187"/>
    </row>
    <row r="377" spans="1:8" x14ac:dyDescent="0.2">
      <c r="A377" s="2188" t="s">
        <v>781</v>
      </c>
      <c r="B377" s="2187"/>
      <c r="C377" s="2187"/>
      <c r="D377" s="2187"/>
      <c r="E377" s="2187"/>
      <c r="F377" s="2187"/>
      <c r="G377" s="2187"/>
      <c r="H377" s="2187"/>
    </row>
    <row r="378" spans="1:8" x14ac:dyDescent="0.2">
      <c r="A378" s="2187"/>
      <c r="B378" s="2187"/>
      <c r="C378" s="2187"/>
      <c r="D378" s="2187"/>
      <c r="E378" s="2187"/>
      <c r="F378" s="2187"/>
      <c r="G378" s="2187"/>
      <c r="H378" s="2187"/>
    </row>
    <row r="379" spans="1:8" x14ac:dyDescent="0.2">
      <c r="A379" s="2188" t="s">
        <v>771</v>
      </c>
      <c r="B379" s="2187"/>
      <c r="C379" s="2187"/>
      <c r="D379" s="2187"/>
      <c r="E379" s="2187"/>
      <c r="F379" s="2187"/>
      <c r="G379" s="2187"/>
      <c r="H379" s="2187"/>
    </row>
    <row r="380" spans="1:8" x14ac:dyDescent="0.2">
      <c r="A380" s="2188" t="s">
        <v>772</v>
      </c>
      <c r="B380" s="2187"/>
      <c r="C380" s="2187"/>
      <c r="D380" s="2187"/>
      <c r="E380" s="2187"/>
      <c r="F380" s="2187"/>
      <c r="G380" s="2187"/>
      <c r="H380" s="2187"/>
    </row>
    <row r="381" spans="1:8" x14ac:dyDescent="0.2">
      <c r="A381" s="2188" t="s">
        <v>773</v>
      </c>
      <c r="B381" s="2187"/>
      <c r="C381" s="2187"/>
      <c r="D381" s="2187"/>
      <c r="E381" s="2187"/>
      <c r="F381" s="2187"/>
      <c r="G381" s="2187"/>
      <c r="H381" s="2187"/>
    </row>
    <row r="382" spans="1:8" x14ac:dyDescent="0.2">
      <c r="A382" s="2188" t="s">
        <v>774</v>
      </c>
      <c r="B382" s="2187"/>
      <c r="C382" s="2187"/>
      <c r="D382" s="2187"/>
      <c r="E382" s="2187"/>
      <c r="F382" s="2187"/>
      <c r="G382" s="2187"/>
      <c r="H382" s="2187"/>
    </row>
    <row r="383" spans="1:8" x14ac:dyDescent="0.2">
      <c r="A383" s="2188" t="s">
        <v>775</v>
      </c>
      <c r="B383" s="2187"/>
      <c r="C383" s="2187"/>
      <c r="D383" s="2187"/>
      <c r="E383" s="2187"/>
      <c r="F383" s="2187"/>
      <c r="G383" s="2187"/>
      <c r="H383" s="2187"/>
    </row>
    <row r="384" spans="1:8" x14ac:dyDescent="0.2">
      <c r="A384" s="2187"/>
      <c r="B384" s="2187"/>
      <c r="C384" s="2187"/>
      <c r="D384" s="2187"/>
      <c r="E384" s="2187"/>
      <c r="F384" s="2187"/>
      <c r="G384" s="2187"/>
      <c r="H384" s="2187"/>
    </row>
    <row r="385" spans="1:8" x14ac:dyDescent="0.2">
      <c r="A385" s="2188" t="s">
        <v>769</v>
      </c>
      <c r="B385" s="2187"/>
      <c r="C385" s="2187"/>
      <c r="D385" s="2187"/>
      <c r="E385" s="2187"/>
      <c r="F385" s="2187"/>
      <c r="G385" s="2187"/>
      <c r="H385" s="2187"/>
    </row>
    <row r="386" spans="1:8" x14ac:dyDescent="0.2">
      <c r="A386" s="2188" t="s">
        <v>770</v>
      </c>
      <c r="B386" s="2187"/>
      <c r="C386" s="2187"/>
      <c r="D386" s="2187"/>
      <c r="E386" s="2187"/>
      <c r="F386" s="2187"/>
      <c r="G386" s="2187"/>
      <c r="H386" s="2187"/>
    </row>
    <row r="388" spans="1:8" x14ac:dyDescent="0.2">
      <c r="A388" s="2183" t="s">
        <v>1023</v>
      </c>
    </row>
  </sheetData>
  <mergeCells count="12">
    <mergeCell ref="A126:H126"/>
    <mergeCell ref="A127:H127"/>
    <mergeCell ref="B119:C119"/>
    <mergeCell ref="D119:F119"/>
    <mergeCell ref="G119:H119"/>
    <mergeCell ref="A105:H105"/>
    <mergeCell ref="A106:H106"/>
    <mergeCell ref="A107:H107"/>
    <mergeCell ref="A108:H108"/>
    <mergeCell ref="A110:H110"/>
    <mergeCell ref="A111:H111"/>
    <mergeCell ref="A118:H11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  <pageSetUpPr fitToPage="1"/>
  </sheetPr>
  <dimension ref="A1:GW105"/>
  <sheetViews>
    <sheetView workbookViewId="0">
      <pane xSplit="1" ySplit="8" topLeftCell="B9" activePane="bottomRight" state="frozen"/>
      <selection pane="topRight" activeCell="B1" sqref="B1"/>
      <selection pane="bottomLeft" activeCell="A9" sqref="A9"/>
      <selection pane="bottomRight" sqref="A1:XFD1048576"/>
    </sheetView>
  </sheetViews>
  <sheetFormatPr defaultColWidth="9.7109375" defaultRowHeight="12.75" outlineLevelRow="1" outlineLevelCol="1" x14ac:dyDescent="0.2"/>
  <cols>
    <col min="1" max="1" width="31.85546875" style="5" customWidth="1"/>
    <col min="2" max="2" width="0.85546875" style="5" customWidth="1"/>
    <col min="3" max="7" width="7.28515625" style="5" hidden="1" customWidth="1" outlineLevel="1"/>
    <col min="8" max="8" width="0.85546875" style="5" hidden="1" customWidth="1" outlineLevel="1"/>
    <col min="9" max="13" width="7.28515625" style="5" hidden="1" customWidth="1" outlineLevel="1"/>
    <col min="14" max="14" width="0.85546875" style="5" hidden="1" customWidth="1" outlineLevel="1"/>
    <col min="15" max="19" width="7.28515625" style="5" hidden="1" customWidth="1" outlineLevel="1"/>
    <col min="20" max="20" width="0.85546875" style="5" hidden="1" customWidth="1" outlineLevel="1"/>
    <col min="21" max="25" width="7.28515625" style="5" hidden="1" customWidth="1" outlineLevel="1"/>
    <col min="26" max="26" width="0.85546875" style="5" hidden="1" customWidth="1" outlineLevel="1"/>
    <col min="27" max="31" width="7.28515625" style="5" hidden="1" customWidth="1" outlineLevel="1"/>
    <col min="32" max="32" width="0.85546875" style="5" hidden="1" customWidth="1" outlineLevel="1"/>
    <col min="33" max="37" width="7.28515625" style="5" hidden="1" customWidth="1" outlineLevel="1"/>
    <col min="38" max="38" width="0.85546875" style="5" hidden="1" customWidth="1" outlineLevel="1"/>
    <col min="39" max="42" width="7.28515625" style="5" hidden="1" customWidth="1" outlineLevel="1"/>
    <col min="43" max="43" width="7.28515625" style="5" hidden="1" customWidth="1" outlineLevel="1" collapsed="1"/>
    <col min="44" max="44" width="0.85546875" style="5" hidden="1" customWidth="1" outlineLevel="1"/>
    <col min="45" max="49" width="7.28515625" style="5" hidden="1" customWidth="1" outlineLevel="1"/>
    <col min="50" max="50" width="0.85546875" style="5" hidden="1" customWidth="1" outlineLevel="1"/>
    <col min="51" max="54" width="7.28515625" style="5" hidden="1" customWidth="1" outlineLevel="1"/>
    <col min="55" max="55" width="7.28515625" style="5" customWidth="1" collapsed="1"/>
    <col min="56" max="56" width="0.85546875" style="5" customWidth="1"/>
    <col min="57" max="60" width="7.28515625" style="5" hidden="1" customWidth="1" outlineLevel="1"/>
    <col min="61" max="61" width="7.28515625" style="5" customWidth="1" collapsed="1"/>
    <col min="62" max="62" width="0.85546875" style="5" customWidth="1"/>
    <col min="63" max="66" width="7.28515625" style="5" hidden="1" customWidth="1" outlineLevel="1"/>
    <col min="67" max="67" width="7.28515625" style="5" customWidth="1" collapsed="1"/>
    <col min="68" max="68" width="0.85546875" style="5" customWidth="1"/>
    <col min="69" max="72" width="7.28515625" style="5" hidden="1" customWidth="1" outlineLevel="1"/>
    <col min="73" max="73" width="7.28515625" style="5" customWidth="1" collapsed="1"/>
    <col min="74" max="74" width="0.85546875" style="5" customWidth="1"/>
    <col min="75" max="77" width="8" style="5" hidden="1" customWidth="1" outlineLevel="1"/>
    <col min="78" max="78" width="7.28515625" style="5" hidden="1" customWidth="1" outlineLevel="1"/>
    <col min="79" max="79" width="7.28515625" style="5" customWidth="1" collapsed="1"/>
    <col min="80" max="80" width="0.85546875" style="5" customWidth="1"/>
    <col min="81" max="84" width="7.28515625" style="5" customWidth="1" outlineLevel="1"/>
    <col min="85" max="85" width="7.28515625" style="5" customWidth="1"/>
    <col min="86" max="86" width="0.85546875" style="5" customWidth="1"/>
    <col min="87" max="90" width="7.28515625" style="5" customWidth="1" outlineLevel="1"/>
    <col min="91" max="91" width="7.28515625" style="5" customWidth="1"/>
    <col min="92" max="92" width="0.85546875" style="5" customWidth="1"/>
    <col min="93" max="96" width="7.28515625" style="5" hidden="1" customWidth="1" outlineLevel="1"/>
    <col min="97" max="97" width="7.28515625" style="5" customWidth="1" collapsed="1"/>
    <col min="98" max="98" width="0.85546875" style="5" customWidth="1"/>
    <col min="99" max="102" width="7.28515625" style="5" hidden="1" customWidth="1" outlineLevel="1"/>
    <col min="103" max="103" width="7.28515625" style="5" customWidth="1" collapsed="1"/>
    <col min="104" max="106" width="8.7109375" style="5" customWidth="1"/>
    <col min="107" max="107" width="23.5703125" hidden="1" customWidth="1" outlineLevel="1"/>
    <col min="108" max="112" width="9.7109375" hidden="1" customWidth="1" outlineLevel="1"/>
    <col min="113" max="113" width="9.7109375" style="5" customWidth="1" collapsed="1"/>
    <col min="114" max="16384" width="9.7109375" style="5"/>
  </cols>
  <sheetData>
    <row r="1" spans="1:121" ht="11.25" customHeight="1" x14ac:dyDescent="0.2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221"/>
      <c r="AI1" s="222"/>
      <c r="AJ1" s="48"/>
      <c r="AK1" s="221"/>
      <c r="AL1" s="48"/>
      <c r="AM1" s="48"/>
      <c r="AN1" s="211"/>
      <c r="AO1" s="211"/>
      <c r="AP1" s="223"/>
      <c r="AQ1" s="224"/>
      <c r="AR1" s="48"/>
      <c r="AS1" s="224"/>
      <c r="AT1" s="224"/>
      <c r="AU1" s="225"/>
      <c r="AV1" s="224"/>
      <c r="AW1" s="226"/>
      <c r="AX1" s="224"/>
      <c r="AY1" s="224"/>
      <c r="AZ1" s="224"/>
      <c r="BA1" s="224"/>
      <c r="BB1" s="224"/>
      <c r="BC1" s="224"/>
      <c r="BD1" s="224"/>
      <c r="BE1" s="224"/>
      <c r="BF1" s="224"/>
      <c r="BG1" s="224"/>
      <c r="BH1" s="224"/>
      <c r="BI1" s="227"/>
      <c r="BJ1" s="224"/>
      <c r="BK1" s="1059"/>
      <c r="BL1" s="48"/>
      <c r="BM1" s="48"/>
      <c r="BN1" s="48"/>
      <c r="CZ1" s="48"/>
      <c r="DA1" s="48"/>
      <c r="DB1" s="48"/>
    </row>
    <row r="2" spans="1:121" ht="11.25" customHeight="1" x14ac:dyDescent="0.2">
      <c r="A2" s="339" t="s">
        <v>309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228"/>
      <c r="Q2" s="39"/>
      <c r="R2" s="228"/>
      <c r="S2" s="228"/>
      <c r="T2" s="39"/>
      <c r="U2" s="39"/>
      <c r="V2" s="39"/>
      <c r="W2" s="39"/>
      <c r="X2" s="39"/>
      <c r="Y2" s="228"/>
      <c r="Z2" s="39"/>
      <c r="AA2" s="39"/>
      <c r="AB2" s="39"/>
      <c r="AC2" s="39"/>
      <c r="AD2" s="39"/>
      <c r="AE2" s="229"/>
      <c r="AF2" s="39"/>
      <c r="AG2" s="39"/>
      <c r="AH2" s="230"/>
      <c r="AI2" s="228"/>
      <c r="AJ2" s="231"/>
      <c r="AK2" s="232"/>
      <c r="AL2" s="39"/>
      <c r="AM2" s="190"/>
      <c r="AN2" s="211"/>
      <c r="AO2" s="233"/>
      <c r="AP2" s="190"/>
      <c r="AQ2" s="233"/>
      <c r="AR2" s="39"/>
      <c r="AS2" s="233"/>
      <c r="AT2" s="233"/>
      <c r="AU2" s="39"/>
      <c r="AV2" s="233"/>
      <c r="AW2" s="233"/>
      <c r="AX2" s="233"/>
      <c r="AY2" s="233"/>
      <c r="AZ2" s="233"/>
      <c r="BA2" s="233"/>
      <c r="BB2" s="233"/>
      <c r="BC2" s="233"/>
      <c r="BD2" s="233"/>
      <c r="BE2" s="39"/>
      <c r="BF2" s="39"/>
      <c r="BG2" s="39"/>
      <c r="BH2" s="39"/>
      <c r="BI2" s="233"/>
      <c r="BJ2" s="233"/>
      <c r="BK2" s="39"/>
      <c r="BL2" s="39"/>
      <c r="BM2" s="39"/>
      <c r="BN2" s="39"/>
      <c r="BS2" s="268"/>
      <c r="BT2" s="268"/>
      <c r="BW2" s="1475"/>
      <c r="CZ2" s="48"/>
      <c r="DA2" s="48"/>
      <c r="DB2" s="48"/>
    </row>
    <row r="3" spans="1:121" ht="11.25" customHeight="1" x14ac:dyDescent="0.2">
      <c r="A3" s="340" t="s">
        <v>5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228"/>
      <c r="R3" s="39"/>
      <c r="S3" s="39"/>
      <c r="T3" s="39"/>
      <c r="U3" s="39"/>
      <c r="V3" s="39"/>
      <c r="W3" s="231"/>
      <c r="X3" s="39"/>
      <c r="Y3" s="39"/>
      <c r="Z3" s="39"/>
      <c r="AA3" s="39"/>
      <c r="AB3" s="39"/>
      <c r="AC3" s="39"/>
      <c r="AD3" s="39"/>
      <c r="AE3" s="231"/>
      <c r="AF3" s="39"/>
      <c r="AG3" s="39"/>
      <c r="AH3" s="229"/>
      <c r="AI3" s="235"/>
      <c r="AJ3" s="202"/>
      <c r="AK3" s="202"/>
      <c r="AL3" s="39"/>
      <c r="AM3" s="236"/>
      <c r="AN3" s="211"/>
      <c r="AO3" s="211"/>
      <c r="AP3" s="190"/>
      <c r="AQ3" s="237"/>
      <c r="AR3" s="39"/>
      <c r="AS3" s="238"/>
      <c r="AT3" s="239"/>
      <c r="AU3" s="240"/>
      <c r="AV3" s="240"/>
      <c r="AW3" s="195"/>
      <c r="AX3" s="240"/>
      <c r="AY3" s="240"/>
      <c r="AZ3" s="240"/>
      <c r="BA3" s="240"/>
      <c r="BB3" s="240"/>
      <c r="BC3" s="241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  <c r="BP3" s="240"/>
      <c r="BQ3" s="240"/>
      <c r="BR3" s="240"/>
      <c r="BS3" s="240"/>
      <c r="BT3" s="240"/>
      <c r="BU3" s="240"/>
      <c r="BV3" s="240"/>
      <c r="BW3" s="240"/>
      <c r="BX3" s="1635"/>
      <c r="BY3" s="1640"/>
      <c r="BZ3" s="240"/>
      <c r="CA3" s="240"/>
      <c r="CB3" s="240"/>
      <c r="CC3" s="240"/>
      <c r="CD3" s="240"/>
      <c r="CE3" s="240"/>
      <c r="CF3" s="240"/>
      <c r="CG3" s="1481"/>
      <c r="CH3" s="240"/>
      <c r="CI3" s="240"/>
      <c r="CJ3" s="240"/>
      <c r="CK3" s="240"/>
      <c r="CL3" s="240"/>
      <c r="CM3" s="240"/>
      <c r="CN3" s="240"/>
      <c r="CO3" s="240"/>
      <c r="CP3" s="240"/>
      <c r="CQ3" s="240"/>
      <c r="CR3" s="240"/>
      <c r="CS3" s="240"/>
      <c r="CT3" s="240"/>
      <c r="CU3" s="240"/>
      <c r="CV3" s="240"/>
      <c r="CW3" s="240"/>
      <c r="CX3" s="240"/>
      <c r="CY3" s="240"/>
      <c r="CZ3" s="39"/>
      <c r="DA3" s="39"/>
      <c r="DB3" s="39"/>
    </row>
    <row r="4" spans="1:121" ht="11.25" customHeight="1" x14ac:dyDescent="0.2">
      <c r="A4" s="341" t="s">
        <v>6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243"/>
      <c r="AC4" s="40"/>
      <c r="AD4" s="40"/>
      <c r="AE4" s="243"/>
      <c r="AF4" s="40"/>
      <c r="AG4" s="40"/>
      <c r="AH4" s="243"/>
      <c r="AI4" s="243"/>
      <c r="AJ4" s="244"/>
      <c r="AK4" s="245"/>
      <c r="AL4" s="40"/>
      <c r="AM4" s="40"/>
      <c r="AN4" s="40"/>
      <c r="AO4" s="40"/>
      <c r="AP4" s="40"/>
      <c r="AQ4" s="246"/>
      <c r="AR4" s="40"/>
      <c r="AS4" s="246"/>
      <c r="AT4" s="246"/>
      <c r="AU4" s="246"/>
      <c r="AV4" s="246"/>
      <c r="AW4" s="236"/>
      <c r="AX4" s="246"/>
      <c r="AY4" s="246"/>
      <c r="AZ4" s="246"/>
      <c r="BA4" s="246"/>
      <c r="BB4" s="246"/>
      <c r="CZ4" s="39"/>
      <c r="DA4" s="39"/>
      <c r="DB4" s="39"/>
    </row>
    <row r="5" spans="1:121" ht="11.25" customHeight="1" x14ac:dyDescent="0.2">
      <c r="A5" s="342" t="s">
        <v>7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173"/>
      <c r="AB5" s="173"/>
      <c r="AC5" s="48"/>
      <c r="AD5" s="48"/>
      <c r="AE5" s="48"/>
      <c r="AF5" s="48"/>
      <c r="AG5" s="173"/>
      <c r="AH5" s="173"/>
      <c r="AI5" s="192"/>
      <c r="AJ5" s="192"/>
      <c r="AK5" s="248"/>
      <c r="AL5" s="48"/>
      <c r="AM5" s="248"/>
      <c r="AN5" s="248"/>
      <c r="AO5" s="248"/>
      <c r="AP5" s="248"/>
      <c r="AQ5" s="233"/>
      <c r="AR5" s="48"/>
      <c r="AS5" s="233"/>
      <c r="AT5" s="249"/>
      <c r="AU5" s="233"/>
      <c r="AV5" s="233"/>
      <c r="AW5" s="233"/>
      <c r="AX5" s="233"/>
      <c r="AY5" s="233"/>
      <c r="AZ5" s="233"/>
      <c r="BA5" s="233"/>
      <c r="BB5" s="233"/>
      <c r="BC5" s="250"/>
      <c r="BD5" s="233"/>
      <c r="BE5" s="233"/>
      <c r="BF5" s="233"/>
      <c r="BG5" s="233"/>
      <c r="BH5" s="233"/>
      <c r="BI5" s="233"/>
      <c r="BJ5" s="233"/>
      <c r="BK5" s="233"/>
      <c r="BL5" s="233"/>
      <c r="BM5" s="233"/>
      <c r="BN5" s="233"/>
      <c r="BO5" s="233"/>
      <c r="BP5" s="233"/>
      <c r="BQ5" s="233"/>
      <c r="BR5" s="233"/>
      <c r="BS5" s="233"/>
      <c r="BT5" s="233"/>
      <c r="BU5" s="233"/>
      <c r="BV5" s="233"/>
      <c r="BW5" s="233"/>
      <c r="BX5" s="233"/>
      <c r="BY5" s="233"/>
      <c r="BZ5" s="233"/>
      <c r="CA5" s="233"/>
      <c r="CB5" s="233"/>
      <c r="CC5" s="233"/>
      <c r="CD5" s="233"/>
      <c r="CE5" s="233"/>
      <c r="CF5" s="233"/>
      <c r="CG5" s="233"/>
      <c r="CH5" s="233"/>
      <c r="CI5" s="233"/>
      <c r="CJ5" s="233"/>
      <c r="CK5" s="233"/>
      <c r="CL5" s="233"/>
      <c r="CM5" s="236"/>
      <c r="CN5" s="233"/>
      <c r="CO5" s="233"/>
      <c r="CP5" s="233"/>
      <c r="CQ5" s="233"/>
      <c r="CR5" s="233"/>
      <c r="CS5" s="236"/>
      <c r="CT5" s="233"/>
      <c r="CU5" s="233"/>
      <c r="CV5" s="233"/>
      <c r="CW5" s="233"/>
      <c r="CX5" s="233"/>
      <c r="CY5" s="236"/>
      <c r="CZ5" s="48"/>
      <c r="DA5" s="48"/>
      <c r="DB5" s="48"/>
    </row>
    <row r="6" spans="1:121" customFormat="1" ht="11.25" hidden="1" customHeight="1" outlineLevel="1" x14ac:dyDescent="0.2"/>
    <row r="7" spans="1:121" ht="11.25" customHeight="1" collapsed="1" x14ac:dyDescent="0.2">
      <c r="A7" s="39"/>
      <c r="B7" s="251"/>
      <c r="C7" s="343" t="s">
        <v>95</v>
      </c>
      <c r="D7" s="344"/>
      <c r="E7" s="344"/>
      <c r="F7" s="344"/>
      <c r="G7" s="345">
        <v>2004</v>
      </c>
      <c r="H7" s="554"/>
      <c r="I7" s="343" t="s">
        <v>94</v>
      </c>
      <c r="J7" s="344"/>
      <c r="K7" s="344"/>
      <c r="L7" s="344"/>
      <c r="M7" s="345">
        <f>G7+1</f>
        <v>2005</v>
      </c>
      <c r="N7" s="347"/>
      <c r="O7" s="343" t="s">
        <v>93</v>
      </c>
      <c r="P7" s="344"/>
      <c r="Q7" s="344"/>
      <c r="R7" s="344"/>
      <c r="S7" s="345">
        <f>M7+1</f>
        <v>2006</v>
      </c>
      <c r="T7" s="251"/>
      <c r="U7" s="343">
        <v>2007</v>
      </c>
      <c r="V7" s="344"/>
      <c r="W7" s="344"/>
      <c r="X7" s="344"/>
      <c r="Y7" s="345">
        <f>S7+1</f>
        <v>2007</v>
      </c>
      <c r="Z7" s="554"/>
      <c r="AA7" s="343">
        <f>U7+1</f>
        <v>2008</v>
      </c>
      <c r="AB7" s="344"/>
      <c r="AC7" s="344"/>
      <c r="AD7" s="344"/>
      <c r="AE7" s="345">
        <f>Y7+1</f>
        <v>2008</v>
      </c>
      <c r="AF7" s="347"/>
      <c r="AG7" s="343">
        <f>AA7+1</f>
        <v>2009</v>
      </c>
      <c r="AH7" s="344"/>
      <c r="AI7" s="344"/>
      <c r="AJ7" s="344"/>
      <c r="AK7" s="345">
        <f>AE7+1</f>
        <v>2009</v>
      </c>
      <c r="AL7" s="347"/>
      <c r="AM7" s="343">
        <f>AG7+1</f>
        <v>2010</v>
      </c>
      <c r="AN7" s="344"/>
      <c r="AO7" s="344"/>
      <c r="AP7" s="344"/>
      <c r="AQ7" s="345">
        <f>AK7+1</f>
        <v>2010</v>
      </c>
      <c r="AR7" s="347"/>
      <c r="AS7" s="343">
        <f>AM7+1</f>
        <v>2011</v>
      </c>
      <c r="AT7" s="344"/>
      <c r="AU7" s="344"/>
      <c r="AV7" s="344"/>
      <c r="AW7" s="345">
        <f>AQ7+1</f>
        <v>2011</v>
      </c>
      <c r="AX7" s="347"/>
      <c r="AY7" s="343">
        <f>AS7+1</f>
        <v>2012</v>
      </c>
      <c r="AZ7" s="344"/>
      <c r="BA7" s="344"/>
      <c r="BB7" s="344"/>
      <c r="BC7" s="345">
        <f>AW7+1</f>
        <v>2012</v>
      </c>
      <c r="BD7" s="347"/>
      <c r="BE7" s="343">
        <f>AY7+1</f>
        <v>2013</v>
      </c>
      <c r="BF7" s="344"/>
      <c r="BG7" s="344"/>
      <c r="BH7" s="344"/>
      <c r="BI7" s="345">
        <f>BC7+1</f>
        <v>2013</v>
      </c>
      <c r="BJ7" s="347"/>
      <c r="BK7" s="343">
        <f>BE7+1</f>
        <v>2014</v>
      </c>
      <c r="BL7" s="344"/>
      <c r="BM7" s="344"/>
      <c r="BN7" s="344"/>
      <c r="BO7" s="345">
        <f>BI7+1</f>
        <v>2014</v>
      </c>
      <c r="BP7" s="347"/>
      <c r="BQ7" s="343">
        <f>BK7+1</f>
        <v>2015</v>
      </c>
      <c r="BR7" s="344"/>
      <c r="BS7" s="344"/>
      <c r="BT7" s="344"/>
      <c r="BU7" s="345">
        <f>BO7+1</f>
        <v>2015</v>
      </c>
      <c r="BV7" s="347"/>
      <c r="BW7" s="343" t="s">
        <v>651</v>
      </c>
      <c r="BX7" s="344"/>
      <c r="BY7" s="344"/>
      <c r="BZ7" s="344"/>
      <c r="CA7" s="345">
        <f>BU7+1</f>
        <v>2016</v>
      </c>
      <c r="CB7" s="347"/>
      <c r="CC7" s="343" t="s">
        <v>714</v>
      </c>
      <c r="CD7" s="344"/>
      <c r="CE7" s="344"/>
      <c r="CF7" s="344"/>
      <c r="CG7" s="345">
        <f>CA7+1</f>
        <v>2017</v>
      </c>
      <c r="CH7" s="347"/>
      <c r="CI7" s="348" t="s">
        <v>282</v>
      </c>
      <c r="CJ7" s="344"/>
      <c r="CK7" s="344"/>
      <c r="CL7" s="344"/>
      <c r="CM7" s="349">
        <f>CG7+1</f>
        <v>2018</v>
      </c>
      <c r="CN7" s="347"/>
      <c r="CO7" s="348" t="s">
        <v>283</v>
      </c>
      <c r="CP7" s="344"/>
      <c r="CQ7" s="344"/>
      <c r="CR7" s="344"/>
      <c r="CS7" s="349">
        <f>CM7+1</f>
        <v>2019</v>
      </c>
      <c r="CT7" s="347"/>
      <c r="CU7" s="348" t="s">
        <v>284</v>
      </c>
      <c r="CV7" s="344"/>
      <c r="CW7" s="344"/>
      <c r="CX7" s="344"/>
      <c r="CY7" s="349">
        <f>CS7+1</f>
        <v>2020</v>
      </c>
      <c r="CZ7" s="252"/>
      <c r="DA7" s="252"/>
      <c r="DB7" s="253"/>
    </row>
    <row r="8" spans="1:121" ht="11.25" customHeight="1" x14ac:dyDescent="0.2">
      <c r="A8" s="39"/>
      <c r="B8" s="337"/>
      <c r="C8" s="1099">
        <v>38077</v>
      </c>
      <c r="D8" s="1100">
        <f>C8+FLOOR(365/4,1)</f>
        <v>38168</v>
      </c>
      <c r="E8" s="1100">
        <f>D8+FLOOR(365/4,1)</f>
        <v>38259</v>
      </c>
      <c r="F8" s="1100">
        <f>E8+FLOOR(365/4,1)</f>
        <v>38350</v>
      </c>
      <c r="G8" s="359"/>
      <c r="H8" s="555"/>
      <c r="I8" s="1099">
        <f>F8+FLOOR(365/4,1)</f>
        <v>38441</v>
      </c>
      <c r="J8" s="1100">
        <f>I8+FLOOR(365/4,1)</f>
        <v>38532</v>
      </c>
      <c r="K8" s="1100">
        <f>J8+FLOOR(365/4,1)</f>
        <v>38623</v>
      </c>
      <c r="L8" s="1100">
        <f>K8+FLOOR(365/4,1)</f>
        <v>38714</v>
      </c>
      <c r="M8" s="359"/>
      <c r="N8" s="364"/>
      <c r="O8" s="1099">
        <f>L8+FLOOR(365/4,1)</f>
        <v>38805</v>
      </c>
      <c r="P8" s="1100">
        <f>O8+FLOOR(365/4,1)</f>
        <v>38896</v>
      </c>
      <c r="Q8" s="1100">
        <f>P8+FLOOR(365/4,1)</f>
        <v>38987</v>
      </c>
      <c r="R8" s="1100">
        <f>Q8+FLOOR(365/4,1)</f>
        <v>39078</v>
      </c>
      <c r="S8" s="359"/>
      <c r="T8" s="337"/>
      <c r="U8" s="1099">
        <v>39172</v>
      </c>
      <c r="V8" s="1100">
        <f>U8+FLOOR(365/4,1)</f>
        <v>39263</v>
      </c>
      <c r="W8" s="1100">
        <f>V8+FLOOR(365/4,1)+1</f>
        <v>39355</v>
      </c>
      <c r="X8" s="1100">
        <f>W8+FLOOR(365/4,1)+1</f>
        <v>39447</v>
      </c>
      <c r="Y8" s="359"/>
      <c r="Z8" s="555"/>
      <c r="AA8" s="1099">
        <f>U8+366</f>
        <v>39538</v>
      </c>
      <c r="AB8" s="1100">
        <f>AA8+FLOOR(365/4,1)</f>
        <v>39629</v>
      </c>
      <c r="AC8" s="1100">
        <f>AB8+FLOOR(365/4,1)+1</f>
        <v>39721</v>
      </c>
      <c r="AD8" s="1100">
        <f>AC8+FLOOR(365/4,1)+1</f>
        <v>39813</v>
      </c>
      <c r="AE8" s="359"/>
      <c r="AF8" s="359"/>
      <c r="AG8" s="1099">
        <f>AA8+365</f>
        <v>39903</v>
      </c>
      <c r="AH8" s="1100">
        <f>AG8+FLOOR(365/4,1)</f>
        <v>39994</v>
      </c>
      <c r="AI8" s="1100">
        <f>AH8+FLOOR(365/4,1)+1</f>
        <v>40086</v>
      </c>
      <c r="AJ8" s="1100">
        <f>AI8+FLOOR(365/4,1)+1</f>
        <v>40178</v>
      </c>
      <c r="AK8" s="359"/>
      <c r="AL8" s="359"/>
      <c r="AM8" s="1099">
        <f>AG8+365</f>
        <v>40268</v>
      </c>
      <c r="AN8" s="1100">
        <f>AM8+FLOOR(365/4,1)</f>
        <v>40359</v>
      </c>
      <c r="AO8" s="1100">
        <f>AN8+FLOOR(365/4,1)+1</f>
        <v>40451</v>
      </c>
      <c r="AP8" s="1100">
        <f>AO8+FLOOR(365/4,1)+1</f>
        <v>40543</v>
      </c>
      <c r="AQ8" s="359"/>
      <c r="AR8" s="359"/>
      <c r="AS8" s="1099">
        <f>AM8+365</f>
        <v>40633</v>
      </c>
      <c r="AT8" s="1100">
        <f>AS8+FLOOR(365/4,1)</f>
        <v>40724</v>
      </c>
      <c r="AU8" s="1100">
        <f>AT8+FLOOR(365/4,1)+1</f>
        <v>40816</v>
      </c>
      <c r="AV8" s="1100">
        <f>AU8+FLOOR(365/4,1)+1</f>
        <v>40908</v>
      </c>
      <c r="AW8" s="359"/>
      <c r="AX8" s="359"/>
      <c r="AY8" s="1099">
        <f>AS8+366</f>
        <v>40999</v>
      </c>
      <c r="AZ8" s="1100">
        <f>AY8+FLOOR(365/4,1)</f>
        <v>41090</v>
      </c>
      <c r="BA8" s="1100">
        <f>AZ8+FLOOR(365/4,1)+1</f>
        <v>41182</v>
      </c>
      <c r="BB8" s="1100">
        <f>BA8+FLOOR(365/4,1)+1</f>
        <v>41274</v>
      </c>
      <c r="BC8" s="359"/>
      <c r="BD8" s="364"/>
      <c r="BE8" s="1099">
        <f>AY8+365</f>
        <v>41364</v>
      </c>
      <c r="BF8" s="1100">
        <f>BE8+FLOOR(365/4,1)</f>
        <v>41455</v>
      </c>
      <c r="BG8" s="1100">
        <f>BF8+FLOOR(365/4,1)+1</f>
        <v>41547</v>
      </c>
      <c r="BH8" s="1100">
        <f>BG8+FLOOR(365/4,1)+1</f>
        <v>41639</v>
      </c>
      <c r="BI8" s="359"/>
      <c r="BJ8" s="359"/>
      <c r="BK8" s="1099">
        <f>BE8+365</f>
        <v>41729</v>
      </c>
      <c r="BL8" s="1100">
        <f>BK8+FLOOR(365/4,1)</f>
        <v>41820</v>
      </c>
      <c r="BM8" s="1100">
        <f>BL8+FLOOR(365/4,1)+1</f>
        <v>41912</v>
      </c>
      <c r="BN8" s="1100">
        <f>BM8+FLOOR(365/4,1)+1</f>
        <v>42004</v>
      </c>
      <c r="BO8" s="359"/>
      <c r="BP8" s="364"/>
      <c r="BQ8" s="1099">
        <f>BK8+365</f>
        <v>42094</v>
      </c>
      <c r="BR8" s="1100">
        <f>BQ8+FLOOR(365/4,1)</f>
        <v>42185</v>
      </c>
      <c r="BS8" s="1100">
        <f>BR8+FLOOR(365/4,1)+1</f>
        <v>42277</v>
      </c>
      <c r="BT8" s="1100">
        <f>BS8+FLOOR(365/4,1)+1</f>
        <v>42369</v>
      </c>
      <c r="BU8" s="359"/>
      <c r="BV8" s="364"/>
      <c r="BW8" s="1099">
        <f>BQ8+365+1</f>
        <v>42460</v>
      </c>
      <c r="BX8" s="1100">
        <f>BW8+FLOOR(365/4,1)</f>
        <v>42551</v>
      </c>
      <c r="BY8" s="1100">
        <f>BX8+FLOOR(365/4,1)+1</f>
        <v>42643</v>
      </c>
      <c r="BZ8" s="1100">
        <f>BY8+FLOOR(365/4,1)+1</f>
        <v>42735</v>
      </c>
      <c r="CA8" s="359"/>
      <c r="CB8" s="364"/>
      <c r="CC8" s="1099">
        <f>BW8+365</f>
        <v>42825</v>
      </c>
      <c r="CD8" s="1100">
        <f>CC8+FLOOR(365/4,1)</f>
        <v>42916</v>
      </c>
      <c r="CE8" s="1100">
        <f>CD8+FLOOR(365/4,1)+1</f>
        <v>43008</v>
      </c>
      <c r="CF8" s="1100">
        <f>CE8+FLOOR(365/4,1)+1</f>
        <v>43100</v>
      </c>
      <c r="CG8" s="359"/>
      <c r="CH8" s="364"/>
      <c r="CI8" s="1462">
        <f>CC8+365</f>
        <v>43190</v>
      </c>
      <c r="CJ8" s="360">
        <f>CI8+FLOOR(365/4,1)</f>
        <v>43281</v>
      </c>
      <c r="CK8" s="360">
        <f>CJ8+FLOOR(365/4,1)+1</f>
        <v>43373</v>
      </c>
      <c r="CL8" s="361">
        <f>CK8+FLOOR(365/4,1)+1</f>
        <v>43465</v>
      </c>
      <c r="CM8" s="359"/>
      <c r="CN8" s="364"/>
      <c r="CO8" s="1462">
        <f>CI8+365</f>
        <v>43555</v>
      </c>
      <c r="CP8" s="360">
        <f>CO8+FLOOR(365/4,1)</f>
        <v>43646</v>
      </c>
      <c r="CQ8" s="360">
        <f>CP8+FLOOR(365/4,1)+1</f>
        <v>43738</v>
      </c>
      <c r="CR8" s="361">
        <f>CQ8+FLOOR(365/4,1)+1</f>
        <v>43830</v>
      </c>
      <c r="CS8" s="359"/>
      <c r="CT8" s="364"/>
      <c r="CU8" s="1462">
        <f>CO8+365</f>
        <v>43920</v>
      </c>
      <c r="CV8" s="360">
        <f>CU8+FLOOR(365/4,1)</f>
        <v>44011</v>
      </c>
      <c r="CW8" s="360">
        <f>CV8+FLOOR(365/4,1)+1</f>
        <v>44103</v>
      </c>
      <c r="CX8" s="361">
        <f>CW8+FLOOR(365/4,1)+1</f>
        <v>44195</v>
      </c>
      <c r="CY8" s="359"/>
      <c r="CZ8" s="8"/>
      <c r="DA8" s="440"/>
      <c r="DB8" s="8"/>
      <c r="DK8" s="33"/>
      <c r="DL8" s="1889" t="s">
        <v>679</v>
      </c>
      <c r="DM8" s="33"/>
      <c r="DN8" s="33"/>
      <c r="DO8" s="33"/>
      <c r="DP8" s="33"/>
    </row>
    <row r="9" spans="1:121" s="268" customFormat="1" ht="11.25" customHeight="1" x14ac:dyDescent="0.2">
      <c r="A9" s="169" t="s">
        <v>4</v>
      </c>
      <c r="B9" s="335"/>
      <c r="C9" s="1890">
        <v>96.057999999999993</v>
      </c>
      <c r="D9" s="1081">
        <v>98.637</v>
      </c>
      <c r="E9" s="1081">
        <v>90.402999999999977</v>
      </c>
      <c r="F9" s="1081">
        <f>380.629-SUM(C9:E9)</f>
        <v>95.531000000000063</v>
      </c>
      <c r="G9" s="169">
        <f>SUM(C9:F9)</f>
        <v>380.62900000000002</v>
      </c>
      <c r="H9" s="325"/>
      <c r="I9" s="1890">
        <v>95.025000000000006</v>
      </c>
      <c r="J9" s="1081">
        <v>100.35400000000001</v>
      </c>
      <c r="K9" s="1081">
        <v>98.670999999999978</v>
      </c>
      <c r="L9" s="1081">
        <f>398.395-SUM(I9:K9)</f>
        <v>104.34499999999997</v>
      </c>
      <c r="M9" s="1891">
        <f>SUM(I9:L9)</f>
        <v>398.39499999999998</v>
      </c>
      <c r="N9" s="356"/>
      <c r="O9" s="1890">
        <v>108.715</v>
      </c>
      <c r="P9" s="1081">
        <v>113.23299999999999</v>
      </c>
      <c r="Q9" s="1081">
        <v>117.93900000000001</v>
      </c>
      <c r="R9" s="1081">
        <f>465.778-SUM(O9:Q9)</f>
        <v>125.89100000000002</v>
      </c>
      <c r="S9" s="169">
        <f>SUM(O9:R9)</f>
        <v>465.77800000000002</v>
      </c>
      <c r="T9" s="335"/>
      <c r="U9" s="1890">
        <v>127.87899999999998</v>
      </c>
      <c r="V9" s="1081">
        <v>135.03899999999999</v>
      </c>
      <c r="W9" s="1081">
        <v>176.63200000000001</v>
      </c>
      <c r="X9" s="1081">
        <f>649.774-SUM(U9:W9)</f>
        <v>210.22400000000005</v>
      </c>
      <c r="Y9" s="169">
        <f>SUM(U9:X9)</f>
        <v>649.774</v>
      </c>
      <c r="Z9" s="325"/>
      <c r="AA9" s="1890">
        <v>207.10599999999997</v>
      </c>
      <c r="AB9" s="1081">
        <v>217.88800000000001</v>
      </c>
      <c r="AC9" s="1081">
        <v>230.8</v>
      </c>
      <c r="AD9" s="1081">
        <f>892.975-SUM(AA9:AC9)</f>
        <v>237.18100000000004</v>
      </c>
      <c r="AE9" s="169">
        <f>SUM(AA9:AD9)</f>
        <v>892.97500000000002</v>
      </c>
      <c r="AF9" s="325"/>
      <c r="AG9" s="1890">
        <v>220.93299999999999</v>
      </c>
      <c r="AH9" s="1081">
        <v>240.15599999999998</v>
      </c>
      <c r="AI9" s="1081">
        <v>259.65899999999999</v>
      </c>
      <c r="AJ9" s="1081">
        <f>1009.825-SUM(AG9:AI9)</f>
        <v>289.07700000000011</v>
      </c>
      <c r="AK9" s="169">
        <f>SUM(AG9:AJ9)</f>
        <v>1009.825</v>
      </c>
      <c r="AL9" s="325"/>
      <c r="AM9" s="1890">
        <v>264.36399999999998</v>
      </c>
      <c r="AN9" s="1081">
        <v>262.71800000000002</v>
      </c>
      <c r="AO9" s="1081">
        <v>274.31700000000001</v>
      </c>
      <c r="AP9" s="1892">
        <f>1087.431-SUM(AM9:AO9)</f>
        <v>286.03200000000004</v>
      </c>
      <c r="AQ9" s="169">
        <f>SUM(AM9:AP9)</f>
        <v>1087.431</v>
      </c>
      <c r="AR9" s="325"/>
      <c r="AS9" s="1890">
        <v>264.26499999999999</v>
      </c>
      <c r="AT9" s="1081">
        <v>282.17700000000002</v>
      </c>
      <c r="AU9" s="1081">
        <v>288.88499999999999</v>
      </c>
      <c r="AV9" s="1081">
        <f>1169.747-SUM(AS9:AU9)</f>
        <v>334.42000000000007</v>
      </c>
      <c r="AW9" s="169">
        <f>SUM(AS9:AV9)</f>
        <v>1169.7470000000001</v>
      </c>
      <c r="AX9" s="325"/>
      <c r="AY9" s="1890">
        <v>296.42200000000003</v>
      </c>
      <c r="AZ9" s="1081">
        <v>307.21300000000002</v>
      </c>
      <c r="BA9" s="1081">
        <v>304.28899999999999</v>
      </c>
      <c r="BB9" s="1892">
        <f>1254.456-SUM(AY9:BA9)</f>
        <v>346.53199999999993</v>
      </c>
      <c r="BC9" s="169">
        <f>SUM(AY9:BB9)</f>
        <v>1254.4559999999999</v>
      </c>
      <c r="BD9" s="356"/>
      <c r="BE9" s="1890">
        <v>303.57600000000002</v>
      </c>
      <c r="BF9" s="1081">
        <f>315.212+1.2</f>
        <v>316.41199999999998</v>
      </c>
      <c r="BG9" s="1081">
        <f>322.111+1.7</f>
        <v>323.81099999999998</v>
      </c>
      <c r="BH9" s="1081">
        <f>361.085+1.5</f>
        <v>362.58499999999998</v>
      </c>
      <c r="BI9" s="169">
        <f>SUM(BE9:BH9)</f>
        <v>1306.384</v>
      </c>
      <c r="BJ9" s="325"/>
      <c r="BK9" s="1890">
        <f>317.073+0.3</f>
        <v>317.37299999999999</v>
      </c>
      <c r="BL9" s="1081">
        <f>330.837+0.4</f>
        <v>331.23699999999997</v>
      </c>
      <c r="BM9" s="1081">
        <f>336.457+0.3</f>
        <v>336.75700000000001</v>
      </c>
      <c r="BN9" s="1081">
        <f>360.41+0.4</f>
        <v>360.81</v>
      </c>
      <c r="BO9" s="169">
        <f>SUM(BK9:BN9)</f>
        <v>1346.1769999999999</v>
      </c>
      <c r="BP9" s="325"/>
      <c r="BQ9" s="1890">
        <f>298.429+0.3</f>
        <v>298.72899999999998</v>
      </c>
      <c r="BR9" s="1081">
        <v>319.45600000000002</v>
      </c>
      <c r="BS9" s="1081">
        <v>314.56099999999998</v>
      </c>
      <c r="BT9" s="1081">
        <v>348.5</v>
      </c>
      <c r="BU9" s="169">
        <f>SUM(BQ9:BT9)</f>
        <v>1281.2459999999999</v>
      </c>
      <c r="BV9" s="356"/>
      <c r="BW9" s="1890">
        <v>298.37900000000002</v>
      </c>
      <c r="BX9" s="1081">
        <v>334.41199999999998</v>
      </c>
      <c r="BY9" s="1081">
        <v>338.685</v>
      </c>
      <c r="BZ9" s="1081">
        <v>366.51499999999999</v>
      </c>
      <c r="CA9" s="169">
        <f>SUM(BW9:BZ9)</f>
        <v>1337.991</v>
      </c>
      <c r="CB9" s="356"/>
      <c r="CC9" s="1890">
        <f>307.706+0.6</f>
        <v>308.30600000000004</v>
      </c>
      <c r="CD9" s="1081">
        <v>349.60599999999999</v>
      </c>
      <c r="CE9" s="1081">
        <v>364.4</v>
      </c>
      <c r="CF9" s="1081">
        <f>396.863+0.25</f>
        <v>397.113</v>
      </c>
      <c r="CG9" s="169">
        <f>SUM(CC9:CF9)</f>
        <v>1419.425</v>
      </c>
      <c r="CH9" s="356"/>
      <c r="CI9" s="1893">
        <f>RevBuild!CI57</f>
        <v>342.19696843455813</v>
      </c>
      <c r="CJ9" s="1894">
        <f>RevBuild!CJ57</f>
        <v>390.00775350179219</v>
      </c>
      <c r="CK9" s="1894">
        <f>RevBuild!CK57</f>
        <v>402.97882791594213</v>
      </c>
      <c r="CL9" s="1895">
        <f>RevBuild!CL57</f>
        <v>429.55971751546923</v>
      </c>
      <c r="CM9" s="169">
        <f>SUM(CI9:CL9)</f>
        <v>1564.7432673677615</v>
      </c>
      <c r="CN9" s="356"/>
      <c r="CO9" s="1893">
        <f>RevBuild!CO57</f>
        <v>379.92910533004368</v>
      </c>
      <c r="CP9" s="1894">
        <f>RevBuild!CP57</f>
        <v>419.47153094533905</v>
      </c>
      <c r="CQ9" s="1894">
        <f>RevBuild!CQ57</f>
        <v>427.04767623180248</v>
      </c>
      <c r="CR9" s="1895">
        <f>RevBuild!CR57</f>
        <v>467.60144526770443</v>
      </c>
      <c r="CS9" s="169">
        <f>SUM(CO9:CR9)</f>
        <v>1694.0497577748897</v>
      </c>
      <c r="CT9" s="356"/>
      <c r="CU9" s="1893">
        <f>RevBuild!CU57</f>
        <v>420.64273199744503</v>
      </c>
      <c r="CV9" s="1894">
        <f>RevBuild!CV57</f>
        <v>461.70512762799592</v>
      </c>
      <c r="CW9" s="1894">
        <f>RevBuild!CW57</f>
        <v>469.00624704585181</v>
      </c>
      <c r="CX9" s="1895">
        <f>RevBuild!CX57</f>
        <v>513.09312042062402</v>
      </c>
      <c r="CY9" s="169">
        <f>SUM(CU9:CX9)</f>
        <v>1864.4472270919168</v>
      </c>
      <c r="DB9" s="256"/>
      <c r="DC9"/>
      <c r="DD9"/>
      <c r="DE9"/>
      <c r="DF9"/>
      <c r="DG9"/>
      <c r="DH9"/>
      <c r="DI9" s="1297" t="s">
        <v>678</v>
      </c>
      <c r="DK9" s="1879"/>
      <c r="DL9" s="1887">
        <f>+(CY9/CA9)^(1/4)-1</f>
        <v>8.6486228183447311E-2</v>
      </c>
      <c r="DM9" s="1879"/>
      <c r="DN9" s="1879"/>
      <c r="DO9" s="1879"/>
      <c r="DP9" s="1879"/>
    </row>
    <row r="10" spans="1:121" ht="11.25" customHeight="1" x14ac:dyDescent="0.2">
      <c r="A10" s="58" t="s">
        <v>179</v>
      </c>
      <c r="B10" s="48"/>
      <c r="C10" s="53">
        <v>32.631999999999998</v>
      </c>
      <c r="D10" s="51">
        <v>32.494</v>
      </c>
      <c r="E10" s="51">
        <f>29.248+1.454-1.454</f>
        <v>29.248000000000001</v>
      </c>
      <c r="F10" s="51">
        <f>125.658+1.454-1.454-SUM(C10:E10)</f>
        <v>31.283999999999992</v>
      </c>
      <c r="G10" s="6">
        <f>SUM(C10:F10)</f>
        <v>125.658</v>
      </c>
      <c r="H10" s="48"/>
      <c r="I10" s="53">
        <v>30.603000000000002</v>
      </c>
      <c r="J10" s="51">
        <f>32.811+0.253-0.253</f>
        <v>32.811</v>
      </c>
      <c r="K10" s="51">
        <v>30.007000000000001</v>
      </c>
      <c r="L10" s="51">
        <f>122.755+0.439-0.439-SUM(I10:K10)</f>
        <v>29.333999999999989</v>
      </c>
      <c r="M10" s="6">
        <f>SUM(I10:L10)</f>
        <v>122.755</v>
      </c>
      <c r="N10" s="48"/>
      <c r="O10" s="53">
        <f>32.884+0.461-0.461</f>
        <v>32.884</v>
      </c>
      <c r="P10" s="51">
        <f>32.632+1.284-1.284</f>
        <v>32.631999999999998</v>
      </c>
      <c r="Q10" s="51">
        <f>36.167</f>
        <v>36.167000000000002</v>
      </c>
      <c r="R10" s="51">
        <f>139.122+2.046-2.046-SUM(O10:Q10)</f>
        <v>37.439000000000021</v>
      </c>
      <c r="S10" s="6">
        <f>SUM(O10:R10)</f>
        <v>139.12200000000001</v>
      </c>
      <c r="T10" s="48"/>
      <c r="U10" s="53">
        <f>38.929</f>
        <v>38.929000000000002</v>
      </c>
      <c r="V10" s="51">
        <f>41.577</f>
        <v>41.576999999999998</v>
      </c>
      <c r="W10" s="51">
        <f>50.695+1.343+8.406-1.343-8.406</f>
        <v>50.695</v>
      </c>
      <c r="X10" s="51">
        <f>189.773+2.839+23.615-2.839-23.615-0.4-SUM(U10:W10)</f>
        <v>58.171999999999997</v>
      </c>
      <c r="Y10" s="6">
        <f>SUM(U10:X10)</f>
        <v>189.37299999999999</v>
      </c>
      <c r="Z10" s="48"/>
      <c r="AA10" s="53">
        <f>55.056+10.826-10.826-0.2</f>
        <v>54.856000000000002</v>
      </c>
      <c r="AB10" s="51">
        <f>57.863+11.949-11.949-0.3</f>
        <v>57.563000000000002</v>
      </c>
      <c r="AC10" s="51">
        <f>64.688+0.396+12.777-0.396-12.777-0.2</f>
        <v>64.488</v>
      </c>
      <c r="AD10" s="51">
        <f>293.285-1.4-48.7-1-SUM(AA10:AC10)</f>
        <v>65.278000000000048</v>
      </c>
      <c r="AE10" s="6">
        <f>SUM(AA10:AD10)</f>
        <v>242.18500000000006</v>
      </c>
      <c r="AF10" s="48"/>
      <c r="AG10" s="53">
        <f>74.484-0.2-13.1-0.2</f>
        <v>60.983999999999988</v>
      </c>
      <c r="AH10" s="51">
        <f>80.656-0.281-13.165-0.245</f>
        <v>66.965000000000003</v>
      </c>
      <c r="AI10" s="51">
        <f>86.647-0.177-13.111-0.245-2.515</f>
        <v>70.59899999999999</v>
      </c>
      <c r="AJ10" s="51">
        <f>342.752-7.4-53.6-0.8-SUM(AG10:AI10)</f>
        <v>82.404000000000025</v>
      </c>
      <c r="AK10" s="6">
        <f>SUM(AG10:AJ10)</f>
        <v>280.952</v>
      </c>
      <c r="AL10" s="48"/>
      <c r="AM10" s="53">
        <f>91.152-0.8-15.1-0.1</f>
        <v>75.152000000000015</v>
      </c>
      <c r="AN10" s="51">
        <f>89.912-15.3-0.3</f>
        <v>74.312000000000012</v>
      </c>
      <c r="AO10" s="51">
        <f>93.797-0.2-15.6-0.2</f>
        <v>77.796999999999997</v>
      </c>
      <c r="AP10" s="51">
        <f>371.869-1.3-61.8-0.9-SUM(AM10:AO10)</f>
        <v>80.608000000000004</v>
      </c>
      <c r="AQ10" s="6">
        <f>SUM(AM10:AP10)</f>
        <v>307.86900000000003</v>
      </c>
      <c r="AR10" s="48"/>
      <c r="AS10" s="53">
        <f>92.117-0.1-16.8-0.3-1.6</f>
        <v>73.317000000000021</v>
      </c>
      <c r="AT10" s="51">
        <f>93.768-16.8-0.5</f>
        <v>76.468000000000004</v>
      </c>
      <c r="AU10" s="51">
        <f>101.353-1.3-17.8-0.4+0.4</f>
        <v>82.253</v>
      </c>
      <c r="AV10" s="51">
        <f>419.938-9.6-70.2-1.7-1.2-SUM(AS10:AU10)</f>
        <v>105.19999999999999</v>
      </c>
      <c r="AW10" s="6">
        <f>SUM(AS10:AV10)</f>
        <v>337.238</v>
      </c>
      <c r="AX10" s="48"/>
      <c r="AY10" s="53">
        <f>107.052-0.8-19.2-0.4</f>
        <v>86.652000000000001</v>
      </c>
      <c r="AZ10" s="51">
        <f>104.239+5.5-20.8-0.8</f>
        <v>88.13900000000001</v>
      </c>
      <c r="BA10" s="51">
        <f>105.132-19.4</f>
        <v>85.731999999999999</v>
      </c>
      <c r="BB10" s="52">
        <f>430.432+7.9-78.5-2.3-SUM(AY10:BA10)</f>
        <v>97.008999999999958</v>
      </c>
      <c r="BC10" s="6">
        <f>SUM(AY10:BB10)</f>
        <v>357.53199999999998</v>
      </c>
      <c r="BD10" s="48"/>
      <c r="BE10" s="53">
        <f>103.563-0.4-18-0.8</f>
        <v>84.363</v>
      </c>
      <c r="BF10" s="51">
        <f>146.297-33.9-19.7-0.9+1.2</f>
        <v>92.996999999999986</v>
      </c>
      <c r="BG10" s="51">
        <f>111.411-1.4-19.8-0.6+1.7</f>
        <v>91.311000000000007</v>
      </c>
      <c r="BH10" s="51">
        <f>125.222-7.1-20.4-1+1.5</f>
        <v>98.222000000000008</v>
      </c>
      <c r="BI10" s="6">
        <f>SUM(BE10:BH10)</f>
        <v>366.89300000000003</v>
      </c>
      <c r="BJ10" s="48"/>
      <c r="BK10" s="53">
        <f>106.955+0.6+0.3-20.3</f>
        <v>87.554999999999993</v>
      </c>
      <c r="BL10" s="51">
        <f>114.968+(-0.3+0.4)-20.7</f>
        <v>94.367999999999995</v>
      </c>
      <c r="BM10" s="51">
        <f>113.283+(-0.4+0.3)-20.4</f>
        <v>92.783000000000015</v>
      </c>
      <c r="BN10" s="51">
        <f>144.632+(-8.1+0.4)-20.3</f>
        <v>116.63200000000002</v>
      </c>
      <c r="BO10" s="6">
        <f>SUM(BK10:BN10)</f>
        <v>391.33800000000002</v>
      </c>
      <c r="BP10" s="48"/>
      <c r="BQ10" s="53">
        <f>100.557-0.3-19.9+0.3</f>
        <v>80.656999999999996</v>
      </c>
      <c r="BR10" s="51">
        <f>118.916-(24.9+0.3)</f>
        <v>93.715999999999994</v>
      </c>
      <c r="BS10" s="51">
        <f>109.915-(19.8-2.1)</f>
        <v>92.215000000000003</v>
      </c>
      <c r="BT10" s="51">
        <f>125.223-2.9-19.9</f>
        <v>102.423</v>
      </c>
      <c r="BU10" s="6">
        <f>SUM(BQ10:BT10)</f>
        <v>369.01099999999997</v>
      </c>
      <c r="BV10" s="48"/>
      <c r="BW10" s="53">
        <f>113.631-3-19.705</f>
        <v>90.926000000000002</v>
      </c>
      <c r="BX10" s="51">
        <v>100.03400000000001</v>
      </c>
      <c r="BY10" s="51">
        <f>117.879-20.608</f>
        <v>97.271000000000001</v>
      </c>
      <c r="BZ10" s="51">
        <f>138.507-20.8-12</f>
        <v>105.70700000000001</v>
      </c>
      <c r="CA10" s="6">
        <f>SUM(BW10:BZ10)</f>
        <v>393.93799999999999</v>
      </c>
      <c r="CB10" s="48"/>
      <c r="CC10" s="53">
        <f>111.861-20.7-0.7+0.3</f>
        <v>90.760999999999996</v>
      </c>
      <c r="CD10" s="51">
        <v>102.8</v>
      </c>
      <c r="CE10" s="51">
        <f>+CE9-258.7</f>
        <v>105.69999999999999</v>
      </c>
      <c r="CF10" s="51">
        <v>116.9</v>
      </c>
      <c r="CG10" s="6">
        <f>SUM(CC10:CF10)</f>
        <v>416.16099999999994</v>
      </c>
      <c r="CH10" s="48"/>
      <c r="CI10" s="19">
        <f>CI9*(1-CI40)</f>
        <v>96.276828331638512</v>
      </c>
      <c r="CJ10" s="20">
        <f>CJ9*(1-CJ40)</f>
        <v>109.87496070447696</v>
      </c>
      <c r="CK10" s="20">
        <f>CK9*(1-CK40)</f>
        <v>116.90917729609419</v>
      </c>
      <c r="CL10" s="20">
        <f>CL9*(1-CL40)</f>
        <v>127.27011427903759</v>
      </c>
      <c r="CM10" s="6">
        <f>SUM(CI10:CL10)</f>
        <v>450.33108061124722</v>
      </c>
      <c r="CN10" s="48"/>
      <c r="CO10" s="19">
        <f>CO9*(1-CO40)</f>
        <v>106.68297672586232</v>
      </c>
      <c r="CP10" s="20">
        <f>CP9*(1-CP40)</f>
        <v>117.87266703091002</v>
      </c>
      <c r="CQ10" s="20">
        <f>CQ9*(1-CQ40)</f>
        <v>122.402815717656</v>
      </c>
      <c r="CR10" s="20">
        <f>CR9*(1-CR40)</f>
        <v>136.34530275169715</v>
      </c>
      <c r="CS10" s="6">
        <f>SUM(CO10:CR10)</f>
        <v>483.30376222612546</v>
      </c>
      <c r="CT10" s="48"/>
      <c r="CU10" s="19">
        <f>CU9*(1-CU40)</f>
        <v>117.32763063256331</v>
      </c>
      <c r="CV10" s="20">
        <f>CV9*(1-CV40)</f>
        <v>128.77018420581231</v>
      </c>
      <c r="CW10" s="20">
        <f>CW9*(1-CW40)</f>
        <v>133.32267075150756</v>
      </c>
      <c r="CX10" s="20">
        <f>CX9*(1-CX40)</f>
        <v>148.15352397141694</v>
      </c>
      <c r="CY10" s="6">
        <f>SUM(CU10:CX10)</f>
        <v>527.57400956130016</v>
      </c>
      <c r="CZ10" s="202"/>
      <c r="DB10" s="202"/>
      <c r="DI10" s="1297"/>
      <c r="DK10" s="256"/>
      <c r="DL10" s="1881"/>
      <c r="DM10" s="291"/>
      <c r="DN10" s="291"/>
      <c r="DO10" s="325"/>
      <c r="DP10" s="33"/>
    </row>
    <row r="11" spans="1:121" s="268" customFormat="1" ht="11.25" customHeight="1" x14ac:dyDescent="0.2">
      <c r="A11" s="356" t="s">
        <v>8</v>
      </c>
      <c r="B11" s="91"/>
      <c r="C11" s="326">
        <f>C9-C10</f>
        <v>63.425999999999995</v>
      </c>
      <c r="D11" s="325">
        <f>D9-D10</f>
        <v>66.143000000000001</v>
      </c>
      <c r="E11" s="325">
        <f>E9-E10</f>
        <v>61.154999999999973</v>
      </c>
      <c r="F11" s="325">
        <f>F9-F10</f>
        <v>64.247000000000071</v>
      </c>
      <c r="G11" s="356">
        <f>G9-G10</f>
        <v>254.971</v>
      </c>
      <c r="H11" s="91"/>
      <c r="I11" s="326">
        <f>I9-I10</f>
        <v>64.421999999999997</v>
      </c>
      <c r="J11" s="325">
        <f>J9-J10</f>
        <v>67.543000000000006</v>
      </c>
      <c r="K11" s="325">
        <f>K9-K10</f>
        <v>68.663999999999973</v>
      </c>
      <c r="L11" s="325">
        <f>L9-L10</f>
        <v>75.010999999999981</v>
      </c>
      <c r="M11" s="356">
        <f>M9-M10</f>
        <v>275.64</v>
      </c>
      <c r="N11" s="91"/>
      <c r="O11" s="326">
        <f>O9-O10</f>
        <v>75.831000000000003</v>
      </c>
      <c r="P11" s="325">
        <f>P9-P10</f>
        <v>80.600999999999999</v>
      </c>
      <c r="Q11" s="325">
        <f>Q9-Q10</f>
        <v>81.772000000000006</v>
      </c>
      <c r="R11" s="325">
        <f>R9-R10</f>
        <v>88.451999999999998</v>
      </c>
      <c r="S11" s="356">
        <f>S9-S10</f>
        <v>326.65600000000001</v>
      </c>
      <c r="T11" s="91"/>
      <c r="U11" s="326">
        <f>U9-U10</f>
        <v>88.949999999999974</v>
      </c>
      <c r="V11" s="325">
        <f>V9-V10</f>
        <v>93.461999999999989</v>
      </c>
      <c r="W11" s="325">
        <f>W9-W10</f>
        <v>125.93700000000001</v>
      </c>
      <c r="X11" s="325">
        <f>X9-X10</f>
        <v>152.05200000000005</v>
      </c>
      <c r="Y11" s="356">
        <f>Y9-Y10</f>
        <v>460.40100000000001</v>
      </c>
      <c r="Z11" s="91"/>
      <c r="AA11" s="326">
        <f>AA9-AA10</f>
        <v>152.24999999999997</v>
      </c>
      <c r="AB11" s="325">
        <f>AB9-AB10</f>
        <v>160.32499999999999</v>
      </c>
      <c r="AC11" s="325">
        <f>AC9-AC10</f>
        <v>166.31200000000001</v>
      </c>
      <c r="AD11" s="325">
        <f>AD9-AD10</f>
        <v>171.90299999999999</v>
      </c>
      <c r="AE11" s="356">
        <f>AE9-AE10</f>
        <v>650.79</v>
      </c>
      <c r="AF11" s="91"/>
      <c r="AG11" s="326">
        <f>AG9-AG10</f>
        <v>159.94900000000001</v>
      </c>
      <c r="AH11" s="325">
        <f>AH9-AH10</f>
        <v>173.19099999999997</v>
      </c>
      <c r="AI11" s="325">
        <f>AI9-AI10</f>
        <v>189.06</v>
      </c>
      <c r="AJ11" s="325">
        <f>AJ9-AJ10</f>
        <v>206.67300000000009</v>
      </c>
      <c r="AK11" s="356">
        <f>AK9-AK10</f>
        <v>728.87300000000005</v>
      </c>
      <c r="AL11" s="91"/>
      <c r="AM11" s="326">
        <f>AM9-AM10</f>
        <v>189.21199999999996</v>
      </c>
      <c r="AN11" s="325">
        <f>AN9-AN10</f>
        <v>188.40600000000001</v>
      </c>
      <c r="AO11" s="325">
        <f>AO9-AO10</f>
        <v>196.52</v>
      </c>
      <c r="AP11" s="325">
        <f>AP9-AP10</f>
        <v>205.42400000000004</v>
      </c>
      <c r="AQ11" s="356">
        <f>AQ9-AQ10</f>
        <v>779.56200000000001</v>
      </c>
      <c r="AR11" s="91"/>
      <c r="AS11" s="326">
        <f>AS9-AS10</f>
        <v>190.94799999999998</v>
      </c>
      <c r="AT11" s="325">
        <f>AT9-AT10</f>
        <v>205.709</v>
      </c>
      <c r="AU11" s="325">
        <f>AU9-AU10</f>
        <v>206.63200000000001</v>
      </c>
      <c r="AV11" s="1896">
        <f>AV9-AV10</f>
        <v>229.22000000000008</v>
      </c>
      <c r="AW11" s="356">
        <f>AW9-AW10</f>
        <v>832.50900000000001</v>
      </c>
      <c r="AX11" s="91"/>
      <c r="AY11" s="326">
        <f>AY9-AY10</f>
        <v>209.77000000000004</v>
      </c>
      <c r="AZ11" s="325">
        <f>AZ9-AZ10</f>
        <v>219.07400000000001</v>
      </c>
      <c r="BA11" s="325">
        <f>BA9-BA10</f>
        <v>218.55699999999999</v>
      </c>
      <c r="BB11" s="1896">
        <f>BB9-BB10</f>
        <v>249.52299999999997</v>
      </c>
      <c r="BC11" s="356">
        <f>BC9-BC10</f>
        <v>896.92399999999998</v>
      </c>
      <c r="BD11" s="91"/>
      <c r="BE11" s="326">
        <f>BE9-BE10</f>
        <v>219.21300000000002</v>
      </c>
      <c r="BF11" s="325">
        <f>BF9-BF10</f>
        <v>223.41499999999999</v>
      </c>
      <c r="BG11" s="325">
        <f>BG9-BG10</f>
        <v>232.49999999999997</v>
      </c>
      <c r="BH11" s="325">
        <f>BH9-BH10</f>
        <v>264.36299999999994</v>
      </c>
      <c r="BI11" s="356">
        <f>BI9-BI10</f>
        <v>939.49099999999999</v>
      </c>
      <c r="BJ11" s="91"/>
      <c r="BK11" s="326">
        <f>BK9-BK10</f>
        <v>229.81799999999998</v>
      </c>
      <c r="BL11" s="325">
        <f>BL9-BL10</f>
        <v>236.86899999999997</v>
      </c>
      <c r="BM11" s="325">
        <f>BM9-BM10</f>
        <v>243.97399999999999</v>
      </c>
      <c r="BN11" s="325">
        <f>BN9-BN10</f>
        <v>244.178</v>
      </c>
      <c r="BO11" s="356">
        <f>BO9-BO10</f>
        <v>954.83899999999994</v>
      </c>
      <c r="BP11" s="91"/>
      <c r="BQ11" s="326">
        <f>BQ9-BQ10</f>
        <v>218.072</v>
      </c>
      <c r="BR11" s="325">
        <f>BR9-BR10</f>
        <v>225.74</v>
      </c>
      <c r="BS11" s="325">
        <f>BS9-BS10</f>
        <v>222.34599999999998</v>
      </c>
      <c r="BT11" s="325">
        <f>BT9-BT10</f>
        <v>246.077</v>
      </c>
      <c r="BU11" s="356">
        <f>BU9-BU10</f>
        <v>912.2349999999999</v>
      </c>
      <c r="BV11" s="91"/>
      <c r="BW11" s="326">
        <f>BW9-BW10</f>
        <v>207.45300000000003</v>
      </c>
      <c r="BX11" s="325">
        <f>BX9-BX10</f>
        <v>234.37799999999999</v>
      </c>
      <c r="BY11" s="325">
        <f>BY9-BY10</f>
        <v>241.41399999999999</v>
      </c>
      <c r="BZ11" s="325">
        <f>BZ9-BZ10</f>
        <v>260.80799999999999</v>
      </c>
      <c r="CA11" s="356">
        <f>CA9-CA10</f>
        <v>944.053</v>
      </c>
      <c r="CB11" s="91"/>
      <c r="CC11" s="326">
        <f>CC9-CC10</f>
        <v>217.54500000000004</v>
      </c>
      <c r="CD11" s="325">
        <f>CD9-CD10</f>
        <v>246.80599999999998</v>
      </c>
      <c r="CE11" s="325">
        <f>CE9-CE10</f>
        <v>258.7</v>
      </c>
      <c r="CF11" s="325">
        <f>CF9-CF10</f>
        <v>280.21299999999997</v>
      </c>
      <c r="CG11" s="356">
        <f>CG9-CG10</f>
        <v>1003.264</v>
      </c>
      <c r="CH11" s="91"/>
      <c r="CI11" s="326">
        <f>CI9-CI10</f>
        <v>245.92014010291962</v>
      </c>
      <c r="CJ11" s="325">
        <f>CJ9-CJ10</f>
        <v>280.13279279731523</v>
      </c>
      <c r="CK11" s="325">
        <f>CK9-CK10</f>
        <v>286.06965061984795</v>
      </c>
      <c r="CL11" s="325">
        <f>CL9-CL10</f>
        <v>302.28960323643162</v>
      </c>
      <c r="CM11" s="356">
        <f>CM9-CM10</f>
        <v>1114.4121867565143</v>
      </c>
      <c r="CN11" s="91"/>
      <c r="CO11" s="326">
        <f>CO9-CO10</f>
        <v>273.24612860418137</v>
      </c>
      <c r="CP11" s="325">
        <f>CP9-CP10</f>
        <v>301.59886391442905</v>
      </c>
      <c r="CQ11" s="325">
        <f>CQ9-CQ10</f>
        <v>304.6448605141465</v>
      </c>
      <c r="CR11" s="325">
        <f>CR9-CR10</f>
        <v>331.25614251600729</v>
      </c>
      <c r="CS11" s="356">
        <f>CS9-CS10</f>
        <v>1210.7459955487643</v>
      </c>
      <c r="CT11" s="91"/>
      <c r="CU11" s="326">
        <f>CU9-CU10</f>
        <v>303.31510136488168</v>
      </c>
      <c r="CV11" s="325">
        <f>CV9-CV10</f>
        <v>332.93494342218361</v>
      </c>
      <c r="CW11" s="325">
        <f>CW9-CW10</f>
        <v>335.68357629434422</v>
      </c>
      <c r="CX11" s="325">
        <f>CX9-CX10</f>
        <v>364.9395964492071</v>
      </c>
      <c r="CY11" s="356">
        <f>CY9-CY10</f>
        <v>1336.8732175306168</v>
      </c>
      <c r="CZ11" s="163"/>
      <c r="DB11" s="256"/>
      <c r="DC11"/>
      <c r="DD11"/>
      <c r="DE11"/>
      <c r="DF11"/>
      <c r="DG11"/>
      <c r="DH11"/>
      <c r="DI11" s="1878"/>
      <c r="DJ11" s="1879"/>
      <c r="DK11" s="256"/>
      <c r="DL11" s="291"/>
      <c r="DM11" s="291"/>
      <c r="DN11" s="291"/>
      <c r="DO11" s="325"/>
      <c r="DP11" s="1879"/>
      <c r="DQ11" s="1879"/>
    </row>
    <row r="12" spans="1:121" ht="11.25" customHeight="1" x14ac:dyDescent="0.2">
      <c r="A12" s="354" t="s">
        <v>9</v>
      </c>
      <c r="B12" s="28"/>
      <c r="C12" s="53">
        <v>9.3719999999999999</v>
      </c>
      <c r="D12" s="51">
        <v>9.2569999999999997</v>
      </c>
      <c r="E12" s="51">
        <v>7.641</v>
      </c>
      <c r="F12" s="51">
        <f>35.767-SUM(C12:E12)</f>
        <v>9.497000000000007</v>
      </c>
      <c r="G12" s="6">
        <f>SUM(C12:F12)</f>
        <v>35.767000000000003</v>
      </c>
      <c r="H12" s="28"/>
      <c r="I12" s="53">
        <v>10.053000000000001</v>
      </c>
      <c r="J12" s="51">
        <v>9.4209999999999994</v>
      </c>
      <c r="K12" s="51">
        <v>8.8770000000000007</v>
      </c>
      <c r="L12" s="51">
        <f>39.1-K12-J12-I12</f>
        <v>10.748999999999999</v>
      </c>
      <c r="M12" s="6">
        <f>SUM(I12:L12)</f>
        <v>39.099999999999994</v>
      </c>
      <c r="N12" s="28"/>
      <c r="O12" s="53">
        <v>10.188000000000001</v>
      </c>
      <c r="P12" s="51">
        <v>10.234999999999999</v>
      </c>
      <c r="Q12" s="51">
        <v>10.125</v>
      </c>
      <c r="R12" s="51">
        <f>41.56-SUM(O12:Q12)</f>
        <v>11.012</v>
      </c>
      <c r="S12" s="6">
        <f>SUM(O12:R12)</f>
        <v>41.56</v>
      </c>
      <c r="T12" s="28"/>
      <c r="U12" s="53">
        <v>11.531000000000001</v>
      </c>
      <c r="V12" s="51">
        <v>12.69</v>
      </c>
      <c r="W12" s="51">
        <v>17.87</v>
      </c>
      <c r="X12" s="51">
        <f>64.935-SUM(U12:W12)</f>
        <v>22.844000000000001</v>
      </c>
      <c r="Y12" s="6">
        <f>SUM(U12:X12)</f>
        <v>64.935000000000002</v>
      </c>
      <c r="Z12" s="28"/>
      <c r="AA12" s="53">
        <v>21.369</v>
      </c>
      <c r="AB12" s="51">
        <v>23.84</v>
      </c>
      <c r="AC12" s="51">
        <f>24.073+0.83-0.83</f>
        <v>24.073</v>
      </c>
      <c r="AD12" s="51">
        <f>97.331+0.985-0.985-SUM(AA12:AC12)</f>
        <v>28.048999999999992</v>
      </c>
      <c r="AE12" s="6">
        <f>SUM(AA12:AD12)</f>
        <v>97.331000000000003</v>
      </c>
      <c r="AF12" s="28"/>
      <c r="AG12" s="53">
        <v>25.643000000000001</v>
      </c>
      <c r="AH12" s="51">
        <v>24.95</v>
      </c>
      <c r="AI12" s="51">
        <v>26.747</v>
      </c>
      <c r="AJ12" s="51">
        <f>107.9-SUM(AG12:AI12)</f>
        <v>30.560000000000002</v>
      </c>
      <c r="AK12" s="6">
        <f>SUM(AG12:AJ12)</f>
        <v>107.9</v>
      </c>
      <c r="AL12" s="28"/>
      <c r="AM12" s="53">
        <v>31.597000000000001</v>
      </c>
      <c r="AN12" s="51">
        <v>29.422999999999998</v>
      </c>
      <c r="AO12" s="51">
        <v>30.98</v>
      </c>
      <c r="AP12" s="51">
        <f>126.04-SUM(AM12:AO12)</f>
        <v>34.040000000000006</v>
      </c>
      <c r="AQ12" s="6">
        <f>SUM(AM12:AP12)</f>
        <v>126.04</v>
      </c>
      <c r="AR12" s="28"/>
      <c r="AS12" s="53">
        <f>32.667</f>
        <v>32.667000000000002</v>
      </c>
      <c r="AT12" s="51">
        <v>32.508000000000003</v>
      </c>
      <c r="AU12" s="51">
        <v>32.646000000000001</v>
      </c>
      <c r="AV12" s="51">
        <f>130.636-SUM(AS12:AU12)</f>
        <v>32.814999999999984</v>
      </c>
      <c r="AW12" s="6">
        <f>SUM(AS12:AV12)</f>
        <v>130.636</v>
      </c>
      <c r="AX12" s="28"/>
      <c r="AY12" s="53">
        <v>28.637</v>
      </c>
      <c r="AZ12" s="51">
        <v>30.620999999999999</v>
      </c>
      <c r="BA12" s="51">
        <v>31.007999999999999</v>
      </c>
      <c r="BB12" s="52">
        <f>122.476-SUM(AY12:BA12)</f>
        <v>32.210000000000008</v>
      </c>
      <c r="BC12" s="6">
        <f>SUM(AY12:BB12)</f>
        <v>122.476</v>
      </c>
      <c r="BD12" s="28"/>
      <c r="BE12" s="53">
        <v>34.299999999999997</v>
      </c>
      <c r="BF12" s="51">
        <v>33.639000000000003</v>
      </c>
      <c r="BG12" s="51">
        <v>34.340000000000003</v>
      </c>
      <c r="BH12" s="51">
        <v>43.792000000000002</v>
      </c>
      <c r="BI12" s="6">
        <f>SUM(BE12:BH12)</f>
        <v>146.071</v>
      </c>
      <c r="BJ12" s="28"/>
      <c r="BK12" s="53">
        <v>40.335999999999999</v>
      </c>
      <c r="BL12" s="51">
        <v>37.908999999999999</v>
      </c>
      <c r="BM12" s="51">
        <v>41.460999999999999</v>
      </c>
      <c r="BN12" s="51">
        <v>43.92</v>
      </c>
      <c r="BO12" s="6">
        <f>SUM(BK12:BN12)</f>
        <v>163.626</v>
      </c>
      <c r="BP12" s="28"/>
      <c r="BQ12" s="53">
        <v>38.328000000000003</v>
      </c>
      <c r="BR12" s="51">
        <v>33.575000000000003</v>
      </c>
      <c r="BS12" s="51">
        <v>35.567999999999998</v>
      </c>
      <c r="BT12" s="51">
        <f>39.71-0.1-2.7</f>
        <v>36.909999999999997</v>
      </c>
      <c r="BU12" s="6">
        <f>SUM(BQ12:BT12)</f>
        <v>144.381</v>
      </c>
      <c r="BV12" s="28"/>
      <c r="BW12" s="53">
        <v>39.759</v>
      </c>
      <c r="BX12" s="51">
        <v>42.12</v>
      </c>
      <c r="BY12" s="51">
        <v>36.201999999999998</v>
      </c>
      <c r="BZ12" s="51">
        <f>58.511-10.6+0.8-56.2/3</f>
        <v>29.977666666666664</v>
      </c>
      <c r="CA12" s="6">
        <f>SUM(BW12:BZ12)</f>
        <v>148.05866666666665</v>
      </c>
      <c r="CB12" s="28"/>
      <c r="CC12" s="53">
        <v>37.83</v>
      </c>
      <c r="CD12" s="51">
        <v>38.786999999999999</v>
      </c>
      <c r="CE12" s="51">
        <v>38.429000000000002</v>
      </c>
      <c r="CF12" s="51">
        <f>40.944</f>
        <v>40.944000000000003</v>
      </c>
      <c r="CG12" s="6">
        <f>SUM(CC12:CF12)</f>
        <v>155.99</v>
      </c>
      <c r="CH12" s="28"/>
      <c r="CI12" s="19">
        <f>CI9*CI42</f>
        <v>49.880114905947877</v>
      </c>
      <c r="CJ12" s="20">
        <f>CJ9*CJ42</f>
        <v>48.981655900386684</v>
      </c>
      <c r="CK12" s="20">
        <f>CK9*CK42</f>
        <v>51.878805336092277</v>
      </c>
      <c r="CL12" s="20">
        <f>CL9*CL42</f>
        <v>51.946915123807777</v>
      </c>
      <c r="CM12" s="6">
        <f>SUM(CI12:CL12)</f>
        <v>202.68749126623462</v>
      </c>
      <c r="CN12" s="28"/>
      <c r="CO12" s="19">
        <f>CO9*CO42</f>
        <v>47.036187022798288</v>
      </c>
      <c r="CP12" s="20">
        <f>CP9*CP42</f>
        <v>52.516478554856782</v>
      </c>
      <c r="CQ12" s="20">
        <f>CQ9*CQ42</f>
        <v>50.955058669738179</v>
      </c>
      <c r="CR12" s="20">
        <f>CR9*CR42</f>
        <v>56.499921356060092</v>
      </c>
      <c r="CS12" s="6">
        <f>SUM(CO12:CR12)</f>
        <v>207.00764560345334</v>
      </c>
      <c r="CT12" s="28"/>
      <c r="CU12" s="19">
        <f>CU9*CU42</f>
        <v>48.350565420081345</v>
      </c>
      <c r="CV12" s="20">
        <f>CV9*CV42</f>
        <v>53.880089247731142</v>
      </c>
      <c r="CW12" s="20">
        <f>CW9*CW42</f>
        <v>52.145673677687569</v>
      </c>
      <c r="CX12" s="20">
        <f>CX9*CX42</f>
        <v>57.913654858877273</v>
      </c>
      <c r="CY12" s="6">
        <f>SUM(CU12:CX12)</f>
        <v>212.28998320437731</v>
      </c>
      <c r="CZ12" s="28"/>
      <c r="DA12" s="1699"/>
      <c r="DB12" s="28"/>
      <c r="DI12" s="1878"/>
      <c r="DJ12" s="33"/>
      <c r="DK12" s="256"/>
      <c r="DL12" s="291"/>
      <c r="DM12" s="291"/>
      <c r="DN12" s="291"/>
      <c r="DO12" s="325"/>
      <c r="DP12" s="33"/>
      <c r="DQ12" s="33"/>
    </row>
    <row r="13" spans="1:121" ht="11.25" customHeight="1" x14ac:dyDescent="0.2">
      <c r="A13" s="354" t="s">
        <v>10</v>
      </c>
      <c r="B13" s="28"/>
      <c r="C13" s="53">
        <v>23.603000000000002</v>
      </c>
      <c r="D13" s="51">
        <v>21.402000000000001</v>
      </c>
      <c r="E13" s="51">
        <v>20.03</v>
      </c>
      <c r="F13" s="51">
        <f>87.506-SUM(C13:E13)</f>
        <v>22.471000000000004</v>
      </c>
      <c r="G13" s="6">
        <f>SUM(C13:F13)</f>
        <v>87.506</v>
      </c>
      <c r="H13" s="28"/>
      <c r="I13" s="53">
        <v>22.303999999999998</v>
      </c>
      <c r="J13" s="51">
        <v>23.495000000000001</v>
      </c>
      <c r="K13" s="51">
        <v>24.065999999999999</v>
      </c>
      <c r="L13" s="51">
        <f>94.689-K13-J13-I13</f>
        <v>24.823999999999987</v>
      </c>
      <c r="M13" s="6">
        <f>SUM(I13:L13)</f>
        <v>94.688999999999979</v>
      </c>
      <c r="N13" s="28"/>
      <c r="O13" s="53">
        <v>26.419</v>
      </c>
      <c r="P13" s="51">
        <v>28.762</v>
      </c>
      <c r="Q13" s="51">
        <v>28.707000000000001</v>
      </c>
      <c r="R13" s="51">
        <f>115.942-SUM(O13:Q13)</f>
        <v>32.053999999999988</v>
      </c>
      <c r="S13" s="6">
        <f>SUM(O13:R13)</f>
        <v>115.94199999999999</v>
      </c>
      <c r="T13" s="28"/>
      <c r="U13" s="53">
        <v>31.303000000000001</v>
      </c>
      <c r="V13" s="51">
        <v>31.995000000000001</v>
      </c>
      <c r="W13" s="51">
        <v>45.161999999999999</v>
      </c>
      <c r="X13" s="51">
        <f>164.69-SUM(U13:W13)</f>
        <v>56.22999999999999</v>
      </c>
      <c r="Y13" s="6">
        <f>SUM(U13:X13)</f>
        <v>164.69</v>
      </c>
      <c r="Z13" s="28"/>
      <c r="AA13" s="53">
        <v>54.078000000000003</v>
      </c>
      <c r="AB13" s="51">
        <v>57.695999999999998</v>
      </c>
      <c r="AC13" s="51">
        <v>55.972000000000001</v>
      </c>
      <c r="AD13" s="51">
        <f>227.408-SUM(AA13:AC13)</f>
        <v>59.661999999999978</v>
      </c>
      <c r="AE13" s="6">
        <f>SUM(AA13:AD13)</f>
        <v>227.40799999999999</v>
      </c>
      <c r="AF13" s="28"/>
      <c r="AG13" s="53">
        <v>56.097999999999999</v>
      </c>
      <c r="AH13" s="51">
        <v>59.039000000000001</v>
      </c>
      <c r="AI13" s="51">
        <v>60.719000000000001</v>
      </c>
      <c r="AJ13" s="51">
        <f>244.814-SUM(AG13:AI13)</f>
        <v>68.957999999999998</v>
      </c>
      <c r="AK13" s="6">
        <f>SUM(AG13:AJ13)</f>
        <v>244.81399999999999</v>
      </c>
      <c r="AL13" s="28"/>
      <c r="AM13" s="53">
        <v>64.436000000000007</v>
      </c>
      <c r="AN13" s="51">
        <v>66.254999999999995</v>
      </c>
      <c r="AO13" s="51">
        <v>66.941000000000003</v>
      </c>
      <c r="AP13" s="52">
        <f>267.484-SUM(AM13:AO13)</f>
        <v>69.851999999999975</v>
      </c>
      <c r="AQ13" s="6">
        <f>SUM(AM13:AP13)</f>
        <v>267.48399999999998</v>
      </c>
      <c r="AR13" s="28"/>
      <c r="AS13" s="53">
        <f>68.414</f>
        <v>68.414000000000001</v>
      </c>
      <c r="AT13" s="51">
        <v>76.454999999999998</v>
      </c>
      <c r="AU13" s="51">
        <v>80.143000000000001</v>
      </c>
      <c r="AV13" s="51">
        <f>307.332-SUM(AS13:AU13)</f>
        <v>82.32</v>
      </c>
      <c r="AW13" s="6">
        <f>SUM(AS13:AV13)</f>
        <v>307.33199999999999</v>
      </c>
      <c r="AX13" s="28"/>
      <c r="AY13" s="53">
        <v>82.379000000000005</v>
      </c>
      <c r="AZ13" s="51">
        <v>85.269000000000005</v>
      </c>
      <c r="BA13" s="51">
        <v>84.891999999999996</v>
      </c>
      <c r="BB13" s="52">
        <f>343.549-SUM(AY13:BA13)</f>
        <v>91.008999999999958</v>
      </c>
      <c r="BC13" s="6">
        <f>SUM(AY13:BB13)</f>
        <v>343.54899999999998</v>
      </c>
      <c r="BD13" s="28"/>
      <c r="BE13" s="53">
        <v>89.576999999999998</v>
      </c>
      <c r="BF13" s="51">
        <v>91.296000000000006</v>
      </c>
      <c r="BG13" s="51">
        <v>92.158000000000001</v>
      </c>
      <c r="BH13" s="51">
        <v>98.492000000000004</v>
      </c>
      <c r="BI13" s="6">
        <f>SUM(BE13:BH13)</f>
        <v>371.52300000000002</v>
      </c>
      <c r="BJ13" s="28"/>
      <c r="BK13" s="53">
        <v>91.373000000000005</v>
      </c>
      <c r="BL13" s="51">
        <v>92.816999999999993</v>
      </c>
      <c r="BM13" s="51">
        <v>92.087000000000003</v>
      </c>
      <c r="BN13" s="51">
        <v>100.595</v>
      </c>
      <c r="BO13" s="6">
        <f>SUM(BK13:BN13)</f>
        <v>376.87199999999996</v>
      </c>
      <c r="BP13" s="28"/>
      <c r="BQ13" s="53">
        <v>88.611000000000004</v>
      </c>
      <c r="BR13" s="51">
        <v>89.83</v>
      </c>
      <c r="BS13" s="51">
        <v>88.759</v>
      </c>
      <c r="BT13" s="51">
        <v>93.763000000000005</v>
      </c>
      <c r="BU13" s="6">
        <f>SUM(BQ13:BT13)</f>
        <v>360.96299999999997</v>
      </c>
      <c r="BV13" s="28"/>
      <c r="BW13" s="53">
        <v>93.972999999999999</v>
      </c>
      <c r="BX13" s="51">
        <v>98.771000000000001</v>
      </c>
      <c r="BY13" s="51">
        <v>94.441999999999993</v>
      </c>
      <c r="BZ13" s="51">
        <f>115.005-56.2/3</f>
        <v>96.271666666666661</v>
      </c>
      <c r="CA13" s="6">
        <f>SUM(BW13:BZ13)</f>
        <v>383.45766666666663</v>
      </c>
      <c r="CB13" s="28"/>
      <c r="CC13" s="53">
        <v>92.337999999999994</v>
      </c>
      <c r="CD13" s="51">
        <f>103.867-8</f>
        <v>95.867000000000004</v>
      </c>
      <c r="CE13" s="51">
        <v>96.641000000000005</v>
      </c>
      <c r="CF13" s="51">
        <f>92.227</f>
        <v>92.227000000000004</v>
      </c>
      <c r="CG13" s="6">
        <f>SUM(CC13:CF13)</f>
        <v>377.07299999999998</v>
      </c>
      <c r="CH13" s="28"/>
      <c r="CI13" s="19">
        <f>CI9*CI43</f>
        <v>99.938194760864391</v>
      </c>
      <c r="CJ13" s="20">
        <f>CJ9*CJ43</f>
        <v>105.94885266511206</v>
      </c>
      <c r="CK13" s="20">
        <f>CK9*CK43</f>
        <v>105.84439448413879</v>
      </c>
      <c r="CL13" s="21">
        <f>CL9*CL43</f>
        <v>98.589948530859331</v>
      </c>
      <c r="CM13" s="6">
        <f>SUM(CI13:CL13)</f>
        <v>410.32139044097454</v>
      </c>
      <c r="CN13" s="28"/>
      <c r="CO13" s="19">
        <f>CO9*CO43</f>
        <v>109.20493543242164</v>
      </c>
      <c r="CP13" s="20">
        <f>CP9*CP43</f>
        <v>111.93389609912124</v>
      </c>
      <c r="CQ13" s="20">
        <f>CQ9*CQ43</f>
        <v>110.12807341087401</v>
      </c>
      <c r="CR13" s="21">
        <f>CR9*CR43</f>
        <v>105.15403737142171</v>
      </c>
      <c r="CS13" s="6">
        <f>SUM(CO13:CR13)</f>
        <v>436.42094231383862</v>
      </c>
      <c r="CT13" s="28"/>
      <c r="CU13" s="19">
        <f>CU9*CU43</f>
        <v>119.36397040467392</v>
      </c>
      <c r="CV13" s="20">
        <f>CV9*CV43</f>
        <v>121.47681979448241</v>
      </c>
      <c r="CW13" s="20">
        <f>CW9*CW43</f>
        <v>119.29267342044041</v>
      </c>
      <c r="CX13" s="21">
        <f>CX9*CX43</f>
        <v>113.52103330353982</v>
      </c>
      <c r="CY13" s="6">
        <f>SUM(CU13:CX13)</f>
        <v>473.65449692313655</v>
      </c>
      <c r="CZ13" s="28"/>
      <c r="DA13" s="28"/>
      <c r="DB13" s="28"/>
      <c r="DI13" s="1878"/>
      <c r="DJ13" s="33"/>
      <c r="DK13" s="256"/>
      <c r="DL13" s="291"/>
      <c r="DM13" s="291"/>
      <c r="DN13" s="33"/>
      <c r="DO13" s="325"/>
      <c r="DP13" s="33"/>
      <c r="DQ13" s="33"/>
    </row>
    <row r="14" spans="1:121" ht="11.25" customHeight="1" x14ac:dyDescent="0.2">
      <c r="A14" s="354" t="s">
        <v>11</v>
      </c>
      <c r="B14" s="28"/>
      <c r="C14" s="53">
        <f>11.419+0.941-0.941</f>
        <v>11.419</v>
      </c>
      <c r="D14" s="51">
        <f>10.789+1.805-1.805</f>
        <v>10.789</v>
      </c>
      <c r="E14" s="51">
        <f>9.791+0.572+0.763-0.572-0.763</f>
        <v>9.7910000000000004</v>
      </c>
      <c r="F14" s="51">
        <f>41.715+0.572+3.817-0.572-3.817-SUM(C14:E14)</f>
        <v>9.7160000000000046</v>
      </c>
      <c r="G14" s="6">
        <f>SUM(C14:F14)</f>
        <v>41.715000000000003</v>
      </c>
      <c r="H14" s="28"/>
      <c r="I14" s="53">
        <v>10.672000000000001</v>
      </c>
      <c r="J14" s="51">
        <v>10.006</v>
      </c>
      <c r="K14" s="51">
        <v>9.5470000000000006</v>
      </c>
      <c r="L14" s="51">
        <f>40.123-K14-J14-I14</f>
        <v>9.8979999999999961</v>
      </c>
      <c r="M14" s="6">
        <f>SUM(I14:L14)</f>
        <v>40.122999999999998</v>
      </c>
      <c r="N14" s="28"/>
      <c r="O14" s="53">
        <f>11.529-0.08</f>
        <v>11.449</v>
      </c>
      <c r="P14" s="51">
        <f>12.581-0.1</f>
        <v>12.481</v>
      </c>
      <c r="Q14" s="51">
        <f>12.389-0.04</f>
        <v>12.349</v>
      </c>
      <c r="R14" s="51">
        <f>48.574-SUM(O14:Q14)</f>
        <v>12.295000000000002</v>
      </c>
      <c r="S14" s="6">
        <f>SUM(O14:R14)</f>
        <v>48.573999999999998</v>
      </c>
      <c r="T14" s="28"/>
      <c r="U14" s="53">
        <f>13.624-0.33</f>
        <v>13.294</v>
      </c>
      <c r="V14" s="51">
        <f>13.666-0.89</f>
        <v>12.776</v>
      </c>
      <c r="W14" s="51">
        <f>21.47-2.2</f>
        <v>19.27</v>
      </c>
      <c r="X14" s="51">
        <f>71.932-(5.8-0.4)-SUM(U14:W14)</f>
        <v>21.191999999999993</v>
      </c>
      <c r="Y14" s="6">
        <f>SUM(U14:X14)</f>
        <v>66.531999999999996</v>
      </c>
      <c r="Z14" s="28"/>
      <c r="AA14" s="53">
        <f>19.903-(2-0.2)</f>
        <v>18.102999999999998</v>
      </c>
      <c r="AB14" s="51">
        <f>20.297-(2.4-0.3)</f>
        <v>18.196999999999999</v>
      </c>
      <c r="AC14" s="51">
        <f>21.142-(1.9-0.2)</f>
        <v>19.442</v>
      </c>
      <c r="AD14" s="52">
        <f>113.936-30.9-(9.4-1)-1.2-SUM(AA14:AC14)</f>
        <v>17.693999999999996</v>
      </c>
      <c r="AE14" s="328">
        <f>SUM(AA14:AD14)</f>
        <v>73.435999999999993</v>
      </c>
      <c r="AF14" s="28"/>
      <c r="AG14" s="53">
        <f>23.788-2.8-(2.2-0.2)</f>
        <v>18.988</v>
      </c>
      <c r="AH14" s="51">
        <f>24.618-(4.939-0.281)-(2.814-0.245)</f>
        <v>17.390999999999998</v>
      </c>
      <c r="AI14" s="51">
        <f>27.805-(2.79-0.177)-(2.348-0.245)-(5.784-2.515)</f>
        <v>19.82</v>
      </c>
      <c r="AJ14" s="51">
        <f>115.933-(34.4-7.4)-(9.7-0.8)-SUM(AG14:AI14)</f>
        <v>23.834000000000017</v>
      </c>
      <c r="AK14" s="6">
        <f>SUM(AG14:AJ14)</f>
        <v>80.033000000000015</v>
      </c>
      <c r="AL14" s="28"/>
      <c r="AM14" s="53">
        <f>26.34-(5.1-0.8)-(2.6-0.1)</f>
        <v>19.54</v>
      </c>
      <c r="AN14" s="51">
        <f>28.438-5.5-(3.7-0.3)</f>
        <v>19.537999999999997</v>
      </c>
      <c r="AO14" s="51">
        <f>26.484-(3.8-0.2)-(3.6-0.2)</f>
        <v>19.484000000000002</v>
      </c>
      <c r="AP14" s="51">
        <f>110.009-(20.8-1.3)-(13.6-0.9)-SUM(AM14:AO14)</f>
        <v>19.247</v>
      </c>
      <c r="AQ14" s="6">
        <f>SUM(AM14:AP14)</f>
        <v>77.808999999999997</v>
      </c>
      <c r="AR14" s="28"/>
      <c r="AS14" s="53">
        <f>26.397-(3.2-0.1)-(4-0.3)-(1.9-1.6)</f>
        <v>19.296999999999997</v>
      </c>
      <c r="AT14" s="51">
        <f>26.815-3.9-(5.3-0.5)</f>
        <v>18.115000000000002</v>
      </c>
      <c r="AU14" s="51">
        <f>33.705-(11.2-1.3)-(5.1-0.4)</f>
        <v>19.105</v>
      </c>
      <c r="AV14" s="51">
        <f>185.507-(101.5-9.6)-(19.5-1.7)-(2.1-1.2)-SUM(AS14:AU14)</f>
        <v>18.39</v>
      </c>
      <c r="AW14" s="6">
        <f>SUM(AS14:AV14)</f>
        <v>74.906999999999996</v>
      </c>
      <c r="AX14" s="28"/>
      <c r="AY14" s="53">
        <f>33.908-(11.4-0.8)-(5.2-0.4)</f>
        <v>18.507999999999999</v>
      </c>
      <c r="AZ14" s="51">
        <f>31.967-(3.2+5.5)-(7.4-0.8)+0.1</f>
        <v>16.766999999999999</v>
      </c>
      <c r="BA14" s="51">
        <f>34.717-(44.7-19.4)+9.5</f>
        <v>18.916999999999994</v>
      </c>
      <c r="BB14" s="52">
        <f>152.068-(46.6+7.9)-(25.4-2.3)-SUM(AY14:BA14)</f>
        <v>20.276000000000025</v>
      </c>
      <c r="BC14" s="6">
        <f>SUM(AY14:BB14)</f>
        <v>74.468000000000018</v>
      </c>
      <c r="BD14" s="28"/>
      <c r="BE14" s="53">
        <f>38.962-(14.6-0.4)-(8.6-0.8)</f>
        <v>16.962000000000003</v>
      </c>
      <c r="BF14" s="51">
        <f>69.132-79+33.9-9.9+0.9</f>
        <v>15.032000000000004</v>
      </c>
      <c r="BG14" s="51">
        <f>40.795+1.4-16.3+0.6-8.2</f>
        <v>18.295000000000002</v>
      </c>
      <c r="BH14" s="51">
        <f>50.184+7.1-31.6+1-11+0.1</f>
        <v>15.783999999999997</v>
      </c>
      <c r="BI14" s="6">
        <f>SUM(BE14:BH14)</f>
        <v>66.073000000000008</v>
      </c>
      <c r="BJ14" s="28"/>
      <c r="BK14" s="53">
        <f>26.791-(2.9+0.6)</f>
        <v>23.291</v>
      </c>
      <c r="BL14" s="51">
        <f>28.104+(-3.4+0.3)</f>
        <v>25.003999999999998</v>
      </c>
      <c r="BM14" s="51">
        <f>30.054+(-4.8+0.4)</f>
        <v>25.654</v>
      </c>
      <c r="BN14" s="51">
        <f>41.603+(-21.6+8.1)</f>
        <v>28.103000000000002</v>
      </c>
      <c r="BO14" s="6">
        <f>SUM(BK14:BN14)</f>
        <v>102.05199999999999</v>
      </c>
      <c r="BP14" s="28"/>
      <c r="BQ14" s="53">
        <f>26.167-(2.1+0.3)</f>
        <v>23.767000000000003</v>
      </c>
      <c r="BR14" s="51">
        <f>27.481-(4.4-0.4)</f>
        <v>23.481000000000002</v>
      </c>
      <c r="BS14" s="51">
        <f>24.562-(2.7+2.1)</f>
        <v>19.762</v>
      </c>
      <c r="BT14" s="51">
        <v>22.564</v>
      </c>
      <c r="BU14" s="6">
        <f>SUM(BQ14:BT14)</f>
        <v>89.574000000000012</v>
      </c>
      <c r="BV14" s="28"/>
      <c r="BW14" s="53">
        <f>25.818-(8.461-1.9)</f>
        <v>19.257000000000001</v>
      </c>
      <c r="BX14" s="51">
        <f>30.787-(9.933-3.45)</f>
        <v>24.303999999999998</v>
      </c>
      <c r="BY14" s="51">
        <f>33.339-9.851+0.534</f>
        <v>24.021999999999998</v>
      </c>
      <c r="BZ14" s="51">
        <f>40.595-56.2/3</f>
        <v>21.861666666666665</v>
      </c>
      <c r="CA14" s="6">
        <f>SUM(BW14:BZ14)</f>
        <v>89.444666666666663</v>
      </c>
      <c r="CB14" s="28"/>
      <c r="CC14" s="53">
        <f>32.248-14.8+6.1</f>
        <v>23.547999999999995</v>
      </c>
      <c r="CD14" s="51">
        <v>24.2</v>
      </c>
      <c r="CE14" s="51">
        <f>31.863-5.4-0.7</f>
        <v>25.763000000000002</v>
      </c>
      <c r="CF14" s="51">
        <f>74.714-49.4</f>
        <v>25.314</v>
      </c>
      <c r="CG14" s="6">
        <f>SUM(CC14:CF14)</f>
        <v>98.824999999999989</v>
      </c>
      <c r="CH14" s="28"/>
      <c r="CI14" s="19">
        <f>CI9*CI44</f>
        <v>24.182354512107967</v>
      </c>
      <c r="CJ14" s="20">
        <f>CJ9*CJ44</f>
        <v>27.238642747159478</v>
      </c>
      <c r="CK14" s="20">
        <f>CK9*CK44</f>
        <v>27.346424441266457</v>
      </c>
      <c r="CL14" s="20">
        <f>CL9*CL44</f>
        <v>28.817585744851975</v>
      </c>
      <c r="CM14" s="6">
        <f>SUM(CI14:CL14)</f>
        <v>107.58500744538588</v>
      </c>
      <c r="CN14" s="28"/>
      <c r="CO14" s="19">
        <f>CO9*CO44</f>
        <v>26.502995382715248</v>
      </c>
      <c r="CP14" s="20">
        <f>CP9*CP44</f>
        <v>28.895187169935973</v>
      </c>
      <c r="CQ14" s="20">
        <f>CQ9*CQ44</f>
        <v>28.574022874195144</v>
      </c>
      <c r="CR14" s="20">
        <f>CR9*CR44</f>
        <v>30.946271000967965</v>
      </c>
      <c r="CS14" s="6">
        <f>SUM(CO14:CR14)</f>
        <v>114.91847642781433</v>
      </c>
      <c r="CT14" s="28"/>
      <c r="CU14" s="19">
        <f>CU9*CU44</f>
        <v>28.956401443549854</v>
      </c>
      <c r="CV14" s="20">
        <f>CV9*CV44</f>
        <v>31.373460110225629</v>
      </c>
      <c r="CW14" s="20">
        <f>CW9*CW44</f>
        <v>30.969122646856114</v>
      </c>
      <c r="CX14" s="20">
        <f>CX9*CX44</f>
        <v>33.497215112982566</v>
      </c>
      <c r="CY14" s="6">
        <f>SUM(CU14:CX14)</f>
        <v>124.79619931361415</v>
      </c>
      <c r="CZ14" s="28"/>
      <c r="DA14" s="28"/>
      <c r="DB14" s="28"/>
      <c r="DI14" s="1878"/>
      <c r="DJ14" s="33"/>
      <c r="DK14" s="163"/>
      <c r="DL14" s="291"/>
      <c r="DM14" s="1880"/>
      <c r="DN14" s="291"/>
      <c r="DO14" s="33"/>
      <c r="DP14" s="33"/>
      <c r="DQ14" s="33"/>
    </row>
    <row r="15" spans="1:121" ht="11.25" customHeight="1" outlineLevel="1" x14ac:dyDescent="0.2">
      <c r="A15" s="354" t="s">
        <v>260</v>
      </c>
      <c r="B15" s="28"/>
      <c r="C15" s="53">
        <v>0</v>
      </c>
      <c r="D15" s="51">
        <v>0</v>
      </c>
      <c r="E15" s="51">
        <v>0</v>
      </c>
      <c r="F15" s="51">
        <v>0</v>
      </c>
      <c r="G15" s="6">
        <f>SUM(C15:F15)</f>
        <v>0</v>
      </c>
      <c r="H15" s="28"/>
      <c r="I15" s="53">
        <v>0</v>
      </c>
      <c r="J15" s="51">
        <f>2.056-2.056+0.714-0.714</f>
        <v>0</v>
      </c>
      <c r="K15" s="51">
        <f>0.274+0.025-0.274-0.025</f>
        <v>0</v>
      </c>
      <c r="L15" s="51">
        <f>3.239+3.213-3.239-3.213-SUM(I15:K15)</f>
        <v>0</v>
      </c>
      <c r="M15" s="6">
        <f>SUM(I15:L15)</f>
        <v>0</v>
      </c>
      <c r="N15" s="28"/>
      <c r="O15" s="53">
        <f>0.2+0.284+1.505-0.2-0.284-1.505</f>
        <v>0</v>
      </c>
      <c r="P15" s="51">
        <f>0.1+3.246+1.893+0.785-0.1-3.246-1.893-0.785</f>
        <v>0</v>
      </c>
      <c r="Q15" s="51">
        <f>1.449+2.359-1.449-2.359</f>
        <v>0</v>
      </c>
      <c r="R15" s="51">
        <f>2.2+6.061+8.22+1.452-2.2-6.061-8.22-1.452-SUM(O15:Q15)</f>
        <v>0</v>
      </c>
      <c r="S15" s="6">
        <f>SUM(O15:R15)</f>
        <v>0</v>
      </c>
      <c r="T15" s="28"/>
      <c r="U15" s="53">
        <f>0.69+2.598+0.408-0.69-2.598-0.408</f>
        <v>0</v>
      </c>
      <c r="V15" s="51">
        <f>1.346+2.658+0.07-1.346-2.658-0.07</f>
        <v>-1.6653345369377348E-16</v>
      </c>
      <c r="W15" s="51">
        <f>25.9+4.546+2.951-25.9-4.546-2.951</f>
        <v>0</v>
      </c>
      <c r="X15" s="51">
        <f>25.9+14.708+7.711+0.538-25.9-14.708-7.711-0.538-SUM(U15:W15)</f>
        <v>-6.7168492989821971E-15</v>
      </c>
      <c r="Y15" s="6">
        <f>SUM(U15:X15)</f>
        <v>-6.8833827526759706E-15</v>
      </c>
      <c r="Z15" s="28"/>
      <c r="AA15" s="53">
        <f>8.725+3.651+0.46-8.725-0.46-3.651</f>
        <v>0</v>
      </c>
      <c r="AB15" s="51">
        <f>9.342+2.816+0.074-9.342-2.816-0.074</f>
        <v>7.3552275381416621E-16</v>
      </c>
      <c r="AC15" s="51">
        <f>8.554+4.018+0.172-8.554-4.018-0.172</f>
        <v>-2.7755575615628914E-16</v>
      </c>
      <c r="AD15" s="52">
        <f>14.368-14.368-SUM(AA15:AC15)</f>
        <v>-4.5796699765787707E-16</v>
      </c>
      <c r="AE15" s="328">
        <f>SUM(AA15:AD15)</f>
        <v>0</v>
      </c>
      <c r="AF15" s="28"/>
      <c r="AG15" s="53">
        <f>3.891-3.891</f>
        <v>0</v>
      </c>
      <c r="AH15" s="51">
        <f>4.011-4.011</f>
        <v>0</v>
      </c>
      <c r="AI15" s="51">
        <f>4.387-4.387</f>
        <v>0</v>
      </c>
      <c r="AJ15" s="51">
        <f>18.221-18.221-SUM(AG15:AI15)</f>
        <v>0</v>
      </c>
      <c r="AK15" s="6">
        <f>SUM(AG15:AJ15)</f>
        <v>0</v>
      </c>
      <c r="AL15" s="28"/>
      <c r="AM15" s="53">
        <f>6.158-6.158</f>
        <v>0</v>
      </c>
      <c r="AN15" s="51">
        <f>5.84-5.84</f>
        <v>0</v>
      </c>
      <c r="AO15" s="51">
        <f>5.88-5.88</f>
        <v>0</v>
      </c>
      <c r="AP15" s="51">
        <f>23.492-23.492-SUM(AM15:AO15)</f>
        <v>0</v>
      </c>
      <c r="AQ15" s="6">
        <f>SUM(AM15:AP15)</f>
        <v>0</v>
      </c>
      <c r="AR15" s="28"/>
      <c r="AS15" s="53">
        <f>6.225-6.225</f>
        <v>0</v>
      </c>
      <c r="AT15" s="51">
        <f>6.176-6.176</f>
        <v>0</v>
      </c>
      <c r="AU15" s="51">
        <f>6.741-6.741</f>
        <v>0</v>
      </c>
      <c r="AV15" s="51">
        <f>26.746-26.746-SUM(AS15:AU15)</f>
        <v>0</v>
      </c>
      <c r="AW15" s="6">
        <f>SUM(AS15:AV15)</f>
        <v>0</v>
      </c>
      <c r="AX15" s="28"/>
      <c r="AY15" s="53">
        <f>7.963-7.963</f>
        <v>0</v>
      </c>
      <c r="AZ15" s="51">
        <f>9.69-9.69</f>
        <v>0</v>
      </c>
      <c r="BA15" s="51">
        <f>9.562-9.562</f>
        <v>0</v>
      </c>
      <c r="BB15" s="52">
        <f>36.117-36.117-SUM(AY15:BA15)</f>
        <v>0</v>
      </c>
      <c r="BC15" s="6">
        <f>SUM(AY15:BB15)</f>
        <v>0</v>
      </c>
      <c r="BD15" s="28"/>
      <c r="BE15" s="329">
        <f>8.103-8.103</f>
        <v>0</v>
      </c>
      <c r="BF15" s="51">
        <f>9.009-9.009</f>
        <v>0</v>
      </c>
      <c r="BG15" s="51">
        <f>8.995-8.995</f>
        <v>0</v>
      </c>
      <c r="BH15" s="51">
        <f>9.387-9.387</f>
        <v>0</v>
      </c>
      <c r="BI15" s="6">
        <f>SUM(BE15:BH15)</f>
        <v>0</v>
      </c>
      <c r="BJ15" s="28"/>
      <c r="BK15" s="53">
        <f>9.315-9.315</f>
        <v>0</v>
      </c>
      <c r="BL15" s="51">
        <f>9.347-9.347</f>
        <v>0</v>
      </c>
      <c r="BM15" s="51">
        <f>9.318-9.318</f>
        <v>0</v>
      </c>
      <c r="BN15" s="51">
        <f>9.091-9.091</f>
        <v>0</v>
      </c>
      <c r="BO15" s="6">
        <f>SUM(BK15:BN15)</f>
        <v>0</v>
      </c>
      <c r="BP15" s="28"/>
      <c r="BQ15" s="53">
        <f>9.635-9.635</f>
        <v>0</v>
      </c>
      <c r="BR15" s="51">
        <v>0</v>
      </c>
      <c r="BS15" s="51">
        <v>0</v>
      </c>
      <c r="BT15" s="51">
        <v>0</v>
      </c>
      <c r="BU15" s="6">
        <f>SUM(BQ15:BT15)</f>
        <v>0</v>
      </c>
      <c r="BV15" s="28"/>
      <c r="BW15" s="53">
        <f>9.797-9.797</f>
        <v>0</v>
      </c>
      <c r="BX15" s="51">
        <v>0</v>
      </c>
      <c r="BY15" s="51">
        <v>0</v>
      </c>
      <c r="BZ15" s="51">
        <v>0</v>
      </c>
      <c r="CA15" s="6">
        <f>SUM(BW15:BZ15)</f>
        <v>0</v>
      </c>
      <c r="CB15" s="28"/>
      <c r="CC15" s="53">
        <f>9.797-9.797</f>
        <v>0</v>
      </c>
      <c r="CD15" s="51">
        <v>0</v>
      </c>
      <c r="CE15" s="51">
        <v>0</v>
      </c>
      <c r="CF15" s="51">
        <v>0</v>
      </c>
      <c r="CG15" s="6">
        <f>SUM(CC15:CF15)</f>
        <v>0</v>
      </c>
      <c r="CH15" s="28"/>
      <c r="CI15" s="53">
        <v>0</v>
      </c>
      <c r="CJ15" s="51">
        <v>0</v>
      </c>
      <c r="CK15" s="51">
        <v>0</v>
      </c>
      <c r="CL15" s="51">
        <v>0</v>
      </c>
      <c r="CM15" s="6">
        <f>SUM(CI15:CL15)</f>
        <v>0</v>
      </c>
      <c r="CN15" s="28"/>
      <c r="CO15" s="53">
        <v>0</v>
      </c>
      <c r="CP15" s="51">
        <v>0</v>
      </c>
      <c r="CQ15" s="51">
        <v>0</v>
      </c>
      <c r="CR15" s="51">
        <v>0</v>
      </c>
      <c r="CS15" s="6">
        <f>SUM(CO15:CR15)</f>
        <v>0</v>
      </c>
      <c r="CT15" s="28"/>
      <c r="CU15" s="53">
        <v>0</v>
      </c>
      <c r="CV15" s="51">
        <v>0</v>
      </c>
      <c r="CW15" s="51">
        <v>0</v>
      </c>
      <c r="CX15" s="51">
        <v>0</v>
      </c>
      <c r="CY15" s="6">
        <f>SUM(CU15:CX15)</f>
        <v>0</v>
      </c>
      <c r="CZ15" s="28"/>
      <c r="DA15" s="28"/>
      <c r="DB15" s="28"/>
      <c r="DI15" s="1878"/>
      <c r="DJ15" s="33"/>
      <c r="DK15" s="163"/>
      <c r="DL15" s="291"/>
      <c r="DM15" s="1880"/>
      <c r="DN15" s="33"/>
      <c r="DO15" s="33"/>
      <c r="DP15" s="33"/>
      <c r="DQ15" s="33"/>
    </row>
    <row r="16" spans="1:121" s="268" customFormat="1" ht="11.25" customHeight="1" x14ac:dyDescent="0.2">
      <c r="A16" s="1897" t="s">
        <v>13</v>
      </c>
      <c r="B16" s="91"/>
      <c r="C16" s="103">
        <f>C10+C12+C13+C14+C15</f>
        <v>77.025999999999996</v>
      </c>
      <c r="D16" s="91">
        <f>D10+D12+D13+D14+D15</f>
        <v>73.941999999999993</v>
      </c>
      <c r="E16" s="91">
        <f>E10+E12+E13+E14+E15</f>
        <v>66.710000000000008</v>
      </c>
      <c r="F16" s="1898">
        <f>F10+F12+F13+F14+F15</f>
        <v>72.968000000000004</v>
      </c>
      <c r="G16" s="104">
        <f>G10+G12+G13+G14+G15</f>
        <v>290.64600000000002</v>
      </c>
      <c r="H16" s="91"/>
      <c r="I16" s="103">
        <f>I10+I12+I13+I14+I15</f>
        <v>73.632000000000005</v>
      </c>
      <c r="J16" s="91">
        <f>J10+J12+J13+J14+J15</f>
        <v>75.733000000000004</v>
      </c>
      <c r="K16" s="91">
        <f>K10+K12+K13+K14+K15</f>
        <v>72.497</v>
      </c>
      <c r="L16" s="1898">
        <f>L10+L12+L13+L14+L15</f>
        <v>74.804999999999964</v>
      </c>
      <c r="M16" s="104">
        <f>M10+M12+M13+M14+M15</f>
        <v>296.66699999999997</v>
      </c>
      <c r="N16" s="91"/>
      <c r="O16" s="103">
        <f>O10+O12+O13+O14+O15</f>
        <v>80.94</v>
      </c>
      <c r="P16" s="91">
        <f>P10+P12+P13+P14+P15</f>
        <v>84.109999999999985</v>
      </c>
      <c r="Q16" s="91">
        <f>Q10+Q12+Q13+Q14+Q15</f>
        <v>87.347999999999999</v>
      </c>
      <c r="R16" s="1898">
        <f>R10+R12+R13+R14+R15</f>
        <v>92.800000000000011</v>
      </c>
      <c r="S16" s="104">
        <f>S10+S12+S13+S14+S15</f>
        <v>345.19800000000004</v>
      </c>
      <c r="T16" s="91"/>
      <c r="U16" s="103">
        <f>U10+U12+U13+U14+U15</f>
        <v>95.057000000000002</v>
      </c>
      <c r="V16" s="91">
        <f>V10+V12+V13+V14+V15</f>
        <v>99.037999999999997</v>
      </c>
      <c r="W16" s="91">
        <f>W10+W12+W13+W14+W15</f>
        <v>132.99700000000001</v>
      </c>
      <c r="X16" s="1898">
        <f>X10+X12+X13+X14+X15</f>
        <v>158.43799999999999</v>
      </c>
      <c r="Y16" s="104">
        <f>Y10+Y12+Y13+Y14+Y15</f>
        <v>485.53</v>
      </c>
      <c r="Z16" s="91"/>
      <c r="AA16" s="103">
        <f>AA10+AA12+AA13+AA14+AA15</f>
        <v>148.40600000000001</v>
      </c>
      <c r="AB16" s="91">
        <f>AB10+AB12+AB13+AB14+AB15</f>
        <v>157.29599999999999</v>
      </c>
      <c r="AC16" s="91">
        <f>AC10+AC12+AC13+AC14+AC15</f>
        <v>163.97500000000002</v>
      </c>
      <c r="AD16" s="1898">
        <f>AD10+AD12+AD13+AD14+AD15</f>
        <v>170.68300000000002</v>
      </c>
      <c r="AE16" s="104">
        <f>AE10+AE12+AE13+AE14+AE15</f>
        <v>640.36000000000013</v>
      </c>
      <c r="AF16" s="91"/>
      <c r="AG16" s="103">
        <f>AG10+AG12+AG13+AG14+AG15</f>
        <v>161.71299999999997</v>
      </c>
      <c r="AH16" s="91">
        <f>AH10+AH12+AH13+AH14+AH15</f>
        <v>168.345</v>
      </c>
      <c r="AI16" s="91">
        <f>AI10+AI12+AI13+AI14+AI15</f>
        <v>177.88499999999999</v>
      </c>
      <c r="AJ16" s="1898">
        <f>AJ10+AJ12+AJ13+AJ14+AJ15</f>
        <v>205.75600000000003</v>
      </c>
      <c r="AK16" s="104">
        <f>AK10+AK12+AK13+AK14+AK15</f>
        <v>713.69899999999996</v>
      </c>
      <c r="AL16" s="91"/>
      <c r="AM16" s="103">
        <f>AM10+AM12+AM13+AM14+AM15</f>
        <v>190.72500000000002</v>
      </c>
      <c r="AN16" s="91">
        <f>AN10+AN12+AN13+AN14+AN15</f>
        <v>189.52800000000002</v>
      </c>
      <c r="AO16" s="91">
        <f>AO10+AO12+AO13+AO14+AO15</f>
        <v>195.20200000000003</v>
      </c>
      <c r="AP16" s="1898">
        <f>AP10+AP12+AP13+AP14+AP15</f>
        <v>203.74700000000001</v>
      </c>
      <c r="AQ16" s="104">
        <f>AQ10+AQ12+AQ13+AQ14+AQ15</f>
        <v>779.202</v>
      </c>
      <c r="AR16" s="91"/>
      <c r="AS16" s="103">
        <f>AS10+AS12+AS13+AS14+AS15</f>
        <v>193.69500000000002</v>
      </c>
      <c r="AT16" s="91">
        <f>AT10+AT12+AT13+AT14+AT15</f>
        <v>203.54599999999999</v>
      </c>
      <c r="AU16" s="91">
        <f>AU10+AU12+AU13+AU14+AU15</f>
        <v>214.14699999999999</v>
      </c>
      <c r="AV16" s="91">
        <f>AV10+AV12+AV13+AV14+AV15</f>
        <v>238.72499999999997</v>
      </c>
      <c r="AW16" s="104">
        <f>AW10+AW12+AW13+AW14+AW15</f>
        <v>850.11300000000006</v>
      </c>
      <c r="AX16" s="91"/>
      <c r="AY16" s="103">
        <f>AY10+AY12+AY13+AY14+AY15</f>
        <v>216.17600000000002</v>
      </c>
      <c r="AZ16" s="91">
        <f>AZ10+AZ12+AZ13+AZ14+AZ15</f>
        <v>220.79599999999999</v>
      </c>
      <c r="BA16" s="91">
        <f>BA10+BA12+BA13+BA14+BA15</f>
        <v>220.54900000000001</v>
      </c>
      <c r="BB16" s="1898">
        <f>BB10+BB12+BB13+BB14+BB15</f>
        <v>240.50399999999996</v>
      </c>
      <c r="BC16" s="104">
        <f>BC10+BC12+BC13+BC14</f>
        <v>898.02500000000009</v>
      </c>
      <c r="BD16" s="91"/>
      <c r="BE16" s="103">
        <f>BE10+BE12+BE13+BE14+BE15</f>
        <v>225.202</v>
      </c>
      <c r="BF16" s="91">
        <f>BF10+BF12+BF13+BF14+BF15</f>
        <v>232.96400000000003</v>
      </c>
      <c r="BG16" s="91">
        <f>BG10+BG12+BG13+BG14+BG15</f>
        <v>236.10400000000004</v>
      </c>
      <c r="BH16" s="91">
        <f>BH10+BH12+BH13+BH14+BH15</f>
        <v>256.29000000000002</v>
      </c>
      <c r="BI16" s="104">
        <f>BI10+BI12+BI13+BI14</f>
        <v>950.56000000000006</v>
      </c>
      <c r="BJ16" s="91"/>
      <c r="BK16" s="103">
        <f>BK10+BK12+BK13+BK14+BK15</f>
        <v>242.55500000000001</v>
      </c>
      <c r="BL16" s="91">
        <f>BL10+BL12+BL13+BL14+BL15</f>
        <v>250.09799999999998</v>
      </c>
      <c r="BM16" s="91">
        <f>BM10+BM12+BM13+BM14+BM15</f>
        <v>251.98500000000001</v>
      </c>
      <c r="BN16" s="91">
        <f>BN10+BN12+BN13+BN14+BN15</f>
        <v>289.25000000000006</v>
      </c>
      <c r="BO16" s="104">
        <f>BO10+BO12+BO13+BO14</f>
        <v>1033.8879999999999</v>
      </c>
      <c r="BP16" s="91"/>
      <c r="BQ16" s="103">
        <f>BQ10+BQ12+BQ13+BQ14+BQ15</f>
        <v>231.363</v>
      </c>
      <c r="BR16" s="91">
        <f>BR10+BR12+BR13+BR14+BR15</f>
        <v>240.60199999999998</v>
      </c>
      <c r="BS16" s="91">
        <f>BS10+BS12+BS13+BS14+BS15</f>
        <v>236.304</v>
      </c>
      <c r="BT16" s="91">
        <f>BT10+BT12+BT13+BT14+BT15</f>
        <v>255.66</v>
      </c>
      <c r="BU16" s="104">
        <f>BU10+BU12+BU13+BU14</f>
        <v>963.92899999999986</v>
      </c>
      <c r="BV16" s="91"/>
      <c r="BW16" s="103">
        <f>BW10+BW12+BW13+BW14+BW15</f>
        <v>243.91500000000002</v>
      </c>
      <c r="BX16" s="91">
        <f>BX10+BX12+BX13+BX14+BX15</f>
        <v>265.22899999999998</v>
      </c>
      <c r="BY16" s="91">
        <f>BY10+BY12+BY13+BY14+BY15</f>
        <v>251.93700000000001</v>
      </c>
      <c r="BZ16" s="91">
        <f>BZ10+BZ12+BZ13+BZ14+BZ15</f>
        <v>253.81799999999998</v>
      </c>
      <c r="CA16" s="104">
        <f>CA10+CA12+CA13+CA14</f>
        <v>1014.899</v>
      </c>
      <c r="CB16" s="91"/>
      <c r="CC16" s="103">
        <f>CC10+CC12+CC13+CC14+CC15</f>
        <v>244.477</v>
      </c>
      <c r="CD16" s="91">
        <f>CD10+CD12+CD13+CD14+CD15</f>
        <v>261.654</v>
      </c>
      <c r="CE16" s="91">
        <f>CE10+CE12+CE13+CE14+CE15</f>
        <v>266.53299999999996</v>
      </c>
      <c r="CF16" s="91">
        <f>CF10+CF12+CF13+CF14+CF15</f>
        <v>275.38499999999999</v>
      </c>
      <c r="CG16" s="104">
        <f>CG10+CG12+CG13+CG14</f>
        <v>1048.049</v>
      </c>
      <c r="CH16" s="91"/>
      <c r="CI16" s="103">
        <f>CI10+CI12+CI13+CI14+CI15</f>
        <v>270.27749251055877</v>
      </c>
      <c r="CJ16" s="91">
        <f>CJ10+CJ12+CJ13+CJ14+CJ15</f>
        <v>292.04411201713515</v>
      </c>
      <c r="CK16" s="91">
        <f>CK10+CK12+CK13+CK14+CK15</f>
        <v>301.97880155759168</v>
      </c>
      <c r="CL16" s="1898">
        <f>CL10+CL12+CL13+CL14+CL15</f>
        <v>306.62456367855663</v>
      </c>
      <c r="CM16" s="104">
        <f>CM10+CM12+CM13+CM14</f>
        <v>1170.9249697638422</v>
      </c>
      <c r="CN16" s="91"/>
      <c r="CO16" s="103">
        <f>CO10+CO12+CO13+CO14+CO15</f>
        <v>289.42709456379748</v>
      </c>
      <c r="CP16" s="91">
        <f>CP10+CP12+CP13+CP14+CP15</f>
        <v>311.21822885482402</v>
      </c>
      <c r="CQ16" s="91">
        <f>CQ10+CQ12+CQ13+CQ14+CQ15</f>
        <v>312.05997067246329</v>
      </c>
      <c r="CR16" s="1898">
        <f>CR10+CR12+CR13+CR14+CR15</f>
        <v>328.94553248014688</v>
      </c>
      <c r="CS16" s="104">
        <f>CS10+CS12+CS13+CS14</f>
        <v>1241.6508265712318</v>
      </c>
      <c r="CT16" s="91"/>
      <c r="CU16" s="103">
        <f>CU10+CU12+CU13+CU14+CU15</f>
        <v>313.99856790086841</v>
      </c>
      <c r="CV16" s="91">
        <f>CV10+CV12+CV13+CV14+CV15</f>
        <v>335.50055335825147</v>
      </c>
      <c r="CW16" s="91">
        <f>CW10+CW12+CW13+CW14+CW15</f>
        <v>335.73014049649169</v>
      </c>
      <c r="CX16" s="1898">
        <f>CX10+CX12+CX13+CX14+CX15</f>
        <v>353.08542724681661</v>
      </c>
      <c r="CY16" s="104">
        <f>CY10+CY12+CY13+CY14</f>
        <v>1338.3146890024282</v>
      </c>
      <c r="CZ16" s="256"/>
      <c r="DA16" s="256"/>
      <c r="DB16" s="256"/>
      <c r="DC16"/>
      <c r="DD16"/>
      <c r="DE16"/>
      <c r="DF16"/>
      <c r="DG16"/>
      <c r="DH16"/>
      <c r="DI16" s="1878"/>
      <c r="DJ16" s="1879"/>
      <c r="DK16" s="163"/>
      <c r="DL16" s="291"/>
      <c r="DM16" s="1880"/>
      <c r="DN16" s="1879"/>
      <c r="DO16" s="1879"/>
      <c r="DP16" s="1879"/>
      <c r="DQ16" s="1879"/>
    </row>
    <row r="17" spans="1:121" s="268" customFormat="1" ht="11.25" customHeight="1" x14ac:dyDescent="0.2">
      <c r="A17" s="1899" t="s">
        <v>177</v>
      </c>
      <c r="B17" s="350"/>
      <c r="C17" s="351">
        <f>C9-C16</f>
        <v>19.031999999999996</v>
      </c>
      <c r="D17" s="352">
        <f>D9-D16</f>
        <v>24.695000000000007</v>
      </c>
      <c r="E17" s="352">
        <f>E9-E16</f>
        <v>23.692999999999969</v>
      </c>
      <c r="F17" s="352">
        <f>F9-F16</f>
        <v>22.563000000000059</v>
      </c>
      <c r="G17" s="353">
        <f>G9-G16</f>
        <v>89.983000000000004</v>
      </c>
      <c r="H17" s="350"/>
      <c r="I17" s="351">
        <f>I9-I16</f>
        <v>21.393000000000001</v>
      </c>
      <c r="J17" s="352">
        <f>J9-J16</f>
        <v>24.621000000000009</v>
      </c>
      <c r="K17" s="352">
        <f>K9-K16</f>
        <v>26.173999999999978</v>
      </c>
      <c r="L17" s="352">
        <f>L9-L16</f>
        <v>29.540000000000006</v>
      </c>
      <c r="M17" s="353">
        <f>M9-M16</f>
        <v>101.72800000000001</v>
      </c>
      <c r="N17" s="350"/>
      <c r="O17" s="351">
        <f>O9-O16</f>
        <v>27.775000000000006</v>
      </c>
      <c r="P17" s="352">
        <f>P9-P16</f>
        <v>29.123000000000005</v>
      </c>
      <c r="Q17" s="352">
        <f>Q9-Q16</f>
        <v>30.591000000000008</v>
      </c>
      <c r="R17" s="352">
        <f>R9-R16</f>
        <v>33.091000000000008</v>
      </c>
      <c r="S17" s="353">
        <f>S9-S16</f>
        <v>120.57999999999998</v>
      </c>
      <c r="T17" s="350"/>
      <c r="U17" s="351">
        <f>U9-U16</f>
        <v>32.821999999999974</v>
      </c>
      <c r="V17" s="352">
        <f>V9-V16</f>
        <v>36.000999999999991</v>
      </c>
      <c r="W17" s="352">
        <f>W9-W16</f>
        <v>43.634999999999991</v>
      </c>
      <c r="X17" s="352">
        <f>X9-X16</f>
        <v>51.786000000000058</v>
      </c>
      <c r="Y17" s="353">
        <f>Y9-Y16</f>
        <v>164.24400000000003</v>
      </c>
      <c r="Z17" s="350"/>
      <c r="AA17" s="351">
        <f>AA9-AA16</f>
        <v>58.69999999999996</v>
      </c>
      <c r="AB17" s="352">
        <f>AB9-AB16</f>
        <v>60.592000000000013</v>
      </c>
      <c r="AC17" s="352">
        <f>AC9-AC16</f>
        <v>66.824999999999989</v>
      </c>
      <c r="AD17" s="352">
        <f>AD9-AD16</f>
        <v>66.498000000000019</v>
      </c>
      <c r="AE17" s="353">
        <f>AE9-AE16</f>
        <v>252.6149999999999</v>
      </c>
      <c r="AF17" s="350"/>
      <c r="AG17" s="351">
        <f>AG9-AG16</f>
        <v>59.220000000000027</v>
      </c>
      <c r="AH17" s="352">
        <f>AH9-AH16</f>
        <v>71.810999999999979</v>
      </c>
      <c r="AI17" s="352">
        <f>AI9-AI16</f>
        <v>81.774000000000001</v>
      </c>
      <c r="AJ17" s="352">
        <f>AJ9-AJ16</f>
        <v>83.321000000000083</v>
      </c>
      <c r="AK17" s="353">
        <f>AK9-AK16</f>
        <v>296.12600000000009</v>
      </c>
      <c r="AL17" s="350"/>
      <c r="AM17" s="351">
        <f>AM9-AM16</f>
        <v>73.638999999999953</v>
      </c>
      <c r="AN17" s="352">
        <f>AN9-AN16</f>
        <v>73.19</v>
      </c>
      <c r="AO17" s="352">
        <f>AO9-AO16</f>
        <v>79.114999999999981</v>
      </c>
      <c r="AP17" s="352">
        <f>AP9-AP16</f>
        <v>82.285000000000025</v>
      </c>
      <c r="AQ17" s="353">
        <f>AQ9-AQ16</f>
        <v>308.22900000000004</v>
      </c>
      <c r="AR17" s="350"/>
      <c r="AS17" s="351">
        <f>AS9-AS16</f>
        <v>70.569999999999965</v>
      </c>
      <c r="AT17" s="352">
        <f>AT9-AT16</f>
        <v>78.631000000000029</v>
      </c>
      <c r="AU17" s="352">
        <f>AU9-AU16</f>
        <v>74.738</v>
      </c>
      <c r="AV17" s="352">
        <f>AV9-AV16</f>
        <v>95.695000000000107</v>
      </c>
      <c r="AW17" s="353">
        <f>AW9-AW16</f>
        <v>319.63400000000001</v>
      </c>
      <c r="AX17" s="350"/>
      <c r="AY17" s="351">
        <f>AY9-AY16</f>
        <v>80.246000000000009</v>
      </c>
      <c r="AZ17" s="352">
        <f>AZ9-AZ16</f>
        <v>86.41700000000003</v>
      </c>
      <c r="BA17" s="352">
        <f>BA9-BA16</f>
        <v>83.739999999999981</v>
      </c>
      <c r="BB17" s="1900">
        <f>BB9-BB16</f>
        <v>106.02799999999996</v>
      </c>
      <c r="BC17" s="353">
        <f>BC9-BC16</f>
        <v>356.43099999999981</v>
      </c>
      <c r="BD17" s="350"/>
      <c r="BE17" s="351">
        <f>BE9-BE16</f>
        <v>78.374000000000024</v>
      </c>
      <c r="BF17" s="352">
        <f>BF9-BF16</f>
        <v>83.447999999999951</v>
      </c>
      <c r="BG17" s="352">
        <f>BG9-BG16</f>
        <v>87.706999999999937</v>
      </c>
      <c r="BH17" s="352">
        <f>BH9-BH16</f>
        <v>106.29499999999996</v>
      </c>
      <c r="BI17" s="353">
        <f>BI9-BI16</f>
        <v>355.82399999999996</v>
      </c>
      <c r="BJ17" s="350"/>
      <c r="BK17" s="351">
        <f>BK9-BK16</f>
        <v>74.817999999999984</v>
      </c>
      <c r="BL17" s="352">
        <f>BL9-BL16</f>
        <v>81.138999999999982</v>
      </c>
      <c r="BM17" s="352">
        <f>BM9-BM16</f>
        <v>84.771999999999991</v>
      </c>
      <c r="BN17" s="352">
        <f>BN9-BN16</f>
        <v>71.559999999999945</v>
      </c>
      <c r="BO17" s="353">
        <f>BO9-BO16</f>
        <v>312.28899999999999</v>
      </c>
      <c r="BP17" s="350"/>
      <c r="BQ17" s="351">
        <f>BQ9-BQ16</f>
        <v>67.365999999999985</v>
      </c>
      <c r="BR17" s="352">
        <f>BR9-BR16</f>
        <v>78.854000000000042</v>
      </c>
      <c r="BS17" s="352">
        <f>BS9-BS16</f>
        <v>78.256999999999977</v>
      </c>
      <c r="BT17" s="352">
        <f>BT9-BT16</f>
        <v>92.84</v>
      </c>
      <c r="BU17" s="353">
        <f>BU9-BU16</f>
        <v>317.31700000000001</v>
      </c>
      <c r="BV17" s="350"/>
      <c r="BW17" s="351">
        <f>BW9-BW16</f>
        <v>54.463999999999999</v>
      </c>
      <c r="BX17" s="352">
        <f>BX9-BX16</f>
        <v>69.182999999999993</v>
      </c>
      <c r="BY17" s="352">
        <f>BY9-BY16</f>
        <v>86.74799999999999</v>
      </c>
      <c r="BZ17" s="352">
        <f>BZ9-BZ16</f>
        <v>112.697</v>
      </c>
      <c r="CA17" s="353">
        <f>CA9-CA16</f>
        <v>323.09199999999998</v>
      </c>
      <c r="CB17" s="350"/>
      <c r="CC17" s="351">
        <f>CC9-CC16</f>
        <v>63.829000000000036</v>
      </c>
      <c r="CD17" s="352">
        <f>CD9-CD16</f>
        <v>87.951999999999998</v>
      </c>
      <c r="CE17" s="352">
        <f>CE9-CE16</f>
        <v>97.867000000000019</v>
      </c>
      <c r="CF17" s="352">
        <f>CF9-CF16</f>
        <v>121.72800000000001</v>
      </c>
      <c r="CG17" s="353">
        <f>CG9-CG16</f>
        <v>371.37599999999998</v>
      </c>
      <c r="CH17" s="350"/>
      <c r="CI17" s="351">
        <f>CI9-CI16</f>
        <v>71.919475923999357</v>
      </c>
      <c r="CJ17" s="352">
        <f>CJ9-CJ16</f>
        <v>97.963641484657046</v>
      </c>
      <c r="CK17" s="352">
        <f>CK9-CK16</f>
        <v>101.00002635835045</v>
      </c>
      <c r="CL17" s="352">
        <f>CL9-CL16</f>
        <v>122.9351538369126</v>
      </c>
      <c r="CM17" s="353">
        <f>CM9-CM16</f>
        <v>393.81829760391929</v>
      </c>
      <c r="CN17" s="350"/>
      <c r="CO17" s="351">
        <f>CO9-CO16</f>
        <v>90.502010766246201</v>
      </c>
      <c r="CP17" s="352">
        <f>CP9-CP16</f>
        <v>108.25330209051504</v>
      </c>
      <c r="CQ17" s="352">
        <f>CQ9-CQ16</f>
        <v>114.98770555933919</v>
      </c>
      <c r="CR17" s="352">
        <f>CR9-CR16</f>
        <v>138.65591278755755</v>
      </c>
      <c r="CS17" s="353">
        <f>CS9-CS16</f>
        <v>452.39893120365787</v>
      </c>
      <c r="CT17" s="350"/>
      <c r="CU17" s="351">
        <f>CU9-CU16</f>
        <v>106.64416409657662</v>
      </c>
      <c r="CV17" s="352">
        <f>CV9-CV16</f>
        <v>126.20457426974446</v>
      </c>
      <c r="CW17" s="352">
        <f>CW9-CW16</f>
        <v>133.27610654936012</v>
      </c>
      <c r="CX17" s="352">
        <f>CX9-CX16</f>
        <v>160.00769317380741</v>
      </c>
      <c r="CY17" s="353">
        <f>CY9-CY16</f>
        <v>526.13253808948866</v>
      </c>
      <c r="CZ17" s="256"/>
      <c r="DA17" s="256"/>
      <c r="DB17" s="256"/>
      <c r="DC17"/>
      <c r="DD17"/>
      <c r="DE17"/>
      <c r="DF17"/>
      <c r="DG17"/>
      <c r="DH17"/>
      <c r="DI17" s="1878"/>
      <c r="DJ17" s="1879"/>
      <c r="DK17" s="163"/>
      <c r="DL17" s="291"/>
      <c r="DM17" s="1879"/>
      <c r="DN17" s="1879"/>
      <c r="DO17" s="1879"/>
      <c r="DP17" s="1879"/>
      <c r="DQ17" s="1879"/>
    </row>
    <row r="18" spans="1:121" ht="11.25" customHeight="1" x14ac:dyDescent="0.2">
      <c r="A18" s="198" t="s">
        <v>96</v>
      </c>
      <c r="B18" s="48"/>
      <c r="C18" s="1901">
        <f>Debt!C80</f>
        <v>6.8959999999999999</v>
      </c>
      <c r="D18" s="1902">
        <f>Debt!D80</f>
        <v>6.06</v>
      </c>
      <c r="E18" s="1902">
        <f>Debt!E80</f>
        <v>5.1689999999999996</v>
      </c>
      <c r="F18" s="1902">
        <f>Debt!F80</f>
        <v>4.8359999999999994</v>
      </c>
      <c r="G18" s="6">
        <f>SUM(C18:F18)</f>
        <v>22.960999999999999</v>
      </c>
      <c r="H18" s="48"/>
      <c r="I18" s="1901">
        <f>-BS!I113</f>
        <v>5.0179999999999998</v>
      </c>
      <c r="J18" s="1902">
        <f>-BS!J113</f>
        <v>4.8819999999999997</v>
      </c>
      <c r="K18" s="1902">
        <f>-BS!K113</f>
        <v>4.6859999999999999</v>
      </c>
      <c r="L18" s="1902">
        <f>-BS!L113</f>
        <v>4.4689999999999976</v>
      </c>
      <c r="M18" s="6">
        <f>SUM(I18:L18)</f>
        <v>19.054999999999996</v>
      </c>
      <c r="N18" s="48"/>
      <c r="O18" s="1901">
        <f>-BS!O113</f>
        <v>4.72</v>
      </c>
      <c r="P18" s="1902">
        <f>-BS!P113</f>
        <v>4.9430000000000014</v>
      </c>
      <c r="Q18" s="1902">
        <f>-BS!Q113</f>
        <v>5.0020000000000007</v>
      </c>
      <c r="R18" s="1902">
        <f>-BS!R113</f>
        <v>5.073000000000004</v>
      </c>
      <c r="S18" s="6">
        <f>SUM(O18:R18)</f>
        <v>19.738000000000007</v>
      </c>
      <c r="T18" s="48"/>
      <c r="U18" s="1901">
        <f>-BS!U113</f>
        <v>5.3360000000000003</v>
      </c>
      <c r="V18" s="1902">
        <f>-BS!V113</f>
        <v>5.5880000000000019</v>
      </c>
      <c r="W18" s="1902">
        <f>-BS!W113</f>
        <v>6.9839999999999982</v>
      </c>
      <c r="X18" s="1902">
        <f>-BS!X113</f>
        <v>8.2749999999999915</v>
      </c>
      <c r="Y18" s="6">
        <f>SUM(U18:X18)</f>
        <v>26.182999999999993</v>
      </c>
      <c r="Z18" s="48"/>
      <c r="AA18" s="1901">
        <f>-BS!AA113</f>
        <v>9.0300000000000011</v>
      </c>
      <c r="AB18" s="1902">
        <f>-BS!AB113</f>
        <v>8.6469999999999985</v>
      </c>
      <c r="AC18" s="1902">
        <f>-BS!AC113</f>
        <v>9.5519999999999996</v>
      </c>
      <c r="AD18" s="1902">
        <f>-BS!AD113</f>
        <v>9.0749999999999957</v>
      </c>
      <c r="AE18" s="6">
        <f>SUM(AA18:AD18)</f>
        <v>36.303999999999995</v>
      </c>
      <c r="AF18" s="48"/>
      <c r="AG18" s="1901">
        <f>-BS!AG113</f>
        <v>8.8659999999999997</v>
      </c>
      <c r="AH18" s="1902">
        <f>-BS!AH113</f>
        <v>9.8430000000000035</v>
      </c>
      <c r="AI18" s="1902">
        <f>-BS!AI113</f>
        <v>11.273999999999994</v>
      </c>
      <c r="AJ18" s="1902">
        <f>-BS!AJ113</f>
        <v>12.011000000000003</v>
      </c>
      <c r="AK18" s="6">
        <f>SUM(AG18:AJ18)</f>
        <v>41.994</v>
      </c>
      <c r="AL18" s="48"/>
      <c r="AM18" s="1901">
        <f>-BS!AM113</f>
        <v>10.741000000000003</v>
      </c>
      <c r="AN18" s="1902">
        <f>-BS!AN113</f>
        <v>11.440000000000005</v>
      </c>
      <c r="AO18" s="1902">
        <f>-BS!AO113</f>
        <v>12.493999999999993</v>
      </c>
      <c r="AP18" s="1902">
        <f>-BS!AP113</f>
        <v>13.203999999999979</v>
      </c>
      <c r="AQ18" s="6">
        <f>SUM(AM18:AP18)</f>
        <v>47.878999999999976</v>
      </c>
      <c r="AR18" s="48"/>
      <c r="AS18" s="1901">
        <f>-BS!AS113</f>
        <v>12.691000000000003</v>
      </c>
      <c r="AT18" s="1902">
        <f>-BS!AT113</f>
        <v>12.550000000000004</v>
      </c>
      <c r="AU18" s="1902">
        <f>-BS!AU113</f>
        <v>14.756999999999994</v>
      </c>
      <c r="AV18" s="1902">
        <f>-BS!AV113</f>
        <v>16.978999999999999</v>
      </c>
      <c r="AW18" s="6">
        <f>SUM(AS18:AV18)</f>
        <v>56.977000000000004</v>
      </c>
      <c r="AX18" s="48"/>
      <c r="AY18" s="1901">
        <f>-BS!AY113</f>
        <v>15.133000000000003</v>
      </c>
      <c r="AZ18" s="1902">
        <f>-BS!AZ113</f>
        <v>14.501999999999995</v>
      </c>
      <c r="BA18" s="1902">
        <f>-BS!BA113</f>
        <v>21.940999999999992</v>
      </c>
      <c r="BB18" s="1903">
        <f>-BS!BB113</f>
        <v>13.216000000000008</v>
      </c>
      <c r="BC18" s="6">
        <f>SUM(AY18:BB18)</f>
        <v>64.792000000000002</v>
      </c>
      <c r="BD18" s="48"/>
      <c r="BE18" s="1901">
        <f>-BS!BE113</f>
        <v>15.484999999999999</v>
      </c>
      <c r="BF18" s="1902">
        <f>-BS!BF113</f>
        <v>60.145999999999987</v>
      </c>
      <c r="BG18" s="1902">
        <f>-BS!BG113</f>
        <v>-24.366999999999983</v>
      </c>
      <c r="BH18" s="1902">
        <f>-BS!BH113</f>
        <v>-8.3920000000000243</v>
      </c>
      <c r="BI18" s="6">
        <f>SUM(BE18:BH18)</f>
        <v>42.871999999999979</v>
      </c>
      <c r="BJ18" s="382"/>
      <c r="BK18" s="20">
        <f>-BS!BK113</f>
        <v>16.049999999999997</v>
      </c>
      <c r="BL18" s="20">
        <f>-BS!BL113</f>
        <v>16.010000000000005</v>
      </c>
      <c r="BM18" s="20">
        <f>-BS!BM113</f>
        <v>17.287999999999997</v>
      </c>
      <c r="BN18" s="20">
        <f>-BS!BN113</f>
        <v>18.544000000000025</v>
      </c>
      <c r="BO18" s="6">
        <f>SUM(BK18:BN18)</f>
        <v>67.892000000000024</v>
      </c>
      <c r="BP18" s="382"/>
      <c r="BQ18" s="20">
        <f>-BS!BQ113</f>
        <v>13.500999999999998</v>
      </c>
      <c r="BR18" s="20">
        <f>-BS!BR113</f>
        <v>6.3330000000000055</v>
      </c>
      <c r="BS18" s="20">
        <f>-BS!BS113</f>
        <v>16.003999999999991</v>
      </c>
      <c r="BT18" s="20">
        <f>-BS!BT113</f>
        <v>23.682000000000016</v>
      </c>
      <c r="BU18" s="6">
        <f>SUM(BQ18:BT18)</f>
        <v>59.52000000000001</v>
      </c>
      <c r="BV18" s="48"/>
      <c r="BW18" s="19">
        <f>-BS!BW113</f>
        <v>17.045000000000002</v>
      </c>
      <c r="BX18" s="20">
        <f>-BS!BX113</f>
        <v>18.367000000000004</v>
      </c>
      <c r="BY18" s="20">
        <f>-BS!BY113</f>
        <v>18.844999999999985</v>
      </c>
      <c r="BZ18" s="20">
        <f>-BS!BZ113</f>
        <v>20.850000000000009</v>
      </c>
      <c r="CA18" s="6">
        <f>SUM(BW18:BZ18)</f>
        <v>75.106999999999999</v>
      </c>
      <c r="CB18" s="48"/>
      <c r="CC18" s="19">
        <f>-BS!CC113</f>
        <v>19.347999999999999</v>
      </c>
      <c r="CD18" s="20">
        <f>-BS!CD113</f>
        <v>20.730999999999995</v>
      </c>
      <c r="CE18" s="20">
        <f>-BS!CE113</f>
        <v>19.829999999999998</v>
      </c>
      <c r="CF18" s="20">
        <f>-BS!CF113</f>
        <v>22.742000000000019</v>
      </c>
      <c r="CG18" s="6">
        <f>SUM(CC18:CF18)</f>
        <v>82.65100000000001</v>
      </c>
      <c r="CH18" s="48"/>
      <c r="CI18" s="19">
        <f>-BS!CI113</f>
        <v>19.854543750000001</v>
      </c>
      <c r="CJ18" s="20">
        <f>-BS!CJ113</f>
        <v>20.271596305279619</v>
      </c>
      <c r="CK18" s="20">
        <f>-BS!CK113</f>
        <v>20.746918254859924</v>
      </c>
      <c r="CL18" s="20">
        <f>-BS!CL113</f>
        <v>21.238048701382482</v>
      </c>
      <c r="CM18" s="6">
        <f>SUM(CI18:CL18)</f>
        <v>82.111107011522023</v>
      </c>
      <c r="CN18" s="48"/>
      <c r="CO18" s="19">
        <f>-BS!CO113</f>
        <v>21.76157460710446</v>
      </c>
      <c r="CP18" s="20">
        <f>-BS!CP113</f>
        <v>22.224613204225452</v>
      </c>
      <c r="CQ18" s="20">
        <f>-BS!CQ113</f>
        <v>22.735844132565084</v>
      </c>
      <c r="CR18" s="20">
        <f>-BS!CR113</f>
        <v>23.256308487972593</v>
      </c>
      <c r="CS18" s="6">
        <f>SUM(CO18:CR18)</f>
        <v>89.978340431867579</v>
      </c>
      <c r="CT18" s="48"/>
      <c r="CU18" s="19">
        <f>-BS!CU113</f>
        <v>23.826197749392609</v>
      </c>
      <c r="CV18" s="20">
        <f>-BS!CV113</f>
        <v>24.338856079014494</v>
      </c>
      <c r="CW18" s="20">
        <f>-BS!CW113</f>
        <v>24.901559203311116</v>
      </c>
      <c r="CX18" s="20">
        <f>-BS!CX113</f>
        <v>25.473160566898247</v>
      </c>
      <c r="CY18" s="6">
        <f>SUM(CU18:CX18)</f>
        <v>98.539773598616463</v>
      </c>
      <c r="CZ18" s="229"/>
      <c r="DA18" s="20"/>
      <c r="DB18" s="20"/>
      <c r="DI18" s="1878"/>
      <c r="DJ18" s="1879"/>
      <c r="DK18" s="256"/>
      <c r="DL18" s="1881"/>
      <c r="DM18" s="1879"/>
      <c r="DN18" s="33"/>
      <c r="DO18" s="33"/>
      <c r="DP18" s="33"/>
      <c r="DQ18" s="33"/>
    </row>
    <row r="19" spans="1:121" ht="11.25" customHeight="1" x14ac:dyDescent="0.2">
      <c r="A19" s="198" t="s">
        <v>97</v>
      </c>
      <c r="B19" s="48"/>
      <c r="C19" s="1904">
        <v>0</v>
      </c>
      <c r="D19" s="51">
        <v>0</v>
      </c>
      <c r="E19" s="51">
        <v>0</v>
      </c>
      <c r="F19" s="20">
        <f>G19-C19-D19-E19</f>
        <v>0</v>
      </c>
      <c r="G19" s="331">
        <v>0</v>
      </c>
      <c r="H19" s="48"/>
      <c r="I19" s="1901">
        <f>-BS!I125</f>
        <v>1</v>
      </c>
      <c r="J19" s="1902">
        <f>-BS!J125</f>
        <v>1.6</v>
      </c>
      <c r="K19" s="1902">
        <f>-BS!K125</f>
        <v>1.6</v>
      </c>
      <c r="L19" s="1902">
        <f>-BS!L125</f>
        <v>1.7000000000000002</v>
      </c>
      <c r="M19" s="6">
        <f>SUM(I19:L19)</f>
        <v>5.9</v>
      </c>
      <c r="N19" s="48"/>
      <c r="O19" s="1901">
        <f>-BS!O125</f>
        <v>2</v>
      </c>
      <c r="P19" s="1902">
        <f>-BS!P125</f>
        <v>2.4</v>
      </c>
      <c r="Q19" s="1902">
        <f>-BS!Q125</f>
        <v>2.9</v>
      </c>
      <c r="R19" s="1902">
        <f>-BS!R125</f>
        <v>3</v>
      </c>
      <c r="S19" s="6">
        <f>SUM(O19:R19)</f>
        <v>10.3</v>
      </c>
      <c r="T19" s="48"/>
      <c r="U19" s="1901">
        <f>-BS!U125</f>
        <v>3.4</v>
      </c>
      <c r="V19" s="1902">
        <f>-BS!V125</f>
        <v>3.8</v>
      </c>
      <c r="W19" s="1902">
        <f>-BS!W125</f>
        <v>12.8</v>
      </c>
      <c r="X19" s="1902">
        <f>-BS!X125</f>
        <v>16.399999999999999</v>
      </c>
      <c r="Y19" s="6">
        <f>SUM(U19:X19)</f>
        <v>36.4</v>
      </c>
      <c r="Z19" s="48"/>
      <c r="AA19" s="1901">
        <f>-BS!AA125</f>
        <v>16.399999999999999</v>
      </c>
      <c r="AB19" s="1902">
        <f>-BS!AB125</f>
        <v>16.600000000000001</v>
      </c>
      <c r="AC19" s="1902">
        <f>-BS!AC125</f>
        <v>18.5</v>
      </c>
      <c r="AD19" s="1902">
        <f>-BS!AD125</f>
        <v>17.900000000000006</v>
      </c>
      <c r="AE19" s="6">
        <f>SUM(AA19:AD19)</f>
        <v>69.400000000000006</v>
      </c>
      <c r="AF19" s="48"/>
      <c r="AG19" s="1901">
        <f>-BS!AG125</f>
        <v>18.5</v>
      </c>
      <c r="AH19" s="1902">
        <f>-BS!AH125</f>
        <v>19</v>
      </c>
      <c r="AI19" s="1902">
        <f>-BS!AI125</f>
        <v>19.100000000000001</v>
      </c>
      <c r="AJ19" s="1902">
        <f>-BS!AJ125</f>
        <v>21.800000000000004</v>
      </c>
      <c r="AK19" s="6">
        <f>SUM(AG19:AJ19)</f>
        <v>78.400000000000006</v>
      </c>
      <c r="AL19" s="48"/>
      <c r="AM19" s="1901">
        <f>-BS!AM125</f>
        <v>23.2</v>
      </c>
      <c r="AN19" s="1902">
        <f>-BS!AN125</f>
        <v>23.4</v>
      </c>
      <c r="AO19" s="1902">
        <f>-BS!AO125</f>
        <v>23.1</v>
      </c>
      <c r="AP19" s="1902">
        <f>-BS!AP125</f>
        <v>25.200000000000017</v>
      </c>
      <c r="AQ19" s="6">
        <f>SUM(AM19:AP19)</f>
        <v>94.9</v>
      </c>
      <c r="AR19" s="48"/>
      <c r="AS19" s="1901">
        <f>-BS!AS125</f>
        <v>26</v>
      </c>
      <c r="AT19" s="1902">
        <f>-BS!AT125</f>
        <v>26.4</v>
      </c>
      <c r="AU19" s="1902">
        <f>-BS!AU125</f>
        <v>28.2</v>
      </c>
      <c r="AV19" s="1902">
        <f>-BS!AV125</f>
        <v>29.800000000000011</v>
      </c>
      <c r="AW19" s="6">
        <f>SUM(AS19:AV19)</f>
        <v>110.4</v>
      </c>
      <c r="AX19" s="48"/>
      <c r="AY19" s="1901">
        <f>-BS!AY125</f>
        <v>30.1</v>
      </c>
      <c r="AZ19" s="1902">
        <f>-BS!AZ125</f>
        <v>33.700000000000003</v>
      </c>
      <c r="BA19" s="1902">
        <f>-BS!BA125</f>
        <v>28.2</v>
      </c>
      <c r="BB19" s="1903">
        <f>-BS!BB125</f>
        <v>41.099999999999994</v>
      </c>
      <c r="BC19" s="6">
        <f>SUM(AY19:BB19)</f>
        <v>133.1</v>
      </c>
      <c r="BD19" s="48"/>
      <c r="BE19" s="1901">
        <f>-BS!BE125</f>
        <v>29.6</v>
      </c>
      <c r="BF19" s="1902">
        <f>-BS!BF125</f>
        <v>32.201999999999998</v>
      </c>
      <c r="BG19" s="1902">
        <f>-BS!BG125</f>
        <v>32.029999999999994</v>
      </c>
      <c r="BH19" s="1902">
        <f>-BS!BH125</f>
        <v>62.65100000000001</v>
      </c>
      <c r="BI19" s="6">
        <f>SUM(BE19:BH19)</f>
        <v>156.483</v>
      </c>
      <c r="BJ19" s="58"/>
      <c r="BK19" s="20">
        <f>-BS!BK125</f>
        <v>33.072000000000003</v>
      </c>
      <c r="BL19" s="20">
        <f>-BS!BL125</f>
        <v>33.233999999999995</v>
      </c>
      <c r="BM19" s="20">
        <f>-BS!BM125</f>
        <v>34.028999999999996</v>
      </c>
      <c r="BN19" s="20">
        <f>-BS!BN125</f>
        <v>32.554999999999993</v>
      </c>
      <c r="BO19" s="6">
        <f>SUM(BK19:BN19)</f>
        <v>132.88999999999999</v>
      </c>
      <c r="BP19" s="58"/>
      <c r="BQ19" s="20">
        <f>-BS!BQ125</f>
        <v>32.625</v>
      </c>
      <c r="BR19" s="20">
        <f>-BS!BR125</f>
        <v>37.727999999999994</v>
      </c>
      <c r="BS19" s="20">
        <f>-BS!BS125</f>
        <v>33.475000000000009</v>
      </c>
      <c r="BT19" s="20">
        <f>-BS!BT125</f>
        <v>28.125</v>
      </c>
      <c r="BU19" s="6">
        <f>SUM(BQ19:BT19)</f>
        <v>131.953</v>
      </c>
      <c r="BV19" s="48"/>
      <c r="BW19" s="19">
        <f>-BS!BW125</f>
        <v>33.759</v>
      </c>
      <c r="BX19" s="20">
        <f>-BS!BX125</f>
        <v>34.117999999999995</v>
      </c>
      <c r="BY19" s="20">
        <f>-BS!BY125</f>
        <v>34.561000000000007</v>
      </c>
      <c r="BZ19" s="20">
        <f>-BS!BZ125</f>
        <v>35.51100000000001</v>
      </c>
      <c r="CA19" s="6">
        <f>SUM(BW19:BZ19)</f>
        <v>137.94900000000001</v>
      </c>
      <c r="CB19" s="48"/>
      <c r="CC19" s="19">
        <f>-BS!CC125</f>
        <v>35.405000000000001</v>
      </c>
      <c r="CD19" s="20">
        <f>-BS!CD125</f>
        <v>35.864000000000004</v>
      </c>
      <c r="CE19" s="20">
        <f>-BS!CE125</f>
        <v>32.449999999999989</v>
      </c>
      <c r="CF19" s="20">
        <f>-BS!CF125</f>
        <v>30.078000000000003</v>
      </c>
      <c r="CG19" s="6">
        <f>SUM(CC19:CF19)</f>
        <v>133.797</v>
      </c>
      <c r="CH19" s="48"/>
      <c r="CI19" s="19">
        <f>-BS!CI125</f>
        <v>32.5</v>
      </c>
      <c r="CJ19" s="20">
        <f>-BS!CJ125</f>
        <v>32.5</v>
      </c>
      <c r="CK19" s="20">
        <f>-BS!CK125</f>
        <v>32.5</v>
      </c>
      <c r="CL19" s="21">
        <f>-BS!CL125</f>
        <v>32.5</v>
      </c>
      <c r="CM19" s="6">
        <f>SUM(CI19:CL19)</f>
        <v>130</v>
      </c>
      <c r="CN19" s="48"/>
      <c r="CO19" s="19">
        <f>-BS!CO125</f>
        <v>32.5</v>
      </c>
      <c r="CP19" s="20">
        <f>-BS!CP125</f>
        <v>32.5</v>
      </c>
      <c r="CQ19" s="20">
        <f>-BS!CQ125</f>
        <v>32.5</v>
      </c>
      <c r="CR19" s="21">
        <f>-BS!CR125</f>
        <v>32.5</v>
      </c>
      <c r="CS19" s="6">
        <f>SUM(CO19:CR19)</f>
        <v>130</v>
      </c>
      <c r="CT19" s="48"/>
      <c r="CU19" s="19">
        <f>-BS!CU125</f>
        <v>32.5</v>
      </c>
      <c r="CV19" s="20">
        <f>-BS!CV125</f>
        <v>32.5</v>
      </c>
      <c r="CW19" s="20">
        <f>-BS!CW125</f>
        <v>32.5</v>
      </c>
      <c r="CX19" s="21">
        <f>-BS!CX125</f>
        <v>32.5</v>
      </c>
      <c r="CY19" s="6">
        <f>SUM(CU19:CX19)</f>
        <v>130</v>
      </c>
      <c r="CZ19" s="20"/>
      <c r="DA19" s="20"/>
      <c r="DB19" s="20"/>
      <c r="DI19" s="1878"/>
      <c r="DJ19" s="1879"/>
      <c r="DK19" s="256"/>
      <c r="DL19" s="1881"/>
      <c r="DM19" s="1879"/>
      <c r="DN19" s="33"/>
      <c r="DO19" s="33"/>
      <c r="DP19" s="33"/>
      <c r="DQ19" s="33"/>
    </row>
    <row r="20" spans="1:121" ht="11.25" customHeight="1" x14ac:dyDescent="0.2">
      <c r="A20" s="1905" t="s">
        <v>98</v>
      </c>
      <c r="B20" s="48"/>
      <c r="C20" s="326">
        <f>C17+C18+C19</f>
        <v>25.927999999999997</v>
      </c>
      <c r="D20" s="325">
        <f t="shared" ref="D20:G20" si="0">D17+D18+D19</f>
        <v>30.755000000000006</v>
      </c>
      <c r="E20" s="325">
        <f t="shared" si="0"/>
        <v>28.86199999999997</v>
      </c>
      <c r="F20" s="325">
        <f t="shared" si="0"/>
        <v>27.399000000000058</v>
      </c>
      <c r="G20" s="356">
        <f t="shared" si="0"/>
        <v>112.944</v>
      </c>
      <c r="H20" s="48"/>
      <c r="I20" s="326">
        <f t="shared" ref="I20" si="1">I17+I18+I19</f>
        <v>27.411000000000001</v>
      </c>
      <c r="J20" s="325">
        <f t="shared" ref="J20" si="2">J17+J18+J19</f>
        <v>31.103000000000009</v>
      </c>
      <c r="K20" s="325">
        <f t="shared" ref="K20" si="3">K17+K18+K19</f>
        <v>32.45999999999998</v>
      </c>
      <c r="L20" s="325">
        <f t="shared" ref="L20" si="4">L17+L18+L19</f>
        <v>35.709000000000003</v>
      </c>
      <c r="M20" s="356">
        <f t="shared" ref="M20" si="5">M17+M18+M19</f>
        <v>126.68300000000001</v>
      </c>
      <c r="N20" s="48"/>
      <c r="O20" s="326">
        <f t="shared" ref="O20" si="6">O17+O18+O19</f>
        <v>34.495000000000005</v>
      </c>
      <c r="P20" s="325">
        <f t="shared" ref="P20" si="7">P17+P18+P19</f>
        <v>36.466000000000001</v>
      </c>
      <c r="Q20" s="325">
        <f t="shared" ref="Q20" si="8">Q17+Q18+Q19</f>
        <v>38.493000000000009</v>
      </c>
      <c r="R20" s="325">
        <f t="shared" ref="R20" si="9">R17+R18+R19</f>
        <v>41.164000000000016</v>
      </c>
      <c r="S20" s="356">
        <f t="shared" ref="S20" si="10">S17+S18+S19</f>
        <v>150.61799999999999</v>
      </c>
      <c r="T20" s="48"/>
      <c r="U20" s="326">
        <f t="shared" ref="U20" si="11">U17+U18+U19</f>
        <v>41.557999999999971</v>
      </c>
      <c r="V20" s="325">
        <f t="shared" ref="V20" si="12">V17+V18+V19</f>
        <v>45.388999999999989</v>
      </c>
      <c r="W20" s="325">
        <f t="shared" ref="W20" si="13">W17+W18+W19</f>
        <v>63.418999999999983</v>
      </c>
      <c r="X20" s="325">
        <f t="shared" ref="X20" si="14">X17+X18+X19</f>
        <v>76.461000000000041</v>
      </c>
      <c r="Y20" s="356">
        <f t="shared" ref="Y20" si="15">Y17+Y18+Y19</f>
        <v>226.82700000000003</v>
      </c>
      <c r="Z20" s="48"/>
      <c r="AA20" s="326">
        <f t="shared" ref="AA20" si="16">AA17+AA18+AA19</f>
        <v>84.129999999999967</v>
      </c>
      <c r="AB20" s="325">
        <f t="shared" ref="AB20" si="17">AB17+AB18+AB19</f>
        <v>85.838999999999999</v>
      </c>
      <c r="AC20" s="325">
        <f t="shared" ref="AC20" si="18">AC17+AC18+AC19</f>
        <v>94.876999999999981</v>
      </c>
      <c r="AD20" s="325">
        <f t="shared" ref="AD20" si="19">AD17+AD18+AD19</f>
        <v>93.473000000000013</v>
      </c>
      <c r="AE20" s="356">
        <f t="shared" ref="AE20" si="20">AE17+AE18+AE19</f>
        <v>358.31899999999985</v>
      </c>
      <c r="AF20" s="48"/>
      <c r="AG20" s="326">
        <f t="shared" ref="AG20" si="21">AG17+AG18+AG19</f>
        <v>86.586000000000027</v>
      </c>
      <c r="AH20" s="325">
        <f t="shared" ref="AH20" si="22">AH17+AH18+AH19</f>
        <v>100.65399999999998</v>
      </c>
      <c r="AI20" s="325">
        <f t="shared" ref="AI20" si="23">AI17+AI18+AI19</f>
        <v>112.148</v>
      </c>
      <c r="AJ20" s="325">
        <f t="shared" ref="AJ20" si="24">AJ17+AJ18+AJ19</f>
        <v>117.13200000000009</v>
      </c>
      <c r="AK20" s="356">
        <f t="shared" ref="AK20" si="25">AK17+AK18+AK19</f>
        <v>416.5200000000001</v>
      </c>
      <c r="AL20" s="48"/>
      <c r="AM20" s="326">
        <f t="shared" ref="AM20" si="26">AM17+AM18+AM19</f>
        <v>107.57999999999996</v>
      </c>
      <c r="AN20" s="325">
        <f t="shared" ref="AN20" si="27">AN17+AN18+AN19</f>
        <v>108.03</v>
      </c>
      <c r="AO20" s="325">
        <f t="shared" ref="AO20" si="28">AO17+AO18+AO19</f>
        <v>114.70899999999997</v>
      </c>
      <c r="AP20" s="325">
        <f t="shared" ref="AP20" si="29">AP17+AP18+AP19</f>
        <v>120.68900000000002</v>
      </c>
      <c r="AQ20" s="356">
        <f t="shared" ref="AQ20" si="30">AQ17+AQ18+AQ19</f>
        <v>451.00800000000004</v>
      </c>
      <c r="AR20" s="48"/>
      <c r="AS20" s="326">
        <f t="shared" ref="AS20" si="31">AS17+AS18+AS19</f>
        <v>109.26099999999997</v>
      </c>
      <c r="AT20" s="325">
        <f t="shared" ref="AT20" si="32">AT17+AT18+AT19</f>
        <v>117.58100000000005</v>
      </c>
      <c r="AU20" s="325">
        <f t="shared" ref="AU20" si="33">AU17+AU18+AU19</f>
        <v>117.69499999999999</v>
      </c>
      <c r="AV20" s="325">
        <f t="shared" ref="AV20" si="34">AV17+AV18+AV19</f>
        <v>142.4740000000001</v>
      </c>
      <c r="AW20" s="356">
        <f t="shared" ref="AW20" si="35">AW17+AW18+AW19</f>
        <v>487.01099999999997</v>
      </c>
      <c r="AX20" s="48"/>
      <c r="AY20" s="326">
        <f t="shared" ref="AY20" si="36">AY17+AY18+AY19</f>
        <v>125.47900000000001</v>
      </c>
      <c r="AZ20" s="325">
        <f t="shared" ref="AZ20" si="37">AZ17+AZ18+AZ19</f>
        <v>134.61900000000003</v>
      </c>
      <c r="BA20" s="325">
        <f t="shared" ref="BA20" si="38">BA17+BA18+BA19</f>
        <v>133.88099999999997</v>
      </c>
      <c r="BB20" s="325">
        <f t="shared" ref="BB20" si="39">BB17+BB18+BB19</f>
        <v>160.34399999999997</v>
      </c>
      <c r="BC20" s="356">
        <f t="shared" ref="BC20" si="40">BC17+BC18+BC19</f>
        <v>554.32299999999987</v>
      </c>
      <c r="BD20" s="48"/>
      <c r="BE20" s="326">
        <f t="shared" ref="BE20" si="41">BE17+BE18+BE19</f>
        <v>123.45900000000003</v>
      </c>
      <c r="BF20" s="325">
        <f t="shared" ref="BF20" si="42">BF17+BF18+BF19</f>
        <v>175.79599999999994</v>
      </c>
      <c r="BG20" s="325">
        <f t="shared" ref="BG20" si="43">BG17+BG18+BG19</f>
        <v>95.369999999999948</v>
      </c>
      <c r="BH20" s="325">
        <f t="shared" ref="BH20" si="44">BH17+BH18+BH19</f>
        <v>160.55399999999995</v>
      </c>
      <c r="BI20" s="356">
        <f t="shared" ref="BI20" si="45">BI17+BI18+BI19</f>
        <v>555.17899999999986</v>
      </c>
      <c r="BJ20" s="48"/>
      <c r="BK20" s="326">
        <f t="shared" ref="BK20" si="46">BK17+BK18+BK19</f>
        <v>123.93999999999998</v>
      </c>
      <c r="BL20" s="325">
        <f t="shared" ref="BL20" si="47">BL17+BL18+BL19</f>
        <v>130.38299999999998</v>
      </c>
      <c r="BM20" s="325">
        <f t="shared" ref="BM20" si="48">BM17+BM18+BM19</f>
        <v>136.089</v>
      </c>
      <c r="BN20" s="325">
        <f t="shared" ref="BN20" si="49">BN17+BN18+BN19</f>
        <v>122.65899999999996</v>
      </c>
      <c r="BO20" s="356">
        <f t="shared" ref="BO20" si="50">BO17+BO18+BO19</f>
        <v>513.07100000000003</v>
      </c>
      <c r="BP20" s="48"/>
      <c r="BQ20" s="326">
        <f t="shared" ref="BQ20" si="51">BQ17+BQ18+BQ19</f>
        <v>113.49199999999999</v>
      </c>
      <c r="BR20" s="325">
        <f t="shared" ref="BR20" si="52">BR17+BR18+BR19</f>
        <v>122.91500000000003</v>
      </c>
      <c r="BS20" s="325">
        <f t="shared" ref="BS20" si="53">BS17+BS18+BS19</f>
        <v>127.73599999999998</v>
      </c>
      <c r="BT20" s="325">
        <f t="shared" ref="BT20" si="54">BT17+BT18+BT19</f>
        <v>144.64700000000002</v>
      </c>
      <c r="BU20" s="356">
        <f t="shared" ref="BU20" si="55">BU17+BU18+BU19</f>
        <v>508.78999999999996</v>
      </c>
      <c r="BV20" s="48"/>
      <c r="BW20" s="326">
        <f t="shared" ref="BW20" si="56">BW17+BW18+BW19</f>
        <v>105.268</v>
      </c>
      <c r="BX20" s="325">
        <f t="shared" ref="BX20" si="57">BX17+BX18+BX19</f>
        <v>121.66799999999999</v>
      </c>
      <c r="BY20" s="325">
        <f t="shared" ref="BY20" si="58">BY17+BY18+BY19</f>
        <v>140.154</v>
      </c>
      <c r="BZ20" s="325">
        <f t="shared" ref="BZ20" si="59">BZ17+BZ18+BZ19</f>
        <v>169.05800000000005</v>
      </c>
      <c r="CA20" s="356">
        <f t="shared" ref="CA20" si="60">CA17+CA18+CA19</f>
        <v>536.14799999999991</v>
      </c>
      <c r="CB20" s="48"/>
      <c r="CC20" s="326">
        <f t="shared" ref="CC20" si="61">CC17+CC18+CC19</f>
        <v>118.58200000000004</v>
      </c>
      <c r="CD20" s="325">
        <f t="shared" ref="CD20:CF20" si="62">CD17+CD18+CD19</f>
        <v>144.547</v>
      </c>
      <c r="CE20" s="325">
        <f t="shared" si="62"/>
        <v>150.14699999999999</v>
      </c>
      <c r="CF20" s="325">
        <f t="shared" si="62"/>
        <v>174.54800000000003</v>
      </c>
      <c r="CG20" s="356">
        <f t="shared" ref="CG20" si="63">CG17+CG18+CG19</f>
        <v>587.82399999999996</v>
      </c>
      <c r="CH20" s="48"/>
      <c r="CI20" s="326">
        <f t="shared" ref="CI20" si="64">CI17+CI18+CI19</f>
        <v>124.27401967399936</v>
      </c>
      <c r="CJ20" s="325">
        <f t="shared" ref="CJ20" si="65">CJ17+CJ18+CJ19</f>
        <v>150.73523778993666</v>
      </c>
      <c r="CK20" s="325">
        <f t="shared" ref="CK20" si="66">CK17+CK18+CK19</f>
        <v>154.24694461321036</v>
      </c>
      <c r="CL20" s="325">
        <f t="shared" ref="CL20" si="67">CL17+CL18+CL19</f>
        <v>176.67320253829507</v>
      </c>
      <c r="CM20" s="356">
        <f t="shared" ref="CM20" si="68">CM17+CM18+CM19</f>
        <v>605.92940461544129</v>
      </c>
      <c r="CN20" s="48"/>
      <c r="CO20" s="326">
        <f t="shared" ref="CO20" si="69">CO17+CO18+CO19</f>
        <v>144.76358537335068</v>
      </c>
      <c r="CP20" s="325">
        <f t="shared" ref="CP20" si="70">CP17+CP18+CP19</f>
        <v>162.97791529474048</v>
      </c>
      <c r="CQ20" s="325">
        <f t="shared" ref="CQ20" si="71">CQ17+CQ18+CQ19</f>
        <v>170.22354969190428</v>
      </c>
      <c r="CR20" s="325">
        <f t="shared" ref="CR20" si="72">CR17+CR18+CR19</f>
        <v>194.41222127553016</v>
      </c>
      <c r="CS20" s="356">
        <f t="shared" ref="CS20" si="73">CS17+CS18+CS19</f>
        <v>672.3772716355254</v>
      </c>
      <c r="CT20" s="48"/>
      <c r="CU20" s="326">
        <f t="shared" ref="CU20" si="74">CU17+CU18+CU19</f>
        <v>162.97036184596922</v>
      </c>
      <c r="CV20" s="325">
        <f t="shared" ref="CV20" si="75">CV17+CV18+CV19</f>
        <v>183.04343034875896</v>
      </c>
      <c r="CW20" s="325">
        <f t="shared" ref="CW20" si="76">CW17+CW18+CW19</f>
        <v>190.67766575267123</v>
      </c>
      <c r="CX20" s="325">
        <f t="shared" ref="CX20" si="77">CX17+CX18+CX19</f>
        <v>217.98085374070567</v>
      </c>
      <c r="CY20" s="356">
        <f t="shared" ref="CY20" si="78">CY17+CY18+CY19</f>
        <v>754.67231168810508</v>
      </c>
      <c r="CZ20" s="57"/>
      <c r="DA20" s="57"/>
      <c r="DB20" s="57"/>
      <c r="DI20" s="1878"/>
      <c r="DJ20" s="33"/>
      <c r="DK20" s="256"/>
      <c r="DL20" s="1881"/>
      <c r="DM20" s="33"/>
      <c r="DN20" s="33"/>
      <c r="DO20" s="33"/>
      <c r="DP20" s="33"/>
      <c r="DQ20" s="33"/>
    </row>
    <row r="21" spans="1:121" ht="11.25" customHeight="1" collapsed="1" x14ac:dyDescent="0.2">
      <c r="A21" s="354" t="s">
        <v>14</v>
      </c>
      <c r="B21" s="28"/>
      <c r="C21" s="53">
        <v>0.432</v>
      </c>
      <c r="D21" s="51">
        <v>0.496</v>
      </c>
      <c r="E21" s="51">
        <v>0.86099999999999999</v>
      </c>
      <c r="F21" s="51">
        <f>2.887-SUM(C21:E21)</f>
        <v>1.0980000000000001</v>
      </c>
      <c r="G21" s="6">
        <f>SUM(C21:F21)</f>
        <v>2.887</v>
      </c>
      <c r="H21" s="28"/>
      <c r="I21" s="53">
        <v>1.873</v>
      </c>
      <c r="J21" s="51">
        <v>1.859</v>
      </c>
      <c r="K21" s="51">
        <v>1.782</v>
      </c>
      <c r="L21" s="51">
        <f>7.552-SUM(I21:K21)</f>
        <v>2.0379999999999994</v>
      </c>
      <c r="M21" s="6">
        <f>SUM(I21:L21)</f>
        <v>7.5519999999999996</v>
      </c>
      <c r="N21" s="28"/>
      <c r="O21" s="53">
        <v>2.0099999999999998</v>
      </c>
      <c r="P21" s="51">
        <v>2.9729999999999999</v>
      </c>
      <c r="Q21" s="51">
        <v>8.8290000000000006</v>
      </c>
      <c r="R21" s="51">
        <f>16.359-SUM(O21:Q21)</f>
        <v>2.5470000000000006</v>
      </c>
      <c r="S21" s="6">
        <f>SUM(O21:R21)</f>
        <v>16.359000000000002</v>
      </c>
      <c r="T21" s="28"/>
      <c r="U21" s="53">
        <v>5.1660000000000004</v>
      </c>
      <c r="V21" s="51">
        <v>5.26</v>
      </c>
      <c r="W21" s="51">
        <v>5.4139999999999997</v>
      </c>
      <c r="X21" s="51">
        <f>19.509-SUM(U21:W21)</f>
        <v>3.6690000000000005</v>
      </c>
      <c r="Y21" s="6">
        <f>SUM(U21:X21)</f>
        <v>19.509</v>
      </c>
      <c r="Z21" s="28"/>
      <c r="AA21" s="53">
        <v>2.972</v>
      </c>
      <c r="AB21" s="51">
        <v>2.3239999999999998</v>
      </c>
      <c r="AC21" s="51">
        <v>2.0950000000000002</v>
      </c>
      <c r="AD21" s="51">
        <f>9.511-SUM(AA21:AC21)</f>
        <v>2.1199999999999992</v>
      </c>
      <c r="AE21" s="6">
        <f>SUM(AA21:AD21)</f>
        <v>9.5109999999999992</v>
      </c>
      <c r="AF21" s="28"/>
      <c r="AG21" s="53">
        <v>1.1850000000000001</v>
      </c>
      <c r="AH21" s="51">
        <v>0.67800000000000005</v>
      </c>
      <c r="AI21" s="51">
        <v>0.67800000000000005</v>
      </c>
      <c r="AJ21" s="51">
        <f>3.522-SUM(AG21:AI21)</f>
        <v>0.98099999999999987</v>
      </c>
      <c r="AK21" s="333">
        <f>SUM(AG21:AJ21)</f>
        <v>3.5219999999999998</v>
      </c>
      <c r="AL21" s="28"/>
      <c r="AM21" s="53">
        <v>0.68899999999999995</v>
      </c>
      <c r="AN21" s="51">
        <v>1.5009999999999999</v>
      </c>
      <c r="AO21" s="51">
        <v>1.2270000000000001</v>
      </c>
      <c r="AP21" s="51">
        <f>4.457-SUM(AM21:AO21)</f>
        <v>1.04</v>
      </c>
      <c r="AQ21" s="6">
        <f>SUM(AM21:AP21)</f>
        <v>4.4569999999999999</v>
      </c>
      <c r="AR21" s="28"/>
      <c r="AS21" s="53">
        <v>1.2709999999999999</v>
      </c>
      <c r="AT21" s="51">
        <v>1.3340000000000001</v>
      </c>
      <c r="AU21" s="51">
        <v>2.335</v>
      </c>
      <c r="AV21" s="51">
        <f>6.128-SUM(AS21:AU21)</f>
        <v>1.1880000000000006</v>
      </c>
      <c r="AW21" s="6">
        <f>SUM(AS21:AV21)</f>
        <v>6.1280000000000001</v>
      </c>
      <c r="AX21" s="28"/>
      <c r="AY21" s="53">
        <v>0.58899999999999997</v>
      </c>
      <c r="AZ21" s="51">
        <v>0.58199999999999996</v>
      </c>
      <c r="BA21" s="51">
        <v>0.58699999999999997</v>
      </c>
      <c r="BB21" s="52">
        <f>2.382-SUM(AY21:BA21)</f>
        <v>0.62400000000000033</v>
      </c>
      <c r="BC21" s="6">
        <f>SUM(AY21:BB21)</f>
        <v>2.3820000000000001</v>
      </c>
      <c r="BD21" s="28"/>
      <c r="BE21" s="53">
        <v>0.85799999999999998</v>
      </c>
      <c r="BF21" s="51">
        <v>0.41299999999999998</v>
      </c>
      <c r="BG21" s="51">
        <v>0.55000000000000004</v>
      </c>
      <c r="BH21" s="51">
        <v>0.47699999999999998</v>
      </c>
      <c r="BI21" s="6">
        <f>SUM(BE21:BH21)</f>
        <v>2.298</v>
      </c>
      <c r="BJ21" s="6"/>
      <c r="BK21" s="51">
        <v>1.01</v>
      </c>
      <c r="BL21" s="51">
        <v>0.83099999999999996</v>
      </c>
      <c r="BM21" s="51">
        <v>0.93600000000000005</v>
      </c>
      <c r="BN21" s="51">
        <v>1.1879999999999999</v>
      </c>
      <c r="BO21" s="6">
        <f>SUM(BK21:BN21)</f>
        <v>3.9649999999999999</v>
      </c>
      <c r="BP21" s="6"/>
      <c r="BQ21" s="51">
        <v>0.69899999999999995</v>
      </c>
      <c r="BR21" s="51">
        <v>1.046</v>
      </c>
      <c r="BS21" s="51">
        <v>1.2829999999999999</v>
      </c>
      <c r="BT21" s="51">
        <v>1.7250000000000001</v>
      </c>
      <c r="BU21" s="6">
        <f>SUM(BQ21:BT21)</f>
        <v>4.7530000000000001</v>
      </c>
      <c r="BV21" s="28"/>
      <c r="BW21" s="53">
        <v>1.516</v>
      </c>
      <c r="BX21" s="51">
        <v>1.502</v>
      </c>
      <c r="BY21" s="51">
        <v>1.6579999999999999</v>
      </c>
      <c r="BZ21" s="51">
        <v>2.101</v>
      </c>
      <c r="CA21" s="6">
        <f>SUM(BW21:BZ21)</f>
        <v>6.7770000000000001</v>
      </c>
      <c r="CB21" s="28"/>
      <c r="CC21" s="53">
        <v>1.91</v>
      </c>
      <c r="CD21" s="51">
        <v>0.8</v>
      </c>
      <c r="CE21" s="51">
        <v>2.67</v>
      </c>
      <c r="CF21" s="51">
        <v>4.3470000000000004</v>
      </c>
      <c r="CG21" s="6">
        <f>SUM(CC21:CF21)</f>
        <v>9.7270000000000003</v>
      </c>
      <c r="CH21" s="28"/>
      <c r="CI21" s="1901">
        <f>+Debt!CI86</f>
        <v>2.4664274999999996</v>
      </c>
      <c r="CJ21" s="1902">
        <f>+Debt!CJ86</f>
        <v>2.4491569330028407</v>
      </c>
      <c r="CK21" s="1902">
        <f>+Debt!CK86</f>
        <v>2.3716414058440787</v>
      </c>
      <c r="CL21" s="1902">
        <f>+Debt!CL86</f>
        <v>2.1690218936292349</v>
      </c>
      <c r="CM21" s="6">
        <f>SUM(CI21:CL21)</f>
        <v>9.4562477324761538</v>
      </c>
      <c r="CN21" s="28"/>
      <c r="CO21" s="1901">
        <f>+Debt!CO86</f>
        <v>2.3078079041754904</v>
      </c>
      <c r="CP21" s="1902">
        <f>+Debt!CP86</f>
        <v>2.5053445276053163</v>
      </c>
      <c r="CQ21" s="1902">
        <f>+Debt!CQ86</f>
        <v>2.5237539110511173</v>
      </c>
      <c r="CR21" s="1902">
        <f>+Debt!CR86</f>
        <v>2.3291108126098696</v>
      </c>
      <c r="CS21" s="6">
        <f>SUM(CO21:CR21)</f>
        <v>9.6660171554417946</v>
      </c>
      <c r="CT21" s="28"/>
      <c r="CU21" s="1901">
        <f>+Debt!CU86</f>
        <v>16.002826085077107</v>
      </c>
      <c r="CV21" s="1902">
        <f>+Debt!CV86</f>
        <v>18.10931555622858</v>
      </c>
      <c r="CW21" s="1902">
        <f>+Debt!CW86</f>
        <v>18.95676247279868</v>
      </c>
      <c r="CX21" s="1902">
        <f>+Debt!CX86</f>
        <v>18.033716592482151</v>
      </c>
      <c r="CY21" s="6">
        <f>SUM(CU21:CX21)</f>
        <v>71.102620706586521</v>
      </c>
      <c r="CZ21" s="28"/>
      <c r="DA21" s="28"/>
      <c r="DB21" s="225"/>
      <c r="DI21" s="1878"/>
      <c r="DJ21" s="33"/>
      <c r="DK21" s="256"/>
      <c r="DL21" s="1881"/>
      <c r="DM21" s="33"/>
      <c r="DN21" s="33"/>
      <c r="DO21" s="33"/>
      <c r="DP21" s="33"/>
      <c r="DQ21" s="33"/>
    </row>
    <row r="22" spans="1:121" ht="11.25" customHeight="1" x14ac:dyDescent="0.2">
      <c r="A22" s="354" t="s">
        <v>15</v>
      </c>
      <c r="B22" s="28"/>
      <c r="C22" s="53">
        <v>-1.022</v>
      </c>
      <c r="D22" s="51">
        <v>-0.97</v>
      </c>
      <c r="E22" s="51">
        <v>-1.653</v>
      </c>
      <c r="F22" s="51">
        <f>-5.101-SUM(C22:E22)</f>
        <v>-1.456</v>
      </c>
      <c r="G22" s="6">
        <f>SUM(C22:F22)</f>
        <v>-5.101</v>
      </c>
      <c r="H22" s="28"/>
      <c r="I22" s="53">
        <v>-1.4770000000000001</v>
      </c>
      <c r="J22" s="51">
        <v>-1.5329999999999999</v>
      </c>
      <c r="K22" s="51">
        <v>-1.5209999999999999</v>
      </c>
      <c r="L22" s="51">
        <f>-5.94-SUM(I22:K22)</f>
        <v>-1.4090000000000007</v>
      </c>
      <c r="M22" s="6">
        <f>SUM(I22:L22)</f>
        <v>-5.94</v>
      </c>
      <c r="N22" s="28"/>
      <c r="O22" s="53">
        <v>-1.458</v>
      </c>
      <c r="P22" s="51">
        <v>-1.9339999999999999</v>
      </c>
      <c r="Q22" s="51">
        <v>-7.5579999999999998</v>
      </c>
      <c r="R22" s="51">
        <f>-11.918-SUM(O22:Q22)</f>
        <v>-0.96799999999999997</v>
      </c>
      <c r="S22" s="6">
        <f>SUM(O22:R22)</f>
        <v>-11.917999999999999</v>
      </c>
      <c r="T22" s="28"/>
      <c r="U22" s="53">
        <v>-4.6909999999999998</v>
      </c>
      <c r="V22" s="51">
        <v>-4.923</v>
      </c>
      <c r="W22" s="51">
        <v>-10.742000000000001</v>
      </c>
      <c r="X22" s="51">
        <f>-31.455-SUM(U22:W22)</f>
        <v>-11.098999999999997</v>
      </c>
      <c r="Y22" s="6">
        <f>SUM(U22:X22)</f>
        <v>-31.454999999999998</v>
      </c>
      <c r="Z22" s="28"/>
      <c r="AA22" s="53">
        <v>-10.451000000000001</v>
      </c>
      <c r="AB22" s="51">
        <v>-9.1869999999999994</v>
      </c>
      <c r="AC22" s="51">
        <v>-9.1940000000000008</v>
      </c>
      <c r="AD22" s="51">
        <f>-37.527-SUM(AA22:AC22)</f>
        <v>-8.6950000000000003</v>
      </c>
      <c r="AE22" s="6">
        <f>SUM(AA22:AD22)</f>
        <v>-37.527000000000001</v>
      </c>
      <c r="AF22" s="28"/>
      <c r="AG22" s="53">
        <v>-7.431</v>
      </c>
      <c r="AH22" s="51">
        <v>-7.3019999999999996</v>
      </c>
      <c r="AI22" s="51">
        <v>-7.4050000000000002</v>
      </c>
      <c r="AJ22" s="51">
        <f>-29.641-SUM(AG22:AI22)</f>
        <v>-7.5029999999999966</v>
      </c>
      <c r="AK22" s="6">
        <f>SUM(AG22:AJ22)</f>
        <v>-29.640999999999998</v>
      </c>
      <c r="AL22" s="28"/>
      <c r="AM22" s="53">
        <v>-6.2539999999999996</v>
      </c>
      <c r="AN22" s="51">
        <v>-7.6689999999999996</v>
      </c>
      <c r="AO22" s="51">
        <v>-6.98</v>
      </c>
      <c r="AP22" s="51">
        <f>-27.815-SUM(AM22:AO22)</f>
        <v>-6.9120000000000026</v>
      </c>
      <c r="AQ22" s="6">
        <f>SUM(AM22:AP22)</f>
        <v>-27.815000000000001</v>
      </c>
      <c r="AR22" s="28"/>
      <c r="AS22" s="53">
        <v>-6.3070000000000004</v>
      </c>
      <c r="AT22" s="51">
        <v>-6.6360000000000001</v>
      </c>
      <c r="AU22" s="51">
        <v>-6.5369999999999999</v>
      </c>
      <c r="AV22" s="51">
        <f>-25.358-SUM(AS22:AU22)</f>
        <v>-5.8780000000000001</v>
      </c>
      <c r="AW22" s="6">
        <f>SUM(AS22:AV22)</f>
        <v>-25.358000000000001</v>
      </c>
      <c r="AX22" s="28"/>
      <c r="AY22" s="53">
        <v>-5.0170000000000003</v>
      </c>
      <c r="AZ22" s="51">
        <v>-5.1369999999999996</v>
      </c>
      <c r="BA22" s="51">
        <v>-4.9669999999999996</v>
      </c>
      <c r="BB22" s="52">
        <f>-23.452-SUM(AY22:BA22)</f>
        <v>-8.3310000000000031</v>
      </c>
      <c r="BC22" s="6">
        <f>SUM(AY22:BB22)</f>
        <v>-23.452000000000002</v>
      </c>
      <c r="BD22" s="28"/>
      <c r="BE22" s="53">
        <v>-7.665</v>
      </c>
      <c r="BF22" s="51">
        <v>-7.8070000000000004</v>
      </c>
      <c r="BG22" s="51">
        <v>-7.4930000000000003</v>
      </c>
      <c r="BH22" s="51">
        <v>-7.9160000000000004</v>
      </c>
      <c r="BI22" s="6">
        <f>SUM(BE22:BH22)</f>
        <v>-30.881000000000004</v>
      </c>
      <c r="BJ22" s="6"/>
      <c r="BK22" s="1058">
        <f>-8.002+0.5</f>
        <v>-7.5020000000000007</v>
      </c>
      <c r="BL22" s="51">
        <f>-10.525+4.7</f>
        <v>-5.8250000000000002</v>
      </c>
      <c r="BM22" s="51">
        <f>-10.838+4.8</f>
        <v>-6.0379999999999994</v>
      </c>
      <c r="BN22" s="51">
        <f>-9.965+4.5</f>
        <v>-5.4649999999999999</v>
      </c>
      <c r="BO22" s="6">
        <f>SUM(BK22:BN22)</f>
        <v>-24.830000000000002</v>
      </c>
      <c r="BP22" s="6"/>
      <c r="BQ22" s="1058">
        <f>-9.211+4.7</f>
        <v>-4.5110000000000001</v>
      </c>
      <c r="BR22" s="51">
        <v>-9.3290000000000006</v>
      </c>
      <c r="BS22" s="51">
        <v>-9.2059999999999995</v>
      </c>
      <c r="BT22" s="51">
        <v>-4.8489999999999993</v>
      </c>
      <c r="BU22" s="6">
        <f>SUM(BQ22:BT22)</f>
        <v>-27.895</v>
      </c>
      <c r="BV22" s="28"/>
      <c r="BW22" s="1058">
        <f>-9.336+4.954</f>
        <v>-4.3820000000000006</v>
      </c>
      <c r="BX22" s="51">
        <f>-9.408+5.543</f>
        <v>-3.8649999999999993</v>
      </c>
      <c r="BY22" s="51">
        <f>-9.626+5.776</f>
        <v>-3.8499999999999996</v>
      </c>
      <c r="BZ22" s="51">
        <f>+-10.653+5+0.1</f>
        <v>-5.5530000000000008</v>
      </c>
      <c r="CA22" s="6">
        <f>SUM(BW22:BZ22)</f>
        <v>-17.649999999999999</v>
      </c>
      <c r="CB22" s="28"/>
      <c r="CC22" s="1058">
        <f>-10.161+5+0.1</f>
        <v>-5.0609999999999999</v>
      </c>
      <c r="CD22" s="51">
        <v>-6</v>
      </c>
      <c r="CE22" s="51">
        <f>-12+8.1</f>
        <v>-3.9000000000000004</v>
      </c>
      <c r="CF22" s="51">
        <v>-8.9</v>
      </c>
      <c r="CG22" s="6">
        <f>SUM(CC22:CF22)</f>
        <v>-23.861000000000001</v>
      </c>
      <c r="CH22" s="28"/>
      <c r="CI22" s="1901">
        <f>Debt!CI75</f>
        <v>-7.3097449855000001</v>
      </c>
      <c r="CJ22" s="1902">
        <f>Debt!CJ75</f>
        <v>-7.3097449855000001</v>
      </c>
      <c r="CK22" s="1902">
        <f>Debt!CK75</f>
        <v>-7.3097449855000001</v>
      </c>
      <c r="CL22" s="1902">
        <f>Debt!CL75</f>
        <v>-7.3097449855000001</v>
      </c>
      <c r="CM22" s="6">
        <f>SUM(CI22:CL22)</f>
        <v>-29.238979942</v>
      </c>
      <c r="CN22" s="28"/>
      <c r="CO22" s="1901">
        <f>Debt!CO75</f>
        <v>-7.3097449855000001</v>
      </c>
      <c r="CP22" s="1902">
        <f>Debt!CP75</f>
        <v>-7.3097449855000001</v>
      </c>
      <c r="CQ22" s="1902">
        <f>Debt!CQ75</f>
        <v>-7.3097449855000001</v>
      </c>
      <c r="CR22" s="1902">
        <f>Debt!CR75</f>
        <v>-7.3097449855000001</v>
      </c>
      <c r="CS22" s="6">
        <f>SUM(CO22:CR22)</f>
        <v>-29.238979942</v>
      </c>
      <c r="CT22" s="28"/>
      <c r="CU22" s="1901">
        <f>Debt!CU75</f>
        <v>-7.3097449855000001</v>
      </c>
      <c r="CV22" s="1902">
        <f>Debt!CV75</f>
        <v>-7.3097449855000001</v>
      </c>
      <c r="CW22" s="1902">
        <f>Debt!CW75</f>
        <v>-7.3097449855000001</v>
      </c>
      <c r="CX22" s="1902">
        <f>Debt!CX75</f>
        <v>-7.3097449855000001</v>
      </c>
      <c r="CY22" s="6">
        <f>SUM(CU22:CX22)</f>
        <v>-29.238979942</v>
      </c>
      <c r="CZ22" s="28"/>
      <c r="DA22" s="28"/>
      <c r="DB22" s="28"/>
      <c r="DI22" s="1878"/>
      <c r="DJ22" s="33"/>
      <c r="DK22" s="256"/>
      <c r="DL22" s="1881"/>
      <c r="DM22" s="33"/>
      <c r="DN22" s="33"/>
      <c r="DO22" s="33"/>
      <c r="DP22" s="33"/>
      <c r="DQ22" s="33"/>
    </row>
    <row r="23" spans="1:121" ht="11.25" customHeight="1" x14ac:dyDescent="0.2">
      <c r="A23" s="354" t="s">
        <v>16</v>
      </c>
      <c r="B23" s="28"/>
      <c r="C23" s="53">
        <f>0.532-0.497+0.256+0.415</f>
        <v>0.70599999999999996</v>
      </c>
      <c r="D23" s="51">
        <f>0.381-0.513-0.696-9.876</f>
        <v>-10.703999999999999</v>
      </c>
      <c r="E23" s="51">
        <f>0.296+0.056-0.753+0.616</f>
        <v>0.21499999999999997</v>
      </c>
      <c r="F23" s="51">
        <f>1.608-0.067-2.243-8.537-SUM(C23:E23)</f>
        <v>0.54399999999999871</v>
      </c>
      <c r="G23" s="6">
        <f>SUM(C23:F23)</f>
        <v>-9.2390000000000008</v>
      </c>
      <c r="H23" s="28"/>
      <c r="I23" s="53">
        <f>(0.208-0.493+0.007+0.182)</f>
        <v>-9.600000000000003E-2</v>
      </c>
      <c r="J23" s="51">
        <f>(0.966-0.649+0.225-0.088)</f>
        <v>0.45399999999999996</v>
      </c>
      <c r="K23" s="51">
        <f>(0.29-0.003-0.102+0.354)</f>
        <v>0.53899999999999992</v>
      </c>
      <c r="L23" s="51">
        <f>1.38-0.157-1.149+0.741-SUM(I23:K23)</f>
        <v>-8.1999999999999962E-2</v>
      </c>
      <c r="M23" s="6">
        <f>SUM(I23:L23)</f>
        <v>0.81499999999999984</v>
      </c>
      <c r="N23" s="28"/>
      <c r="O23" s="53">
        <f>0.326+0.283+0.095+0.077-0.2</f>
        <v>0.58099999999999996</v>
      </c>
      <c r="P23" s="51">
        <f>0.222+0.253+0.009+0.152</f>
        <v>0.63600000000000001</v>
      </c>
      <c r="Q23" s="51">
        <f>0.119+0.22-0.205+0.128</f>
        <v>0.26200000000000001</v>
      </c>
      <c r="R23" s="51">
        <f>0.795-0.66+1.251-0.36-SUM(O23:Q23)</f>
        <v>-0.45300000000000029</v>
      </c>
      <c r="S23" s="6">
        <f>SUM(O23:R23)</f>
        <v>1.0259999999999998</v>
      </c>
      <c r="T23" s="28"/>
      <c r="U23" s="53">
        <v>-0.254</v>
      </c>
      <c r="V23" s="51">
        <v>1.135</v>
      </c>
      <c r="W23" s="51">
        <v>1.0840000000000001</v>
      </c>
      <c r="X23" s="51">
        <f>4.539-SUM(U23:W23)</f>
        <v>2.5739999999999998</v>
      </c>
      <c r="Y23" s="6">
        <f>SUM(U23:X23)</f>
        <v>4.5389999999999997</v>
      </c>
      <c r="Z23" s="28"/>
      <c r="AA23" s="53">
        <v>2.1349999999999998</v>
      </c>
      <c r="AB23" s="51">
        <v>0.42399999999999999</v>
      </c>
      <c r="AC23" s="51">
        <f>-3.233+2.5</f>
        <v>-0.7330000000000001</v>
      </c>
      <c r="AD23" s="51">
        <f>1.64+2.5-SUM(AA23:AC23)</f>
        <v>2.3140000000000001</v>
      </c>
      <c r="AE23" s="6">
        <f>SUM(AA23:AD23)</f>
        <v>4.1399999999999997</v>
      </c>
      <c r="AF23" s="28"/>
      <c r="AG23" s="53">
        <f>1.781+1</f>
        <v>2.7809999999999997</v>
      </c>
      <c r="AH23" s="51">
        <f>0.778+1.132</f>
        <v>1.91</v>
      </c>
      <c r="AI23" s="51">
        <f>2.692-2.429</f>
        <v>0.26300000000000034</v>
      </c>
      <c r="AJ23" s="51">
        <f>18.244-12.9+2.7-SUM(AG23:AI23)</f>
        <v>3.09</v>
      </c>
      <c r="AK23" s="6">
        <f>SUM(AG23:AJ23)</f>
        <v>8.0440000000000005</v>
      </c>
      <c r="AL23" s="28"/>
      <c r="AM23" s="53">
        <v>2.2349999999999999</v>
      </c>
      <c r="AN23" s="51">
        <v>2.8580000000000001</v>
      </c>
      <c r="AO23" s="51">
        <f>2.374-0.6+(3.7-3.8)</f>
        <v>1.6740000000000004</v>
      </c>
      <c r="AP23" s="51">
        <f>7.942+((12.5+8.1)-20.8)-SUM(AM23:AO23)</f>
        <v>0.97500000000000053</v>
      </c>
      <c r="AQ23" s="6">
        <f>SUM(AM23:AP23)</f>
        <v>7.7420000000000009</v>
      </c>
      <c r="AR23" s="28"/>
      <c r="AS23" s="53">
        <f>1.878+(3.3-3.2)+(1.3-1.9)</f>
        <v>1.3779999999999997</v>
      </c>
      <c r="AT23" s="51">
        <f>-1.183-0.9</f>
        <v>-2.0830000000000002</v>
      </c>
      <c r="AU23" s="51">
        <f>12.91-(10-0.4)</f>
        <v>3.3100000000000005</v>
      </c>
      <c r="AV23" s="52">
        <f>15.854+(-8.5-2.1)-SUM(AS23:AU23)</f>
        <v>2.6489999999999996</v>
      </c>
      <c r="AW23" s="6">
        <f>SUM(AS23:AV23)</f>
        <v>5.2539999999999996</v>
      </c>
      <c r="AX23" s="28"/>
      <c r="AY23" s="53">
        <f>1.082-1.3</f>
        <v>-0.21799999999999997</v>
      </c>
      <c r="AZ23" s="51">
        <f>-1.444</f>
        <v>-1.444</v>
      </c>
      <c r="BA23" s="51">
        <f>-0.557+0.8</f>
        <v>0.24299999999999999</v>
      </c>
      <c r="BB23" s="52">
        <f>-3.591-0.4-SUM(AY23:BA23)</f>
        <v>-2.5720000000000001</v>
      </c>
      <c r="BC23" s="6">
        <f>SUM(AY23:BB23)</f>
        <v>-3.9910000000000001</v>
      </c>
      <c r="BD23" s="28"/>
      <c r="BE23" s="53">
        <v>0.51700000000000002</v>
      </c>
      <c r="BF23" s="51">
        <f>-5.099+(129.6-117.6)</f>
        <v>6.9009999999999998</v>
      </c>
      <c r="BG23" s="51">
        <v>2.867</v>
      </c>
      <c r="BH23" s="51">
        <f>4.307+(73.3-72.3)</f>
        <v>5.3070000000000004</v>
      </c>
      <c r="BI23" s="6">
        <f>SUM(BE23:BH23)</f>
        <v>15.592000000000001</v>
      </c>
      <c r="BJ23" s="6"/>
      <c r="BK23" s="51">
        <f>-7.472+8.3</f>
        <v>0.82800000000000029</v>
      </c>
      <c r="BL23" s="51">
        <f>1.187+1</f>
        <v>2.1870000000000003</v>
      </c>
      <c r="BM23" s="51">
        <f>-2.878+5.3+(4.9-4.8)</f>
        <v>2.5220000000000002</v>
      </c>
      <c r="BN23" s="51">
        <f>2.224-2.7</f>
        <v>-0.47599999999999998</v>
      </c>
      <c r="BO23" s="6">
        <f>SUM(BK23:BN23)</f>
        <v>5.0610000000000008</v>
      </c>
      <c r="BP23" s="6"/>
      <c r="BQ23" s="51">
        <f>-7.571+(8.1-0.6)</f>
        <v>-7.099999999999973E-2</v>
      </c>
      <c r="BR23" s="51">
        <f>-2.33+(4.8+2.3)</f>
        <v>4.7699999999999996</v>
      </c>
      <c r="BS23" s="51">
        <f>-0.684+(4.8+0.6)</f>
        <v>4.7159999999999993</v>
      </c>
      <c r="BT23" s="51">
        <v>-6.8000000000000005E-2</v>
      </c>
      <c r="BU23" s="6">
        <f>SUM(BQ23:BT23)</f>
        <v>9.3469999999999995</v>
      </c>
      <c r="BV23" s="28"/>
      <c r="BW23" s="53">
        <f>1.316+0.1</f>
        <v>1.4160000000000001</v>
      </c>
      <c r="BX23" s="51">
        <v>1.0169999999999999</v>
      </c>
      <c r="BY23" s="51">
        <f>-2.374</f>
        <v>-2.3740000000000001</v>
      </c>
      <c r="BZ23" s="51">
        <f>+-9.632+10.9</f>
        <v>1.2680000000000007</v>
      </c>
      <c r="CA23" s="6">
        <f>SUM(BW23:BZ23)</f>
        <v>1.3270000000000004</v>
      </c>
      <c r="CB23" s="28"/>
      <c r="CC23" s="53">
        <v>0.98299999999999998</v>
      </c>
      <c r="CD23" s="51">
        <v>0</v>
      </c>
      <c r="CE23" s="51">
        <v>-2.948</v>
      </c>
      <c r="CF23" s="51">
        <f>3.071</f>
        <v>3.0710000000000002</v>
      </c>
      <c r="CG23" s="6">
        <f>SUM(CC23:CF23)</f>
        <v>1.1060000000000003</v>
      </c>
      <c r="CH23" s="28"/>
      <c r="CI23" s="53">
        <v>1.25</v>
      </c>
      <c r="CJ23" s="51">
        <v>1.25</v>
      </c>
      <c r="CK23" s="51">
        <v>1.25</v>
      </c>
      <c r="CL23" s="51">
        <v>1.25</v>
      </c>
      <c r="CM23" s="6">
        <f>SUM(CI23:CL23)</f>
        <v>5</v>
      </c>
      <c r="CN23" s="28"/>
      <c r="CO23" s="53">
        <v>1.25</v>
      </c>
      <c r="CP23" s="51">
        <v>1.25</v>
      </c>
      <c r="CQ23" s="51">
        <v>1.25</v>
      </c>
      <c r="CR23" s="51">
        <v>1.25</v>
      </c>
      <c r="CS23" s="6">
        <f>SUM(CO23:CR23)</f>
        <v>5</v>
      </c>
      <c r="CT23" s="28"/>
      <c r="CU23" s="53">
        <v>1.25</v>
      </c>
      <c r="CV23" s="51">
        <v>1.25</v>
      </c>
      <c r="CW23" s="51">
        <v>1.25</v>
      </c>
      <c r="CX23" s="51">
        <v>1.25</v>
      </c>
      <c r="CY23" s="6">
        <f>SUM(CU23:CX23)</f>
        <v>5</v>
      </c>
      <c r="CZ23" s="28"/>
      <c r="DA23" s="28"/>
      <c r="DB23" s="28"/>
      <c r="DI23" s="1878"/>
      <c r="DJ23" s="33"/>
      <c r="DK23" s="256"/>
      <c r="DL23" s="1881"/>
      <c r="DM23" s="33"/>
      <c r="DN23" s="33"/>
      <c r="DO23" s="33"/>
      <c r="DP23" s="33"/>
      <c r="DQ23" s="33"/>
    </row>
    <row r="24" spans="1:121" s="268" customFormat="1" ht="11.25" customHeight="1" x14ac:dyDescent="0.2">
      <c r="A24" s="1897" t="s">
        <v>17</v>
      </c>
      <c r="B24" s="91"/>
      <c r="C24" s="103">
        <f>SUM(C21:C23)</f>
        <v>0.11599999999999988</v>
      </c>
      <c r="D24" s="91">
        <f>SUM(D21:D23)</f>
        <v>-11.177999999999999</v>
      </c>
      <c r="E24" s="91">
        <f>SUM(E21:E23)</f>
        <v>-0.57700000000000007</v>
      </c>
      <c r="F24" s="91">
        <f>SUM(F21:F23)</f>
        <v>0.18599999999999883</v>
      </c>
      <c r="G24" s="104">
        <f>SUM(G21:G23)</f>
        <v>-11.453000000000001</v>
      </c>
      <c r="H24" s="91"/>
      <c r="I24" s="103">
        <f>SUM(I21:I23)</f>
        <v>0.29999999999999988</v>
      </c>
      <c r="J24" s="91">
        <f>SUM(J21:J23)</f>
        <v>0.78</v>
      </c>
      <c r="K24" s="91">
        <f>SUM(K21:K23)</f>
        <v>0.8</v>
      </c>
      <c r="L24" s="91">
        <f>SUM(L21:L23)</f>
        <v>0.54699999999999871</v>
      </c>
      <c r="M24" s="104">
        <f>SUM(M21:M23)</f>
        <v>2.4269999999999992</v>
      </c>
      <c r="N24" s="91"/>
      <c r="O24" s="103">
        <f>SUM(O21:O23)</f>
        <v>1.1329999999999998</v>
      </c>
      <c r="P24" s="91">
        <f>SUM(P21:P23)</f>
        <v>1.6749999999999998</v>
      </c>
      <c r="Q24" s="91">
        <f>SUM(Q21:Q23)</f>
        <v>1.5330000000000008</v>
      </c>
      <c r="R24" s="91">
        <f>SUM(R21:R23)</f>
        <v>1.1260000000000003</v>
      </c>
      <c r="S24" s="104">
        <f>SUM(S21:S23)</f>
        <v>5.4670000000000023</v>
      </c>
      <c r="T24" s="91"/>
      <c r="U24" s="103">
        <f>SUM(U21:U23)</f>
        <v>0.22100000000000053</v>
      </c>
      <c r="V24" s="91">
        <f>SUM(V21:V23)</f>
        <v>1.4719999999999998</v>
      </c>
      <c r="W24" s="91">
        <f>SUM(W21:W23)</f>
        <v>-4.2440000000000015</v>
      </c>
      <c r="X24" s="91">
        <f>SUM(X21:X23)</f>
        <v>-4.8559999999999963</v>
      </c>
      <c r="Y24" s="104">
        <f>SUM(Y21:Y23)</f>
        <v>-7.4069999999999983</v>
      </c>
      <c r="Z24" s="91"/>
      <c r="AA24" s="103">
        <f>SUM(AA21:AA23)</f>
        <v>-5.3440000000000012</v>
      </c>
      <c r="AB24" s="91">
        <f>SUM(AB21:AB23)</f>
        <v>-6.4389999999999992</v>
      </c>
      <c r="AC24" s="91">
        <f>SUM(AC21:AC23)</f>
        <v>-7.8320000000000007</v>
      </c>
      <c r="AD24" s="91">
        <f>SUM(AD21:AD23)</f>
        <v>-4.261000000000001</v>
      </c>
      <c r="AE24" s="104">
        <f>SUM(AE21:AE23)</f>
        <v>-23.876000000000001</v>
      </c>
      <c r="AF24" s="91"/>
      <c r="AG24" s="103">
        <f>SUM(AG21:AG23)</f>
        <v>-3.4650000000000007</v>
      </c>
      <c r="AH24" s="91">
        <f>SUM(AH21:AH23)</f>
        <v>-4.7139999999999995</v>
      </c>
      <c r="AI24" s="91">
        <f>SUM(AI21:AI23)</f>
        <v>-6.4640000000000004</v>
      </c>
      <c r="AJ24" s="91">
        <f>SUM(AJ21:AJ23)</f>
        <v>-3.4319999999999968</v>
      </c>
      <c r="AK24" s="104">
        <f>SUM(AK21:AK23)</f>
        <v>-18.074999999999999</v>
      </c>
      <c r="AL24" s="91"/>
      <c r="AM24" s="103">
        <f>SUM(AM21:AM23)</f>
        <v>-3.3299999999999996</v>
      </c>
      <c r="AN24" s="91">
        <f>SUM(AN21:AN23)</f>
        <v>-3.3099999999999992</v>
      </c>
      <c r="AO24" s="91">
        <f>SUM(AO21:AO23)</f>
        <v>-4.0789999999999997</v>
      </c>
      <c r="AP24" s="91">
        <f>SUM(AP21:AP23)</f>
        <v>-4.897000000000002</v>
      </c>
      <c r="AQ24" s="104">
        <f>SUM(AQ21:AQ23)</f>
        <v>-15.616</v>
      </c>
      <c r="AR24" s="91"/>
      <c r="AS24" s="103">
        <f>SUM(AS21:AS23)</f>
        <v>-3.6580000000000008</v>
      </c>
      <c r="AT24" s="91">
        <f>SUM(AT21:AT23)</f>
        <v>-7.3849999999999998</v>
      </c>
      <c r="AU24" s="91">
        <f>SUM(AU21:AU23)</f>
        <v>-0.89199999999999946</v>
      </c>
      <c r="AV24" s="91">
        <f>SUM(AV21:AV23)</f>
        <v>-2.0409999999999999</v>
      </c>
      <c r="AW24" s="104">
        <f>SUM(AW21:AW23)</f>
        <v>-13.976000000000001</v>
      </c>
      <c r="AX24" s="91"/>
      <c r="AY24" s="103">
        <f>SUM(AY21:AY23)</f>
        <v>-4.6460000000000008</v>
      </c>
      <c r="AZ24" s="91">
        <f>SUM(AZ21:AZ23)</f>
        <v>-5.9989999999999997</v>
      </c>
      <c r="BA24" s="91">
        <f>SUM(BA21:BA23)</f>
        <v>-4.1369999999999996</v>
      </c>
      <c r="BB24" s="1898">
        <f>SUM(BB21:BB23)</f>
        <v>-10.279000000000003</v>
      </c>
      <c r="BC24" s="104">
        <f>SUM(BC21:BC23)</f>
        <v>-25.061</v>
      </c>
      <c r="BD24" s="91"/>
      <c r="BE24" s="103">
        <f>SUM(BE21:BE23)</f>
        <v>-6.29</v>
      </c>
      <c r="BF24" s="91">
        <f>SUM(BF21:BF23)</f>
        <v>-0.49300000000000033</v>
      </c>
      <c r="BG24" s="91">
        <f>SUM(BG21:BG23)</f>
        <v>-4.0760000000000005</v>
      </c>
      <c r="BH24" s="91">
        <f>SUM(BH21:BH23)</f>
        <v>-2.1319999999999997</v>
      </c>
      <c r="BI24" s="104">
        <f>SUM(BI21:BI23)</f>
        <v>-12.991000000000005</v>
      </c>
      <c r="BJ24" s="104"/>
      <c r="BK24" s="91">
        <f>SUM(BK21:BK23)</f>
        <v>-5.6640000000000006</v>
      </c>
      <c r="BL24" s="91">
        <f>SUM(BL21:BL23)</f>
        <v>-2.8069999999999995</v>
      </c>
      <c r="BM24" s="91">
        <f>SUM(BM21:BM23)</f>
        <v>-2.5799999999999992</v>
      </c>
      <c r="BN24" s="91">
        <f>SUM(BN21:BN23)</f>
        <v>-4.7530000000000001</v>
      </c>
      <c r="BO24" s="104">
        <f>SUM(BO21:BO23)</f>
        <v>-15.804000000000002</v>
      </c>
      <c r="BP24" s="104"/>
      <c r="BQ24" s="91">
        <f>SUM(BQ21:BQ23)</f>
        <v>-3.883</v>
      </c>
      <c r="BR24" s="91">
        <f>SUM(BR21:BR23)</f>
        <v>-3.5130000000000017</v>
      </c>
      <c r="BS24" s="91">
        <f>SUM(BS21:BS23)</f>
        <v>-3.2070000000000007</v>
      </c>
      <c r="BT24" s="91">
        <f>SUM(BT21:BT23)</f>
        <v>-3.1919999999999993</v>
      </c>
      <c r="BU24" s="104">
        <f>SUM(BU21:BU23)</f>
        <v>-13.795</v>
      </c>
      <c r="BV24" s="91"/>
      <c r="BW24" s="103">
        <f>SUM(BW21:BW23)</f>
        <v>-1.4500000000000004</v>
      </c>
      <c r="BX24" s="91">
        <f>SUM(BX21:BX23)</f>
        <v>-1.3459999999999996</v>
      </c>
      <c r="BY24" s="91">
        <f>SUM(BY21:BY23)</f>
        <v>-4.5659999999999998</v>
      </c>
      <c r="BZ24" s="91">
        <f>SUM(BZ21:BZ23)</f>
        <v>-2.1840000000000002</v>
      </c>
      <c r="CA24" s="104">
        <f>SUM(CA21:CA23)</f>
        <v>-9.5459999999999976</v>
      </c>
      <c r="CB24" s="91"/>
      <c r="CC24" s="103">
        <f>SUM(CC21:CC23)</f>
        <v>-2.1679999999999997</v>
      </c>
      <c r="CD24" s="91">
        <f>SUM(CD21:CD23)</f>
        <v>-5.2</v>
      </c>
      <c r="CE24" s="91">
        <f>SUM(CE21:CE23)</f>
        <v>-4.1780000000000008</v>
      </c>
      <c r="CF24" s="91">
        <f>SUM(CF21:CF23)</f>
        <v>-1.4819999999999998</v>
      </c>
      <c r="CG24" s="104">
        <f>SUM(CG21:CG23)</f>
        <v>-13.028</v>
      </c>
      <c r="CH24" s="91"/>
      <c r="CI24" s="103">
        <f>SUM(CI21:CI23)</f>
        <v>-3.5933174855000001</v>
      </c>
      <c r="CJ24" s="91">
        <f>SUM(CJ21:CJ23)</f>
        <v>-3.6105880524971594</v>
      </c>
      <c r="CK24" s="91">
        <f>SUM(CK21:CK23)</f>
        <v>-3.6881035796559214</v>
      </c>
      <c r="CL24" s="91">
        <f>SUM(CL21:CL23)</f>
        <v>-3.8907230918707647</v>
      </c>
      <c r="CM24" s="104">
        <f>SUM(CM21:CM23)</f>
        <v>-14.782732209523846</v>
      </c>
      <c r="CN24" s="91"/>
      <c r="CO24" s="103">
        <f>SUM(CO21:CO23)</f>
        <v>-3.7519370813245096</v>
      </c>
      <c r="CP24" s="91">
        <f>SUM(CP21:CP23)</f>
        <v>-3.5544004578946833</v>
      </c>
      <c r="CQ24" s="91">
        <f>SUM(CQ21:CQ23)</f>
        <v>-3.5359910744488827</v>
      </c>
      <c r="CR24" s="91">
        <f>SUM(CR21:CR23)</f>
        <v>-3.7306341728901309</v>
      </c>
      <c r="CS24" s="104">
        <f>SUM(CS21:CS23)</f>
        <v>-14.572962786558207</v>
      </c>
      <c r="CT24" s="91"/>
      <c r="CU24" s="103">
        <f>SUM(CU21:CU23)</f>
        <v>9.9430810995771068</v>
      </c>
      <c r="CV24" s="91">
        <f>SUM(CV21:CV23)</f>
        <v>12.04957057072858</v>
      </c>
      <c r="CW24" s="91">
        <f>SUM(CW21:CW23)</f>
        <v>12.89701748729868</v>
      </c>
      <c r="CX24" s="91">
        <f>SUM(CX21:CX23)</f>
        <v>11.97397160698215</v>
      </c>
      <c r="CY24" s="104">
        <f>SUM(CY21:CY23)</f>
        <v>46.863640764586521</v>
      </c>
      <c r="CZ24" s="256"/>
      <c r="DA24" s="256"/>
      <c r="DB24" s="256"/>
      <c r="DC24"/>
      <c r="DD24"/>
      <c r="DE24"/>
      <c r="DF24"/>
      <c r="DG24"/>
      <c r="DH24"/>
      <c r="DI24" s="1878"/>
      <c r="DJ24" s="1879"/>
      <c r="DK24" s="256"/>
      <c r="DL24" s="1881"/>
      <c r="DM24" s="1879"/>
      <c r="DN24" s="1879"/>
      <c r="DO24" s="1879"/>
      <c r="DP24" s="1879"/>
      <c r="DQ24" s="1879"/>
    </row>
    <row r="25" spans="1:121" s="268" customFormat="1" ht="11.25" customHeight="1" x14ac:dyDescent="0.2">
      <c r="A25" s="1899" t="s">
        <v>312</v>
      </c>
      <c r="B25" s="350"/>
      <c r="C25" s="351">
        <f>C17+C24</f>
        <v>19.147999999999996</v>
      </c>
      <c r="D25" s="352">
        <f>D17+D24</f>
        <v>13.517000000000008</v>
      </c>
      <c r="E25" s="352">
        <f>E17+E24</f>
        <v>23.115999999999968</v>
      </c>
      <c r="F25" s="352">
        <f>F17+F24</f>
        <v>22.749000000000059</v>
      </c>
      <c r="G25" s="353">
        <f>G17+G24</f>
        <v>78.53</v>
      </c>
      <c r="H25" s="350"/>
      <c r="I25" s="351">
        <f>I17+I24</f>
        <v>21.693000000000001</v>
      </c>
      <c r="J25" s="352">
        <f>J17+J24</f>
        <v>25.40100000000001</v>
      </c>
      <c r="K25" s="352">
        <f>K17+K24</f>
        <v>26.973999999999979</v>
      </c>
      <c r="L25" s="352">
        <f>L17+L24</f>
        <v>30.087000000000003</v>
      </c>
      <c r="M25" s="353">
        <f>M17+M24</f>
        <v>104.155</v>
      </c>
      <c r="N25" s="350"/>
      <c r="O25" s="351">
        <f>O17+O24</f>
        <v>28.908000000000005</v>
      </c>
      <c r="P25" s="352">
        <f>P17+P24</f>
        <v>30.798000000000005</v>
      </c>
      <c r="Q25" s="352">
        <f>Q17+Q24</f>
        <v>32.124000000000009</v>
      </c>
      <c r="R25" s="352">
        <f>R17+R24</f>
        <v>34.217000000000006</v>
      </c>
      <c r="S25" s="353">
        <f>S17+S24</f>
        <v>126.04699999999998</v>
      </c>
      <c r="T25" s="350"/>
      <c r="U25" s="351">
        <f>U17+U24</f>
        <v>33.042999999999978</v>
      </c>
      <c r="V25" s="352">
        <f>V17+V24</f>
        <v>37.472999999999992</v>
      </c>
      <c r="W25" s="352">
        <f>W17+W24</f>
        <v>39.390999999999991</v>
      </c>
      <c r="X25" s="352">
        <f>X17+X24</f>
        <v>46.930000000000064</v>
      </c>
      <c r="Y25" s="353">
        <f>Y17+Y24</f>
        <v>156.83700000000002</v>
      </c>
      <c r="Z25" s="350"/>
      <c r="AA25" s="351">
        <f>AA17+AA24</f>
        <v>53.355999999999959</v>
      </c>
      <c r="AB25" s="352">
        <f>AB17+AB24</f>
        <v>54.153000000000013</v>
      </c>
      <c r="AC25" s="352">
        <f>AC17+AC24</f>
        <v>58.992999999999988</v>
      </c>
      <c r="AD25" s="352">
        <f>AD17+AD24</f>
        <v>62.237000000000016</v>
      </c>
      <c r="AE25" s="353">
        <f>AE17+AE24</f>
        <v>228.73899999999989</v>
      </c>
      <c r="AF25" s="350"/>
      <c r="AG25" s="351">
        <f>AG17+AG24</f>
        <v>55.755000000000024</v>
      </c>
      <c r="AH25" s="352">
        <f>AH17+AH24</f>
        <v>67.09699999999998</v>
      </c>
      <c r="AI25" s="352">
        <f>AI17+AI24</f>
        <v>75.31</v>
      </c>
      <c r="AJ25" s="352">
        <f>AJ17+AJ24</f>
        <v>79.889000000000081</v>
      </c>
      <c r="AK25" s="353">
        <f>AK17+AK24</f>
        <v>278.0510000000001</v>
      </c>
      <c r="AL25" s="350"/>
      <c r="AM25" s="351">
        <f>AM17+AM24</f>
        <v>70.308999999999955</v>
      </c>
      <c r="AN25" s="352">
        <f>AN17+AN24</f>
        <v>69.88</v>
      </c>
      <c r="AO25" s="352">
        <f>AO17+AO24</f>
        <v>75.035999999999987</v>
      </c>
      <c r="AP25" s="352">
        <f>AP17+AP24</f>
        <v>77.388000000000019</v>
      </c>
      <c r="AQ25" s="353">
        <f>AQ17+AQ24</f>
        <v>292.61300000000006</v>
      </c>
      <c r="AR25" s="350"/>
      <c r="AS25" s="351">
        <f>AS17+AS24</f>
        <v>66.911999999999964</v>
      </c>
      <c r="AT25" s="352">
        <f>AT17+AT24</f>
        <v>71.246000000000024</v>
      </c>
      <c r="AU25" s="352">
        <f>AU17+AU24</f>
        <v>73.846000000000004</v>
      </c>
      <c r="AV25" s="352">
        <f>AV17+AV24</f>
        <v>93.65400000000011</v>
      </c>
      <c r="AW25" s="353">
        <f>AW17+AW24</f>
        <v>305.65800000000002</v>
      </c>
      <c r="AX25" s="350"/>
      <c r="AY25" s="351">
        <f>AY17+AY24</f>
        <v>75.600000000000009</v>
      </c>
      <c r="AZ25" s="352">
        <f>AZ17+AZ24</f>
        <v>80.418000000000035</v>
      </c>
      <c r="BA25" s="352">
        <f>BA17+BA24</f>
        <v>79.60299999999998</v>
      </c>
      <c r="BB25" s="1900">
        <f>BB17+BB24</f>
        <v>95.748999999999967</v>
      </c>
      <c r="BC25" s="353">
        <f>BC17+BC24</f>
        <v>331.36999999999983</v>
      </c>
      <c r="BD25" s="350"/>
      <c r="BE25" s="351">
        <f>BE17+BE24</f>
        <v>72.084000000000017</v>
      </c>
      <c r="BF25" s="352">
        <f>BF17+BF24</f>
        <v>82.954999999999956</v>
      </c>
      <c r="BG25" s="352">
        <f>BG17+BG24</f>
        <v>83.630999999999943</v>
      </c>
      <c r="BH25" s="352">
        <f>BH17+BH24</f>
        <v>104.16299999999995</v>
      </c>
      <c r="BI25" s="353">
        <f>BI17+BI24</f>
        <v>342.83299999999997</v>
      </c>
      <c r="BJ25" s="443"/>
      <c r="BK25" s="352">
        <f>BK17+BK24</f>
        <v>69.153999999999982</v>
      </c>
      <c r="BL25" s="352">
        <f>BL17+BL24</f>
        <v>78.331999999999979</v>
      </c>
      <c r="BM25" s="352">
        <f>BM17+BM24</f>
        <v>82.191999999999993</v>
      </c>
      <c r="BN25" s="352">
        <f>BN17+BN24</f>
        <v>66.806999999999945</v>
      </c>
      <c r="BO25" s="353">
        <f>BO17+BO24</f>
        <v>296.48500000000001</v>
      </c>
      <c r="BP25" s="443"/>
      <c r="BQ25" s="352">
        <f>BQ17+BQ24</f>
        <v>63.482999999999983</v>
      </c>
      <c r="BR25" s="352">
        <f>BR17+BR24</f>
        <v>75.341000000000037</v>
      </c>
      <c r="BS25" s="352">
        <f>BS17+BS24</f>
        <v>75.049999999999983</v>
      </c>
      <c r="BT25" s="352">
        <f>BT17+BT24</f>
        <v>89.64800000000001</v>
      </c>
      <c r="BU25" s="353">
        <f>BU17+BU24</f>
        <v>303.52199999999999</v>
      </c>
      <c r="BV25" s="350"/>
      <c r="BW25" s="351">
        <f>BW17+BW24</f>
        <v>53.013999999999996</v>
      </c>
      <c r="BX25" s="352">
        <f>BX17+BX24</f>
        <v>67.836999999999989</v>
      </c>
      <c r="BY25" s="352">
        <f>BY17+BY24</f>
        <v>82.181999999999988</v>
      </c>
      <c r="BZ25" s="352">
        <f>BZ17+BZ24</f>
        <v>110.51300000000001</v>
      </c>
      <c r="CA25" s="353">
        <f>CA17+CA24</f>
        <v>313.54599999999999</v>
      </c>
      <c r="CB25" s="350"/>
      <c r="CC25" s="351">
        <f>CC17+CC24</f>
        <v>61.661000000000037</v>
      </c>
      <c r="CD25" s="352">
        <f>CD17+CD24</f>
        <v>82.751999999999995</v>
      </c>
      <c r="CE25" s="352">
        <f>CE17+CE24</f>
        <v>93.689000000000021</v>
      </c>
      <c r="CF25" s="352">
        <f>CF17+CF24</f>
        <v>120.24600000000001</v>
      </c>
      <c r="CG25" s="353">
        <f>CG17+CG24</f>
        <v>358.34799999999996</v>
      </c>
      <c r="CH25" s="350"/>
      <c r="CI25" s="351">
        <f>CI17+CI24</f>
        <v>68.326158438499363</v>
      </c>
      <c r="CJ25" s="352">
        <f>CJ17+CJ24</f>
        <v>94.353053432159882</v>
      </c>
      <c r="CK25" s="352">
        <f>CK17+CK24</f>
        <v>97.311922778694537</v>
      </c>
      <c r="CL25" s="352">
        <f>CL17+CL24</f>
        <v>119.04443074504184</v>
      </c>
      <c r="CM25" s="353">
        <f>CM17+CM24</f>
        <v>379.03556539439546</v>
      </c>
      <c r="CN25" s="350"/>
      <c r="CO25" s="351">
        <f>CO17+CO24</f>
        <v>86.750073684921688</v>
      </c>
      <c r="CP25" s="352">
        <f>CP17+CP24</f>
        <v>104.69890163262035</v>
      </c>
      <c r="CQ25" s="352">
        <f>CQ17+CQ24</f>
        <v>111.4517144848903</v>
      </c>
      <c r="CR25" s="352">
        <f>CR17+CR24</f>
        <v>134.92527861466743</v>
      </c>
      <c r="CS25" s="353">
        <f>CS17+CS24</f>
        <v>437.82596841709966</v>
      </c>
      <c r="CT25" s="350"/>
      <c r="CU25" s="351">
        <f>CU17+CU24</f>
        <v>116.58724519615373</v>
      </c>
      <c r="CV25" s="352">
        <f>CV17+CV24</f>
        <v>138.25414484047303</v>
      </c>
      <c r="CW25" s="352">
        <f>CW17+CW24</f>
        <v>146.17312403665881</v>
      </c>
      <c r="CX25" s="352">
        <f>CX17+CX24</f>
        <v>171.98166478078957</v>
      </c>
      <c r="CY25" s="353">
        <f>CY17+CY24</f>
        <v>572.9961788540752</v>
      </c>
      <c r="CZ25" s="256"/>
      <c r="DA25" s="256"/>
      <c r="DB25" s="256"/>
      <c r="DC25"/>
      <c r="DD25"/>
      <c r="DE25"/>
      <c r="DF25"/>
      <c r="DG25"/>
      <c r="DH25"/>
      <c r="DI25" s="1878"/>
      <c r="DJ25" s="1879"/>
      <c r="DK25" s="256"/>
      <c r="DL25" s="1881"/>
      <c r="DM25" s="1881"/>
      <c r="DN25" s="1879"/>
      <c r="DO25" s="1879"/>
      <c r="DP25" s="1879"/>
      <c r="DQ25" s="1879"/>
    </row>
    <row r="26" spans="1:121" ht="11.25" customHeight="1" x14ac:dyDescent="0.2">
      <c r="A26" s="198" t="s">
        <v>18</v>
      </c>
      <c r="B26" s="28"/>
      <c r="C26" s="53">
        <f>6.786+(0.941*C92)</f>
        <v>7.1106449999999999</v>
      </c>
      <c r="D26" s="51">
        <f>2.91+(1.805*D92)</f>
        <v>3.5327250000000001</v>
      </c>
      <c r="E26" s="51">
        <f>7.687+((1.454+0.572+0.763)*(E92))</f>
        <v>8.6492050000000003</v>
      </c>
      <c r="F26" s="51">
        <f>23.982+((1.454+0.572+3.817)*(G92))-SUM(C26:E26)</f>
        <v>6.7052599999999991</v>
      </c>
      <c r="G26" s="6">
        <f>SUM(C26:F26)</f>
        <v>25.997834999999998</v>
      </c>
      <c r="H26" s="28"/>
      <c r="I26" s="53">
        <f>7.745</f>
        <v>7.7450000000000001</v>
      </c>
      <c r="J26" s="51">
        <f>8.601+((0.253+2.056)*(J92))</f>
        <v>9.3283350000000009</v>
      </c>
      <c r="K26" s="51">
        <f>9.035+(0.274*K92)</f>
        <v>9.1213099999999994</v>
      </c>
      <c r="L26" s="51">
        <f>35.039+((0.439+3.213)*(L92))-SUM(I26:K26)</f>
        <v>9.9947349999999986</v>
      </c>
      <c r="M26" s="6">
        <f>SUM(I26:L26)</f>
        <v>36.18938</v>
      </c>
      <c r="N26" s="28"/>
      <c r="O26" s="53">
        <f>8.998+(1.505-0.95)+((0.461+0.284)-0.64)+(0.08-0.06)</f>
        <v>9.677999999999999</v>
      </c>
      <c r="P26" s="51">
        <f>9.236+(1.893-1.2)+((1.284+3.246)-3.8)+(0.785-0.6)+(0.1-0)</f>
        <v>10.944000000000001</v>
      </c>
      <c r="Q26" s="51">
        <f>8.918+(2.359-1.54)+(1.449-0.93)+(0.04-0.03)</f>
        <v>10.265999999999998</v>
      </c>
      <c r="R26" s="51">
        <f>35.529+(8.22*0.35)+((2.046+6.061)*0.35)+(1.452*0.35)-SUM(O26:Q26)</f>
        <v>10.863650000000007</v>
      </c>
      <c r="S26" s="6">
        <f>SUM(O26:R26)</f>
        <v>41.751650000000005</v>
      </c>
      <c r="T26" s="28"/>
      <c r="U26" s="53">
        <f>9.15+(0.69-0.47)+(0.408-0.31)+(2.598-1.7)+(0.33-0.21)</f>
        <v>10.486000000000001</v>
      </c>
      <c r="V26" s="51">
        <f>9.926+(1.346-0.86)+(0.07-0.04)+(2.658-1.74)+(0.89-0.59)</f>
        <v>11.66</v>
      </c>
      <c r="W26" s="51">
        <f>1.38+((8.406+2.951)-7.3)+((1.343+4.546)-3.8)+(2.2-1.4)</f>
        <v>8.3260000000000023</v>
      </c>
      <c r="X26" s="51">
        <f>25.555+((23.615+7.711)-20)+((2.839+14.708)-11.3)+(0.538-0.4)+(5.8-3.8)-SUM(U26:W26)</f>
        <v>14.793999999999997</v>
      </c>
      <c r="Y26" s="6">
        <f>SUM(U26:X26)</f>
        <v>45.265999999999998</v>
      </c>
      <c r="Z26" s="28"/>
      <c r="AA26" s="53">
        <f>7.301+((10.826+3.651)-9.3)+(0.46-0.3)+(8.725-5.6)+(2-1.4)</f>
        <v>16.363</v>
      </c>
      <c r="AB26" s="51">
        <f>4.291+((11.949+2.816)-9.5)+(0.074-0)+(9.342-6.1)+(2.4-1.6)</f>
        <v>13.672000000000001</v>
      </c>
      <c r="AC26" s="51">
        <f>6.679+((12.777+4.018)-10.9)+(0.172-0.1)+((8.554+0.396)-6)+(1.9-1.3)</f>
        <v>16.195999999999998</v>
      </c>
      <c r="AD26" s="51">
        <f>29.762+(63.1-41.9)+(1.4-1.1)+(30.9-20.5)+(9.4-6.5)+(1.2-0.8)-SUM(AA26:AC26)</f>
        <v>18.731000000000009</v>
      </c>
      <c r="AE26" s="6">
        <f>SUM(AA26:AD26)</f>
        <v>64.962000000000003</v>
      </c>
      <c r="AF26" s="28"/>
      <c r="AG26" s="53">
        <f>7.88+(16.9-11)+(2.2-1.5)+(2.8-1.9)</f>
        <v>15.379999999999997</v>
      </c>
      <c r="AH26" s="51">
        <f>10.107+1.593+5.983+0.866+0.289</f>
        <v>18.838000000000001</v>
      </c>
      <c r="AI26" s="51">
        <f>11.629+0.918+6.082+0.678+1.661+0.835</f>
        <v>21.803000000000001</v>
      </c>
      <c r="AJ26" s="334">
        <f>34.563+11.3+25.6+2.9+3.2+0.9-SUM(AG26:AI26)</f>
        <v>22.442000000000007</v>
      </c>
      <c r="AK26" s="6">
        <f>SUM(AG26:AJ26)</f>
        <v>78.463000000000008</v>
      </c>
      <c r="AL26" s="28"/>
      <c r="AM26" s="53">
        <f>8.337+1.7+10.2+0.7</f>
        <v>20.936999999999998</v>
      </c>
      <c r="AN26" s="51">
        <f>1.02+7.7+7.5+1.1</f>
        <v>17.32</v>
      </c>
      <c r="AO26" s="51">
        <f>10.368-2.7+7.6+1</f>
        <v>16.268000000000001</v>
      </c>
      <c r="AP26" s="51">
        <f>28.81+8.1+30.1+2.9-SUM(AM26:AO26)</f>
        <v>15.384999999999998</v>
      </c>
      <c r="AQ26" s="6">
        <f>SUM(AM26:AP26)</f>
        <v>69.91</v>
      </c>
      <c r="AR26" s="28"/>
      <c r="AS26" s="53">
        <f>7.306+1.1+7.8+0.8+0.4</f>
        <v>17.405999999999999</v>
      </c>
      <c r="AT26" s="51">
        <f>6.682+1.1+7.7+1.2-0.4</f>
        <v>16.282</v>
      </c>
      <c r="AU26" s="51">
        <f>8.538+3.3+8.2+1.1-3</f>
        <v>18.138000000000002</v>
      </c>
      <c r="AV26" s="51">
        <f>1.263+34.8+32.9+4.2-0.9-SUM(AS26:AU26)</f>
        <v>20.436999999999983</v>
      </c>
      <c r="AW26" s="6">
        <f>SUM(AS26:AV26)</f>
        <v>72.262999999999991</v>
      </c>
      <c r="AX26" s="28"/>
      <c r="AY26" s="53">
        <f>4.647+3.9+10.9+1.1+0.4</f>
        <v>20.947000000000003</v>
      </c>
      <c r="AZ26" s="51">
        <f>5.745+1.4+10.4+1.7</f>
        <v>19.245000000000001</v>
      </c>
      <c r="BA26" s="51">
        <f>4.96+12.4</f>
        <v>17.36</v>
      </c>
      <c r="BB26" s="52">
        <f>15.616+13.9+38.7+5.6-3.2-SUM(AY26:BA26)</f>
        <v>13.063999999999993</v>
      </c>
      <c r="BC26" s="6">
        <f>SUM(AY26:BB26)</f>
        <v>70.616</v>
      </c>
      <c r="BD26" s="28"/>
      <c r="BE26" s="53">
        <f>2.708+4.1+8.5+2</f>
        <v>17.308</v>
      </c>
      <c r="BF26" s="51">
        <f>5.083+3+10.1+1.8-1.3</f>
        <v>18.683</v>
      </c>
      <c r="BG26" s="51">
        <f>-10.44+13.9+9.6+2.1</f>
        <v>15.16</v>
      </c>
      <c r="BH26" s="51">
        <f>-29.111+30.4+11.4+3+0.9</f>
        <v>16.588999999999999</v>
      </c>
      <c r="BI26" s="6">
        <f>SUM(BE26:BH26)</f>
        <v>67.739999999999995</v>
      </c>
      <c r="BJ26" s="28"/>
      <c r="BK26" s="53">
        <f>4.556+1+9.9</f>
        <v>15.456</v>
      </c>
      <c r="BL26" s="51">
        <f>6.13+1.2+10</f>
        <v>17.329999999999998</v>
      </c>
      <c r="BM26" s="51">
        <f>2.66+1.9+9.9+1.6</f>
        <v>16.060000000000002</v>
      </c>
      <c r="BN26" s="51">
        <f>-12.033+7.1+9.9+1.2</f>
        <v>6.1670000000000007</v>
      </c>
      <c r="BO26" s="6">
        <f>SUM(BK26:BN26)</f>
        <v>55.013000000000005</v>
      </c>
      <c r="BP26" s="28"/>
      <c r="BQ26" s="53">
        <f>-0.316+0.7+9.9+1.8</f>
        <v>12.084000000000001</v>
      </c>
      <c r="BR26" s="51">
        <f>4.268+(1.4+10.4-1.7)</f>
        <v>14.368000000000002</v>
      </c>
      <c r="BS26" s="51">
        <f>3.55+(0.6+7.7)</f>
        <v>11.850000000000001</v>
      </c>
      <c r="BT26" s="51">
        <f>-1.862+1.9+13.7-0.6-0.2+0.7</f>
        <v>13.638</v>
      </c>
      <c r="BU26" s="6">
        <f>SUM(BQ26:BT26)</f>
        <v>51.940000000000005</v>
      </c>
      <c r="BV26" s="28"/>
      <c r="BW26" s="53">
        <v>7.9329999999999998</v>
      </c>
      <c r="BX26" s="51">
        <v>10.913</v>
      </c>
      <c r="BY26" s="51">
        <v>14.013999999999999</v>
      </c>
      <c r="BZ26" s="51">
        <v>17</v>
      </c>
      <c r="CA26" s="6">
        <f>SUM(BW26:BZ26)</f>
        <v>49.86</v>
      </c>
      <c r="CB26" s="28"/>
      <c r="CC26" s="53">
        <v>10.9</v>
      </c>
      <c r="CD26" s="51">
        <v>14.1</v>
      </c>
      <c r="CE26" s="51">
        <f>3.168+1.8+8.8+2.8+1.6</f>
        <v>18.168000000000003</v>
      </c>
      <c r="CF26" s="51">
        <v>20.100000000000001</v>
      </c>
      <c r="CG26" s="6">
        <f>SUM(CC26:CF26)</f>
        <v>63.268000000000008</v>
      </c>
      <c r="CH26" s="28"/>
      <c r="CI26" s="19">
        <f>CI25*CI50</f>
        <v>14.006862479892369</v>
      </c>
      <c r="CJ26" s="20">
        <f>CJ25*CJ50</f>
        <v>19.342375953592775</v>
      </c>
      <c r="CK26" s="20">
        <f>CK25*CK50</f>
        <v>19.94894416963238</v>
      </c>
      <c r="CL26" s="20">
        <f>CL25*CL50</f>
        <v>24.404108302733576</v>
      </c>
      <c r="CM26" s="6">
        <f>SUM(CI26:CL26)</f>
        <v>77.7022909058511</v>
      </c>
      <c r="CN26" s="28"/>
      <c r="CO26" s="19">
        <f>CO25*CO50</f>
        <v>17.783765105408946</v>
      </c>
      <c r="CP26" s="20">
        <f>CP25*CP50</f>
        <v>21.463274834687169</v>
      </c>
      <c r="CQ26" s="20">
        <f>CQ25*CQ50</f>
        <v>22.847601469402512</v>
      </c>
      <c r="CR26" s="20">
        <f>CR25*CR50</f>
        <v>27.659682116006824</v>
      </c>
      <c r="CS26" s="6">
        <f>SUM(CO26:CR26)</f>
        <v>89.754323525505455</v>
      </c>
      <c r="CT26" s="28"/>
      <c r="CU26" s="19">
        <f>CU25*CU50</f>
        <v>23.900385265211515</v>
      </c>
      <c r="CV26" s="20">
        <f>CV25*CV50</f>
        <v>28.342099692296969</v>
      </c>
      <c r="CW26" s="20">
        <f>CW25*CW50</f>
        <v>29.965490427515054</v>
      </c>
      <c r="CX26" s="20">
        <f>CX25*CX50</f>
        <v>35.256241280061857</v>
      </c>
      <c r="CY26" s="6">
        <f>SUM(CU26:CX26)</f>
        <v>117.46421666508539</v>
      </c>
      <c r="CZ26" s="28"/>
      <c r="DA26" s="28"/>
      <c r="DB26" s="28"/>
      <c r="DI26" s="1878"/>
      <c r="DJ26" s="33"/>
      <c r="DK26" s="256"/>
      <c r="DL26" s="1881"/>
      <c r="DM26" s="33"/>
      <c r="DN26" s="33"/>
      <c r="DO26" s="33"/>
      <c r="DP26" s="33"/>
      <c r="DQ26" s="33"/>
    </row>
    <row r="27" spans="1:121" ht="11.25" customHeight="1" outlineLevel="1" x14ac:dyDescent="0.2">
      <c r="A27" s="198" t="s">
        <v>19</v>
      </c>
      <c r="B27" s="28"/>
      <c r="C27" s="53">
        <v>0</v>
      </c>
      <c r="D27" s="51">
        <v>0</v>
      </c>
      <c r="E27" s="51">
        <v>0</v>
      </c>
      <c r="F27" s="51">
        <f>0-SUM(C27:E27)</f>
        <v>0</v>
      </c>
      <c r="G27" s="6">
        <f>SUM(C27:F27)</f>
        <v>0</v>
      </c>
      <c r="H27" s="28"/>
      <c r="I27" s="53">
        <v>0</v>
      </c>
      <c r="J27" s="51">
        <v>0</v>
      </c>
      <c r="K27" s="51">
        <v>0</v>
      </c>
      <c r="L27" s="51">
        <f>0-SUM(I27:K27)</f>
        <v>0</v>
      </c>
      <c r="M27" s="6">
        <f>SUM(I27:L27)</f>
        <v>0</v>
      </c>
      <c r="N27" s="28"/>
      <c r="O27" s="53">
        <v>0</v>
      </c>
      <c r="P27" s="51">
        <v>0</v>
      </c>
      <c r="Q27" s="51">
        <v>0</v>
      </c>
      <c r="R27" s="51">
        <f>0-SUM(O27:Q27)</f>
        <v>0</v>
      </c>
      <c r="S27" s="6">
        <f>SUM(O27:R27)</f>
        <v>0</v>
      </c>
      <c r="T27" s="28"/>
      <c r="U27" s="53">
        <v>0</v>
      </c>
      <c r="V27" s="51">
        <v>0</v>
      </c>
      <c r="W27" s="51">
        <v>-7.0000000000000001E-3</v>
      </c>
      <c r="X27" s="51">
        <f>0.049-SUM(U27:W27)</f>
        <v>5.6000000000000001E-2</v>
      </c>
      <c r="Y27" s="6">
        <f>SUM(U27:X27)</f>
        <v>4.9000000000000002E-2</v>
      </c>
      <c r="Z27" s="28"/>
      <c r="AA27" s="53">
        <v>0.06</v>
      </c>
      <c r="AB27" s="51">
        <v>5.6000000000000001E-2</v>
      </c>
      <c r="AC27" s="51">
        <v>0.376</v>
      </c>
      <c r="AD27" s="51">
        <f>0.491-SUM(AA27:AC27)</f>
        <v>-1.0000000000000009E-3</v>
      </c>
      <c r="AE27" s="6">
        <f>SUM(AA27:AD27)</f>
        <v>0.49099999999999999</v>
      </c>
      <c r="AF27" s="28"/>
      <c r="AG27" s="53">
        <v>0</v>
      </c>
      <c r="AH27" s="51">
        <v>0</v>
      </c>
      <c r="AI27" s="51">
        <v>0</v>
      </c>
      <c r="AJ27" s="51">
        <v>0</v>
      </c>
      <c r="AK27" s="6">
        <f>SUM(AG27:AJ27)</f>
        <v>0</v>
      </c>
      <c r="AL27" s="28"/>
      <c r="AM27" s="53">
        <v>0</v>
      </c>
      <c r="AN27" s="51">
        <v>0</v>
      </c>
      <c r="AO27" s="51">
        <v>0</v>
      </c>
      <c r="AP27" s="51">
        <v>0</v>
      </c>
      <c r="AQ27" s="6">
        <f>SUM(AM27:AP27)</f>
        <v>0</v>
      </c>
      <c r="AR27" s="28"/>
      <c r="AS27" s="53">
        <v>0</v>
      </c>
      <c r="AT27" s="51">
        <v>0</v>
      </c>
      <c r="AU27" s="51">
        <v>-0.67800000000000005</v>
      </c>
      <c r="AV27" s="51">
        <f>-1.089-SUM(AS27:AU27)</f>
        <v>-0.41099999999999992</v>
      </c>
      <c r="AW27" s="6">
        <f>SUM(AS27:AV27)</f>
        <v>-1.089</v>
      </c>
      <c r="AX27" s="28"/>
      <c r="AY27" s="53">
        <v>-0.10199999999999999</v>
      </c>
      <c r="AZ27" s="51">
        <v>0.35</v>
      </c>
      <c r="BA27" s="51">
        <v>-8.2000000000000003E-2</v>
      </c>
      <c r="BB27" s="52">
        <f>0.031-SUM(AY27:BA27)</f>
        <v>-0.13499999999999998</v>
      </c>
      <c r="BC27" s="6">
        <f>SUM(AY27:BB27)</f>
        <v>3.1E-2</v>
      </c>
      <c r="BD27" s="28"/>
      <c r="BE27" s="53">
        <v>0.09</v>
      </c>
      <c r="BF27" s="51">
        <v>2.4E-2</v>
      </c>
      <c r="BG27" s="51">
        <v>7.4999999999999997E-2</v>
      </c>
      <c r="BH27" s="51">
        <v>0.16300000000000001</v>
      </c>
      <c r="BI27" s="6">
        <f>SUM(BE27:BH27)</f>
        <v>0.35199999999999998</v>
      </c>
      <c r="BJ27" s="28"/>
      <c r="BK27" s="53">
        <v>1.6E-2</v>
      </c>
      <c r="BL27" s="51">
        <v>0.221</v>
      </c>
      <c r="BM27" s="51">
        <v>0.125</v>
      </c>
      <c r="BN27" s="51">
        <v>0.20599999999999999</v>
      </c>
      <c r="BO27" s="6">
        <f>SUM(BK27:BN27)</f>
        <v>0.56799999999999995</v>
      </c>
      <c r="BP27" s="28"/>
      <c r="BQ27" s="53">
        <v>-0.126</v>
      </c>
      <c r="BR27" s="51">
        <v>-4.0000000000000001E-3</v>
      </c>
      <c r="BS27" s="51">
        <v>8.4000000000000005E-2</v>
      </c>
      <c r="BT27" s="51">
        <f>-0.2</f>
        <v>-0.2</v>
      </c>
      <c r="BU27" s="6">
        <f>SUM(BQ27:BT27)</f>
        <v>-0.246</v>
      </c>
      <c r="BV27" s="28"/>
      <c r="BW27" s="53">
        <v>-4.7E-2</v>
      </c>
      <c r="BX27" s="51">
        <v>0</v>
      </c>
      <c r="BY27" s="51">
        <v>-5.2999999999999999E-2</v>
      </c>
      <c r="BZ27" s="51">
        <v>0</v>
      </c>
      <c r="CA27" s="6">
        <f>SUM(BW27:BZ27)</f>
        <v>-0.1</v>
      </c>
      <c r="CB27" s="28"/>
      <c r="CC27" s="53">
        <v>0</v>
      </c>
      <c r="CD27" s="51">
        <v>0</v>
      </c>
      <c r="CE27" s="51">
        <v>0</v>
      </c>
      <c r="CF27" s="51">
        <v>0</v>
      </c>
      <c r="CG27" s="6">
        <f>SUM(CC27:CF27)</f>
        <v>0</v>
      </c>
      <c r="CH27" s="28"/>
      <c r="CI27" s="19">
        <f>CI49*CI9</f>
        <v>0</v>
      </c>
      <c r="CJ27" s="20">
        <f>CJ49*CJ9</f>
        <v>0</v>
      </c>
      <c r="CK27" s="20">
        <f>CK49*CK9</f>
        <v>0</v>
      </c>
      <c r="CL27" s="20">
        <f>CL49*CL9</f>
        <v>0</v>
      </c>
      <c r="CM27" s="6">
        <f>SUM(CI27:CL27)</f>
        <v>0</v>
      </c>
      <c r="CN27" s="28"/>
      <c r="CO27" s="19">
        <f>CO49*CO9</f>
        <v>0</v>
      </c>
      <c r="CP27" s="20">
        <f>CP49*CP9</f>
        <v>0</v>
      </c>
      <c r="CQ27" s="20">
        <f>CQ49*CQ9</f>
        <v>0</v>
      </c>
      <c r="CR27" s="20">
        <f>CR49*CR9</f>
        <v>0</v>
      </c>
      <c r="CS27" s="6">
        <f>SUM(CO27:CR27)</f>
        <v>0</v>
      </c>
      <c r="CT27" s="28"/>
      <c r="CU27" s="19">
        <f>CU49*CU9</f>
        <v>0</v>
      </c>
      <c r="CV27" s="20">
        <f>CV49*CV9</f>
        <v>0</v>
      </c>
      <c r="CW27" s="20">
        <f>CW49*CW9</f>
        <v>0</v>
      </c>
      <c r="CX27" s="20">
        <f>CX49*CX9</f>
        <v>0</v>
      </c>
      <c r="CY27" s="6">
        <f>SUM(CU27:CX27)</f>
        <v>0</v>
      </c>
      <c r="CZ27" s="28"/>
      <c r="DA27" s="28"/>
      <c r="DB27" s="28"/>
      <c r="DI27" s="1878"/>
      <c r="DJ27" s="256"/>
      <c r="DK27" s="256"/>
      <c r="DL27" s="1881"/>
      <c r="DM27" s="1881"/>
      <c r="DN27" s="33"/>
      <c r="DO27" s="33"/>
      <c r="DP27" s="33"/>
      <c r="DQ27" s="33"/>
    </row>
    <row r="28" spans="1:121" s="268" customFormat="1" ht="11.25" customHeight="1" x14ac:dyDescent="0.2">
      <c r="A28" s="1906" t="s">
        <v>409</v>
      </c>
      <c r="B28" s="91"/>
      <c r="C28" s="326">
        <f>C25-C26-C27</f>
        <v>12.037354999999996</v>
      </c>
      <c r="D28" s="325">
        <f>D25-D26-D27</f>
        <v>9.9842750000000073</v>
      </c>
      <c r="E28" s="325">
        <f>E25-E26-E27</f>
        <v>14.466794999999967</v>
      </c>
      <c r="F28" s="325">
        <f>F25-F26-F27</f>
        <v>16.04374000000006</v>
      </c>
      <c r="G28" s="356">
        <f>G25-G26-G27</f>
        <v>52.532165000000006</v>
      </c>
      <c r="H28" s="91"/>
      <c r="I28" s="326">
        <f>I25-I26-I27</f>
        <v>13.948</v>
      </c>
      <c r="J28" s="325">
        <f>J25-J26-J27</f>
        <v>16.072665000000008</v>
      </c>
      <c r="K28" s="325">
        <f>K25-K26-K27</f>
        <v>17.852689999999981</v>
      </c>
      <c r="L28" s="325">
        <f>L25-L26-L27</f>
        <v>20.092265000000005</v>
      </c>
      <c r="M28" s="356">
        <f>M25-M26-M27</f>
        <v>67.965620000000001</v>
      </c>
      <c r="N28" s="91"/>
      <c r="O28" s="326">
        <f>O25-O26-O27</f>
        <v>19.230000000000004</v>
      </c>
      <c r="P28" s="325">
        <f>P25-P26-P27</f>
        <v>19.854000000000006</v>
      </c>
      <c r="Q28" s="325">
        <f>Q25-Q26-Q27</f>
        <v>21.858000000000011</v>
      </c>
      <c r="R28" s="325">
        <f>R25-R26-R27</f>
        <v>23.353349999999999</v>
      </c>
      <c r="S28" s="356">
        <f>S25-S26-S27</f>
        <v>84.295349999999985</v>
      </c>
      <c r="T28" s="91"/>
      <c r="U28" s="326">
        <f>U25-U26-U27</f>
        <v>22.556999999999977</v>
      </c>
      <c r="V28" s="325">
        <f>V25-V26-V27</f>
        <v>25.812999999999992</v>
      </c>
      <c r="W28" s="325">
        <f>W25-W26-W27</f>
        <v>31.071999999999992</v>
      </c>
      <c r="X28" s="325">
        <f>X25-X26-X27</f>
        <v>32.080000000000069</v>
      </c>
      <c r="Y28" s="356">
        <f>Y25-Y26-Y27</f>
        <v>111.52200000000002</v>
      </c>
      <c r="Z28" s="91"/>
      <c r="AA28" s="326">
        <f>AA25-AA26-AA27</f>
        <v>36.932999999999957</v>
      </c>
      <c r="AB28" s="325">
        <f>AB25-AB26-AB27</f>
        <v>40.425000000000011</v>
      </c>
      <c r="AC28" s="325">
        <f>AC25-AC26-AC27</f>
        <v>42.420999999999992</v>
      </c>
      <c r="AD28" s="325">
        <f>AD25-AD26-AD27</f>
        <v>43.507000000000005</v>
      </c>
      <c r="AE28" s="356">
        <f>AE25-AE26-AE27</f>
        <v>163.28599999999986</v>
      </c>
      <c r="AF28" s="91"/>
      <c r="AG28" s="326">
        <f>AG25-AG26-AG27</f>
        <v>40.375000000000028</v>
      </c>
      <c r="AH28" s="325">
        <f>AH25-AH26-AH27</f>
        <v>48.258999999999979</v>
      </c>
      <c r="AI28" s="325">
        <f>AI25-AI26-AI27</f>
        <v>53.507000000000005</v>
      </c>
      <c r="AJ28" s="325">
        <f>AJ25-AJ26-AJ27</f>
        <v>57.447000000000074</v>
      </c>
      <c r="AK28" s="356">
        <f>AK25-AK26-AK27</f>
        <v>199.58800000000008</v>
      </c>
      <c r="AL28" s="91"/>
      <c r="AM28" s="326">
        <f>AM25-AM26-AM27</f>
        <v>49.371999999999957</v>
      </c>
      <c r="AN28" s="325">
        <f>AN25-AN26-AN27</f>
        <v>52.559999999999995</v>
      </c>
      <c r="AO28" s="325">
        <f>AO25-AO26-AO27</f>
        <v>58.767999999999986</v>
      </c>
      <c r="AP28" s="325">
        <f>AP25-AP26-AP27</f>
        <v>62.003000000000021</v>
      </c>
      <c r="AQ28" s="356">
        <f>AQ25-AQ26-AQ27</f>
        <v>222.70300000000006</v>
      </c>
      <c r="AR28" s="91"/>
      <c r="AS28" s="326">
        <f>AS25-AS26-AS27</f>
        <v>49.505999999999965</v>
      </c>
      <c r="AT28" s="325">
        <f>AT25-AT26-AT27</f>
        <v>54.964000000000027</v>
      </c>
      <c r="AU28" s="325">
        <f>AU25-AU26-AU27</f>
        <v>56.385999999999996</v>
      </c>
      <c r="AV28" s="325">
        <f>AV25-AV26-AV27</f>
        <v>73.628000000000128</v>
      </c>
      <c r="AW28" s="356">
        <f>AW25-AW26-AW27</f>
        <v>234.48400000000004</v>
      </c>
      <c r="AX28" s="91"/>
      <c r="AY28" s="326">
        <f>AY25-AY26-AY27</f>
        <v>54.755000000000003</v>
      </c>
      <c r="AZ28" s="325">
        <f>AZ25-AZ26-AZ27</f>
        <v>60.823000000000029</v>
      </c>
      <c r="BA28" s="325">
        <f>BA25-BA26-BA27</f>
        <v>62.324999999999982</v>
      </c>
      <c r="BB28" s="1896">
        <f>BB25-BB26-BB27</f>
        <v>82.819999999999979</v>
      </c>
      <c r="BC28" s="356">
        <f>BC25-BC26-BC27</f>
        <v>260.72299999999984</v>
      </c>
      <c r="BD28" s="91"/>
      <c r="BE28" s="326">
        <f>BE25-BE26-BE27</f>
        <v>54.686000000000014</v>
      </c>
      <c r="BF28" s="325">
        <f>BF25-BF26-BF27</f>
        <v>64.247999999999962</v>
      </c>
      <c r="BG28" s="325">
        <f>BG25-BG26-BG27</f>
        <v>68.395999999999944</v>
      </c>
      <c r="BH28" s="325">
        <f>BH25-BH26-BH27</f>
        <v>87.410999999999959</v>
      </c>
      <c r="BI28" s="356">
        <f>BI25-BI26-BI27</f>
        <v>274.74099999999999</v>
      </c>
      <c r="BJ28" s="91"/>
      <c r="BK28" s="326">
        <f>BK25-BK26-BK27</f>
        <v>53.681999999999981</v>
      </c>
      <c r="BL28" s="325">
        <f>BL25-BL26-BL27</f>
        <v>60.780999999999985</v>
      </c>
      <c r="BM28" s="325">
        <f>BM25-BM26-BM27</f>
        <v>66.006999999999991</v>
      </c>
      <c r="BN28" s="325">
        <f>BN25-BN26-BN27</f>
        <v>60.433999999999941</v>
      </c>
      <c r="BO28" s="356">
        <f>BO25-BO26-BO27</f>
        <v>240.904</v>
      </c>
      <c r="BP28" s="91"/>
      <c r="BQ28" s="326">
        <f>BQ25-BQ26-BQ27</f>
        <v>51.524999999999977</v>
      </c>
      <c r="BR28" s="325">
        <f>BR25-BR26-BR27</f>
        <v>60.977000000000032</v>
      </c>
      <c r="BS28" s="325">
        <f>BS25-BS26-BS27</f>
        <v>63.115999999999978</v>
      </c>
      <c r="BT28" s="325">
        <f>BT25-BT26-BT27</f>
        <v>76.210000000000008</v>
      </c>
      <c r="BU28" s="356">
        <f>BU25-BU26-BU27</f>
        <v>251.828</v>
      </c>
      <c r="BV28" s="91"/>
      <c r="BW28" s="326">
        <f>BW25-BW26-BW27</f>
        <v>45.127999999999993</v>
      </c>
      <c r="BX28" s="325">
        <f>BX25-BX26-BX27</f>
        <v>56.923999999999992</v>
      </c>
      <c r="BY28" s="325">
        <f>BY25-BY26-BY27</f>
        <v>68.220999999999989</v>
      </c>
      <c r="BZ28" s="325">
        <f>BZ25-BZ26-BZ27</f>
        <v>93.513000000000005</v>
      </c>
      <c r="CA28" s="356">
        <f>CA25-CA26-CA27</f>
        <v>263.786</v>
      </c>
      <c r="CB28" s="91"/>
      <c r="CC28" s="326">
        <f>CC25-CC26-CC27</f>
        <v>50.761000000000038</v>
      </c>
      <c r="CD28" s="325">
        <f>CD25-CD26-CD27</f>
        <v>68.652000000000001</v>
      </c>
      <c r="CE28" s="325">
        <f>CE25-CE26-CE27</f>
        <v>75.521000000000015</v>
      </c>
      <c r="CF28" s="325">
        <f>CF25-CF26-CF27</f>
        <v>100.14600000000002</v>
      </c>
      <c r="CG28" s="356">
        <f>CG25-CG26-CG27</f>
        <v>295.07999999999993</v>
      </c>
      <c r="CH28" s="91"/>
      <c r="CI28" s="326">
        <f>CI25-CI26-CI27</f>
        <v>54.319295958606993</v>
      </c>
      <c r="CJ28" s="325">
        <f>CJ25-CJ26-CJ27</f>
        <v>75.010677478567104</v>
      </c>
      <c r="CK28" s="325">
        <f>CK25-CK26-CK27</f>
        <v>77.362978609062154</v>
      </c>
      <c r="CL28" s="325">
        <f>CL25-CL26-CL27</f>
        <v>94.640322442308261</v>
      </c>
      <c r="CM28" s="356">
        <f>CM25-CM26-CM27</f>
        <v>301.33327448854436</v>
      </c>
      <c r="CN28" s="91"/>
      <c r="CO28" s="326">
        <f>CO25-CO26-CO27</f>
        <v>68.966308579512742</v>
      </c>
      <c r="CP28" s="325">
        <f>CP25-CP26-CP27</f>
        <v>83.235626797933179</v>
      </c>
      <c r="CQ28" s="325">
        <f>CQ25-CQ26-CQ27</f>
        <v>88.604113015487798</v>
      </c>
      <c r="CR28" s="325">
        <f>CR25-CR26-CR27</f>
        <v>107.26559649866061</v>
      </c>
      <c r="CS28" s="356">
        <f>CS25-CS26-CS27</f>
        <v>348.07164489159419</v>
      </c>
      <c r="CT28" s="91"/>
      <c r="CU28" s="326">
        <f>CU25-CU26-CU27</f>
        <v>92.686859930942219</v>
      </c>
      <c r="CV28" s="325">
        <f>CV25-CV26-CV27</f>
        <v>109.91204514817606</v>
      </c>
      <c r="CW28" s="325">
        <f>CW25-CW26-CW27</f>
        <v>116.20763360914376</v>
      </c>
      <c r="CX28" s="325">
        <f>CX25-CX26-CX27</f>
        <v>136.72542350072771</v>
      </c>
      <c r="CY28" s="356">
        <f>CY25-CY26-CY27</f>
        <v>455.53196218898984</v>
      </c>
      <c r="CZ28" s="256"/>
      <c r="DA28" s="256"/>
      <c r="DB28" s="256"/>
      <c r="DC28"/>
      <c r="DD28"/>
      <c r="DE28"/>
      <c r="DF28"/>
      <c r="DG28"/>
      <c r="DH28"/>
      <c r="DI28" s="1878"/>
      <c r="DJ28" s="256"/>
      <c r="DK28" s="256"/>
      <c r="DL28" s="1881"/>
      <c r="DM28" s="1881"/>
      <c r="DN28" s="1879"/>
      <c r="DO28" s="1879"/>
      <c r="DP28" s="1879"/>
      <c r="DQ28" s="1879"/>
    </row>
    <row r="29" spans="1:121" ht="11.25" customHeight="1" outlineLevel="1" x14ac:dyDescent="0.2">
      <c r="A29" s="198" t="s">
        <v>164</v>
      </c>
      <c r="B29" s="28"/>
      <c r="C29" s="19">
        <f>C74</f>
        <v>0.61635499999999999</v>
      </c>
      <c r="D29" s="20">
        <f>D74</f>
        <v>1.182275</v>
      </c>
      <c r="E29" s="20">
        <f>E74</f>
        <v>1.8267949999999997</v>
      </c>
      <c r="F29" s="20">
        <f>F74</f>
        <v>0.20174000000000003</v>
      </c>
      <c r="G29" s="6">
        <f>SUM(C29:F29)</f>
        <v>3.8271649999999999</v>
      </c>
      <c r="H29" s="28"/>
      <c r="I29" s="19">
        <f>I74</f>
        <v>0</v>
      </c>
      <c r="J29" s="20">
        <f>J74</f>
        <v>2.2956650000000001</v>
      </c>
      <c r="K29" s="20">
        <f>K74</f>
        <v>0.21269000000000005</v>
      </c>
      <c r="L29" s="20">
        <f>L74</f>
        <v>3.2322649999999999</v>
      </c>
      <c r="M29" s="6">
        <f>SUM(I29:L29)</f>
        <v>5.7406199999999998</v>
      </c>
      <c r="N29" s="28"/>
      <c r="O29" s="19">
        <f>O74</f>
        <v>1.6500000000000001</v>
      </c>
      <c r="P29" s="20">
        <f>P74</f>
        <v>5.6999999999999993</v>
      </c>
      <c r="Q29" s="20">
        <f>Q74</f>
        <v>2.5</v>
      </c>
      <c r="R29" s="20">
        <f>R74</f>
        <v>3.9063500000000007</v>
      </c>
      <c r="S29" s="6">
        <f>SUM(O29:R29)</f>
        <v>13.756350000000001</v>
      </c>
      <c r="T29" s="28"/>
      <c r="U29" s="19">
        <f>U74</f>
        <v>2.69</v>
      </c>
      <c r="V29" s="20">
        <f>V74</f>
        <v>3.2299999999999995</v>
      </c>
      <c r="W29" s="20">
        <f>W74</f>
        <v>38.400000000000006</v>
      </c>
      <c r="X29" s="20">
        <f>X74</f>
        <v>17.079999999999998</v>
      </c>
      <c r="Y29" s="6">
        <f>SUM(U29:X29)</f>
        <v>61.400000000000006</v>
      </c>
      <c r="Z29" s="28"/>
      <c r="AA29" s="19">
        <f>AA74</f>
        <v>16.600000000000001</v>
      </c>
      <c r="AB29" s="20">
        <f>AB74</f>
        <v>17.2</v>
      </c>
      <c r="AC29" s="20">
        <f>AC74</f>
        <v>21.629999999999995</v>
      </c>
      <c r="AD29" s="20">
        <f>AD74</f>
        <v>18.822999999999993</v>
      </c>
      <c r="AE29" s="6">
        <f>SUM(AA29:AD29)</f>
        <v>74.252999999999986</v>
      </c>
      <c r="AF29" s="28"/>
      <c r="AG29" s="19">
        <f>AG74</f>
        <v>15.691000000000001</v>
      </c>
      <c r="AH29" s="20">
        <f>AH74</f>
        <v>17.329999999999998</v>
      </c>
      <c r="AI29" s="20">
        <f>AI74</f>
        <v>15.817</v>
      </c>
      <c r="AJ29" s="20">
        <f>AJ74</f>
        <v>12.982999999999986</v>
      </c>
      <c r="AK29" s="6">
        <f>SUM(AG29:AJ29)</f>
        <v>61.820999999999984</v>
      </c>
      <c r="AL29" s="28"/>
      <c r="AM29" s="19">
        <f>AM74</f>
        <v>16.358000000000001</v>
      </c>
      <c r="AN29" s="20">
        <f>AN74</f>
        <v>14.04</v>
      </c>
      <c r="AO29" s="20">
        <f>AO74</f>
        <v>22.28</v>
      </c>
      <c r="AP29" s="20">
        <f>AP74</f>
        <v>25.713000000000001</v>
      </c>
      <c r="AQ29" s="6">
        <f>SUM(AM29:AP29)</f>
        <v>78.390999999999991</v>
      </c>
      <c r="AR29" s="28"/>
      <c r="AS29" s="19">
        <f>AS74</f>
        <v>21.524999999999999</v>
      </c>
      <c r="AT29" s="20">
        <f>AT74</f>
        <v>21.676000000000002</v>
      </c>
      <c r="AU29" s="20">
        <f>AU74</f>
        <v>21.241</v>
      </c>
      <c r="AV29" s="20">
        <f>AV74</f>
        <v>74.006</v>
      </c>
      <c r="AW29" s="6">
        <f>SUM(AS29:AV29)</f>
        <v>138.44800000000001</v>
      </c>
      <c r="AX29" s="28"/>
      <c r="AY29" s="19">
        <f>AY74</f>
        <v>26.163000000000007</v>
      </c>
      <c r="AZ29" s="20">
        <f>AZ74</f>
        <v>27.490000000000002</v>
      </c>
      <c r="BA29" s="20">
        <f>BA74</f>
        <v>33.161999999999999</v>
      </c>
      <c r="BB29" s="21">
        <f>BB74</f>
        <v>44.400999999999982</v>
      </c>
      <c r="BC29" s="6">
        <f>SUM(AY29:BB29)</f>
        <v>131.21599999999998</v>
      </c>
      <c r="BD29" s="28"/>
      <c r="BE29" s="19">
        <f>BE74</f>
        <v>34.703000000000003</v>
      </c>
      <c r="BF29" s="20">
        <f>BF74</f>
        <v>115.99700000000001</v>
      </c>
      <c r="BG29" s="20">
        <f>BG74</f>
        <v>27.699999999999996</v>
      </c>
      <c r="BH29" s="20">
        <f>BH74</f>
        <v>27.20000000000001</v>
      </c>
      <c r="BI29" s="6">
        <f>SUM(BE29:BH29)</f>
        <v>205.60000000000002</v>
      </c>
      <c r="BJ29" s="28"/>
      <c r="BK29" s="19">
        <f>BK74</f>
        <v>30.4</v>
      </c>
      <c r="BL29" s="20">
        <f>BL74</f>
        <v>28.100000000000005</v>
      </c>
      <c r="BM29" s="20">
        <f>BM74</f>
        <v>31.300000000000004</v>
      </c>
      <c r="BN29" s="20">
        <f>BN74</f>
        <v>34.599999999999994</v>
      </c>
      <c r="BO29" s="6">
        <f>SUM(BK29:BN29)</f>
        <v>124.4</v>
      </c>
      <c r="BP29" s="28"/>
      <c r="BQ29" s="19">
        <f>BQ74</f>
        <v>32.1</v>
      </c>
      <c r="BR29" s="20">
        <f>BR74</f>
        <v>35.9</v>
      </c>
      <c r="BS29" s="20">
        <f>BS74</f>
        <v>29.2</v>
      </c>
      <c r="BT29" s="20">
        <f>BT74</f>
        <v>25.300000000000004</v>
      </c>
      <c r="BU29" s="6">
        <f>SUM(BQ29:BT29)</f>
        <v>122.5</v>
      </c>
      <c r="BV29" s="28"/>
      <c r="BW29" s="19">
        <f>BW74</f>
        <v>29.145000000000003</v>
      </c>
      <c r="BX29" s="20">
        <f>BX74</f>
        <v>35.911000000000001</v>
      </c>
      <c r="BY29" s="20">
        <f>BY74</f>
        <v>34.4</v>
      </c>
      <c r="BZ29" s="20">
        <f>BZ74</f>
        <v>84.899999999999977</v>
      </c>
      <c r="CA29" s="6">
        <f>SUM(BW29:BZ29)</f>
        <v>184.35599999999999</v>
      </c>
      <c r="CB29" s="28"/>
      <c r="CC29" s="19">
        <f>CC74</f>
        <v>33.100000000000009</v>
      </c>
      <c r="CD29" s="20">
        <f>CD74</f>
        <v>54.699999999999996</v>
      </c>
      <c r="CE29" s="20">
        <f>CE74</f>
        <v>27.000000000000007</v>
      </c>
      <c r="CF29" s="20">
        <f>CF74</f>
        <v>139.80000000000001</v>
      </c>
      <c r="CG29" s="6">
        <f>SUM(CC29:CF29)</f>
        <v>254.60000000000002</v>
      </c>
      <c r="CH29" s="28"/>
      <c r="CI29" s="19">
        <f>CI74</f>
        <v>57.756750000000004</v>
      </c>
      <c r="CJ29" s="20">
        <f>CJ74</f>
        <v>58.010752499999995</v>
      </c>
      <c r="CK29" s="20">
        <f>CK74</f>
        <v>58.26729502500001</v>
      </c>
      <c r="CL29" s="20">
        <f>CL74</f>
        <v>58.526402975250015</v>
      </c>
      <c r="CM29" s="6">
        <f>SUM(CI29:CL29)</f>
        <v>232.56120050025004</v>
      </c>
      <c r="CN29" s="28"/>
      <c r="CO29" s="19">
        <f>CO74</f>
        <v>55.909412677725008</v>
      </c>
      <c r="CP29" s="20">
        <f>CP74</f>
        <v>56.14494180450226</v>
      </c>
      <c r="CQ29" s="20">
        <f>CQ74</f>
        <v>56.38282622254728</v>
      </c>
      <c r="CR29" s="20">
        <f>CR74</f>
        <v>56.623089484772748</v>
      </c>
      <c r="CS29" s="6">
        <f>SUM(CO29:CR29)</f>
        <v>225.06027018954731</v>
      </c>
      <c r="CT29" s="28"/>
      <c r="CU29" s="19">
        <f>CU74</f>
        <v>54.19643053629548</v>
      </c>
      <c r="CV29" s="20">
        <f>CV74</f>
        <v>54.414829841658431</v>
      </c>
      <c r="CW29" s="20">
        <f>CW74</f>
        <v>54.635413140075023</v>
      </c>
      <c r="CX29" s="20">
        <f>CX74</f>
        <v>54.858202271475776</v>
      </c>
      <c r="CY29" s="6">
        <f>SUM(CU29:CX29)</f>
        <v>218.10487578950472</v>
      </c>
      <c r="CZ29" s="20"/>
      <c r="DA29" s="20"/>
      <c r="DB29" s="20"/>
      <c r="DI29" s="1878"/>
      <c r="DJ29" s="256"/>
      <c r="DK29" s="325"/>
      <c r="DL29" s="1881"/>
      <c r="DM29" s="1881"/>
      <c r="DN29" s="33"/>
      <c r="DO29" s="33"/>
      <c r="DP29" s="33"/>
      <c r="DQ29" s="33"/>
    </row>
    <row r="30" spans="1:121" s="268" customFormat="1" ht="11.25" customHeight="1" outlineLevel="1" x14ac:dyDescent="0.2">
      <c r="A30" s="1907" t="s">
        <v>382</v>
      </c>
      <c r="B30" s="171"/>
      <c r="C30" s="170">
        <f>C28-C29</f>
        <v>11.420999999999996</v>
      </c>
      <c r="D30" s="335">
        <f>D28-D29</f>
        <v>8.8020000000000067</v>
      </c>
      <c r="E30" s="335">
        <f>E28-E29</f>
        <v>12.639999999999969</v>
      </c>
      <c r="F30" s="335">
        <f>F28-F29</f>
        <v>15.842000000000059</v>
      </c>
      <c r="G30" s="169">
        <f>G28-G29</f>
        <v>48.705000000000005</v>
      </c>
      <c r="H30" s="171"/>
      <c r="I30" s="170">
        <f>I28-I29</f>
        <v>13.948</v>
      </c>
      <c r="J30" s="335">
        <f>J28-J29</f>
        <v>13.777000000000008</v>
      </c>
      <c r="K30" s="335">
        <f>K28-K29</f>
        <v>17.639999999999983</v>
      </c>
      <c r="L30" s="335">
        <f>L28-L29</f>
        <v>16.860000000000007</v>
      </c>
      <c r="M30" s="169">
        <f>M28-M29</f>
        <v>62.225000000000001</v>
      </c>
      <c r="N30" s="171"/>
      <c r="O30" s="170">
        <f>O28-O29</f>
        <v>17.580000000000005</v>
      </c>
      <c r="P30" s="335">
        <f>P28-P29</f>
        <v>14.154000000000007</v>
      </c>
      <c r="Q30" s="335">
        <f>Q28-Q29</f>
        <v>19.358000000000011</v>
      </c>
      <c r="R30" s="335">
        <f>R28-R29</f>
        <v>19.446999999999999</v>
      </c>
      <c r="S30" s="169">
        <f>S28-S29</f>
        <v>70.538999999999987</v>
      </c>
      <c r="T30" s="171"/>
      <c r="U30" s="170">
        <f>U28-U29</f>
        <v>19.866999999999976</v>
      </c>
      <c r="V30" s="335">
        <f>V28-V29</f>
        <v>22.582999999999991</v>
      </c>
      <c r="W30" s="335">
        <f>W28-W29</f>
        <v>-7.3280000000000136</v>
      </c>
      <c r="X30" s="335">
        <f>X28-X29</f>
        <v>15.000000000000071</v>
      </c>
      <c r="Y30" s="169">
        <f>Y28-Y29</f>
        <v>50.122000000000014</v>
      </c>
      <c r="Z30" s="171"/>
      <c r="AA30" s="170">
        <f>AA28-AA29</f>
        <v>20.332999999999956</v>
      </c>
      <c r="AB30" s="335">
        <f>AB28-AB29</f>
        <v>23.225000000000012</v>
      </c>
      <c r="AC30" s="335">
        <f>AC28-AC29</f>
        <v>20.790999999999997</v>
      </c>
      <c r="AD30" s="335">
        <f>AD28-AD29</f>
        <v>24.684000000000012</v>
      </c>
      <c r="AE30" s="169">
        <f>AE28-AE29</f>
        <v>89.032999999999873</v>
      </c>
      <c r="AF30" s="171"/>
      <c r="AG30" s="170">
        <f>AG28-AG29</f>
        <v>24.684000000000026</v>
      </c>
      <c r="AH30" s="335">
        <f>AH28-AH29</f>
        <v>30.928999999999981</v>
      </c>
      <c r="AI30" s="335">
        <f>AI28-AI29</f>
        <v>37.690000000000005</v>
      </c>
      <c r="AJ30" s="335">
        <f>AJ28-AJ29</f>
        <v>44.464000000000084</v>
      </c>
      <c r="AK30" s="169">
        <f>AK28-AK29</f>
        <v>137.76700000000011</v>
      </c>
      <c r="AL30" s="171"/>
      <c r="AM30" s="170">
        <f>AM28-AM29</f>
        <v>33.013999999999953</v>
      </c>
      <c r="AN30" s="335">
        <f>AN28-AN29</f>
        <v>38.519999999999996</v>
      </c>
      <c r="AO30" s="335">
        <f>AO28-AO29</f>
        <v>36.487999999999985</v>
      </c>
      <c r="AP30" s="335">
        <f>AP28-AP29</f>
        <v>36.29000000000002</v>
      </c>
      <c r="AQ30" s="169">
        <f>AQ28-AQ29</f>
        <v>144.31200000000007</v>
      </c>
      <c r="AR30" s="171"/>
      <c r="AS30" s="170">
        <f>AS28-AS29</f>
        <v>27.980999999999966</v>
      </c>
      <c r="AT30" s="335">
        <f>AT28-AT29</f>
        <v>33.288000000000025</v>
      </c>
      <c r="AU30" s="335">
        <f>AU28-AU29</f>
        <v>35.144999999999996</v>
      </c>
      <c r="AV30" s="1908">
        <f>AV28-AV29</f>
        <v>-0.37799999999987222</v>
      </c>
      <c r="AW30" s="169">
        <f>AW28-AW29</f>
        <v>96.03600000000003</v>
      </c>
      <c r="AX30" s="171"/>
      <c r="AY30" s="964">
        <f>AY28-AY29</f>
        <v>28.591999999999995</v>
      </c>
      <c r="AZ30" s="1077">
        <f>AZ28-AZ29</f>
        <v>33.333000000000027</v>
      </c>
      <c r="BA30" s="1077">
        <f>BA28-BA29</f>
        <v>29.162999999999982</v>
      </c>
      <c r="BB30" s="1909">
        <f>BB28-BB29</f>
        <v>38.418999999999997</v>
      </c>
      <c r="BC30" s="169">
        <f>BC28-BC29</f>
        <v>129.50699999999986</v>
      </c>
      <c r="BD30" s="171"/>
      <c r="BE30" s="964">
        <f>BE28-BE29</f>
        <v>19.983000000000011</v>
      </c>
      <c r="BF30" s="1077">
        <f>BF28-BF29</f>
        <v>-51.749000000000052</v>
      </c>
      <c r="BG30" s="1077">
        <f>BG28-BG29</f>
        <v>40.695999999999948</v>
      </c>
      <c r="BH30" s="1077">
        <f>BH28-BH29</f>
        <v>60.210999999999949</v>
      </c>
      <c r="BI30" s="169">
        <f>BI28-BI29</f>
        <v>69.140999999999963</v>
      </c>
      <c r="BJ30" s="171"/>
      <c r="BK30" s="170">
        <f>BK28-BK29</f>
        <v>23.281999999999982</v>
      </c>
      <c r="BL30" s="1077">
        <f>BL28-BL29</f>
        <v>32.680999999999983</v>
      </c>
      <c r="BM30" s="1077">
        <f>BM28-BM29</f>
        <v>34.706999999999987</v>
      </c>
      <c r="BN30" s="1077">
        <f>BN28-BN29</f>
        <v>25.833999999999946</v>
      </c>
      <c r="BO30" s="169">
        <f>BO28-BO29</f>
        <v>116.50399999999999</v>
      </c>
      <c r="BP30" s="171"/>
      <c r="BQ30" s="170">
        <f>BQ28-BQ29</f>
        <v>19.424999999999976</v>
      </c>
      <c r="BR30" s="1077">
        <f>BR28-BR29</f>
        <v>25.077000000000034</v>
      </c>
      <c r="BS30" s="335">
        <f>BS28-BS29</f>
        <v>33.915999999999983</v>
      </c>
      <c r="BT30" s="1077">
        <f>BT28-BT29</f>
        <v>50.910000000000004</v>
      </c>
      <c r="BU30" s="169">
        <f>BU28-BU29</f>
        <v>129.328</v>
      </c>
      <c r="BV30" s="171"/>
      <c r="BW30" s="170">
        <f>BW28-BW29</f>
        <v>15.98299999999999</v>
      </c>
      <c r="BX30" s="1077">
        <f>BX28-BX29</f>
        <v>21.012999999999991</v>
      </c>
      <c r="BY30" s="1077">
        <f>BY28-BY29</f>
        <v>33.820999999999991</v>
      </c>
      <c r="BZ30" s="1077">
        <f>BZ28-BZ29</f>
        <v>8.613000000000028</v>
      </c>
      <c r="CA30" s="169">
        <f>CA28-CA29</f>
        <v>79.430000000000007</v>
      </c>
      <c r="CB30" s="171"/>
      <c r="CC30" s="170">
        <f>CC28-CC29</f>
        <v>17.66100000000003</v>
      </c>
      <c r="CD30" s="1077">
        <f>CD28-CD29</f>
        <v>13.952000000000005</v>
      </c>
      <c r="CE30" s="1077">
        <f>CE28-CE29</f>
        <v>48.521000000000008</v>
      </c>
      <c r="CF30" s="1077">
        <f>CF28-CF29</f>
        <v>-39.653999999999996</v>
      </c>
      <c r="CG30" s="169">
        <f>CG28-CG29</f>
        <v>40.479999999999905</v>
      </c>
      <c r="CH30" s="171"/>
      <c r="CI30" s="170">
        <f>CI28-CI29</f>
        <v>-3.4374540413930106</v>
      </c>
      <c r="CJ30" s="335">
        <f>CJ28-CJ29</f>
        <v>16.999924978567108</v>
      </c>
      <c r="CK30" s="335">
        <f>CK28-CK29</f>
        <v>19.095683584062144</v>
      </c>
      <c r="CL30" s="335">
        <f>CL28-CL29</f>
        <v>36.113919467058246</v>
      </c>
      <c r="CM30" s="169">
        <f>CM28-CM29</f>
        <v>68.772073988294323</v>
      </c>
      <c r="CN30" s="171"/>
      <c r="CO30" s="170">
        <f>CO28-CO29</f>
        <v>13.056895901787733</v>
      </c>
      <c r="CP30" s="335">
        <f>CP28-CP29</f>
        <v>27.090684993430919</v>
      </c>
      <c r="CQ30" s="335">
        <f>CQ28-CQ29</f>
        <v>32.221286792940518</v>
      </c>
      <c r="CR30" s="335">
        <f>CR28-CR29</f>
        <v>50.642507013887865</v>
      </c>
      <c r="CS30" s="169">
        <f>CS28-CS29</f>
        <v>123.01137470204688</v>
      </c>
      <c r="CT30" s="171"/>
      <c r="CU30" s="170">
        <f>CU28-CU29</f>
        <v>38.490429394646739</v>
      </c>
      <c r="CV30" s="335">
        <f>CV28-CV29</f>
        <v>55.497215306517631</v>
      </c>
      <c r="CW30" s="335">
        <f>CW28-CW29</f>
        <v>61.572220469068732</v>
      </c>
      <c r="CX30" s="335">
        <f>CX28-CX29</f>
        <v>81.867221229251939</v>
      </c>
      <c r="CY30" s="169">
        <f>CY28-CY29</f>
        <v>237.42708639948512</v>
      </c>
      <c r="CZ30" s="256"/>
      <c r="DA30" s="256"/>
      <c r="DB30" s="256"/>
      <c r="DC30"/>
      <c r="DD30"/>
      <c r="DE30"/>
      <c r="DF30"/>
      <c r="DG30"/>
      <c r="DH30"/>
      <c r="DI30" s="33"/>
      <c r="DJ30" s="1277"/>
      <c r="DK30" s="325"/>
      <c r="DL30" s="1881"/>
      <c r="DM30" s="33"/>
      <c r="DN30" s="1879"/>
      <c r="DO30" s="1879"/>
      <c r="DP30" s="1879"/>
      <c r="DQ30" s="1879"/>
    </row>
    <row r="31" spans="1:121" s="182" customFormat="1" ht="11.25" customHeight="1" x14ac:dyDescent="0.2">
      <c r="A31" s="1910" t="s">
        <v>167</v>
      </c>
      <c r="B31" s="1078"/>
      <c r="C31" s="1452">
        <f>C30/C35</f>
        <v>7.6757127303520273E-2</v>
      </c>
      <c r="D31" s="1078">
        <f>D30/D35</f>
        <v>5.9255170185265015E-2</v>
      </c>
      <c r="E31" s="1078">
        <f>E30/E35</f>
        <v>8.5318357621615562E-2</v>
      </c>
      <c r="F31" s="1078">
        <f>F30/F35</f>
        <v>0.10660834454912557</v>
      </c>
      <c r="G31" s="1453">
        <f>G30/G35</f>
        <v>0.32793783960301376</v>
      </c>
      <c r="H31" s="1078"/>
      <c r="I31" s="1452">
        <f>I30/I35</f>
        <v>9.3576196705913925E-2</v>
      </c>
      <c r="J31" s="1078">
        <f>J30/J35</f>
        <v>9.2178509300147246E-2</v>
      </c>
      <c r="K31" s="1078">
        <f>K30/K35</f>
        <v>0.11753339774127983</v>
      </c>
      <c r="L31" s="1078">
        <f>L30/L35</f>
        <v>0.11259817278410007</v>
      </c>
      <c r="M31" s="1453">
        <f>M30/M35</f>
        <v>0.41435820259435846</v>
      </c>
      <c r="N31" s="1078"/>
      <c r="O31" s="1452">
        <f>O30/O35</f>
        <v>0.11544674870959697</v>
      </c>
      <c r="P31" s="1078">
        <f>P30/P35</f>
        <v>9.2369137196295886E-2</v>
      </c>
      <c r="Q31" s="1078">
        <f>Q30/Q35</f>
        <v>0.12590159669604248</v>
      </c>
      <c r="R31" s="1078">
        <f>R30/R35</f>
        <v>0.1256404127068218</v>
      </c>
      <c r="S31" s="1453">
        <f>S30/S35</f>
        <v>0.45948657151976646</v>
      </c>
      <c r="T31" s="1078"/>
      <c r="U31" s="1452">
        <f>U30/U35</f>
        <v>0.12719031491878932</v>
      </c>
      <c r="V31" s="1078">
        <f>V30/V35</f>
        <v>0.14393060636575691</v>
      </c>
      <c r="W31" s="1078">
        <f>W30/W35</f>
        <v>-4.1187281852978118E-2</v>
      </c>
      <c r="X31" s="1078">
        <f>X30/X35</f>
        <v>7.3087661341012758E-2</v>
      </c>
      <c r="Y31" s="1453">
        <f>Y30/Y35</f>
        <v>0.28485044811575433</v>
      </c>
      <c r="Z31" s="1078"/>
      <c r="AA31" s="1452">
        <f>AA30/AA35</f>
        <v>9.9124440587736104E-2</v>
      </c>
      <c r="AB31" s="1078">
        <f>AB30/AB35</f>
        <v>0.1130307823336173</v>
      </c>
      <c r="AC31" s="1078">
        <f>AC30/AC35</f>
        <v>0.10161779081133919</v>
      </c>
      <c r="AD31" s="1078">
        <f>AD30/AD35</f>
        <v>0.12217443166913325</v>
      </c>
      <c r="AE31" s="1453">
        <f>AE30/AE35</f>
        <v>0.43588287419403737</v>
      </c>
      <c r="AF31" s="1078"/>
      <c r="AG31" s="1452">
        <f>AG30/AG35</f>
        <v>0.12149551110411101</v>
      </c>
      <c r="AH31" s="1078">
        <f>AH30/AH35</f>
        <v>0.1517727016218072</v>
      </c>
      <c r="AI31" s="1078">
        <f>AI30/AI35</f>
        <v>0.1809270531308205</v>
      </c>
      <c r="AJ31" s="1078">
        <f>AJ30/AJ35</f>
        <v>0.18448414641230151</v>
      </c>
      <c r="AK31" s="1453">
        <f>AK30/AK35</f>
        <v>0.64494035915585324</v>
      </c>
      <c r="AL31" s="1078"/>
      <c r="AM31" s="1452">
        <f>AM30/AM35</f>
        <v>0.13646434417420328</v>
      </c>
      <c r="AN31" s="1078">
        <f>AN30/AN35</f>
        <v>0.15941333245046266</v>
      </c>
      <c r="AO31" s="1078">
        <f>AO30/AO35</f>
        <v>0.15268414952066511</v>
      </c>
      <c r="AP31" s="1078">
        <f>AP30/AP35</f>
        <v>0.15090463774986182</v>
      </c>
      <c r="AQ31" s="1453">
        <f>AQ30/AQ35</f>
        <v>0.60009231421763731</v>
      </c>
      <c r="AR31" s="1078"/>
      <c r="AS31" s="1452">
        <f>AS30/AS35</f>
        <v>0.1164022264562237</v>
      </c>
      <c r="AT31" s="1078">
        <f>AT30/AT35</f>
        <v>0.13813422523580512</v>
      </c>
      <c r="AU31" s="1078">
        <f>AU30/AU35</f>
        <v>0.14752735835988362</v>
      </c>
      <c r="AV31" s="1078">
        <f>AV30/AV35</f>
        <v>-1.5971673518706388E-3</v>
      </c>
      <c r="AW31" s="1453">
        <f>AW30/AW35</f>
        <v>0.40171669511093278</v>
      </c>
      <c r="AX31" s="1078"/>
      <c r="AY31" s="1452">
        <f>AY30/AY35</f>
        <v>0.1196893902924001</v>
      </c>
      <c r="AZ31" s="1078">
        <f>AZ30/AZ35</f>
        <v>0.13875394932377599</v>
      </c>
      <c r="BA31" s="1078">
        <f>BA30/BA35</f>
        <v>0.1204594833497178</v>
      </c>
      <c r="BB31" s="1911">
        <f>BB30/BB35</f>
        <v>0.15891445613193303</v>
      </c>
      <c r="BC31" s="1453">
        <f>BC30/BC35</f>
        <v>0.53794040191737291</v>
      </c>
      <c r="BD31" s="1078"/>
      <c r="BE31" s="1452">
        <f>BE30/BE35</f>
        <v>8.2762476703251237E-2</v>
      </c>
      <c r="BF31" s="1078">
        <f>BF30/BF35</f>
        <v>-0.21520745567888369</v>
      </c>
      <c r="BG31" s="1078">
        <f>BG30/BG35</f>
        <v>0.16788432581836163</v>
      </c>
      <c r="BH31" s="1078">
        <f>BH30/BH35</f>
        <v>0.24638066633385416</v>
      </c>
      <c r="BI31" s="1453">
        <f>BI30/BI35</f>
        <v>0.2855001548467016</v>
      </c>
      <c r="BJ31" s="1078"/>
      <c r="BK31" s="1452">
        <f>BK30/BK35</f>
        <v>9.5831995587496735E-2</v>
      </c>
      <c r="BL31" s="1078">
        <f>BL30/BL35</f>
        <v>0.13580867686170206</v>
      </c>
      <c r="BM31" s="1078">
        <f>BM30/BM35</f>
        <v>0.14375774043499687</v>
      </c>
      <c r="BN31" s="1078">
        <f>BN30/BN35</f>
        <v>0.10713367449344337</v>
      </c>
      <c r="BO31" s="1453">
        <f>BO30/BO35</f>
        <v>0.48234232294711388</v>
      </c>
      <c r="BP31" s="1078"/>
      <c r="BQ31" s="1452">
        <f>BQ30/BQ35</f>
        <v>8.1300642871492565E-2</v>
      </c>
      <c r="BR31" s="1078">
        <f>BR30/BR35</f>
        <v>0.10513010778382879</v>
      </c>
      <c r="BS31" s="1078">
        <f>BS30/BS35</f>
        <v>0.14217028072719948</v>
      </c>
      <c r="BT31" s="1078">
        <f>BT30/BT35</f>
        <v>0.2133866485596087</v>
      </c>
      <c r="BU31" s="1453">
        <f>+SUM(BQ31:BT31)</f>
        <v>0.54198767994212949</v>
      </c>
      <c r="BV31" s="1078"/>
      <c r="BW31" s="1452">
        <f>BW30/BW35</f>
        <v>6.705319198029891E-2</v>
      </c>
      <c r="BX31" s="1078">
        <f>BX30/BX35</f>
        <v>8.8043173124059848E-2</v>
      </c>
      <c r="BY31" s="1078">
        <f>BY30/BY35</f>
        <v>0.14133482659623811</v>
      </c>
      <c r="BZ31" s="1078">
        <f>BZ30/BZ35</f>
        <v>3.5940212311390156E-2</v>
      </c>
      <c r="CA31" s="1453">
        <f>+SUM(BW31:BZ31)</f>
        <v>0.332371404011987</v>
      </c>
      <c r="CB31" s="1078"/>
      <c r="CC31" s="1452">
        <f>CC30/CC35</f>
        <v>7.5191267067153275E-2</v>
      </c>
      <c r="CD31" s="1078">
        <f>CD30/CD35</f>
        <v>5.995702621400948E-2</v>
      </c>
      <c r="CE31" s="1078">
        <f>CE30/CE35</f>
        <v>0.20849429144769921</v>
      </c>
      <c r="CF31" s="1078">
        <f>CF30/CF35</f>
        <v>-0.17110605779478835</v>
      </c>
      <c r="CG31" s="1453">
        <f>+SUM(CC31:CF31)</f>
        <v>0.17253652693407365</v>
      </c>
      <c r="CH31" s="1078"/>
      <c r="CI31" s="1452">
        <f>CI30/CI35</f>
        <v>-1.4836144311254107E-2</v>
      </c>
      <c r="CJ31" s="1078">
        <f>CJ30/CJ35</f>
        <v>7.3863087116204845E-2</v>
      </c>
      <c r="CK31" s="1078">
        <f>CK30/CK35</f>
        <v>8.3516703704481526E-2</v>
      </c>
      <c r="CL31" s="1078">
        <f>CL30/CL35</f>
        <v>0.1589969689613184</v>
      </c>
      <c r="CM31" s="1453">
        <f>+SUM(CI31:CL31)</f>
        <v>0.30154061547075067</v>
      </c>
      <c r="CN31" s="1078"/>
      <c r="CO31" s="1452">
        <f>CO30/CO35</f>
        <v>5.7898490041299662E-2</v>
      </c>
      <c r="CP31" s="1078">
        <f>CP30/CP35</f>
        <v>0.12091524613573734</v>
      </c>
      <c r="CQ31" s="1078">
        <f>CQ30/CQ35</f>
        <v>0.14474366196695901</v>
      </c>
      <c r="CR31" s="1078">
        <f>CR30/CR35</f>
        <v>0.22897341705531687</v>
      </c>
      <c r="CS31" s="1453">
        <f>+SUM(CO31:CR31)</f>
        <v>0.55253081519931291</v>
      </c>
      <c r="CT31" s="1078"/>
      <c r="CU31" s="1452">
        <f>CU30/CU35</f>
        <v>0.17525368790689949</v>
      </c>
      <c r="CV31" s="1078">
        <f>CV30/CV35</f>
        <v>0.25430598319860387</v>
      </c>
      <c r="CW31" s="1078">
        <f>CW30/CW35</f>
        <v>0.28392487726689242</v>
      </c>
      <c r="CX31" s="1078">
        <f>CX30/CX35</f>
        <v>0.37990825541946122</v>
      </c>
      <c r="CY31" s="1453">
        <f>+SUM(CU31:CX31)</f>
        <v>1.093392803791857</v>
      </c>
      <c r="CZ31" s="161"/>
      <c r="DA31" s="161"/>
      <c r="DB31" s="161"/>
      <c r="DC31"/>
      <c r="DD31"/>
      <c r="DE31"/>
      <c r="DF31"/>
      <c r="DG31"/>
      <c r="DH31"/>
      <c r="DI31" s="1878"/>
      <c r="DJ31" s="1277"/>
      <c r="DK31" s="33"/>
      <c r="DL31" s="1881"/>
      <c r="DM31" s="33"/>
      <c r="DN31" s="1882"/>
      <c r="DO31" s="1882"/>
      <c r="DP31" s="1882"/>
      <c r="DQ31" s="1882"/>
    </row>
    <row r="32" spans="1:121" s="973" customFormat="1" x14ac:dyDescent="0.2">
      <c r="A32" s="1910" t="s">
        <v>311</v>
      </c>
      <c r="B32" s="1078"/>
      <c r="C32" s="1452">
        <f>C28/C35</f>
        <v>8.0899465032192128E-2</v>
      </c>
      <c r="D32" s="1078">
        <f>D28/D35</f>
        <v>6.7214259747953517E-2</v>
      </c>
      <c r="E32" s="1078">
        <f>E28/E35</f>
        <v>9.7648986507009511E-2</v>
      </c>
      <c r="F32" s="1078">
        <f>F28/F35</f>
        <v>0.10796594885598965</v>
      </c>
      <c r="G32" s="1453">
        <f>G28/G35</f>
        <v>0.35370669745958433</v>
      </c>
      <c r="H32" s="1078"/>
      <c r="I32" s="1452">
        <f>I28/I35</f>
        <v>9.3576196705913925E-2</v>
      </c>
      <c r="J32" s="1078">
        <f>J28/J35</f>
        <v>0.10753823765556006</v>
      </c>
      <c r="K32" s="1078">
        <f>K28/K35</f>
        <v>0.11895052803411386</v>
      </c>
      <c r="L32" s="1078">
        <f>L28/L35</f>
        <v>0.13418459822621151</v>
      </c>
      <c r="M32" s="1453">
        <f>M28/M35</f>
        <v>0.45258516900620621</v>
      </c>
      <c r="N32" s="1078"/>
      <c r="O32" s="1452">
        <f>O28/O35</f>
        <v>0.12628219440759667</v>
      </c>
      <c r="P32" s="1078">
        <f>P28/P35</f>
        <v>0.12956739083617763</v>
      </c>
      <c r="Q32" s="1078">
        <f>Q28/Q35</f>
        <v>0.14216123052908855</v>
      </c>
      <c r="R32" s="1078">
        <f>R28/R35</f>
        <v>0.15087800339830601</v>
      </c>
      <c r="S32" s="1453">
        <f>S28/S35</f>
        <v>0.54909456281714719</v>
      </c>
      <c r="T32" s="1078"/>
      <c r="U32" s="1452">
        <f>U28/U35</f>
        <v>0.1444119360559285</v>
      </c>
      <c r="V32" s="1078">
        <f>V28/V35</f>
        <v>0.16451670469465013</v>
      </c>
      <c r="W32" s="1078">
        <f>W28/W35</f>
        <v>0.17464126934166666</v>
      </c>
      <c r="X32" s="1078">
        <f>X28/X35</f>
        <v>0.15631014505464555</v>
      </c>
      <c r="Y32" s="1453">
        <f>Y28/Y35</f>
        <v>0.63379537278570586</v>
      </c>
      <c r="Z32" s="1078"/>
      <c r="AA32" s="1452">
        <f>AA28/AA35</f>
        <v>0.18005031054083809</v>
      </c>
      <c r="AB32" s="1078">
        <f>AB28/AB35</f>
        <v>0.19673926268402489</v>
      </c>
      <c r="AC32" s="1078">
        <f>AC28/AC35</f>
        <v>0.20733626588465295</v>
      </c>
      <c r="AD32" s="1078">
        <f>AD28/AD35</f>
        <v>0.21533961264904306</v>
      </c>
      <c r="AE32" s="1453">
        <f>AE28/AE35</f>
        <v>0.7994066356929187</v>
      </c>
      <c r="AF32" s="1078"/>
      <c r="AG32" s="1452">
        <f>AG28/AG35</f>
        <v>0.19872716175775726</v>
      </c>
      <c r="AH32" s="1078">
        <f>AH28/AH35</f>
        <v>0.2368133081433863</v>
      </c>
      <c r="AI32" s="1078">
        <f>AI28/AI35</f>
        <v>0.25685497033353177</v>
      </c>
      <c r="AJ32" s="1078">
        <f>AJ28/AJ35</f>
        <v>0.23835149241965362</v>
      </c>
      <c r="AK32" s="1453">
        <f>AK28/AK35</f>
        <v>0.93434825758852535</v>
      </c>
      <c r="AL32" s="1078"/>
      <c r="AM32" s="1452">
        <f>AM28/AM35</f>
        <v>0.2040806203601129</v>
      </c>
      <c r="AN32" s="1078">
        <f>AN28/AN35</f>
        <v>0.21751725736231356</v>
      </c>
      <c r="AO32" s="1078">
        <f>AO28/AO35</f>
        <v>0.24591487883771235</v>
      </c>
      <c r="AP32" s="1078">
        <f>AP28/AP35</f>
        <v>0.2578269565832097</v>
      </c>
      <c r="AQ32" s="1453">
        <f>AQ28/AQ35</f>
        <v>0.92606545992856071</v>
      </c>
      <c r="AR32" s="1078"/>
      <c r="AS32" s="1452">
        <f>AS28/AS35</f>
        <v>0.20594720070554354</v>
      </c>
      <c r="AT32" s="1078">
        <f>AT28/AT35</f>
        <v>0.22808247884705571</v>
      </c>
      <c r="AU32" s="1078">
        <f>AU28/AU35</f>
        <v>0.23669021563466774</v>
      </c>
      <c r="AV32" s="1078">
        <f>AV28/AV35</f>
        <v>0.31110115815759615</v>
      </c>
      <c r="AW32" s="1453">
        <f>AW28/AW35</f>
        <v>0.98084195027273047</v>
      </c>
      <c r="AX32" s="1078"/>
      <c r="AY32" s="1452">
        <f>AY28/AY35</f>
        <v>0.22921070808129437</v>
      </c>
      <c r="AZ32" s="1078">
        <f>AZ28/AZ35</f>
        <v>0.25318547564635718</v>
      </c>
      <c r="BA32" s="1078">
        <f>BA28/BA35</f>
        <v>0.257437070938215</v>
      </c>
      <c r="BB32" s="1911">
        <f>BB28/BB35</f>
        <v>0.34257256193151026</v>
      </c>
      <c r="BC32" s="1453">
        <f>BC28/BC35</f>
        <v>1.0829795718308917</v>
      </c>
      <c r="BD32" s="1453"/>
      <c r="BE32" s="1452">
        <f>BE28/BE35</f>
        <v>0.22648995651273562</v>
      </c>
      <c r="BF32" s="1078">
        <f>BF28/BF35</f>
        <v>0.26718677872919083</v>
      </c>
      <c r="BG32" s="1078">
        <f>BG28/BG35</f>
        <v>0.28215589612425462</v>
      </c>
      <c r="BH32" s="1078">
        <f>BH28/BH35</f>
        <v>0.35768182599373094</v>
      </c>
      <c r="BI32" s="1453">
        <f>BI28/BI35</f>
        <v>1.1344730050583254</v>
      </c>
      <c r="BJ32" s="1078"/>
      <c r="BK32" s="1452">
        <f>BK28/BK35</f>
        <v>0.22096268306537248</v>
      </c>
      <c r="BL32" s="1078">
        <f>BL28/BL35</f>
        <v>0.25258061835106377</v>
      </c>
      <c r="BM32" s="1078">
        <f>BM28/BM35</f>
        <v>0.27340355469769329</v>
      </c>
      <c r="BN32" s="1078">
        <f>BN28/BN35</f>
        <v>0.2506199769426633</v>
      </c>
      <c r="BO32" s="1453">
        <f>BO28/BO35</f>
        <v>0.99737515422003986</v>
      </c>
      <c r="BP32" s="1078"/>
      <c r="BQ32" s="1452">
        <f>BQ28/BQ35</f>
        <v>0.21565073997187428</v>
      </c>
      <c r="BR32" s="1078">
        <f>BR28/BR35</f>
        <v>0.25563339244465139</v>
      </c>
      <c r="BS32" s="1078">
        <f>BS28/BS35</f>
        <v>0.26457186691761775</v>
      </c>
      <c r="BT32" s="1078">
        <f>BT28/BT35</f>
        <v>0.31943029830539738</v>
      </c>
      <c r="BU32" s="1453">
        <f>BU28/BU35</f>
        <v>1.0552322048883918</v>
      </c>
      <c r="BV32" s="1078"/>
      <c r="BW32" s="1452">
        <f>BW28/BW35</f>
        <v>0.18932468545873307</v>
      </c>
      <c r="BX32" s="1078">
        <f>BX28/BX35</f>
        <v>0.23850804677647094</v>
      </c>
      <c r="BY32" s="1078">
        <f>BY28/BY35</f>
        <v>0.28508924056716128</v>
      </c>
      <c r="BZ32" s="1078">
        <f>BZ28/BZ35</f>
        <v>0.39020980771798641</v>
      </c>
      <c r="CA32" s="1453">
        <f>CA28/CA35</f>
        <v>1.1031317805203518</v>
      </c>
      <c r="CB32" s="1078"/>
      <c r="CC32" s="1452">
        <f>CC28/CC35</f>
        <v>0.21611369161405153</v>
      </c>
      <c r="CD32" s="1078">
        <f>CD28/CD35</f>
        <v>0.29502363558229483</v>
      </c>
      <c r="CE32" s="1078">
        <f>CE28/CE35</f>
        <v>0.32451304351562604</v>
      </c>
      <c r="CF32" s="1078">
        <f>CF28/CF35</f>
        <v>0.43212758520998834</v>
      </c>
      <c r="CG32" s="1453">
        <f>CG28/CG35</f>
        <v>1.2677779559219609</v>
      </c>
      <c r="CH32" s="1078"/>
      <c r="CI32" s="1452">
        <f>CI28/CI35</f>
        <v>0.23444354572404202</v>
      </c>
      <c r="CJ32" s="1078">
        <f>CJ28/CJ35</f>
        <v>0.32591439151821167</v>
      </c>
      <c r="CK32" s="1078">
        <f>CK28/CK35</f>
        <v>0.33835400203121424</v>
      </c>
      <c r="CL32" s="1078">
        <f>CL28/CL35</f>
        <v>0.41666827173313697</v>
      </c>
      <c r="CM32" s="1453">
        <f>CM28/CM35</f>
        <v>1.3153802110066048</v>
      </c>
      <c r="CN32" s="1078"/>
      <c r="CO32" s="1452">
        <f>CO28/CO35</f>
        <v>0.30581886847465756</v>
      </c>
      <c r="CP32" s="1078">
        <f>CP28/CP35</f>
        <v>0.37150984938088288</v>
      </c>
      <c r="CQ32" s="1078">
        <f>CQ28/CQ35</f>
        <v>0.39802518954661525</v>
      </c>
      <c r="CR32" s="1078">
        <f>CR28/CR35</f>
        <v>0.48498724907200425</v>
      </c>
      <c r="CS32" s="1453">
        <f>CS28/CS35</f>
        <v>1.5603411564741601</v>
      </c>
      <c r="CT32" s="1078"/>
      <c r="CU32" s="1452">
        <f>CU28/CU35</f>
        <v>0.42201955859881979</v>
      </c>
      <c r="CV32" s="1078">
        <f>CV28/CV35</f>
        <v>0.50365213015460319</v>
      </c>
      <c r="CW32" s="1078">
        <f>CW28/CW35</f>
        <v>0.53586240448364286</v>
      </c>
      <c r="CX32" s="1078">
        <f>CX28/CX35</f>
        <v>0.63448003161354039</v>
      </c>
      <c r="CY32" s="1453">
        <f>CY28/CY35</f>
        <v>2.0960141248506066</v>
      </c>
      <c r="CZ32" s="161"/>
      <c r="DA32" s="161"/>
      <c r="DB32" s="165"/>
      <c r="DC32"/>
      <c r="DD32"/>
      <c r="DE32"/>
      <c r="DF32"/>
      <c r="DG32"/>
      <c r="DH32"/>
      <c r="DI32" s="1878"/>
      <c r="DJ32" s="1277"/>
      <c r="DK32" s="1888" t="s">
        <v>677</v>
      </c>
      <c r="DL32" s="1888" t="s">
        <v>681</v>
      </c>
      <c r="DM32" s="33"/>
      <c r="DN32" s="1883"/>
      <c r="DO32" s="1883"/>
      <c r="DP32" s="1883"/>
      <c r="DQ32" s="1883"/>
    </row>
    <row r="33" spans="1:137" s="974" customFormat="1" ht="11.25" customHeight="1" x14ac:dyDescent="0.2">
      <c r="A33" s="1912" t="s">
        <v>310</v>
      </c>
      <c r="B33" s="1451"/>
      <c r="C33" s="1913">
        <f>C86/C35</f>
        <v>8.0899465032192128E-2</v>
      </c>
      <c r="D33" s="1451">
        <f>D86/D35</f>
        <v>6.7214259747953517E-2</v>
      </c>
      <c r="E33" s="1451">
        <f>E86/E35</f>
        <v>9.7648986507009511E-2</v>
      </c>
      <c r="F33" s="1451">
        <f>F86/F35</f>
        <v>0.10796594885598965</v>
      </c>
      <c r="G33" s="1914">
        <f>G86/G35</f>
        <v>0.35370669745958433</v>
      </c>
      <c r="H33" s="1451"/>
      <c r="I33" s="1913">
        <f>I86/I35</f>
        <v>9.3576196705913925E-2</v>
      </c>
      <c r="J33" s="1451">
        <f>J86/J35</f>
        <v>0.10753823765556006</v>
      </c>
      <c r="K33" s="1451">
        <f>K86/K35</f>
        <v>0.11895052803411386</v>
      </c>
      <c r="L33" s="1451">
        <f>L86/L35</f>
        <v>0.13418459822621151</v>
      </c>
      <c r="M33" s="1914">
        <f>M86/M35</f>
        <v>0.45258516900620621</v>
      </c>
      <c r="N33" s="1451"/>
      <c r="O33" s="1913">
        <f>O86/O35</f>
        <v>0.12588817820039669</v>
      </c>
      <c r="P33" s="1451">
        <f>P86/P35</f>
        <v>0.12891478989512706</v>
      </c>
      <c r="Q33" s="1451">
        <f>Q86/Q35</f>
        <v>0.14196611492309202</v>
      </c>
      <c r="R33" s="1451">
        <f>R86/R35</f>
        <v>0.15087800339830601</v>
      </c>
      <c r="S33" s="1914">
        <f>S86/S35</f>
        <v>0.54785691486936294</v>
      </c>
      <c r="T33" s="1451"/>
      <c r="U33" s="1913">
        <f>U86/U35</f>
        <v>0.1430674972310961</v>
      </c>
      <c r="V33" s="1451">
        <f>V86/V35</f>
        <v>0.16075639571197303</v>
      </c>
      <c r="W33" s="1451">
        <f>W86/W35</f>
        <v>0.16677252007936191</v>
      </c>
      <c r="X33" s="1451">
        <f>X86/X35</f>
        <v>0.15728464720585905</v>
      </c>
      <c r="Y33" s="1914">
        <f>Y86/Y35</f>
        <v>0.62242908859450219</v>
      </c>
      <c r="Z33" s="1451"/>
      <c r="AA33" s="1913">
        <f>AA86/AA35</f>
        <v>0.1732252371712994</v>
      </c>
      <c r="AB33" s="1451">
        <f>AB86/AB35</f>
        <v>0.1889524273025916</v>
      </c>
      <c r="AC33" s="1451">
        <f>AC86/AC35</f>
        <v>0.20098240469208209</v>
      </c>
      <c r="AD33" s="1451">
        <f>AD86/AD35</f>
        <v>0.20445062586926288</v>
      </c>
      <c r="AE33" s="1914">
        <f>AE86/AE35</f>
        <v>0.76758429249139504</v>
      </c>
      <c r="AF33" s="1451"/>
      <c r="AG33" s="1913">
        <f>AG86/AG35</f>
        <v>0.19134410930855267</v>
      </c>
      <c r="AH33" s="1451">
        <f>AH86/AH35</f>
        <v>0.22725421400004897</v>
      </c>
      <c r="AI33" s="1451">
        <f>AI86/AI35</f>
        <v>0.24883830334683846</v>
      </c>
      <c r="AJ33" s="1451">
        <f>AJ86/AJ35</f>
        <v>0.2313727605407068</v>
      </c>
      <c r="AK33" s="1914">
        <f>AK86/AK35</f>
        <v>0.90251483999026316</v>
      </c>
      <c r="AL33" s="1451"/>
      <c r="AM33" s="1913">
        <f>AM86/AM35</f>
        <v>0.19622691423752897</v>
      </c>
      <c r="AN33" s="1451">
        <f>AN86/AN35</f>
        <v>0.20675727126752633</v>
      </c>
      <c r="AO33" s="1451">
        <f>AO86/AO35</f>
        <v>0.23503517074864938</v>
      </c>
      <c r="AP33" s="1451">
        <f>AP86/AP35</f>
        <v>0.24285708345288451</v>
      </c>
      <c r="AQ33" s="1914">
        <f>AQ86/AQ35</f>
        <v>0.88157167034676076</v>
      </c>
      <c r="AR33" s="1451"/>
      <c r="AS33" s="1913">
        <f>AS86/AS35</f>
        <v>0.19263505586940768</v>
      </c>
      <c r="AT33" s="1451">
        <f>AT86/AT35</f>
        <v>0.21106883058141043</v>
      </c>
      <c r="AU33" s="1451">
        <f>AU86/AU35</f>
        <v>0.21989950761248722</v>
      </c>
      <c r="AV33" s="1451">
        <f>AV86/AV35</f>
        <v>0.29419991633885351</v>
      </c>
      <c r="AW33" s="1914">
        <f>AW86/AW35</f>
        <v>0.91684235183883822</v>
      </c>
      <c r="AX33" s="1451"/>
      <c r="AY33" s="1913">
        <f>AY86/AY35</f>
        <v>0.21204763798480442</v>
      </c>
      <c r="AZ33" s="1451">
        <f>AZ86/AZ35</f>
        <v>0.22945831304036546</v>
      </c>
      <c r="BA33" s="1451">
        <f>BA86/BA35</f>
        <v>0.22852316004262727</v>
      </c>
      <c r="BB33" s="1915">
        <f>BB86/BB35</f>
        <v>0.33016350994171872</v>
      </c>
      <c r="BC33" s="1914">
        <f>BC86/BC35</f>
        <v>1.0007352147076165</v>
      </c>
      <c r="BD33" s="1451"/>
      <c r="BE33" s="1913">
        <f>BE86/BE35</f>
        <v>0.19915510457651694</v>
      </c>
      <c r="BF33" s="1451">
        <f>BF86/BF35</f>
        <v>0.23350148256889874</v>
      </c>
      <c r="BG33" s="1451">
        <f>BG86/BG35</f>
        <v>0.25699139869227094</v>
      </c>
      <c r="BH33" s="1451">
        <f>BH86/BH35</f>
        <v>0.32494619079964954</v>
      </c>
      <c r="BI33" s="1914">
        <f>BI86/BI35</f>
        <v>1.0155507381026116</v>
      </c>
      <c r="BJ33" s="1451"/>
      <c r="BK33" s="1913">
        <f>BK28/BK35</f>
        <v>0.22096268306537248</v>
      </c>
      <c r="BL33" s="1451">
        <f>BL28/BL35</f>
        <v>0.25258061835106377</v>
      </c>
      <c r="BM33" s="1451">
        <f>BM28/BM35</f>
        <v>0.27340355469769329</v>
      </c>
      <c r="BN33" s="1451">
        <f>BN28/BN35</f>
        <v>0.2506199769426633</v>
      </c>
      <c r="BO33" s="1914">
        <f>BO28/BO35</f>
        <v>0.99737515422003986</v>
      </c>
      <c r="BP33" s="1451"/>
      <c r="BQ33" s="1913">
        <f>BQ28/BQ35</f>
        <v>0.21565073997187428</v>
      </c>
      <c r="BR33" s="1451">
        <f>BR28/BR35</f>
        <v>0.25563339244465139</v>
      </c>
      <c r="BS33" s="1451">
        <f>BS28/BS35</f>
        <v>0.26457186691761775</v>
      </c>
      <c r="BT33" s="1451">
        <f>BT28/BT35</f>
        <v>0.31943029830539738</v>
      </c>
      <c r="BU33" s="1914">
        <f>+SUM(BQ33:BT33)</f>
        <v>1.0552862976395407</v>
      </c>
      <c r="BV33" s="1451"/>
      <c r="BW33" s="1913">
        <f>BW28/BW35</f>
        <v>0.18932468545873307</v>
      </c>
      <c r="BX33" s="1451">
        <f>BX28/BX35</f>
        <v>0.23850804677647094</v>
      </c>
      <c r="BY33" s="1451">
        <f>BY28/BY35</f>
        <v>0.28508924056716128</v>
      </c>
      <c r="BZ33" s="1451">
        <f>BZ28/BZ35</f>
        <v>0.39020980771798641</v>
      </c>
      <c r="CA33" s="1914">
        <f>+SUM(BW33:BZ33)</f>
        <v>1.1031317805203518</v>
      </c>
      <c r="CB33" s="1451"/>
      <c r="CC33" s="1913">
        <f>CC28/CC35</f>
        <v>0.21611369161405153</v>
      </c>
      <c r="CD33" s="1451">
        <f>CD28/CD35</f>
        <v>0.29502363558229483</v>
      </c>
      <c r="CE33" s="1451">
        <f>CE28/CE35</f>
        <v>0.32451304351562604</v>
      </c>
      <c r="CF33" s="1451">
        <f>CF28/CF35</f>
        <v>0.43212758520998834</v>
      </c>
      <c r="CG33" s="1914">
        <f>+SUM(CC33:CF33)</f>
        <v>1.2677779559219609</v>
      </c>
      <c r="CH33" s="1451"/>
      <c r="CI33" s="1913">
        <f>CI28/CI35</f>
        <v>0.23444354572404202</v>
      </c>
      <c r="CJ33" s="1451">
        <f>CJ28/CJ35</f>
        <v>0.32591439151821167</v>
      </c>
      <c r="CK33" s="1451">
        <f>CK28/CK35</f>
        <v>0.33835400203121424</v>
      </c>
      <c r="CL33" s="1451">
        <f>CL28/CL35</f>
        <v>0.41666827173313697</v>
      </c>
      <c r="CM33" s="1914">
        <f>+SUM(CI33:CL33)</f>
        <v>1.3153802110066048</v>
      </c>
      <c r="CN33" s="1451"/>
      <c r="CO33" s="1913">
        <f>CO28/CO35</f>
        <v>0.30581886847465756</v>
      </c>
      <c r="CP33" s="1451">
        <f>CP28/CP35</f>
        <v>0.37150984938088288</v>
      </c>
      <c r="CQ33" s="1451">
        <f>CQ28/CQ35</f>
        <v>0.39802518954661525</v>
      </c>
      <c r="CR33" s="1451">
        <f>CR28/CR35</f>
        <v>0.48498724907200425</v>
      </c>
      <c r="CS33" s="1914">
        <f>+SUM(CO33:CR33)</f>
        <v>1.5603411564741601</v>
      </c>
      <c r="CT33" s="1451"/>
      <c r="CU33" s="1913">
        <f>CU28/CU35</f>
        <v>0.42201955859881979</v>
      </c>
      <c r="CV33" s="1451">
        <f>CV28/CV35</f>
        <v>0.50365213015460319</v>
      </c>
      <c r="CW33" s="1451">
        <f>CW28/CW35</f>
        <v>0.53586240448364286</v>
      </c>
      <c r="CX33" s="1451">
        <f>CX28/CX35</f>
        <v>0.63448003161354039</v>
      </c>
      <c r="CY33" s="1914">
        <f>+SUM(CU33:CX33)</f>
        <v>2.0960141248506066</v>
      </c>
      <c r="CZ33" s="163"/>
      <c r="DA33" s="1446"/>
      <c r="DB33" s="164"/>
      <c r="DC33"/>
      <c r="DD33"/>
      <c r="DE33"/>
      <c r="DF33"/>
      <c r="DG33"/>
      <c r="DH33"/>
      <c r="DI33" s="1297" t="s">
        <v>676</v>
      </c>
      <c r="DJ33" s="1884"/>
      <c r="DK33" s="1887">
        <f>+(CM33/$CA$33)^(1/2)-1</f>
        <v>9.1973134548179347E-2</v>
      </c>
      <c r="DL33" s="1887">
        <f>+(CY33/$CA$33)^(1/4)-1</f>
        <v>0.17406381215615596</v>
      </c>
      <c r="DM33" s="1884"/>
      <c r="DN33" s="1884"/>
      <c r="DO33" s="1884"/>
    </row>
    <row r="34" spans="1:137" s="270" customFormat="1" ht="11.25" customHeight="1" x14ac:dyDescent="0.2">
      <c r="A34" s="321" t="s">
        <v>101</v>
      </c>
      <c r="B34" s="257"/>
      <c r="C34" s="319">
        <v>146.399</v>
      </c>
      <c r="D34" s="167">
        <v>146.56</v>
      </c>
      <c r="E34" s="167">
        <v>146.72</v>
      </c>
      <c r="F34" s="168">
        <f>+G34*4-SUM(C34:E34)</f>
        <v>146.95299999999997</v>
      </c>
      <c r="G34" s="220">
        <v>146.65799999999999</v>
      </c>
      <c r="H34" s="257"/>
      <c r="I34" s="319">
        <v>147.32900000000001</v>
      </c>
      <c r="J34" s="167">
        <v>147.71600000000001</v>
      </c>
      <c r="K34" s="167">
        <v>147.97200000000001</v>
      </c>
      <c r="L34" s="336">
        <f>M34*4-SUM(I34:K34)</f>
        <v>148.3309999999999</v>
      </c>
      <c r="M34" s="220">
        <v>147.83699999999999</v>
      </c>
      <c r="N34" s="257"/>
      <c r="O34" s="319">
        <v>148.892</v>
      </c>
      <c r="P34" s="167">
        <v>149.411</v>
      </c>
      <c r="Q34" s="167">
        <v>149.68600000000001</v>
      </c>
      <c r="R34" s="336">
        <f>S34*4-SUM(O34:Q34)</f>
        <v>150.02699999999993</v>
      </c>
      <c r="S34" s="220">
        <v>149.50399999999999</v>
      </c>
      <c r="T34" s="257"/>
      <c r="U34" s="319">
        <v>150.38900000000001</v>
      </c>
      <c r="V34" s="167">
        <v>150.64699999999999</v>
      </c>
      <c r="W34" s="167">
        <v>177.91900000000001</v>
      </c>
      <c r="X34" s="336">
        <f>Y34*4-SUM(U34:W34)</f>
        <v>194.87299999999993</v>
      </c>
      <c r="Y34" s="220">
        <v>168.45699999999999</v>
      </c>
      <c r="Z34" s="257"/>
      <c r="AA34" s="319">
        <v>195.99299999999999</v>
      </c>
      <c r="AB34" s="167">
        <v>196.464</v>
      </c>
      <c r="AC34" s="167">
        <v>197.09200000000001</v>
      </c>
      <c r="AD34" s="336">
        <f>AE34*4-SUM(AA34:AC34)</f>
        <v>197.66700000000003</v>
      </c>
      <c r="AE34" s="220">
        <v>196.804</v>
      </c>
      <c r="AF34" s="257"/>
      <c r="AG34" s="319">
        <v>198.10599999999999</v>
      </c>
      <c r="AH34" s="167">
        <v>198.66800000000001</v>
      </c>
      <c r="AI34" s="167">
        <v>201.119</v>
      </c>
      <c r="AJ34" s="166">
        <f>AK34*4-SUM(AG34:AI34)</f>
        <v>229.81899999999996</v>
      </c>
      <c r="AK34" s="220">
        <v>206.928</v>
      </c>
      <c r="AL34" s="257"/>
      <c r="AM34" s="319">
        <v>232.208</v>
      </c>
      <c r="AN34" s="167">
        <v>232.57900000000001</v>
      </c>
      <c r="AO34" s="167">
        <v>232.76900000000001</v>
      </c>
      <c r="AP34" s="166">
        <f>AQ34*4-SUM(AM34:AO34)</f>
        <v>232.98399999999992</v>
      </c>
      <c r="AQ34" s="220">
        <v>232.63499999999999</v>
      </c>
      <c r="AR34" s="257"/>
      <c r="AS34" s="319">
        <v>233.40199999999999</v>
      </c>
      <c r="AT34" s="167">
        <v>233.80099999999999</v>
      </c>
      <c r="AU34" s="167">
        <v>234.042</v>
      </c>
      <c r="AV34" s="166">
        <f>+AW34*4-SUM(AS34:AU34)</f>
        <v>234.15499999999997</v>
      </c>
      <c r="AW34" s="220">
        <v>233.85</v>
      </c>
      <c r="AX34" s="257"/>
      <c r="AY34" s="319">
        <v>234.92500000000001</v>
      </c>
      <c r="AZ34" s="167">
        <v>235.679</v>
      </c>
      <c r="BA34" s="167">
        <v>236.28700000000001</v>
      </c>
      <c r="BB34" s="336">
        <f>BA34*1.003</f>
        <v>236.99586099999999</v>
      </c>
      <c r="BC34" s="220">
        <v>235.58199999999999</v>
      </c>
      <c r="BD34" s="257"/>
      <c r="BE34" s="319">
        <v>233.32499999999999</v>
      </c>
      <c r="BF34" s="957">
        <v>234.07400000000001</v>
      </c>
      <c r="BG34" s="957">
        <v>234.46299999999999</v>
      </c>
      <c r="BH34" s="1088">
        <f>CFS!BH84+BG34</f>
        <v>239.23826245955681</v>
      </c>
      <c r="BI34" s="220">
        <v>234</v>
      </c>
      <c r="BJ34" s="257"/>
      <c r="BK34" s="319">
        <v>232.85599999999999</v>
      </c>
      <c r="BL34" s="167">
        <v>232.553</v>
      </c>
      <c r="BM34" s="167">
        <v>232.87200000000001</v>
      </c>
      <c r="BN34" s="168">
        <v>232.64400000000001</v>
      </c>
      <c r="BO34" s="220">
        <v>232.64400000000001</v>
      </c>
      <c r="BP34" s="257"/>
      <c r="BQ34" s="319">
        <v>232.274</v>
      </c>
      <c r="BR34" s="167">
        <v>233.54</v>
      </c>
      <c r="BS34" s="167">
        <v>233.607</v>
      </c>
      <c r="BT34" s="167">
        <v>234.51100000000005</v>
      </c>
      <c r="BU34" s="220">
        <v>233.483</v>
      </c>
      <c r="BV34" s="257"/>
      <c r="BW34" s="319">
        <v>234.08600000000001</v>
      </c>
      <c r="BX34" s="167">
        <v>234.76</v>
      </c>
      <c r="BY34" s="167">
        <v>234.76</v>
      </c>
      <c r="BZ34" s="167">
        <v>234.76</v>
      </c>
      <c r="CA34" s="321">
        <f>+BZ34</f>
        <v>234.76</v>
      </c>
      <c r="CB34" s="257"/>
      <c r="CC34" s="319">
        <v>230.9</v>
      </c>
      <c r="CD34" s="167">
        <v>231</v>
      </c>
      <c r="CE34" s="167">
        <v>231</v>
      </c>
      <c r="CF34" s="167">
        <v>226.6</v>
      </c>
      <c r="CG34" s="321">
        <f>+CF34</f>
        <v>226.6</v>
      </c>
      <c r="CH34" s="257"/>
      <c r="CI34" s="320">
        <f>-CFS!CI84+CF34</f>
        <v>224.94618215855078</v>
      </c>
      <c r="CJ34" s="166">
        <f>-CFS!CJ84+CI34</f>
        <v>223.45101155362403</v>
      </c>
      <c r="CK34" s="166">
        <f>-CFS!CK84+CJ34</f>
        <v>221.98551670458488</v>
      </c>
      <c r="CL34" s="166">
        <f>-CFS!CL84+CK34</f>
        <v>220.52029019206074</v>
      </c>
      <c r="CM34" s="321">
        <f>+CL34</f>
        <v>220.52029019206074</v>
      </c>
      <c r="CN34" s="257"/>
      <c r="CO34" s="320">
        <f>-CFS!CO84+CL34</f>
        <v>218.94522558115673</v>
      </c>
      <c r="CP34" s="166">
        <f>-CFS!CP84+CO34</f>
        <v>217.52125357646457</v>
      </c>
      <c r="CQ34" s="166">
        <f>-CFS!CQ84+CP34</f>
        <v>216.12554419642731</v>
      </c>
      <c r="CR34" s="166">
        <f>-CFS!CR84+CQ34</f>
        <v>214.73009037497576</v>
      </c>
      <c r="CS34" s="321">
        <f>+CR34</f>
        <v>214.73009037497576</v>
      </c>
      <c r="CT34" s="257"/>
      <c r="CU34" s="320">
        <f>-CFS!CU84+CR34</f>
        <v>213.23002884078147</v>
      </c>
      <c r="CV34" s="166">
        <f>-CFS!CV84+CU34</f>
        <v>211.87386502678893</v>
      </c>
      <c r="CW34" s="166">
        <f>-CFS!CW84+CV34</f>
        <v>210.54461799818202</v>
      </c>
      <c r="CX34" s="166">
        <f>-CFS!CX84+CW34</f>
        <v>209.21561435870436</v>
      </c>
      <c r="CY34" s="321">
        <f>+CX34</f>
        <v>209.21561435870436</v>
      </c>
      <c r="CZ34" s="1700"/>
      <c r="DA34" s="1700"/>
      <c r="DB34" s="258"/>
      <c r="DC34"/>
      <c r="DD34"/>
      <c r="DE34"/>
      <c r="DF34"/>
      <c r="DG34"/>
      <c r="DH34"/>
      <c r="DI34" s="974"/>
      <c r="DJ34" s="1884"/>
      <c r="DK34" s="1884"/>
      <c r="DL34" s="1885"/>
      <c r="DM34" s="1884"/>
      <c r="DN34" s="1885"/>
      <c r="DO34" s="1885"/>
    </row>
    <row r="35" spans="1:137" s="270" customFormat="1" ht="11.25" customHeight="1" x14ac:dyDescent="0.2">
      <c r="A35" s="321" t="s">
        <v>102</v>
      </c>
      <c r="B35" s="166"/>
      <c r="C35" s="319">
        <v>148.79400000000001</v>
      </c>
      <c r="D35" s="167">
        <v>148.54400000000001</v>
      </c>
      <c r="E35" s="167">
        <v>148.15100000000001</v>
      </c>
      <c r="F35" s="167">
        <v>148.6</v>
      </c>
      <c r="G35" s="220">
        <v>148.51900000000001</v>
      </c>
      <c r="H35" s="166"/>
      <c r="I35" s="319">
        <v>149.05500000000001</v>
      </c>
      <c r="J35" s="167">
        <v>149.46</v>
      </c>
      <c r="K35" s="167">
        <v>150.08500000000001</v>
      </c>
      <c r="L35" s="167">
        <v>149.73599999999999</v>
      </c>
      <c r="M35" s="220">
        <v>150.172</v>
      </c>
      <c r="N35" s="166"/>
      <c r="O35" s="319">
        <v>152.27799999999999</v>
      </c>
      <c r="P35" s="167">
        <v>153.233</v>
      </c>
      <c r="Q35" s="167">
        <v>153.755</v>
      </c>
      <c r="R35" s="167">
        <v>154.78299999999999</v>
      </c>
      <c r="S35" s="220">
        <v>153.517</v>
      </c>
      <c r="T35" s="166"/>
      <c r="U35" s="319">
        <v>156.19900000000001</v>
      </c>
      <c r="V35" s="167">
        <v>156.90199999999999</v>
      </c>
      <c r="W35" s="167">
        <v>177.91900000000001</v>
      </c>
      <c r="X35" s="167">
        <v>205.233</v>
      </c>
      <c r="Y35" s="220">
        <v>175.959</v>
      </c>
      <c r="Z35" s="166"/>
      <c r="AA35" s="319">
        <v>205.126</v>
      </c>
      <c r="AB35" s="167">
        <v>205.47499999999999</v>
      </c>
      <c r="AC35" s="167">
        <v>204.6</v>
      </c>
      <c r="AD35" s="167">
        <v>202.03899999999999</v>
      </c>
      <c r="AE35" s="220">
        <v>204.25899999999999</v>
      </c>
      <c r="AF35" s="166"/>
      <c r="AG35" s="319">
        <v>203.16800000000001</v>
      </c>
      <c r="AH35" s="167">
        <v>203.785</v>
      </c>
      <c r="AI35" s="167">
        <v>208.316</v>
      </c>
      <c r="AJ35" s="168">
        <v>241.018</v>
      </c>
      <c r="AK35" s="220">
        <v>213.61199999999999</v>
      </c>
      <c r="AL35" s="166"/>
      <c r="AM35" s="319">
        <v>241.92400000000001</v>
      </c>
      <c r="AN35" s="167">
        <v>241.636</v>
      </c>
      <c r="AO35" s="167">
        <v>238.977</v>
      </c>
      <c r="AP35" s="167">
        <v>240.483</v>
      </c>
      <c r="AQ35" s="220">
        <v>240.483</v>
      </c>
      <c r="AR35" s="166"/>
      <c r="AS35" s="319">
        <v>240.38200000000001</v>
      </c>
      <c r="AT35" s="167">
        <v>240.983</v>
      </c>
      <c r="AU35" s="167">
        <v>238.227</v>
      </c>
      <c r="AV35" s="167">
        <v>236.66900000000001</v>
      </c>
      <c r="AW35" s="220">
        <v>239.06399999999999</v>
      </c>
      <c r="AX35" s="166"/>
      <c r="AY35" s="319">
        <v>238.88499999999999</v>
      </c>
      <c r="AZ35" s="167">
        <v>240.23099999999999</v>
      </c>
      <c r="BA35" s="167">
        <v>242.09800000000001</v>
      </c>
      <c r="BB35" s="168">
        <v>241.75899999999999</v>
      </c>
      <c r="BC35" s="220">
        <v>240.74600000000001</v>
      </c>
      <c r="BD35" s="166"/>
      <c r="BE35" s="319">
        <v>241.45</v>
      </c>
      <c r="BF35" s="167">
        <v>240.46100000000001</v>
      </c>
      <c r="BG35" s="167">
        <v>242.405</v>
      </c>
      <c r="BH35" s="167">
        <v>244.38200000000001</v>
      </c>
      <c r="BI35" s="220">
        <v>242.17500000000001</v>
      </c>
      <c r="BJ35" s="166"/>
      <c r="BK35" s="319">
        <v>242.946</v>
      </c>
      <c r="BL35" s="167">
        <v>240.64</v>
      </c>
      <c r="BM35" s="167">
        <v>241.42699999999999</v>
      </c>
      <c r="BN35" s="167">
        <v>241.13800000000001</v>
      </c>
      <c r="BO35" s="220">
        <v>241.53800000000001</v>
      </c>
      <c r="BP35" s="166"/>
      <c r="BQ35" s="319">
        <v>238.928</v>
      </c>
      <c r="BR35" s="167">
        <v>238.53299999999999</v>
      </c>
      <c r="BS35" s="167">
        <v>238.559</v>
      </c>
      <c r="BT35" s="167">
        <v>238.58099999999999</v>
      </c>
      <c r="BU35" s="220">
        <v>238.64699999999999</v>
      </c>
      <c r="BV35" s="166"/>
      <c r="BW35" s="319">
        <v>238.363</v>
      </c>
      <c r="BX35" s="167">
        <v>238.667</v>
      </c>
      <c r="BY35" s="167">
        <v>239.297</v>
      </c>
      <c r="BZ35" s="167">
        <v>239.648</v>
      </c>
      <c r="CA35" s="321">
        <f>+CA28/CA33</f>
        <v>239.1246491652802</v>
      </c>
      <c r="CB35" s="166"/>
      <c r="CC35" s="319">
        <v>234.881</v>
      </c>
      <c r="CD35" s="167">
        <v>232.7</v>
      </c>
      <c r="CE35" s="167">
        <v>232.721</v>
      </c>
      <c r="CF35" s="167">
        <v>231.751</v>
      </c>
      <c r="CG35" s="321">
        <f>+CG28/CG33</f>
        <v>232.75369209698093</v>
      </c>
      <c r="CH35" s="166"/>
      <c r="CI35" s="320">
        <f>CI34*CI36</f>
        <v>231.69456762330731</v>
      </c>
      <c r="CJ35" s="166">
        <f>CJ34*CJ36</f>
        <v>230.15454190023274</v>
      </c>
      <c r="CK35" s="166">
        <f>CK34*CK36</f>
        <v>228.64508220572245</v>
      </c>
      <c r="CL35" s="166">
        <f>CL34*CL36</f>
        <v>227.13589889782256</v>
      </c>
      <c r="CM35" s="321">
        <f>+CM28/CM33</f>
        <v>229.08454298392306</v>
      </c>
      <c r="CN35" s="166"/>
      <c r="CO35" s="320">
        <f>CO34*CO36</f>
        <v>225.51358234859146</v>
      </c>
      <c r="CP35" s="166">
        <f>CP34*CP36</f>
        <v>224.0468911837585</v>
      </c>
      <c r="CQ35" s="166">
        <f>CQ34*CQ36</f>
        <v>222.60931052232013</v>
      </c>
      <c r="CR35" s="166">
        <f>CR34*CR36</f>
        <v>221.17199308622503</v>
      </c>
      <c r="CS35" s="321">
        <f>+CS28/CS33</f>
        <v>223.07406521155772</v>
      </c>
      <c r="CT35" s="166"/>
      <c r="CU35" s="320">
        <f>CU34*CU36</f>
        <v>219.62692970600492</v>
      </c>
      <c r="CV35" s="166">
        <f>CV34*CV36</f>
        <v>218.23008097759262</v>
      </c>
      <c r="CW35" s="166">
        <f>CW34*CW36</f>
        <v>216.86095653812748</v>
      </c>
      <c r="CX35" s="166">
        <f>CX34*CX36</f>
        <v>215.49208278946548</v>
      </c>
      <c r="CY35" s="321">
        <f>+CY28/CY33</f>
        <v>217.3324868320999</v>
      </c>
      <c r="CZ35" s="1701"/>
      <c r="DA35"/>
      <c r="DB35" s="257"/>
      <c r="DC35"/>
      <c r="DD35"/>
      <c r="DE35"/>
      <c r="DF35"/>
      <c r="DG35"/>
      <c r="DH35"/>
      <c r="DI35" s="160"/>
      <c r="DJ35" s="1277"/>
      <c r="DK35" s="33"/>
      <c r="DL35" s="33"/>
      <c r="DM35" s="33"/>
      <c r="DN35" s="236"/>
      <c r="DO35" s="246"/>
      <c r="DP35" s="246"/>
      <c r="DQ35" s="246"/>
      <c r="DR35" s="246"/>
    </row>
    <row r="36" spans="1:137" ht="11.25" customHeight="1" outlineLevel="1" x14ac:dyDescent="0.2">
      <c r="A36" s="355" t="s">
        <v>103</v>
      </c>
      <c r="B36" s="238"/>
      <c r="C36" s="309">
        <f>C35/C34</f>
        <v>1.0163594013620312</v>
      </c>
      <c r="D36" s="310">
        <f>D35/D34</f>
        <v>1.0135371179039301</v>
      </c>
      <c r="E36" s="310">
        <f>E35/E34</f>
        <v>1.0097532715376227</v>
      </c>
      <c r="F36" s="310">
        <f>F35/F34</f>
        <v>1.0112076650357598</v>
      </c>
      <c r="G36" s="311">
        <f>G35/G34</f>
        <v>1.0126893861910022</v>
      </c>
      <c r="H36" s="238"/>
      <c r="I36" s="309">
        <f>I35/I34</f>
        <v>1.0117152766936583</v>
      </c>
      <c r="J36" s="310">
        <f>J35/J34</f>
        <v>1.0118064393836821</v>
      </c>
      <c r="K36" s="310">
        <f>K35/K34</f>
        <v>1.0142797285973022</v>
      </c>
      <c r="L36" s="310">
        <f>L35/L34</f>
        <v>1.0094720591110429</v>
      </c>
      <c r="M36" s="311">
        <f>M35/M34</f>
        <v>1.0157944222352997</v>
      </c>
      <c r="N36" s="238"/>
      <c r="O36" s="309">
        <f>O35/O34</f>
        <v>1.0227413158531016</v>
      </c>
      <c r="P36" s="310">
        <f>P35/P34</f>
        <v>1.025580445884172</v>
      </c>
      <c r="Q36" s="310">
        <f>Q35/Q34</f>
        <v>1.0271835709418382</v>
      </c>
      <c r="R36" s="310">
        <f>R35/R34</f>
        <v>1.0317009604937781</v>
      </c>
      <c r="S36" s="311">
        <f>S35/S34</f>
        <v>1.0268420911815068</v>
      </c>
      <c r="T36" s="238"/>
      <c r="U36" s="309">
        <f>U35/U34</f>
        <v>1.0386331447113819</v>
      </c>
      <c r="V36" s="310">
        <f>V35/V34</f>
        <v>1.0415209064900064</v>
      </c>
      <c r="W36" s="310">
        <f>W35/W34</f>
        <v>1</v>
      </c>
      <c r="X36" s="310">
        <f>X35/X34</f>
        <v>1.0531628291246098</v>
      </c>
      <c r="Y36" s="311">
        <f>Y35/Y34</f>
        <v>1.0445336198555122</v>
      </c>
      <c r="Z36" s="238"/>
      <c r="AA36" s="309">
        <f>AA35/AA34</f>
        <v>1.0465986030113321</v>
      </c>
      <c r="AB36" s="310">
        <f>AB35/AB34</f>
        <v>1.0458659092759997</v>
      </c>
      <c r="AC36" s="310">
        <f>AC35/AC34</f>
        <v>1.0380938850891968</v>
      </c>
      <c r="AD36" s="310">
        <f>AD35/AD34</f>
        <v>1.0221180065463631</v>
      </c>
      <c r="AE36" s="311">
        <f>AE35/AE34</f>
        <v>1.037880327635617</v>
      </c>
      <c r="AF36" s="238"/>
      <c r="AG36" s="309">
        <f>AG35/AG34</f>
        <v>1.0255519772243142</v>
      </c>
      <c r="AH36" s="310">
        <f>AH35/AH34</f>
        <v>1.0257565385467211</v>
      </c>
      <c r="AI36" s="310">
        <f>AI35/AI34</f>
        <v>1.0357847841327772</v>
      </c>
      <c r="AJ36" s="324">
        <f>AJ35/AJ34</f>
        <v>1.0487296524656362</v>
      </c>
      <c r="AK36" s="311">
        <f>AK35/AK34</f>
        <v>1.0323010902342844</v>
      </c>
      <c r="AL36" s="238"/>
      <c r="AM36" s="309">
        <f>AM35/AM34</f>
        <v>1.0418417970095777</v>
      </c>
      <c r="AN36" s="323">
        <f>AN35/AN34</f>
        <v>1.0389416069378576</v>
      </c>
      <c r="AO36" s="323">
        <v>1.1575</v>
      </c>
      <c r="AP36" s="323">
        <f>AO36</f>
        <v>1.1575</v>
      </c>
      <c r="AQ36" s="318">
        <f>AVERAGE(AM36:AP36)</f>
        <v>1.0989458509868588</v>
      </c>
      <c r="AR36" s="238"/>
      <c r="AS36" s="309">
        <f>AS35/AS34</f>
        <v>1.0299054849572842</v>
      </c>
      <c r="AT36" s="323">
        <f>AT35/AT34</f>
        <v>1.0307184314866062</v>
      </c>
      <c r="AU36" s="323">
        <f>AU35/AU34</f>
        <v>1.0178814059015049</v>
      </c>
      <c r="AV36" s="323">
        <f>AV35/AV34</f>
        <v>1.0107364779739918</v>
      </c>
      <c r="AW36" s="318">
        <f>AVERAGE(AS36:AV36)</f>
        <v>1.0223104500798468</v>
      </c>
      <c r="AX36" s="323"/>
      <c r="AY36" s="309">
        <f>AY35/AY34</f>
        <v>1.0168564435458125</v>
      </c>
      <c r="AZ36" s="323">
        <f>AZ35/AZ34</f>
        <v>1.0193144064596336</v>
      </c>
      <c r="BA36" s="323">
        <f>BA35/BA34</f>
        <v>1.0245929737988124</v>
      </c>
      <c r="BB36" s="324">
        <f>BB35/BB34</f>
        <v>1.020097983905297</v>
      </c>
      <c r="BC36" s="318">
        <f>AVERAGE(AY36:BB36)</f>
        <v>1.0202154519273887</v>
      </c>
      <c r="BD36" s="323"/>
      <c r="BE36" s="363">
        <f>BE35/BE34</f>
        <v>1.0348226722382943</v>
      </c>
      <c r="BF36" s="323">
        <f>BF35/BF34</f>
        <v>1.0272862428121021</v>
      </c>
      <c r="BG36" s="323">
        <f>BG35/BG34</f>
        <v>1.0338731484285368</v>
      </c>
      <c r="BH36" s="323">
        <f>BH35/BH34</f>
        <v>1.0215004802641583</v>
      </c>
      <c r="BI36" s="318">
        <f>AVERAGE(BE36:BH36)</f>
        <v>1.029370635935773</v>
      </c>
      <c r="BJ36" s="323"/>
      <c r="BK36" s="363">
        <f>BK35/BK34</f>
        <v>1.043331501013502</v>
      </c>
      <c r="BL36" s="323">
        <f>BL35/BL34</f>
        <v>1.0347748685245943</v>
      </c>
      <c r="BM36" s="323">
        <f>BM35/BM34</f>
        <v>1.0367369198529663</v>
      </c>
      <c r="BN36" s="323">
        <f>BN35/BN34</f>
        <v>1.0365107202420867</v>
      </c>
      <c r="BO36" s="318">
        <f>AVERAGE(BK36:BN36)</f>
        <v>1.0378385024082872</v>
      </c>
      <c r="BP36" s="323"/>
      <c r="BQ36" s="363">
        <f>BQ35/BQ34</f>
        <v>1.0286472011503656</v>
      </c>
      <c r="BR36" s="323">
        <f>BR35/BR34</f>
        <v>1.0213796351802689</v>
      </c>
      <c r="BS36" s="323">
        <f>BS35/BS34</f>
        <v>1.0211979949230974</v>
      </c>
      <c r="BT36" s="323">
        <f>BT35/BT34</f>
        <v>1.0173552626529243</v>
      </c>
      <c r="BU36" s="318">
        <f>AVERAGE(BQ36:BT36)</f>
        <v>1.022145023476664</v>
      </c>
      <c r="BV36" s="323"/>
      <c r="BW36" s="363">
        <f>BW35/BW34</f>
        <v>1.0182710627718017</v>
      </c>
      <c r="BX36" s="323">
        <f>BX35/BX34</f>
        <v>1.0166425285397853</v>
      </c>
      <c r="BY36" s="323">
        <f>BY35/BY34</f>
        <v>1.0193261202930652</v>
      </c>
      <c r="BZ36" s="323">
        <f>BZ35/BZ34</f>
        <v>1.0208212642698926</v>
      </c>
      <c r="CA36" s="318">
        <f>AVERAGE(BW36:BZ36)</f>
        <v>1.0187652439686361</v>
      </c>
      <c r="CB36" s="323"/>
      <c r="CC36" s="363">
        <f>CC35/CC34</f>
        <v>1.0172412299696838</v>
      </c>
      <c r="CD36" s="323">
        <f>CD35/CD34</f>
        <v>1.0073593073593072</v>
      </c>
      <c r="CE36" s="323">
        <f>CE35/CE34</f>
        <v>1.0074502164502164</v>
      </c>
      <c r="CF36" s="323">
        <f>CF35/CF34</f>
        <v>1.0227316857899382</v>
      </c>
      <c r="CG36" s="318">
        <f>AVERAGE(CC36:CF36)</f>
        <v>1.0136956098922865</v>
      </c>
      <c r="CH36" s="323"/>
      <c r="CI36" s="363">
        <v>1.03</v>
      </c>
      <c r="CJ36" s="323">
        <f>CI36</f>
        <v>1.03</v>
      </c>
      <c r="CK36" s="323">
        <f>CJ36</f>
        <v>1.03</v>
      </c>
      <c r="CL36" s="323">
        <f>CK36</f>
        <v>1.03</v>
      </c>
      <c r="CM36" s="318">
        <f>AVERAGE(CI36:CL36)</f>
        <v>1.03</v>
      </c>
      <c r="CN36" s="323"/>
      <c r="CO36" s="363">
        <f>CL36</f>
        <v>1.03</v>
      </c>
      <c r="CP36" s="323">
        <f>CO36</f>
        <v>1.03</v>
      </c>
      <c r="CQ36" s="323">
        <f>CP36</f>
        <v>1.03</v>
      </c>
      <c r="CR36" s="323">
        <f>CQ36</f>
        <v>1.03</v>
      </c>
      <c r="CS36" s="318">
        <f>AVERAGE(CO36:CR36)</f>
        <v>1.03</v>
      </c>
      <c r="CT36" s="323"/>
      <c r="CU36" s="363">
        <f>CR36</f>
        <v>1.03</v>
      </c>
      <c r="CV36" s="323">
        <f>CU36</f>
        <v>1.03</v>
      </c>
      <c r="CW36" s="323">
        <f>CV36</f>
        <v>1.03</v>
      </c>
      <c r="CX36" s="323">
        <f>CW36</f>
        <v>1.03</v>
      </c>
      <c r="CY36" s="318">
        <f>AVERAGE(CU36:CX36)</f>
        <v>1.03</v>
      </c>
      <c r="CZ36" s="225"/>
      <c r="DA36"/>
      <c r="DB36" s="259"/>
      <c r="DI36" s="182"/>
      <c r="DJ36" s="1886"/>
      <c r="DK36" s="1882"/>
      <c r="DL36" s="236"/>
      <c r="DM36" s="236"/>
      <c r="DN36" s="33"/>
      <c r="DO36" s="33"/>
    </row>
    <row r="37" spans="1:137" s="33" customFormat="1" ht="11.25" customHeight="1" x14ac:dyDescent="0.2">
      <c r="A37" s="292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  <c r="AL37" s="338"/>
      <c r="AM37" s="338"/>
      <c r="AN37" s="338"/>
      <c r="AO37" s="338"/>
      <c r="AP37" s="338"/>
      <c r="AQ37" s="398"/>
      <c r="AR37" s="338"/>
      <c r="AS37" s="399"/>
      <c r="AT37" s="400"/>
      <c r="AU37" s="400"/>
      <c r="AV37" s="400"/>
      <c r="AW37" s="400"/>
      <c r="AX37" s="397"/>
      <c r="AY37" s="399"/>
      <c r="AZ37" s="397"/>
      <c r="BA37" s="397"/>
      <c r="BB37" s="397"/>
      <c r="BC37" s="397"/>
      <c r="BD37" s="338"/>
      <c r="BE37" s="338"/>
      <c r="BF37" s="397"/>
      <c r="BG37" s="976"/>
      <c r="BH37" s="987"/>
      <c r="BI37" s="397"/>
      <c r="BJ37" s="397"/>
      <c r="BK37" s="397"/>
      <c r="BL37" s="397"/>
      <c r="BM37" s="397"/>
      <c r="BN37" s="397"/>
      <c r="BO37" s="987"/>
      <c r="BP37" s="397"/>
      <c r="BQ37" s="397"/>
      <c r="BR37" s="397"/>
      <c r="BS37" s="1916"/>
      <c r="BT37" s="397"/>
      <c r="BU37" s="987"/>
      <c r="BV37" s="397"/>
      <c r="BW37" s="398"/>
      <c r="BX37" s="1638"/>
      <c r="BY37" s="397"/>
      <c r="BZ37" s="397"/>
      <c r="CA37" s="338"/>
      <c r="CB37" s="397"/>
      <c r="CC37" s="397"/>
      <c r="CD37" s="397"/>
      <c r="CE37" s="397"/>
      <c r="CF37" s="397"/>
      <c r="CG37" s="338"/>
      <c r="CH37" s="397"/>
      <c r="CI37" s="397"/>
      <c r="CJ37" s="397"/>
      <c r="CK37" s="397"/>
      <c r="CL37" s="1702"/>
      <c r="CM37" s="338"/>
      <c r="CN37" s="397"/>
      <c r="CO37" s="397"/>
      <c r="CP37" s="397"/>
      <c r="CQ37" s="397"/>
      <c r="CR37" s="397"/>
      <c r="CS37" s="338"/>
      <c r="CT37" s="397"/>
      <c r="CU37" s="397"/>
      <c r="CV37" s="397"/>
      <c r="CW37" s="397"/>
      <c r="CX37" s="397"/>
      <c r="CY37" s="338"/>
      <c r="CZ37" s="190"/>
      <c r="DA37"/>
      <c r="DB37" s="190"/>
      <c r="DC37"/>
      <c r="DD37"/>
      <c r="DE37"/>
      <c r="DF37"/>
      <c r="DG37"/>
      <c r="DH37"/>
      <c r="DI37" s="974"/>
      <c r="DJ37" s="974"/>
      <c r="DK37" s="974"/>
      <c r="DM37" s="974"/>
    </row>
    <row r="38" spans="1:137" ht="11.25" customHeight="1" x14ac:dyDescent="0.2">
      <c r="A38" s="444" t="s">
        <v>410</v>
      </c>
      <c r="B38" s="10"/>
      <c r="C38" s="445"/>
      <c r="D38" s="10"/>
      <c r="E38" s="10"/>
      <c r="F38" s="43"/>
      <c r="G38" s="11"/>
      <c r="H38" s="10"/>
      <c r="I38" s="445"/>
      <c r="J38" s="10"/>
      <c r="K38" s="10"/>
      <c r="L38" s="10"/>
      <c r="M38" s="11"/>
      <c r="N38" s="10"/>
      <c r="O38" s="445"/>
      <c r="P38" s="10"/>
      <c r="Q38" s="10"/>
      <c r="R38" s="10"/>
      <c r="S38" s="11"/>
      <c r="T38" s="10"/>
      <c r="U38" s="445"/>
      <c r="V38" s="10"/>
      <c r="W38" s="10"/>
      <c r="X38" s="10"/>
      <c r="Y38" s="11"/>
      <c r="Z38" s="10"/>
      <c r="AA38" s="445"/>
      <c r="AB38" s="10"/>
      <c r="AC38" s="10"/>
      <c r="AD38" s="10"/>
      <c r="AE38" s="11"/>
      <c r="AF38" s="10"/>
      <c r="AG38" s="445"/>
      <c r="AH38" s="10"/>
      <c r="AI38" s="10"/>
      <c r="AJ38" s="10"/>
      <c r="AK38" s="11"/>
      <c r="AL38" s="10"/>
      <c r="AM38" s="445"/>
      <c r="AN38" s="10"/>
      <c r="AO38" s="10"/>
      <c r="AP38" s="10"/>
      <c r="AQ38" s="11"/>
      <c r="AR38" s="10"/>
      <c r="AS38" s="445"/>
      <c r="AT38" s="10"/>
      <c r="AU38" s="10"/>
      <c r="AV38" s="10"/>
      <c r="AW38" s="11"/>
      <c r="AX38" s="10"/>
      <c r="AY38" s="445"/>
      <c r="AZ38" s="10"/>
      <c r="BA38" s="10"/>
      <c r="BB38" s="10"/>
      <c r="BC38" s="11"/>
      <c r="BD38" s="10"/>
      <c r="BE38" s="445"/>
      <c r="BF38" s="10"/>
      <c r="BG38" s="10"/>
      <c r="BH38" s="10"/>
      <c r="BI38" s="11"/>
      <c r="BJ38" s="10"/>
      <c r="BK38" s="445"/>
      <c r="BL38" s="10"/>
      <c r="BM38" s="10"/>
      <c r="BN38" s="10"/>
      <c r="BO38" s="43"/>
      <c r="BP38" s="10"/>
      <c r="BQ38" s="445"/>
      <c r="BR38" s="10"/>
      <c r="BS38" s="10"/>
      <c r="BT38" s="10"/>
      <c r="BU38" s="43"/>
      <c r="BV38" s="10"/>
      <c r="BW38" s="445"/>
      <c r="BX38" s="10"/>
      <c r="BY38" s="10"/>
      <c r="BZ38" s="10"/>
      <c r="CA38" s="43"/>
      <c r="CB38" s="10"/>
      <c r="CC38" s="445"/>
      <c r="CD38" s="10"/>
      <c r="CE38" s="10"/>
      <c r="CF38" s="10"/>
      <c r="CG38" s="43"/>
      <c r="CH38" s="10"/>
      <c r="CI38" s="445"/>
      <c r="CJ38" s="10"/>
      <c r="CK38" s="10"/>
      <c r="CL38" s="10"/>
      <c r="CM38" s="43"/>
      <c r="CN38" s="10"/>
      <c r="CO38" s="445"/>
      <c r="CP38" s="10"/>
      <c r="CQ38" s="10"/>
      <c r="CR38" s="10"/>
      <c r="CS38" s="43"/>
      <c r="CT38" s="10"/>
      <c r="CU38" s="445"/>
      <c r="CV38" s="10"/>
      <c r="CW38" s="10"/>
      <c r="CX38" s="10"/>
      <c r="CY38" s="43"/>
      <c r="CZ38" s="39"/>
      <c r="DA38"/>
      <c r="DB38" s="190"/>
    </row>
    <row r="39" spans="1:137" s="271" customFormat="1" ht="11.25" customHeight="1" x14ac:dyDescent="0.2">
      <c r="A39" s="58" t="s">
        <v>136</v>
      </c>
      <c r="B39" s="39"/>
      <c r="C39" s="386">
        <f>C10/C9</f>
        <v>0.33971142434778989</v>
      </c>
      <c r="D39" s="384">
        <f>D10/D9</f>
        <v>0.32943013270882121</v>
      </c>
      <c r="E39" s="384">
        <f>E10/E9</f>
        <v>0.3235290864241232</v>
      </c>
      <c r="F39" s="1276">
        <f>F10/F9</f>
        <v>0.3274748510954556</v>
      </c>
      <c r="G39" s="1917">
        <f>G10/G9</f>
        <v>0.33013249121848309</v>
      </c>
      <c r="H39" s="39"/>
      <c r="I39" s="386">
        <f>I10/I9</f>
        <v>0.32205209155485398</v>
      </c>
      <c r="J39" s="384">
        <f>J10/J9</f>
        <v>0.32695258783904974</v>
      </c>
      <c r="K39" s="384">
        <f>K10/K9</f>
        <v>0.30411164374537614</v>
      </c>
      <c r="L39" s="384">
        <f>L10/L9</f>
        <v>0.28112511380516553</v>
      </c>
      <c r="M39" s="385">
        <f>M10/M9</f>
        <v>0.30812384693583</v>
      </c>
      <c r="N39" s="39"/>
      <c r="O39" s="386">
        <f>O10/O9</f>
        <v>0.30247895874534331</v>
      </c>
      <c r="P39" s="384">
        <f>P10/P9</f>
        <v>0.28818453984262538</v>
      </c>
      <c r="Q39" s="384">
        <f>Q10/Q9</f>
        <v>0.30665852686558304</v>
      </c>
      <c r="R39" s="384">
        <f>R10/R9</f>
        <v>0.29739218848051102</v>
      </c>
      <c r="S39" s="385">
        <f>S10/S9</f>
        <v>0.29868735749648978</v>
      </c>
      <c r="T39" s="39"/>
      <c r="U39" s="386">
        <f>U10/U9</f>
        <v>0.30442058508433761</v>
      </c>
      <c r="V39" s="384">
        <f>V10/V9</f>
        <v>0.30788883211516677</v>
      </c>
      <c r="W39" s="384">
        <f>W10/W9</f>
        <v>0.28700914896507995</v>
      </c>
      <c r="X39" s="384">
        <f>X10/X9</f>
        <v>0.27671436182357856</v>
      </c>
      <c r="Y39" s="385">
        <f>Y10/Y9</f>
        <v>0.29144440990251996</v>
      </c>
      <c r="Z39" s="39"/>
      <c r="AA39" s="386">
        <f>AA10/AA9</f>
        <v>0.2648691974158161</v>
      </c>
      <c r="AB39" s="384">
        <f>AB10/AB9</f>
        <v>0.26418618739903071</v>
      </c>
      <c r="AC39" s="384">
        <f>AC10/AC9</f>
        <v>0.2794107452339688</v>
      </c>
      <c r="AD39" s="384">
        <f>AD10/AD9</f>
        <v>0.27522440667675757</v>
      </c>
      <c r="AE39" s="1918">
        <f>AE10/AE9</f>
        <v>0.27121140009518752</v>
      </c>
      <c r="AF39" s="39"/>
      <c r="AG39" s="386">
        <f>AG10/AG9</f>
        <v>0.27602938447402603</v>
      </c>
      <c r="AH39" s="384">
        <f>AH10/AH9</f>
        <v>0.27883958760139249</v>
      </c>
      <c r="AI39" s="384">
        <f>AI10/AI9</f>
        <v>0.27189121116541309</v>
      </c>
      <c r="AJ39" s="384">
        <f>AJ10/AJ9</f>
        <v>0.28505899812160773</v>
      </c>
      <c r="AK39" s="1918">
        <f>AK10/AK9</f>
        <v>0.278218503206001</v>
      </c>
      <c r="AL39" s="39"/>
      <c r="AM39" s="386">
        <f>AM10/AM9</f>
        <v>0.28427471213932315</v>
      </c>
      <c r="AN39" s="384">
        <f>AN10/AN9</f>
        <v>0.28285842614514423</v>
      </c>
      <c r="AO39" s="384">
        <f>AO10/AO9</f>
        <v>0.28360254741776847</v>
      </c>
      <c r="AP39" s="384">
        <f>AP10/AP9</f>
        <v>0.2818146221401801</v>
      </c>
      <c r="AQ39" s="385">
        <f>AQ10/AQ9</f>
        <v>0.28311589424984207</v>
      </c>
      <c r="AR39" s="39"/>
      <c r="AS39" s="386">
        <f>AS10/AS9</f>
        <v>0.27743742077081729</v>
      </c>
      <c r="AT39" s="384">
        <f>AT10/AT9</f>
        <v>0.27099302919798568</v>
      </c>
      <c r="AU39" s="384">
        <f>AU10/AU9</f>
        <v>0.28472575592363747</v>
      </c>
      <c r="AV39" s="384">
        <f>AV10/AV9</f>
        <v>0.31457448717181974</v>
      </c>
      <c r="AW39" s="385">
        <f>AW10/AW9</f>
        <v>0.28829994862136854</v>
      </c>
      <c r="AX39" s="39"/>
      <c r="AY39" s="386">
        <f>AY10/AY9</f>
        <v>0.2923264804906518</v>
      </c>
      <c r="AZ39" s="384">
        <f>AZ10/AZ9</f>
        <v>0.28689866639758083</v>
      </c>
      <c r="BA39" s="384">
        <f>BA10/BA9</f>
        <v>0.28174531448721446</v>
      </c>
      <c r="BB39" s="384">
        <f>BB10/BB9</f>
        <v>0.27994240070181103</v>
      </c>
      <c r="BC39" s="385">
        <f>BC10/BC9</f>
        <v>0.28500959778581314</v>
      </c>
      <c r="BD39" s="39"/>
      <c r="BE39" s="386">
        <f>BE10/BE9</f>
        <v>0.27789746224998019</v>
      </c>
      <c r="BF39" s="384">
        <f>BF10/BF9</f>
        <v>0.29391110324513608</v>
      </c>
      <c r="BG39" s="384">
        <f>BG10/BG9</f>
        <v>0.2819885674050604</v>
      </c>
      <c r="BH39" s="384">
        <f>BH10/BH9</f>
        <v>0.27089372147220653</v>
      </c>
      <c r="BI39" s="385">
        <f>BI10/BI9</f>
        <v>0.28084621367071244</v>
      </c>
      <c r="BJ39" s="58"/>
      <c r="BK39" s="386">
        <f>BK10/BK9</f>
        <v>0.27587412917923071</v>
      </c>
      <c r="BL39" s="384">
        <f>BL10/BL9</f>
        <v>0.28489570911462186</v>
      </c>
      <c r="BM39" s="384">
        <f>BM10/BM9</f>
        <v>0.2755191428834442</v>
      </c>
      <c r="BN39" s="384">
        <f>BN10/BN9</f>
        <v>0.32325046423325299</v>
      </c>
      <c r="BO39" s="385">
        <f>BO10/BO9</f>
        <v>0.2907032284758988</v>
      </c>
      <c r="BP39" s="39"/>
      <c r="BQ39" s="386">
        <f>BQ10/BQ9</f>
        <v>0.27000056907765901</v>
      </c>
      <c r="BR39" s="384">
        <f>BR10/BR9</f>
        <v>0.29336121406390864</v>
      </c>
      <c r="BS39" s="384">
        <f>BS10/BS9</f>
        <v>0.29315458686868368</v>
      </c>
      <c r="BT39" s="384">
        <f>BT10/BT9</f>
        <v>0.29389670014347202</v>
      </c>
      <c r="BU39" s="385">
        <f>BU10/BU9</f>
        <v>0.28800948451741509</v>
      </c>
      <c r="BV39" s="39"/>
      <c r="BW39" s="386">
        <f>BW10/BW9</f>
        <v>0.30473324195067347</v>
      </c>
      <c r="BX39" s="384">
        <f>BX10/BX9</f>
        <v>0.29913400236833609</v>
      </c>
      <c r="BY39" s="384">
        <f>BY10/BY9</f>
        <v>0.28720197233417483</v>
      </c>
      <c r="BZ39" s="384">
        <f>BZ10/BZ9</f>
        <v>0.28841111550686876</v>
      </c>
      <c r="CA39" s="385">
        <f>CA10/CA9</f>
        <v>0.29442499986920689</v>
      </c>
      <c r="CB39" s="39"/>
      <c r="CC39" s="386">
        <f>CC10/CC9</f>
        <v>0.29438609692967371</v>
      </c>
      <c r="CD39" s="384">
        <f>CD10/CD9</f>
        <v>0.29404529670543411</v>
      </c>
      <c r="CE39" s="384">
        <f>CE10/CE9</f>
        <v>0.29006586169045007</v>
      </c>
      <c r="CF39" s="384">
        <f>CF10/CF9</f>
        <v>0.2943746490293695</v>
      </c>
      <c r="CG39" s="1917">
        <f>CG10/CG9</f>
        <v>0.29318984800183168</v>
      </c>
      <c r="CH39" s="39"/>
      <c r="CI39" s="1919">
        <f>CI10/CI9</f>
        <v>0.28134915622448164</v>
      </c>
      <c r="CJ39" s="1275">
        <f>CJ10/CJ9</f>
        <v>0.28172506756066851</v>
      </c>
      <c r="CK39" s="1275">
        <f>CK10/CK9</f>
        <v>0.29011245553694553</v>
      </c>
      <c r="CL39" s="1275">
        <f>CL10/CL9</f>
        <v>0.29628037520639805</v>
      </c>
      <c r="CM39" s="1917">
        <f>CM10/CM9</f>
        <v>0.2877987015523652</v>
      </c>
      <c r="CN39" s="39"/>
      <c r="CO39" s="1919">
        <f>CO10/CO9</f>
        <v>0.2807970624761349</v>
      </c>
      <c r="CP39" s="1275">
        <f>CP10/CP9</f>
        <v>0.28100278167928849</v>
      </c>
      <c r="CQ39" s="1275">
        <f>CQ10/CQ9</f>
        <v>0.28662564516851619</v>
      </c>
      <c r="CR39" s="1275">
        <f>CR10/CR9</f>
        <v>0.29158443399087164</v>
      </c>
      <c r="CS39" s="1917">
        <f>CS10/CS9</f>
        <v>0.28529490353396592</v>
      </c>
      <c r="CT39" s="39"/>
      <c r="CU39" s="1919">
        <f>CU10/CU9</f>
        <v>0.27892465911731468</v>
      </c>
      <c r="CV39" s="1275">
        <f>CV10/CV9</f>
        <v>0.27890135175099195</v>
      </c>
      <c r="CW39" s="1275">
        <f>CW10/CW9</f>
        <v>0.28426630048378321</v>
      </c>
      <c r="CX39" s="1275">
        <f>CX10/CX9</f>
        <v>0.28874587881818314</v>
      </c>
      <c r="CY39" s="1917">
        <f>CY10/CY9</f>
        <v>0.28296537541810018</v>
      </c>
      <c r="CZ39" s="31"/>
      <c r="DA39"/>
      <c r="DB39" s="31"/>
      <c r="DC39"/>
      <c r="DD39"/>
      <c r="DE39"/>
      <c r="DF39"/>
      <c r="DG39"/>
      <c r="DH39"/>
    </row>
    <row r="40" spans="1:137" s="272" customFormat="1" ht="11.25" customHeight="1" x14ac:dyDescent="0.2">
      <c r="A40" s="208" t="s">
        <v>252</v>
      </c>
      <c r="B40" s="440"/>
      <c r="C40" s="1920">
        <f>C11/C9</f>
        <v>0.66028857565221011</v>
      </c>
      <c r="D40" s="1079">
        <f>D11/D9</f>
        <v>0.67056986729117873</v>
      </c>
      <c r="E40" s="1079">
        <f>E11/E9</f>
        <v>0.67647091357587674</v>
      </c>
      <c r="F40" s="1921">
        <f>F11/F9</f>
        <v>0.6725251489045444</v>
      </c>
      <c r="G40" s="1922">
        <f>G11/G9</f>
        <v>0.66986750878151691</v>
      </c>
      <c r="H40" s="440"/>
      <c r="I40" s="1920">
        <f>I11/I9</f>
        <v>0.67794790844514596</v>
      </c>
      <c r="J40" s="1079">
        <f>J11/J9</f>
        <v>0.67304741216095021</v>
      </c>
      <c r="K40" s="1079">
        <f>K11/K9</f>
        <v>0.69588835625462386</v>
      </c>
      <c r="L40" s="1921">
        <f>L11/L9</f>
        <v>0.71887488619483442</v>
      </c>
      <c r="M40" s="1922">
        <f>M11/M9</f>
        <v>0.69187615306416994</v>
      </c>
      <c r="N40" s="440"/>
      <c r="O40" s="1920">
        <f>O11/O9</f>
        <v>0.69752104125465664</v>
      </c>
      <c r="P40" s="1079">
        <f>P11/P9</f>
        <v>0.71181546015737462</v>
      </c>
      <c r="Q40" s="1079">
        <f>Q11/Q9</f>
        <v>0.69334147313441696</v>
      </c>
      <c r="R40" s="1921">
        <f>R11/R9</f>
        <v>0.70260781151948892</v>
      </c>
      <c r="S40" s="1922">
        <f>S11/S9</f>
        <v>0.70131264250351022</v>
      </c>
      <c r="T40" s="440"/>
      <c r="U40" s="1920">
        <f>U11/U9</f>
        <v>0.69557941491566244</v>
      </c>
      <c r="V40" s="1079">
        <f>V11/V9</f>
        <v>0.69211116788483329</v>
      </c>
      <c r="W40" s="1079">
        <f>W11/W9</f>
        <v>0.7129908510349201</v>
      </c>
      <c r="X40" s="1921">
        <f>X11/X9</f>
        <v>0.72328563817642144</v>
      </c>
      <c r="Y40" s="1922">
        <f>Y11/Y9</f>
        <v>0.70855559009748004</v>
      </c>
      <c r="Z40" s="440"/>
      <c r="AA40" s="1920">
        <f>AA11/AA9</f>
        <v>0.73513080258418395</v>
      </c>
      <c r="AB40" s="1079">
        <f>AB11/AB9</f>
        <v>0.73581381260096923</v>
      </c>
      <c r="AC40" s="1079">
        <f>AC11/AC9</f>
        <v>0.7205892547660312</v>
      </c>
      <c r="AD40" s="1921">
        <f>AD11/AD9</f>
        <v>0.72477559332324248</v>
      </c>
      <c r="AE40" s="1923">
        <f>AE11/AE9</f>
        <v>0.72878859990481248</v>
      </c>
      <c r="AF40" s="440"/>
      <c r="AG40" s="1920">
        <f>AG11/AG9</f>
        <v>0.72397061552597397</v>
      </c>
      <c r="AH40" s="1079">
        <f>AH11/AH9</f>
        <v>0.72116041239860751</v>
      </c>
      <c r="AI40" s="1079">
        <f>AI11/AI9</f>
        <v>0.72810878883458696</v>
      </c>
      <c r="AJ40" s="1921">
        <f>AJ11/AJ9</f>
        <v>0.71494100187839227</v>
      </c>
      <c r="AK40" s="1923">
        <f>AK11/AK9</f>
        <v>0.72178149679399894</v>
      </c>
      <c r="AL40" s="440"/>
      <c r="AM40" s="1920">
        <f>AM11/AM9</f>
        <v>0.71572528786067691</v>
      </c>
      <c r="AN40" s="1079">
        <f>AN11/AN9</f>
        <v>0.71714157385485577</v>
      </c>
      <c r="AO40" s="1079">
        <f>AO11/AO9</f>
        <v>0.71639745258223153</v>
      </c>
      <c r="AP40" s="1921">
        <f>AP11/AP9</f>
        <v>0.71818537785981995</v>
      </c>
      <c r="AQ40" s="1922">
        <f>AQ11/AQ9</f>
        <v>0.71688410575015793</v>
      </c>
      <c r="AR40" s="440"/>
      <c r="AS40" s="1920">
        <f>AS11/AS9</f>
        <v>0.72256257922918277</v>
      </c>
      <c r="AT40" s="1079">
        <f>AT11/AT9</f>
        <v>0.72900697080201426</v>
      </c>
      <c r="AU40" s="1079">
        <f>AU11/AU9</f>
        <v>0.71527424407636264</v>
      </c>
      <c r="AV40" s="1921">
        <f>AV11/AV9</f>
        <v>0.68542551282818021</v>
      </c>
      <c r="AW40" s="1922">
        <f>AW11/AW9</f>
        <v>0.71170005137863146</v>
      </c>
      <c r="AX40" s="440"/>
      <c r="AY40" s="1920">
        <f>AY11/AY9</f>
        <v>0.7076735195093482</v>
      </c>
      <c r="AZ40" s="1079">
        <f>AZ11/AZ9</f>
        <v>0.71310133360241912</v>
      </c>
      <c r="BA40" s="1079">
        <f>BA11/BA9</f>
        <v>0.71825468551278548</v>
      </c>
      <c r="BB40" s="1921">
        <f>BB11/BB9</f>
        <v>0.72005759929818902</v>
      </c>
      <c r="BC40" s="1922">
        <f>BC11/BC9</f>
        <v>0.71499040221418686</v>
      </c>
      <c r="BD40" s="440"/>
      <c r="BE40" s="1920">
        <f>BE11/BE9</f>
        <v>0.72210253775001976</v>
      </c>
      <c r="BF40" s="1079">
        <f>BF11/BF9</f>
        <v>0.70608889675486397</v>
      </c>
      <c r="BG40" s="1079">
        <f>BG11/BG9</f>
        <v>0.7180114325949396</v>
      </c>
      <c r="BH40" s="1079">
        <f>BH11/BH9</f>
        <v>0.72910627852779342</v>
      </c>
      <c r="BI40" s="1922">
        <f>BI11/BI9</f>
        <v>0.7191537863292875</v>
      </c>
      <c r="BJ40" s="208"/>
      <c r="BK40" s="1920">
        <f>BK11/BK9</f>
        <v>0.72412587082076918</v>
      </c>
      <c r="BL40" s="1079">
        <f>BL11/BL9</f>
        <v>0.71510429088537808</v>
      </c>
      <c r="BM40" s="1079">
        <f>BM11/BM9</f>
        <v>0.72448085711655585</v>
      </c>
      <c r="BN40" s="1079">
        <f>BN11/BN9</f>
        <v>0.67674953576674701</v>
      </c>
      <c r="BO40" s="1922">
        <f>BO11/BO9</f>
        <v>0.7092967715241012</v>
      </c>
      <c r="BP40" s="440"/>
      <c r="BQ40" s="1920">
        <f>BQ11/BQ9</f>
        <v>0.72999943092234099</v>
      </c>
      <c r="BR40" s="1079">
        <f>BR11/BR9</f>
        <v>0.70663878593609131</v>
      </c>
      <c r="BS40" s="1079">
        <f>BS11/BS9</f>
        <v>0.70684541313131632</v>
      </c>
      <c r="BT40" s="1079">
        <f>BT11/BT9</f>
        <v>0.70610329985652798</v>
      </c>
      <c r="BU40" s="1922">
        <f>BU11/BU9</f>
        <v>0.71199051548258496</v>
      </c>
      <c r="BV40" s="440"/>
      <c r="BW40" s="1920">
        <f>BW11/BW9</f>
        <v>0.69526675804932658</v>
      </c>
      <c r="BX40" s="1079">
        <f>BX11/BX9</f>
        <v>0.70086599763166391</v>
      </c>
      <c r="BY40" s="1079">
        <f>BY11/BY9</f>
        <v>0.71279802766582512</v>
      </c>
      <c r="BZ40" s="1079">
        <f>BZ11/BZ9</f>
        <v>0.71158888449313129</v>
      </c>
      <c r="CA40" s="1922">
        <f>CA11/CA9</f>
        <v>0.70557500013079311</v>
      </c>
      <c r="CB40" s="440"/>
      <c r="CC40" s="1920">
        <f>CC11/CC9</f>
        <v>0.70561390307032623</v>
      </c>
      <c r="CD40" s="1079">
        <f>CD11/CD9</f>
        <v>0.70595470329456589</v>
      </c>
      <c r="CE40" s="1079">
        <f>CE11/CE9</f>
        <v>0.70993413830954999</v>
      </c>
      <c r="CF40" s="1079">
        <f>CF11/CF9</f>
        <v>0.70562535097063039</v>
      </c>
      <c r="CG40" s="1922">
        <f>CG11/CG9</f>
        <v>0.70681015199816832</v>
      </c>
      <c r="CH40" s="440"/>
      <c r="CI40" s="1274">
        <f>+Growth_Drivers!CI387</f>
        <v>0.71865084377551836</v>
      </c>
      <c r="CJ40" s="1273">
        <f>+Growth_Drivers!CJ387</f>
        <v>0.71827493243933149</v>
      </c>
      <c r="CK40" s="1273">
        <f>+Growth_Drivers!CK387</f>
        <v>0.70988754446305447</v>
      </c>
      <c r="CL40" s="1273">
        <f>+Growth_Drivers!CL387</f>
        <v>0.70371962479360195</v>
      </c>
      <c r="CM40" s="1922">
        <f>CM11/CM9</f>
        <v>0.7122012984476348</v>
      </c>
      <c r="CN40" s="440"/>
      <c r="CO40" s="1274">
        <f>+Growth_Drivers!CO387</f>
        <v>0.7192029375238651</v>
      </c>
      <c r="CP40" s="1273">
        <f>+Growth_Drivers!CP387</f>
        <v>0.71899721832071151</v>
      </c>
      <c r="CQ40" s="1273">
        <f>+Growth_Drivers!CQ387</f>
        <v>0.71337435483148381</v>
      </c>
      <c r="CR40" s="1273">
        <f>+Growth_Drivers!CR387</f>
        <v>0.70841556600912836</v>
      </c>
      <c r="CS40" s="1922">
        <f>CS11/CS9</f>
        <v>0.71470509646603408</v>
      </c>
      <c r="CT40" s="440"/>
      <c r="CU40" s="1274">
        <f>+Growth_Drivers!CU387</f>
        <v>0.72107534088268532</v>
      </c>
      <c r="CV40" s="1273">
        <f>+Growth_Drivers!CV387</f>
        <v>0.72109864824900805</v>
      </c>
      <c r="CW40" s="1273">
        <f>+Growth_Drivers!CW387</f>
        <v>0.71573369951621679</v>
      </c>
      <c r="CX40" s="1273">
        <f>+Growth_Drivers!CX387</f>
        <v>0.71125412118181686</v>
      </c>
      <c r="CY40" s="1922">
        <f>CY11/CY9</f>
        <v>0.71703462458189982</v>
      </c>
      <c r="CZ40" s="8"/>
      <c r="DA40" s="8"/>
      <c r="DB40" s="8"/>
      <c r="DC40"/>
      <c r="DD40"/>
      <c r="DE40"/>
      <c r="DF40"/>
      <c r="DG40"/>
      <c r="DH40"/>
      <c r="DI40" s="48"/>
      <c r="DJ40" s="48"/>
      <c r="DK40" s="1296"/>
      <c r="DL40" s="48"/>
      <c r="DM40" s="48"/>
      <c r="DN40" s="48"/>
      <c r="DO40" s="48"/>
      <c r="DP40" s="224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1296">
        <f>+DI41-EG41</f>
        <v>-0.33098490256333973</v>
      </c>
    </row>
    <row r="41" spans="1:137" s="272" customFormat="1" ht="11.25" customHeight="1" x14ac:dyDescent="0.2">
      <c r="A41" s="204" t="s">
        <v>412</v>
      </c>
      <c r="B41" s="440"/>
      <c r="C41" s="1920"/>
      <c r="D41" s="1079"/>
      <c r="E41" s="1079"/>
      <c r="F41" s="1921"/>
      <c r="G41" s="1922"/>
      <c r="H41" s="440"/>
      <c r="I41" s="1924">
        <f>(I11-C11)/(I9-C9)</f>
        <v>-0.96418199419168893</v>
      </c>
      <c r="J41" s="1925">
        <f>(J11-D11)/(J9-D9)</f>
        <v>0.81537565521257727</v>
      </c>
      <c r="K41" s="1925">
        <f>(K11-E11)/(K9-E9)</f>
        <v>0.90820029027576199</v>
      </c>
      <c r="L41" s="1926">
        <f>(L11-F11)/(L9-F9)</f>
        <v>1.2212389380530999</v>
      </c>
      <c r="M41" s="1927">
        <f>(M11-G11)/(M9-G9)</f>
        <v>1.1634020038275372</v>
      </c>
      <c r="N41" s="1925"/>
      <c r="O41" s="1924">
        <f>(O11-I11)/(O9-I9)</f>
        <v>0.83338203067932859</v>
      </c>
      <c r="P41" s="1925">
        <f>(P11-J11)/(P9-J9)</f>
        <v>1.0138985946113841</v>
      </c>
      <c r="Q41" s="1925">
        <f>(Q11-K11)/(Q9-K9)</f>
        <v>0.68029894124974111</v>
      </c>
      <c r="R41" s="1926">
        <f>(R11-L11)/(R9-L9)</f>
        <v>0.62382808874036877</v>
      </c>
      <c r="S41" s="1927">
        <f>(S11-M11)/(S9-M9)</f>
        <v>0.75710490776605366</v>
      </c>
      <c r="T41" s="1925"/>
      <c r="U41" s="1924">
        <f>(U11-O11)/(U9-O9)</f>
        <v>0.6845648090169062</v>
      </c>
      <c r="V41" s="1925">
        <f>(V11-P11)/(V9-P9)</f>
        <v>0.58979180042190182</v>
      </c>
      <c r="W41" s="1925">
        <f>(W11-Q11)/(W9-Q9)</f>
        <v>0.75247474145128057</v>
      </c>
      <c r="X41" s="1926">
        <f>(X11-R11)/(X9-R9)</f>
        <v>0.75415317847106156</v>
      </c>
      <c r="Y41" s="1927">
        <f>(Y11-S11)/(Y9-S9)</f>
        <v>0.72689080197395606</v>
      </c>
      <c r="Z41" s="1925"/>
      <c r="AA41" s="1924">
        <f>(AA11-U11)/(AA9-U9)</f>
        <v>0.79897004808966643</v>
      </c>
      <c r="AB41" s="1925">
        <f>(AB11-V11)/(AB9-V9)</f>
        <v>0.80704655457519081</v>
      </c>
      <c r="AC41" s="1925">
        <f>(AC11-W11)/(AC9-W9)</f>
        <v>0.74536626790725147</v>
      </c>
      <c r="AD41" s="1926">
        <f>(AD11-X11)/(AD9-X9)</f>
        <v>0.73639499944355624</v>
      </c>
      <c r="AE41" s="1927">
        <f>(AE11-Y11)/(AE9-Y9)</f>
        <v>0.78284628763861963</v>
      </c>
      <c r="AF41" s="1925"/>
      <c r="AG41" s="1924">
        <f>(AG11-AA11)/(AG9-AA9)</f>
        <v>0.55680914153468042</v>
      </c>
      <c r="AH41" s="1925">
        <f>(AH11-AB11)/(AH9-AB9)</f>
        <v>0.57777977366624755</v>
      </c>
      <c r="AI41" s="1925">
        <f>(AI11-AC11)/(AI9-AC9)</f>
        <v>0.7882463009806302</v>
      </c>
      <c r="AJ41" s="1926">
        <f>(AJ11-AD11)/(AJ9-AD9)</f>
        <v>0.66999383382149003</v>
      </c>
      <c r="AK41" s="1927">
        <f>(AK11-AE11)/(AK9-AE9)</f>
        <v>0.66823277706461337</v>
      </c>
      <c r="AL41" s="1925"/>
      <c r="AM41" s="1924">
        <f>(AM11-AG11)/(AM9-AG9)</f>
        <v>0.67378140038221457</v>
      </c>
      <c r="AN41" s="1925">
        <f>(AN11-AH11)/(AN9-AH9)</f>
        <v>0.67436397482492705</v>
      </c>
      <c r="AO41" s="1925">
        <f>(AO11-AI11)/(AO9-AI9)</f>
        <v>0.50893709919497887</v>
      </c>
      <c r="AP41" s="1926">
        <f>(AP11-AJ11)/(AP9-AJ9)</f>
        <v>0.41018062397373473</v>
      </c>
      <c r="AQ41" s="1927">
        <f>(AQ11-AK11)/(AQ9-AK9)</f>
        <v>0.65315826095920382</v>
      </c>
      <c r="AR41" s="1925"/>
      <c r="AS41" s="1929">
        <f>(AS11-AM11)/(AS9-AM9)</f>
        <v>-17.535353535355576</v>
      </c>
      <c r="AT41" s="1925">
        <f>(AT11-AN11)/(AT9-AN9)</f>
        <v>0.88920293951384932</v>
      </c>
      <c r="AU41" s="1925">
        <f>(AU11-AO11)/(AU9-AO9)</f>
        <v>0.69412410763316901</v>
      </c>
      <c r="AV41" s="1926">
        <f>(AV11-AP11)/(AV9-AP9)</f>
        <v>0.49177482020335689</v>
      </c>
      <c r="AW41" s="1927">
        <f>(AW11-AQ11)/(AW9-AQ9)</f>
        <v>0.64321638563584216</v>
      </c>
      <c r="AX41" s="1925"/>
      <c r="AY41" s="1924">
        <f>(AY11-AS11)/(AY9-AS9)</f>
        <v>0.58531579438380565</v>
      </c>
      <c r="AZ41" s="1925">
        <f>(AZ11-AT11)/(AZ9-AT9)</f>
        <v>0.53383128295254867</v>
      </c>
      <c r="BA41" s="1925">
        <f>(BA11-AU11)/(BA9-AU9)</f>
        <v>0.77414957153985886</v>
      </c>
      <c r="BB41" s="1926">
        <f>(BB11-AV11)/(BB9-AV9)</f>
        <v>1.6762714663144098</v>
      </c>
      <c r="BC41" s="1927">
        <f>(BC11-AW11)/(BC9-AW9)</f>
        <v>0.76042687317758551</v>
      </c>
      <c r="BD41" s="1925"/>
      <c r="BE41" s="1924">
        <f>(BE11-AY11)/(BE9-AY9)</f>
        <v>1.3199608610567499</v>
      </c>
      <c r="BF41" s="1925">
        <f>(BF11-AZ11)/(BF9-AZ9)</f>
        <v>0.47189911946950763</v>
      </c>
      <c r="BG41" s="1925">
        <f>(BG11-BA11)/(BG9-BA9)</f>
        <v>0.71421985452310166</v>
      </c>
      <c r="BH41" s="1925">
        <f>(BH11-BB11)/(BH9-BB9)</f>
        <v>0.92443779978819696</v>
      </c>
      <c r="BI41" s="1927">
        <f>(BI11-BC11)/(BI9-BC9)</f>
        <v>0.81973116623016318</v>
      </c>
      <c r="BJ41" s="1927"/>
      <c r="BK41" s="1924">
        <f>(BK11-BE11)/(BK9-BE9)</f>
        <v>0.76864535768645248</v>
      </c>
      <c r="BL41" s="1925">
        <f>(BL11-BF11)/(BL9-BF9)</f>
        <v>0.9075210792580094</v>
      </c>
      <c r="BM41" s="1925">
        <f>(BM11-BG11)/(BM9-BG9)</f>
        <v>0.88629692569133278</v>
      </c>
      <c r="BN41" s="893">
        <f>(BN11-BH11)/(BN9-BH9)</f>
        <v>11.371830985915608</v>
      </c>
      <c r="BO41" s="1927">
        <f>(BO11-BI11)/(BO9-BI9)</f>
        <v>0.38569597667931538</v>
      </c>
      <c r="BP41" s="1925"/>
      <c r="BQ41" s="1924">
        <f>(BQ11-BK11)/(BQ9-BK9)</f>
        <v>0.63001501823642869</v>
      </c>
      <c r="BR41" s="1925">
        <f>(BR11-BL11)/(BR9-BL9)</f>
        <v>0.94465665053900438</v>
      </c>
      <c r="BS41" s="1925">
        <f>(BS11-BM11)/(BS9-BM9)</f>
        <v>0.97440980356820994</v>
      </c>
      <c r="BT41" s="1930">
        <f>(BT11-BN11)/(BT9-BN9)</f>
        <v>-0.15426482534524782</v>
      </c>
      <c r="BU41" s="1927">
        <f>(BU11-BO11)/(BU9-BO9)</f>
        <v>0.65614267453142594</v>
      </c>
      <c r="BV41" s="1925"/>
      <c r="BW41" s="1924">
        <f>(BW11-BQ11)/(BW9-BQ9)</f>
        <v>30.340000000002874</v>
      </c>
      <c r="BX41" s="1925">
        <f>(BX11-BR11)/(BX9-BR9)</f>
        <v>0.57756084514576089</v>
      </c>
      <c r="BY41" s="1925">
        <f>(BY11-BS11)/(BY9-BS9)</f>
        <v>0.79041618305421957</v>
      </c>
      <c r="BZ41" s="384">
        <f>(BZ11-BT11)/(BZ9-BT9)</f>
        <v>0.81770746600055544</v>
      </c>
      <c r="CA41" s="1927">
        <f>(CA11-BU11)/(CA9-BU9)</f>
        <v>0.56071900607983138</v>
      </c>
      <c r="CB41" s="1925"/>
      <c r="CC41" s="1924">
        <f>(CC11-BW11)/(CC9-BW9)</f>
        <v>1.0166213357509812</v>
      </c>
      <c r="CD41" s="1925">
        <f>(CD11-BX11)/(CD9-BX9)</f>
        <v>0.81795445570619874</v>
      </c>
      <c r="CE41" s="1925">
        <f>(CE11-BY11)/(CE9-BY9)</f>
        <v>0.67221466070387004</v>
      </c>
      <c r="CF41" s="384">
        <f>(CF11-BZ11)/(CF9-BZ9)</f>
        <v>0.63419177724034137</v>
      </c>
      <c r="CG41" s="1927">
        <f>(CG11-CA11)/(CG9-CA9)</f>
        <v>0.72710415796841654</v>
      </c>
      <c r="CH41" s="1925"/>
      <c r="CI41" s="1924">
        <f>(CI11-CC11)/(CI9-CC9)</f>
        <v>0.83724783957444804</v>
      </c>
      <c r="CJ41" s="1925">
        <f>(CJ11-CD11)/(CJ9-CD9)</f>
        <v>0.82488481089903409</v>
      </c>
      <c r="CK41" s="1925">
        <f>(CK11-CE11)/(CK9-CE9)</f>
        <v>0.70944743784032482</v>
      </c>
      <c r="CL41" s="1926">
        <f>(CL11-CF11)/(CL9-CF9)</f>
        <v>0.68039558164570746</v>
      </c>
      <c r="CM41" s="1927">
        <f>(CM11-CG11)/(CM9-CG9)</f>
        <v>0.76486039071211909</v>
      </c>
      <c r="CN41" s="1925"/>
      <c r="CO41" s="1924">
        <f>(CO11-CI11)/(CO9-CI9)</f>
        <v>0.72420993745867479</v>
      </c>
      <c r="CP41" s="1925">
        <f>(CP11-CJ11)/(CP9-CJ9)</f>
        <v>0.72855801189250768</v>
      </c>
      <c r="CQ41" s="1925">
        <f>(CQ11-CK11)/(CQ9-CK9)</f>
        <v>0.77175316618943823</v>
      </c>
      <c r="CR41" s="1926">
        <f>(CR11-CL11)/(CR9-CL9)</f>
        <v>0.76144121182492019</v>
      </c>
      <c r="CS41" s="1927">
        <f>(CS11-CM11)/(CS9-CM9)</f>
        <v>0.74500366137026852</v>
      </c>
      <c r="CT41" s="1925"/>
      <c r="CU41" s="1924">
        <f>(CU11-CO11)/(CU9-CO9)</f>
        <v>0.73854812803439096</v>
      </c>
      <c r="CV41" s="1925">
        <f>(CV11-CP11)/(CV9-CP9)</f>
        <v>0.74197042092374421</v>
      </c>
      <c r="CW41" s="1925">
        <f>(CW11-CQ11)/(CW9-CQ9)</f>
        <v>0.73974673536317825</v>
      </c>
      <c r="CX41" s="1926">
        <f>(CX11-CR11)/(CX9-CR9)</f>
        <v>0.74043116284404542</v>
      </c>
      <c r="CY41" s="1927">
        <f>(CY11-CS11)/(CY9-CS9)</f>
        <v>0.74019422053264672</v>
      </c>
      <c r="CZ41" s="8"/>
      <c r="DA41" s="8"/>
      <c r="DB41" s="8"/>
      <c r="DC41"/>
      <c r="DD41"/>
      <c r="DE41"/>
      <c r="DF41"/>
      <c r="DG41"/>
      <c r="DH41"/>
      <c r="DI41" s="384"/>
      <c r="DJ41" s="39"/>
      <c r="DK41" s="39"/>
      <c r="DL41" s="39"/>
      <c r="DM41" s="39"/>
      <c r="DN41" s="39"/>
      <c r="DO41" s="384"/>
      <c r="DP41" s="233"/>
      <c r="DQ41" s="39"/>
      <c r="DR41" s="39"/>
      <c r="DS41" s="39"/>
      <c r="DT41" s="39"/>
      <c r="DU41" s="384"/>
      <c r="DV41" s="39"/>
      <c r="DW41" s="39"/>
      <c r="DX41" s="39"/>
      <c r="DY41" s="39"/>
      <c r="DZ41" s="39"/>
      <c r="EA41" s="384">
        <f>+CG43+CG44</f>
        <v>0.33527519946457196</v>
      </c>
      <c r="EB41" s="39"/>
      <c r="EC41" s="39"/>
      <c r="ED41" s="39"/>
      <c r="EE41" s="39"/>
      <c r="EF41" s="39"/>
      <c r="EG41" s="384">
        <f>+CM43+CM44</f>
        <v>0.33098490256333973</v>
      </c>
    </row>
    <row r="42" spans="1:137" s="271" customFormat="1" ht="11.25" customHeight="1" x14ac:dyDescent="0.2">
      <c r="A42" s="58" t="s">
        <v>253</v>
      </c>
      <c r="B42" s="39"/>
      <c r="C42" s="386">
        <f>C12/C9</f>
        <v>9.7566053842470177E-2</v>
      </c>
      <c r="D42" s="384">
        <f>D12/D9</f>
        <v>9.3849164106775337E-2</v>
      </c>
      <c r="E42" s="384">
        <f>E12/E9</f>
        <v>8.4521531365109592E-2</v>
      </c>
      <c r="F42" s="1276">
        <f>F12/F9</f>
        <v>9.9412756068710695E-2</v>
      </c>
      <c r="G42" s="385">
        <f>G12/G9</f>
        <v>9.3968142206715732E-2</v>
      </c>
      <c r="H42" s="39"/>
      <c r="I42" s="386">
        <f>I12/I9</f>
        <v>0.10579321231254933</v>
      </c>
      <c r="J42" s="384">
        <f>J12/J9</f>
        <v>9.3877673037447415E-2</v>
      </c>
      <c r="K42" s="384">
        <f>K12/K9</f>
        <v>8.9965643400796616E-2</v>
      </c>
      <c r="L42" s="1276">
        <f>L12/L9</f>
        <v>0.10301403996358237</v>
      </c>
      <c r="M42" s="385">
        <f>M12/M9</f>
        <v>9.8143802005547245E-2</v>
      </c>
      <c r="N42" s="39"/>
      <c r="O42" s="386">
        <f>O12/O9</f>
        <v>9.3712919100400138E-2</v>
      </c>
      <c r="P42" s="384">
        <f>P12/P9</f>
        <v>9.0388844241519703E-2</v>
      </c>
      <c r="Q42" s="384">
        <f>Q12/Q9</f>
        <v>8.5849464553709967E-2</v>
      </c>
      <c r="R42" s="1276">
        <f>R12/R9</f>
        <v>8.7472496048168646E-2</v>
      </c>
      <c r="S42" s="385">
        <f>S12/S9</f>
        <v>8.9227056666480606E-2</v>
      </c>
      <c r="T42" s="39"/>
      <c r="U42" s="386">
        <f>U12/U9</f>
        <v>9.017117744117488E-2</v>
      </c>
      <c r="V42" s="384">
        <f>V12/V9</f>
        <v>9.3972852287117062E-2</v>
      </c>
      <c r="W42" s="384">
        <f>W12/W9</f>
        <v>0.10117079577879433</v>
      </c>
      <c r="X42" s="1276">
        <f>X12/X9</f>
        <v>0.10866504300175049</v>
      </c>
      <c r="Y42" s="385">
        <f>Y12/Y9</f>
        <v>9.993474654264406E-2</v>
      </c>
      <c r="Z42" s="39"/>
      <c r="AA42" s="386">
        <f>AA12/AA9</f>
        <v>0.10317904840999297</v>
      </c>
      <c r="AB42" s="384">
        <f>AB12/AB9</f>
        <v>0.10941401086796886</v>
      </c>
      <c r="AC42" s="384">
        <f>AC12/AC9</f>
        <v>0.10430242634315424</v>
      </c>
      <c r="AD42" s="1276">
        <f>AD12/AD9</f>
        <v>0.11825989434229549</v>
      </c>
      <c r="AE42" s="1918">
        <f>AE12/AE9</f>
        <v>0.1089963324841121</v>
      </c>
      <c r="AF42" s="39"/>
      <c r="AG42" s="386">
        <f>AG12/AG9</f>
        <v>0.11606686189930884</v>
      </c>
      <c r="AH42" s="384">
        <f>AH12/AH9</f>
        <v>0.10389080431053149</v>
      </c>
      <c r="AI42" s="384">
        <f>AI12/AI9</f>
        <v>0.10300817610789535</v>
      </c>
      <c r="AJ42" s="1276">
        <f>AJ12/AJ9</f>
        <v>0.10571577814907443</v>
      </c>
      <c r="AK42" s="1918">
        <f>AK12/AK9</f>
        <v>0.10685019681628005</v>
      </c>
      <c r="AL42" s="39"/>
      <c r="AM42" s="386">
        <f>AM12/AM9</f>
        <v>0.11952081221346327</v>
      </c>
      <c r="AN42" s="384">
        <f>AN12/AN9</f>
        <v>0.11199461019039425</v>
      </c>
      <c r="AO42" s="384">
        <f>AO12/AO9</f>
        <v>0.11293503501423535</v>
      </c>
      <c r="AP42" s="1276">
        <f>AP12/AP9</f>
        <v>0.11900766347821223</v>
      </c>
      <c r="AQ42" s="385">
        <f>AQ12/AQ9</f>
        <v>0.11590620462355773</v>
      </c>
      <c r="AR42" s="39"/>
      <c r="AS42" s="386">
        <f>AS12/AS9</f>
        <v>0.1236145535731179</v>
      </c>
      <c r="AT42" s="384">
        <f>AT12/AT9</f>
        <v>0.11520428667113194</v>
      </c>
      <c r="AU42" s="384">
        <f>AU12/AU9</f>
        <v>0.11300690586219431</v>
      </c>
      <c r="AV42" s="1276">
        <f>AV12/AV9</f>
        <v>9.8125112134441653E-2</v>
      </c>
      <c r="AW42" s="385">
        <f>AW12/AW9</f>
        <v>0.11167885021290928</v>
      </c>
      <c r="AX42" s="39"/>
      <c r="AY42" s="386">
        <f>AY12/AY9</f>
        <v>9.6608888678977933E-2</v>
      </c>
      <c r="AZ42" s="384">
        <f>AZ12/AZ9</f>
        <v>9.9673516420203556E-2</v>
      </c>
      <c r="BA42" s="384">
        <f>BA12/BA9</f>
        <v>0.10190312498973016</v>
      </c>
      <c r="BB42" s="1276">
        <f>BB12/BB9</f>
        <v>9.2949568870984545E-2</v>
      </c>
      <c r="BC42" s="385">
        <f>BC12/BC9</f>
        <v>9.7632758741637821E-2</v>
      </c>
      <c r="BD42" s="39"/>
      <c r="BE42" s="386">
        <f>BE12/BE9</f>
        <v>0.11298653384984318</v>
      </c>
      <c r="BF42" s="384">
        <f>BF12/BF9</f>
        <v>0.1063139198260496</v>
      </c>
      <c r="BG42" s="384">
        <f>BG12/BG9</f>
        <v>0.10604951653896874</v>
      </c>
      <c r="BH42" s="384">
        <f>BH12/BH9</f>
        <v>0.12077719707103163</v>
      </c>
      <c r="BI42" s="385">
        <f>BI12/BI9</f>
        <v>0.11181321877793972</v>
      </c>
      <c r="BJ42" s="58"/>
      <c r="BK42" s="386">
        <f>BK12/BK9</f>
        <v>0.12709335702785052</v>
      </c>
      <c r="BL42" s="384">
        <f>BL12/BL9</f>
        <v>0.11444675564625933</v>
      </c>
      <c r="BM42" s="384">
        <f>BM12/BM9</f>
        <v>0.12311845039598285</v>
      </c>
      <c r="BN42" s="384">
        <f>BN12/BN9</f>
        <v>0.12172611623846347</v>
      </c>
      <c r="BO42" s="385">
        <f>BO12/BO9</f>
        <v>0.12154865222032468</v>
      </c>
      <c r="BP42" s="39"/>
      <c r="BQ42" s="386">
        <f>BQ12/BQ9</f>
        <v>0.12830357949847523</v>
      </c>
      <c r="BR42" s="384">
        <f>BR12/BR9</f>
        <v>0.10510054592807773</v>
      </c>
      <c r="BS42" s="384">
        <f>BS12/BS9</f>
        <v>0.11307186841343968</v>
      </c>
      <c r="BT42" s="384">
        <f>BT12/BT9</f>
        <v>0.10591104734576756</v>
      </c>
      <c r="BU42" s="385">
        <f>BU12/BU9</f>
        <v>0.1126879615624166</v>
      </c>
      <c r="BV42" s="39"/>
      <c r="BW42" s="386">
        <f>BW12/BW9</f>
        <v>0.13324999413497599</v>
      </c>
      <c r="BX42" s="384">
        <f>BX12/BX9</f>
        <v>0.1259524179754315</v>
      </c>
      <c r="BY42" s="384">
        <f>BY12/BY9</f>
        <v>0.10688988292956582</v>
      </c>
      <c r="BZ42" s="384">
        <f>BZ12/BZ9</f>
        <v>8.1791104502316858E-2</v>
      </c>
      <c r="CA42" s="385">
        <f>CA12/CA9</f>
        <v>0.11065744587718949</v>
      </c>
      <c r="CB42" s="39"/>
      <c r="CC42" s="386">
        <f>CC12/CC9</f>
        <v>0.12270276932657811</v>
      </c>
      <c r="CD42" s="384">
        <f>CD12/CD9</f>
        <v>0.110944892250133</v>
      </c>
      <c r="CE42" s="384">
        <f>CE12/CE9</f>
        <v>0.10545828759604831</v>
      </c>
      <c r="CF42" s="384">
        <f>CF12/CF9</f>
        <v>0.10310415423317797</v>
      </c>
      <c r="CG42" s="385">
        <f>CG12/CG9</f>
        <v>0.10989661306514963</v>
      </c>
      <c r="CH42" s="39"/>
      <c r="CI42" s="1281">
        <f>+Growth_Drivers!CI456</f>
        <v>0.14576433898328636</v>
      </c>
      <c r="CJ42" s="1280">
        <f>+Growth_Drivers!CJ456</f>
        <v>0.12559149263211147</v>
      </c>
      <c r="CK42" s="1280">
        <f>+Growth_Drivers!CK456</f>
        <v>0.12873829030768272</v>
      </c>
      <c r="CL42" s="1280">
        <f>+Growth_Drivers!CL456</f>
        <v>0.12093060174325372</v>
      </c>
      <c r="CM42" s="385">
        <f>CM12/CM9</f>
        <v>0.12953402356362206</v>
      </c>
      <c r="CN42" s="39"/>
      <c r="CO42" s="1281">
        <f>+Growth_Drivers!CO456</f>
        <v>0.12380253674415927</v>
      </c>
      <c r="CP42" s="1280">
        <f>+Growth_Drivers!CP456</f>
        <v>0.12519676469223881</v>
      </c>
      <c r="CQ42" s="1280">
        <f>+Growth_Drivers!CQ456</f>
        <v>0.11931936761571243</v>
      </c>
      <c r="CR42" s="1280">
        <f>+Growth_Drivers!CR456</f>
        <v>0.12082922738554321</v>
      </c>
      <c r="CS42" s="385">
        <f>CS12/CS9</f>
        <v>0.12219690989204174</v>
      </c>
      <c r="CT42" s="39"/>
      <c r="CU42" s="1281">
        <f>+Growth_Drivers!CU456</f>
        <v>0.11494449265885574</v>
      </c>
      <c r="CV42" s="1280">
        <f>+Growth_Drivers!CV456</f>
        <v>0.11669805255258783</v>
      </c>
      <c r="CW42" s="1280">
        <f>+Growth_Drivers!CW456</f>
        <v>0.11118332432913119</v>
      </c>
      <c r="CX42" s="1280">
        <f>+Growth_Drivers!CX456</f>
        <v>0.11287162613172587</v>
      </c>
      <c r="CY42" s="385">
        <f>CY12/CY9</f>
        <v>0.11386215716896311</v>
      </c>
      <c r="CZ42" s="31"/>
      <c r="DA42" s="31"/>
      <c r="DB42" s="260"/>
      <c r="DC42"/>
      <c r="DD42"/>
      <c r="DE42"/>
      <c r="DF42"/>
      <c r="DG42"/>
      <c r="DH42"/>
      <c r="DI42" s="350"/>
      <c r="DJ42" s="240"/>
      <c r="DK42" s="240"/>
      <c r="DL42" s="240"/>
      <c r="DM42" s="240"/>
      <c r="DN42" s="240"/>
      <c r="DO42" s="240"/>
      <c r="DP42" s="240"/>
      <c r="DQ42" s="240"/>
      <c r="DR42" s="240"/>
      <c r="DS42" s="240"/>
      <c r="DT42" s="240"/>
      <c r="DU42" s="240"/>
      <c r="DV42" s="240"/>
      <c r="DW42" s="240"/>
      <c r="DX42" s="240"/>
      <c r="DY42" s="240"/>
      <c r="DZ42" s="240"/>
      <c r="EA42" s="240"/>
      <c r="EB42" s="240"/>
      <c r="EC42" s="240"/>
      <c r="ED42" s="240"/>
      <c r="EE42" s="240"/>
      <c r="EF42" s="240"/>
      <c r="EG42" s="240"/>
    </row>
    <row r="43" spans="1:137" s="271" customFormat="1" ht="11.25" customHeight="1" x14ac:dyDescent="0.2">
      <c r="A43" s="58" t="s">
        <v>254</v>
      </c>
      <c r="B43" s="39"/>
      <c r="C43" s="386">
        <f>C13/C9</f>
        <v>0.24571612983822277</v>
      </c>
      <c r="D43" s="384">
        <f>D13/D9</f>
        <v>0.21697740198911161</v>
      </c>
      <c r="E43" s="384">
        <f>E13/E9</f>
        <v>0.22156344369102801</v>
      </c>
      <c r="F43" s="1276">
        <f>F13/F9</f>
        <v>0.23522207450984486</v>
      </c>
      <c r="G43" s="385">
        <f>G13/G9</f>
        <v>0.22989840500855163</v>
      </c>
      <c r="H43" s="39"/>
      <c r="I43" s="386">
        <f>I13/I9</f>
        <v>0.23471717968955536</v>
      </c>
      <c r="J43" s="384">
        <f>J13/J9</f>
        <v>0.23412121091336666</v>
      </c>
      <c r="K43" s="384">
        <f>K13/K9</f>
        <v>0.24390145027414342</v>
      </c>
      <c r="L43" s="1276">
        <f>L13/L9</f>
        <v>0.23790310987589242</v>
      </c>
      <c r="M43" s="385">
        <f>M13/M9</f>
        <v>0.23767617565481491</v>
      </c>
      <c r="N43" s="39"/>
      <c r="O43" s="386">
        <f>O13/O9</f>
        <v>0.24301154394517777</v>
      </c>
      <c r="P43" s="384">
        <f>P13/P9</f>
        <v>0.25400722404246112</v>
      </c>
      <c r="Q43" s="384">
        <f>Q13/Q9</f>
        <v>0.24340548927835576</v>
      </c>
      <c r="R43" s="1276">
        <f>R13/R9</f>
        <v>0.2546170893868504</v>
      </c>
      <c r="S43" s="385">
        <f>S13/S9</f>
        <v>0.2489211598658588</v>
      </c>
      <c r="T43" s="39"/>
      <c r="U43" s="386">
        <f>U13/U9</f>
        <v>0.24478608684772329</v>
      </c>
      <c r="V43" s="384">
        <f>V13/V9</f>
        <v>0.23693155310688027</v>
      </c>
      <c r="W43" s="384">
        <f>W13/W9</f>
        <v>0.25568413424521036</v>
      </c>
      <c r="X43" s="1276">
        <f>X13/X9</f>
        <v>0.26747659639241939</v>
      </c>
      <c r="Y43" s="385">
        <f>Y13/Y9</f>
        <v>0.25345735594221991</v>
      </c>
      <c r="Z43" s="39"/>
      <c r="AA43" s="386">
        <f>AA13/AA9</f>
        <v>0.26111266694349761</v>
      </c>
      <c r="AB43" s="384">
        <f>AB13/AB9</f>
        <v>0.26479659274489642</v>
      </c>
      <c r="AC43" s="384">
        <f>AC13/AC9</f>
        <v>0.24251299826689773</v>
      </c>
      <c r="AD43" s="1276">
        <f>AD13/AD9</f>
        <v>0.25154628743449081</v>
      </c>
      <c r="AE43" s="1918">
        <f>AE13/AE9</f>
        <v>0.25466334443853411</v>
      </c>
      <c r="AF43" s="39"/>
      <c r="AG43" s="386">
        <f>AG13/AG9</f>
        <v>0.25391408254991332</v>
      </c>
      <c r="AH43" s="384">
        <f>AH13/AH9</f>
        <v>0.24583603990739356</v>
      </c>
      <c r="AI43" s="384">
        <f>AI13/AI9</f>
        <v>0.23384130725297411</v>
      </c>
      <c r="AJ43" s="1276">
        <f>AJ13/AJ9</f>
        <v>0.23854543945038856</v>
      </c>
      <c r="AK43" s="1918">
        <f>AK13/AK9</f>
        <v>0.24243210457257444</v>
      </c>
      <c r="AL43" s="39"/>
      <c r="AM43" s="386">
        <f>AM13/AM9</f>
        <v>0.24373969224251416</v>
      </c>
      <c r="AN43" s="384">
        <f>AN13/AN9</f>
        <v>0.25219056174300958</v>
      </c>
      <c r="AO43" s="384">
        <f>AO13/AO9</f>
        <v>0.24402789473492348</v>
      </c>
      <c r="AP43" s="1276">
        <f>AP13/AP9</f>
        <v>0.24421043799295172</v>
      </c>
      <c r="AQ43" s="385">
        <f>AQ13/AQ9</f>
        <v>0.24597790572459308</v>
      </c>
      <c r="AR43" s="39"/>
      <c r="AS43" s="386">
        <f>AS13/AS9</f>
        <v>0.2588840746977466</v>
      </c>
      <c r="AT43" s="384">
        <f>AT13/AT9</f>
        <v>0.270946958823717</v>
      </c>
      <c r="AU43" s="384">
        <f>AU13/AU9</f>
        <v>0.27742181144746181</v>
      </c>
      <c r="AV43" s="1276">
        <f>AV13/AV9</f>
        <v>0.24615752646372818</v>
      </c>
      <c r="AW43" s="385">
        <f>AW13/AW9</f>
        <v>0.26273373644044395</v>
      </c>
      <c r="AX43" s="39"/>
      <c r="AY43" s="386">
        <f>AY13/AY9</f>
        <v>0.27791122116442096</v>
      </c>
      <c r="AZ43" s="384">
        <f>AZ13/AZ9</f>
        <v>0.27755661381517061</v>
      </c>
      <c r="BA43" s="384">
        <f>BA13/BA9</f>
        <v>0.27898478091551127</v>
      </c>
      <c r="BB43" s="1276">
        <f>BB13/BB9</f>
        <v>0.26262798240855095</v>
      </c>
      <c r="BC43" s="385">
        <f>BC13/BC9</f>
        <v>0.27386293341496237</v>
      </c>
      <c r="BD43" s="39"/>
      <c r="BE43" s="386">
        <f>BE13/BE9</f>
        <v>0.2950727330223733</v>
      </c>
      <c r="BF43" s="384">
        <f>BF13/BF9</f>
        <v>0.28853520094054591</v>
      </c>
      <c r="BG43" s="384">
        <f>BG13/BG9</f>
        <v>0.28460429077455679</v>
      </c>
      <c r="BH43" s="384">
        <f>BH13/BH9</f>
        <v>0.27163837445012895</v>
      </c>
      <c r="BI43" s="385">
        <f>BI13/BI9</f>
        <v>0.28439034770787153</v>
      </c>
      <c r="BJ43" s="58"/>
      <c r="BK43" s="386">
        <f>BK13/BK9</f>
        <v>0.28790413803316606</v>
      </c>
      <c r="BL43" s="384">
        <f>BL13/BL9</f>
        <v>0.28021326119968482</v>
      </c>
      <c r="BM43" s="384">
        <f>BM13/BM9</f>
        <v>0.2734523707005348</v>
      </c>
      <c r="BN43" s="384">
        <f>BN13/BN9</f>
        <v>0.27880324824699981</v>
      </c>
      <c r="BO43" s="385">
        <f>BO13/BO9</f>
        <v>0.27995724187829685</v>
      </c>
      <c r="BP43" s="39"/>
      <c r="BQ43" s="386">
        <f>BQ13/BQ9</f>
        <v>0.29662670848829542</v>
      </c>
      <c r="BR43" s="384">
        <f>BR13/BR9</f>
        <v>0.28119678453370728</v>
      </c>
      <c r="BS43" s="384">
        <f>BS13/BS9</f>
        <v>0.28216784661798511</v>
      </c>
      <c r="BT43" s="384">
        <f>BT13/BT9</f>
        <v>0.26904734576757533</v>
      </c>
      <c r="BU43" s="385">
        <f>BU13/BU9</f>
        <v>0.28172809905357754</v>
      </c>
      <c r="BV43" s="39"/>
      <c r="BW43" s="386">
        <f>BW13/BW9</f>
        <v>0.31494508661802606</v>
      </c>
      <c r="BX43" s="384">
        <f>BX13/BX9</f>
        <v>0.29535722402306142</v>
      </c>
      <c r="BY43" s="384">
        <f>BY13/BY9</f>
        <v>0.27884907805187709</v>
      </c>
      <c r="BZ43" s="384">
        <f>BZ13/BZ9</f>
        <v>0.26266773983784203</v>
      </c>
      <c r="CA43" s="385">
        <f>CA13/CA9</f>
        <v>0.28659211210439128</v>
      </c>
      <c r="CB43" s="39"/>
      <c r="CC43" s="386">
        <f>CC13/CC9</f>
        <v>0.29950114496636454</v>
      </c>
      <c r="CD43" s="384">
        <f>CD13/CD9</f>
        <v>0.27421440135466785</v>
      </c>
      <c r="CE43" s="384">
        <f>CE13/CE9</f>
        <v>0.26520581778265645</v>
      </c>
      <c r="CF43" s="384">
        <f>CF13/CF9</f>
        <v>0.23224371904218699</v>
      </c>
      <c r="CG43" s="385">
        <f>CG13/CG9</f>
        <v>0.26565193652359231</v>
      </c>
      <c r="CH43" s="39"/>
      <c r="CI43" s="1281">
        <f>+Growth_Drivers!CI454</f>
        <v>0.29204874379235363</v>
      </c>
      <c r="CJ43" s="1280">
        <f>+Growth_Drivers!CJ454</f>
        <v>0.27165832400464107</v>
      </c>
      <c r="CK43" s="1280">
        <f>+Growth_Drivers!CK454</f>
        <v>0.26265497627140105</v>
      </c>
      <c r="CL43" s="1280">
        <f>+Growth_Drivers!CL454</f>
        <v>0.22951395233494845</v>
      </c>
      <c r="CM43" s="385">
        <f>CM13/CM9</f>
        <v>0.26222920973561648</v>
      </c>
      <c r="CN43" s="39"/>
      <c r="CO43" s="1281">
        <f>+Growth_Drivers!CO454</f>
        <v>0.28743503432714246</v>
      </c>
      <c r="CP43" s="1280">
        <f>+Growth_Drivers!CP454</f>
        <v>0.26684503677010502</v>
      </c>
      <c r="CQ43" s="1280">
        <f>+Growth_Drivers!CQ454</f>
        <v>0.25788238536414898</v>
      </c>
      <c r="CR43" s="1280">
        <f>+Growth_Drivers!CR454</f>
        <v>0.22487962438016085</v>
      </c>
      <c r="CS43" s="385">
        <f>CS13/CS9</f>
        <v>0.25761990774525495</v>
      </c>
      <c r="CT43" s="39"/>
      <c r="CU43" s="1281">
        <f>+Growth_Drivers!CU454</f>
        <v>0.28376567886450238</v>
      </c>
      <c r="CV43" s="1280">
        <f>+Growth_Drivers!CV454</f>
        <v>0.26310476649581083</v>
      </c>
      <c r="CW43" s="1280">
        <f>+Growth_Drivers!CW454</f>
        <v>0.25435199247735801</v>
      </c>
      <c r="CX43" s="1280">
        <f>+Growth_Drivers!CX454</f>
        <v>0.22124840264955692</v>
      </c>
      <c r="CY43" s="385">
        <f>CY13/CY9</f>
        <v>0.25404553695087528</v>
      </c>
      <c r="CZ43" s="31"/>
      <c r="DA43" s="31"/>
      <c r="DB43" s="31"/>
      <c r="DC43"/>
      <c r="DD43"/>
      <c r="DE43"/>
      <c r="DF43"/>
      <c r="DG43"/>
      <c r="DH43"/>
    </row>
    <row r="44" spans="1:137" s="271" customFormat="1" ht="11.25" customHeight="1" x14ac:dyDescent="0.2">
      <c r="A44" s="58" t="s">
        <v>255</v>
      </c>
      <c r="B44" s="39"/>
      <c r="C44" s="386">
        <f>C14/C9</f>
        <v>0.11887609569218599</v>
      </c>
      <c r="D44" s="384">
        <f>D14/D9</f>
        <v>0.10938086113730142</v>
      </c>
      <c r="E44" s="384">
        <f>E14/E9</f>
        <v>0.10830392796699227</v>
      </c>
      <c r="F44" s="1276">
        <f>F14/F9</f>
        <v>0.10170520564005399</v>
      </c>
      <c r="G44" s="385">
        <f>G14/G9</f>
        <v>0.10959490737699966</v>
      </c>
      <c r="H44" s="39"/>
      <c r="I44" s="386">
        <f>I14/I9</f>
        <v>0.11230728755590634</v>
      </c>
      <c r="J44" s="384">
        <f>J14/J9</f>
        <v>9.9707037088705971E-2</v>
      </c>
      <c r="K44" s="384">
        <f>K14/K9</f>
        <v>9.6755885721235238E-2</v>
      </c>
      <c r="L44" s="1276">
        <f>L14/L9</f>
        <v>9.4858402415065393E-2</v>
      </c>
      <c r="M44" s="385">
        <f>M14/M9</f>
        <v>0.10071160531633178</v>
      </c>
      <c r="N44" s="39"/>
      <c r="O44" s="386">
        <f>O14/O9</f>
        <v>0.10531205445430712</v>
      </c>
      <c r="P44" s="384">
        <f>P14/P9</f>
        <v>0.11022405129246775</v>
      </c>
      <c r="Q44" s="384">
        <f>Q14/Q9</f>
        <v>0.10470667039740883</v>
      </c>
      <c r="R44" s="1276">
        <f>R14/R9</f>
        <v>9.7663852062498516E-2</v>
      </c>
      <c r="S44" s="385">
        <f>S14/S9</f>
        <v>0.10428573268810462</v>
      </c>
      <c r="T44" s="39"/>
      <c r="U44" s="386">
        <f>U14/U9</f>
        <v>0.10395764746361798</v>
      </c>
      <c r="V44" s="384">
        <f>V14/V9</f>
        <v>9.4609705344381997E-2</v>
      </c>
      <c r="W44" s="384">
        <f>W14/W9</f>
        <v>0.10909687938765342</v>
      </c>
      <c r="X44" s="1276">
        <f>X14/X9</f>
        <v>0.10080675850521344</v>
      </c>
      <c r="Y44" s="385">
        <f>Y14/Y9</f>
        <v>0.10239252416994216</v>
      </c>
      <c r="Z44" s="39"/>
      <c r="AA44" s="386">
        <f>AA14/AA9</f>
        <v>8.7409345938794625E-2</v>
      </c>
      <c r="AB44" s="384">
        <f>AB14/AB9</f>
        <v>8.3515384050521363E-2</v>
      </c>
      <c r="AC44" s="384">
        <f>AC14/AC9</f>
        <v>8.4237435008665512E-2</v>
      </c>
      <c r="AD44" s="1276">
        <f>AD14/AD9</f>
        <v>7.4601253894704858E-2</v>
      </c>
      <c r="AE44" s="1918">
        <f>AE14/AE9</f>
        <v>8.2237464654665568E-2</v>
      </c>
      <c r="AF44" s="39"/>
      <c r="AG44" s="386">
        <f>AG14/AG9</f>
        <v>8.5944607641230603E-2</v>
      </c>
      <c r="AH44" s="384">
        <f>AH14/AH9</f>
        <v>7.2415429970519168E-2</v>
      </c>
      <c r="AI44" s="384">
        <f>AI14/AI9</f>
        <v>7.6330880115844241E-2</v>
      </c>
      <c r="AJ44" s="1276">
        <f>AJ14/AJ9</f>
        <v>8.2448620955662355E-2</v>
      </c>
      <c r="AK44" s="1918">
        <f>AK14/AK9</f>
        <v>7.9254326244646359E-2</v>
      </c>
      <c r="AL44" s="39"/>
      <c r="AM44" s="386">
        <f>AM14/AM9</f>
        <v>7.3913240834606833E-2</v>
      </c>
      <c r="AN44" s="384">
        <f>AN14/AN9</f>
        <v>7.4368714743565323E-2</v>
      </c>
      <c r="AO44" s="384">
        <f>AO14/AO9</f>
        <v>7.1027315113536535E-2</v>
      </c>
      <c r="AP44" s="1276">
        <f>AP14/AP9</f>
        <v>6.7289673882642495E-2</v>
      </c>
      <c r="AQ44" s="385">
        <f>AQ14/AQ9</f>
        <v>7.1553045664506529E-2</v>
      </c>
      <c r="AR44" s="39"/>
      <c r="AS44" s="386">
        <f>AS14/AS9</f>
        <v>7.3021398974514207E-2</v>
      </c>
      <c r="AT44" s="384">
        <f>AT14/AT9</f>
        <v>6.4197294605867955E-2</v>
      </c>
      <c r="AU44" s="384">
        <f>AU14/AU9</f>
        <v>6.6133582567457647E-2</v>
      </c>
      <c r="AV44" s="1276">
        <f>AV14/AV9</f>
        <v>5.4990730219484467E-2</v>
      </c>
      <c r="AW44" s="385">
        <f>AW14/AW9</f>
        <v>6.4036924223785138E-2</v>
      </c>
      <c r="AX44" s="39"/>
      <c r="AY44" s="386">
        <f>AY14/AY9</f>
        <v>6.2438010673971561E-2</v>
      </c>
      <c r="AZ44" s="384">
        <f>AZ14/AZ9</f>
        <v>5.457776851891033E-2</v>
      </c>
      <c r="BA44" s="384">
        <f>BA14/BA9</f>
        <v>6.2167873304654439E-2</v>
      </c>
      <c r="BB44" s="1276">
        <f>BB14/BB9</f>
        <v>5.8511190885690297E-2</v>
      </c>
      <c r="BC44" s="385">
        <f>BC14/BC9</f>
        <v>5.9362783549203817E-2</v>
      </c>
      <c r="BD44" s="39"/>
      <c r="BE44" s="386">
        <f>BE14/BE9</f>
        <v>5.5873982132974946E-2</v>
      </c>
      <c r="BF44" s="384">
        <f>BF14/BF9</f>
        <v>4.7507679860435144E-2</v>
      </c>
      <c r="BG44" s="384">
        <f>BG14/BG9</f>
        <v>5.6499007136879241E-2</v>
      </c>
      <c r="BH44" s="384">
        <f>BH14/BH9</f>
        <v>4.3531861494546104E-2</v>
      </c>
      <c r="BI44" s="385">
        <f>BI14/BI9</f>
        <v>5.0577012578231217E-2</v>
      </c>
      <c r="BJ44" s="58"/>
      <c r="BK44" s="386">
        <f>BK14/BK9</f>
        <v>7.338683504898022E-2</v>
      </c>
      <c r="BL44" s="384">
        <f>BL14/BL9</f>
        <v>7.5486736083227424E-2</v>
      </c>
      <c r="BM44" s="384">
        <f>BM14/BM9</f>
        <v>7.6179559741891043E-2</v>
      </c>
      <c r="BN44" s="384">
        <f>BN14/BN9</f>
        <v>7.7888639450126113E-2</v>
      </c>
      <c r="BO44" s="385">
        <f>BO14/BO9</f>
        <v>7.5808753232301546E-2</v>
      </c>
      <c r="BP44" s="39"/>
      <c r="BQ44" s="386">
        <f>BQ14/BQ9</f>
        <v>7.9560404245988856E-2</v>
      </c>
      <c r="BR44" s="384">
        <f>BR14/BR9</f>
        <v>7.3503080236401883E-2</v>
      </c>
      <c r="BS44" s="384">
        <f>BS14/BS9</f>
        <v>6.2824062741407866E-2</v>
      </c>
      <c r="BT44" s="384">
        <f>BT14/BT9</f>
        <v>6.4746054519368726E-2</v>
      </c>
      <c r="BU44" s="385">
        <f>BU14/BU9</f>
        <v>6.9911632894853928E-2</v>
      </c>
      <c r="BV44" s="39"/>
      <c r="BW44" s="386">
        <f>BW14/BW9</f>
        <v>6.4538724239976669E-2</v>
      </c>
      <c r="BX44" s="384">
        <f>BX14/BX9</f>
        <v>7.2676817817542427E-2</v>
      </c>
      <c r="BY44" s="384">
        <f>BY14/BY9</f>
        <v>7.0927262795813212E-2</v>
      </c>
      <c r="BZ44" s="384">
        <f>BZ14/BZ9</f>
        <v>5.9647399606200746E-2</v>
      </c>
      <c r="CA44" s="385">
        <f>CA14/CA9</f>
        <v>6.6849976320219398E-2</v>
      </c>
      <c r="CB44" s="39"/>
      <c r="CC44" s="386">
        <f>CC14/CC9</f>
        <v>7.6378662757130872E-2</v>
      </c>
      <c r="CD44" s="384">
        <f>CD14/CD9</f>
        <v>6.9220779963730605E-2</v>
      </c>
      <c r="CE44" s="384">
        <f>CE14/CE9</f>
        <v>7.0699780461031841E-2</v>
      </c>
      <c r="CF44" s="384">
        <f>CF14/CF9</f>
        <v>6.374508011573532E-2</v>
      </c>
      <c r="CG44" s="385">
        <f>CG14/CG9</f>
        <v>6.9623262940979619E-2</v>
      </c>
      <c r="CH44" s="39"/>
      <c r="CI44" s="1281">
        <f>+Growth_Drivers!CI455</f>
        <v>7.0667939060753568E-2</v>
      </c>
      <c r="CJ44" s="1280">
        <f>+Growth_Drivers!CJ455</f>
        <v>6.9841285211870302E-2</v>
      </c>
      <c r="CK44" s="1280">
        <f>+Growth_Drivers!CK455</f>
        <v>6.7860697751025975E-2</v>
      </c>
      <c r="CL44" s="1280">
        <f>+Growth_Drivers!CL455</f>
        <v>6.7086331817913541E-2</v>
      </c>
      <c r="CM44" s="385">
        <f>CM14/CM9</f>
        <v>6.8755692827723272E-2</v>
      </c>
      <c r="CN44" s="39"/>
      <c r="CO44" s="1281">
        <f>+Growth_Drivers!CO455</f>
        <v>6.9757739038424416E-2</v>
      </c>
      <c r="CP44" s="1280">
        <f>+Growth_Drivers!CP455</f>
        <v>6.888473957890906E-2</v>
      </c>
      <c r="CQ44" s="1280">
        <f>+Growth_Drivers!CQ455</f>
        <v>6.6910615522668471E-2</v>
      </c>
      <c r="CR44" s="1280">
        <f>+Growth_Drivers!CR455</f>
        <v>6.6180871154602722E-2</v>
      </c>
      <c r="CS44" s="385">
        <f>CS14/CS9</f>
        <v>6.7836541341476361E-2</v>
      </c>
      <c r="CT44" s="39"/>
      <c r="CU44" s="1281">
        <f>+Growth_Drivers!CU455</f>
        <v>6.883846846954611E-2</v>
      </c>
      <c r="CV44" s="1280">
        <f>+Growth_Drivers!CV455</f>
        <v>6.7951292357107604E-2</v>
      </c>
      <c r="CW44" s="1280">
        <f>+Growth_Drivers!CW455</f>
        <v>6.6031364916613697E-2</v>
      </c>
      <c r="CX44" s="1280">
        <f>+Growth_Drivers!CX455</f>
        <v>6.5284865027077699E-2</v>
      </c>
      <c r="CY44" s="385">
        <f>CY14/CY9</f>
        <v>6.6934691151471104E-2</v>
      </c>
      <c r="CZ44" s="31"/>
      <c r="DA44" s="31"/>
      <c r="DB44" s="31"/>
      <c r="DC44"/>
      <c r="DD44"/>
      <c r="DE44"/>
      <c r="DF44"/>
      <c r="DG44"/>
      <c r="DH44"/>
    </row>
    <row r="45" spans="1:137" s="272" customFormat="1" ht="11.25" customHeight="1" x14ac:dyDescent="0.2">
      <c r="A45" s="208" t="s">
        <v>248</v>
      </c>
      <c r="B45" s="440"/>
      <c r="C45" s="1920">
        <f>C17/C9</f>
        <v>0.19813029627933121</v>
      </c>
      <c r="D45" s="1079">
        <f>D17/D9</f>
        <v>0.25036244005799047</v>
      </c>
      <c r="E45" s="1079">
        <f>E17/E9</f>
        <v>0.26208201055274688</v>
      </c>
      <c r="F45" s="1921">
        <f>F17/F9</f>
        <v>0.23618511268593487</v>
      </c>
      <c r="G45" s="1922">
        <f>G17/G9</f>
        <v>0.2364060541892499</v>
      </c>
      <c r="H45" s="440"/>
      <c r="I45" s="1920">
        <f>I17/I9</f>
        <v>0.22513022888713496</v>
      </c>
      <c r="J45" s="1079">
        <f>J17/J9</f>
        <v>0.24534149112143019</v>
      </c>
      <c r="K45" s="1079">
        <f>K17/K9</f>
        <v>0.26526537685844864</v>
      </c>
      <c r="L45" s="1921">
        <f>L17/L9</f>
        <v>0.28309933394029435</v>
      </c>
      <c r="M45" s="1922">
        <f>M17/M9</f>
        <v>0.25534457008747602</v>
      </c>
      <c r="N45" s="440"/>
      <c r="O45" s="1920">
        <f>O17/O9</f>
        <v>0.25548452375477171</v>
      </c>
      <c r="P45" s="1079">
        <f>P17/P9</f>
        <v>0.25719534058092614</v>
      </c>
      <c r="Q45" s="1079">
        <f>Q17/Q9</f>
        <v>0.25937984890494242</v>
      </c>
      <c r="R45" s="1921">
        <f>R17/R9</f>
        <v>0.26285437402197143</v>
      </c>
      <c r="S45" s="1922">
        <f>S17/S9</f>
        <v>0.25887869328306612</v>
      </c>
      <c r="T45" s="440"/>
      <c r="U45" s="1920">
        <f>U17/U9</f>
        <v>0.25666450316314626</v>
      </c>
      <c r="V45" s="1079">
        <f>V17/V9</f>
        <v>0.26659705714645393</v>
      </c>
      <c r="W45" s="1079">
        <f>W17/W9</f>
        <v>0.24703904162326187</v>
      </c>
      <c r="X45" s="1921">
        <f>X17/X9</f>
        <v>0.24633724027703804</v>
      </c>
      <c r="Y45" s="1922">
        <f>Y17/Y9</f>
        <v>0.25277096344267397</v>
      </c>
      <c r="Z45" s="440"/>
      <c r="AA45" s="1920">
        <f>AA17/AA9</f>
        <v>0.28342974129189868</v>
      </c>
      <c r="AB45" s="1079">
        <f>AB17/AB9</f>
        <v>0.27808782493758266</v>
      </c>
      <c r="AC45" s="1079">
        <f>AC17/AC9</f>
        <v>0.28953639514731361</v>
      </c>
      <c r="AD45" s="1921">
        <f>AD17/AD9</f>
        <v>0.28036815765175122</v>
      </c>
      <c r="AE45" s="1923">
        <f>AE17/AE9</f>
        <v>0.28289145832750062</v>
      </c>
      <c r="AF45" s="440"/>
      <c r="AG45" s="1920">
        <f>AG17/AG9</f>
        <v>0.26804506343552131</v>
      </c>
      <c r="AH45" s="1079">
        <f>AH17/AH9</f>
        <v>0.29901813821016332</v>
      </c>
      <c r="AI45" s="1079">
        <f>AI17/AI9</f>
        <v>0.31492842535787324</v>
      </c>
      <c r="AJ45" s="1921">
        <f>AJ17/AJ9</f>
        <v>0.28823116332326698</v>
      </c>
      <c r="AK45" s="1923">
        <f>AK17/AK9</f>
        <v>0.29324486916049819</v>
      </c>
      <c r="AL45" s="440"/>
      <c r="AM45" s="1920">
        <f>AM17/AM9</f>
        <v>0.27855154257009263</v>
      </c>
      <c r="AN45" s="1079">
        <f>AN17/AN9</f>
        <v>0.27858768717788651</v>
      </c>
      <c r="AO45" s="1079">
        <f>AO17/AO9</f>
        <v>0.2884072077195361</v>
      </c>
      <c r="AP45" s="1921">
        <f>AP17/AP9</f>
        <v>0.28767760250601337</v>
      </c>
      <c r="AQ45" s="1922">
        <f>AQ17/AQ9</f>
        <v>0.28344694973750062</v>
      </c>
      <c r="AR45" s="440"/>
      <c r="AS45" s="1920">
        <f>AS17/AS9</f>
        <v>0.267042551983804</v>
      </c>
      <c r="AT45" s="1079">
        <f>AT17/AT9</f>
        <v>0.27865843070129748</v>
      </c>
      <c r="AU45" s="1079">
        <f>AU17/AU9</f>
        <v>0.25871194419924887</v>
      </c>
      <c r="AV45" s="1921">
        <f>AV17/AV9</f>
        <v>0.28615214401052597</v>
      </c>
      <c r="AW45" s="1922">
        <f>AW17/AW9</f>
        <v>0.27325054050149306</v>
      </c>
      <c r="AX45" s="440"/>
      <c r="AY45" s="1920">
        <f>AY17/AY9</f>
        <v>0.27071539899197766</v>
      </c>
      <c r="AZ45" s="1079">
        <f>AZ17/AZ9</f>
        <v>0.28129343484813474</v>
      </c>
      <c r="BA45" s="1079">
        <f>BA17/BA9</f>
        <v>0.27519890630288962</v>
      </c>
      <c r="BB45" s="1921">
        <f>BB17/BB9</f>
        <v>0.30596885713296312</v>
      </c>
      <c r="BC45" s="1922">
        <f>BC17/BC9</f>
        <v>0.28413192650838281</v>
      </c>
      <c r="BD45" s="440"/>
      <c r="BE45" s="1920">
        <f>BE17/BE9</f>
        <v>0.25816928874482836</v>
      </c>
      <c r="BF45" s="1079">
        <f>BF17/BF9</f>
        <v>0.26373209612783322</v>
      </c>
      <c r="BG45" s="1079">
        <f>BG17/BG9</f>
        <v>0.27085861814453477</v>
      </c>
      <c r="BH45" s="1079">
        <f>BH17/BH9</f>
        <v>0.29315884551208671</v>
      </c>
      <c r="BI45" s="1922">
        <f>BI17/BI9</f>
        <v>0.27237320726524511</v>
      </c>
      <c r="BJ45" s="208"/>
      <c r="BK45" s="1920">
        <f>BK17/BK9</f>
        <v>0.23574154071077244</v>
      </c>
      <c r="BL45" s="1079">
        <f>BL17/BL9</f>
        <v>0.24495753795620656</v>
      </c>
      <c r="BM45" s="1079">
        <f>BM17/BM9</f>
        <v>0.2517304762781471</v>
      </c>
      <c r="BN45" s="1079">
        <f>BN17/BN9</f>
        <v>0.19833153183115751</v>
      </c>
      <c r="BO45" s="1922">
        <f>BO17/BO9</f>
        <v>0.23198212419317818</v>
      </c>
      <c r="BP45" s="440"/>
      <c r="BQ45" s="1920">
        <f>BQ17/BQ9</f>
        <v>0.22550873868958149</v>
      </c>
      <c r="BR45" s="1079">
        <f>BR17/BR9</f>
        <v>0.24683837523790456</v>
      </c>
      <c r="BS45" s="1079">
        <f>BS17/BS9</f>
        <v>0.24878163535848366</v>
      </c>
      <c r="BT45" s="1921">
        <f>BT17/BT9</f>
        <v>0.26639885222381637</v>
      </c>
      <c r="BU45" s="1922">
        <f>BU17/BU9</f>
        <v>0.24766282197173692</v>
      </c>
      <c r="BV45" s="440"/>
      <c r="BW45" s="1920">
        <f>BW17/BW9</f>
        <v>0.18253295305634779</v>
      </c>
      <c r="BX45" s="1079">
        <f>BX17/BX9</f>
        <v>0.20687953781562862</v>
      </c>
      <c r="BY45" s="1079">
        <f>BY17/BY9</f>
        <v>0.25613180388856899</v>
      </c>
      <c r="BZ45" s="1921">
        <f>BZ17/BZ9</f>
        <v>0.30748264054677166</v>
      </c>
      <c r="CA45" s="1922">
        <f>CA17/CA9</f>
        <v>0.24147546582899287</v>
      </c>
      <c r="CB45" s="440"/>
      <c r="CC45" s="1920">
        <f>CC17/CC9</f>
        <v>0.2070313260202527</v>
      </c>
      <c r="CD45" s="1079">
        <f>CD17/CD9</f>
        <v>0.25157462972603445</v>
      </c>
      <c r="CE45" s="1079">
        <f>CE17/CE9</f>
        <v>0.26857025246981348</v>
      </c>
      <c r="CF45" s="1921">
        <f>CF17/CF9</f>
        <v>0.30653239757953027</v>
      </c>
      <c r="CG45" s="1922">
        <f>CG17/CG9</f>
        <v>0.26163833946844672</v>
      </c>
      <c r="CH45" s="440"/>
      <c r="CI45" s="1920">
        <f>CI17/CI9</f>
        <v>0.2101698219391247</v>
      </c>
      <c r="CJ45" s="1079">
        <f>CJ17/CJ9</f>
        <v>0.2511838305907087</v>
      </c>
      <c r="CK45" s="1079">
        <f>CK17/CK9</f>
        <v>0.25063358013294479</v>
      </c>
      <c r="CL45" s="1921">
        <f>CL17/CL9</f>
        <v>0.28618873889748631</v>
      </c>
      <c r="CM45" s="1922">
        <f>CM17/CM9</f>
        <v>0.25168237232067298</v>
      </c>
      <c r="CN45" s="440"/>
      <c r="CO45" s="1920">
        <f>CO17/CO9</f>
        <v>0.23820762741413895</v>
      </c>
      <c r="CP45" s="1079">
        <f>CP17/CP9</f>
        <v>0.25807067727945859</v>
      </c>
      <c r="CQ45" s="1079">
        <f>CQ17/CQ9</f>
        <v>0.26926198632895404</v>
      </c>
      <c r="CR45" s="1921">
        <f>CR17/CR9</f>
        <v>0.29652584308882168</v>
      </c>
      <c r="CS45" s="1922">
        <f>CS17/CS9</f>
        <v>0.26705173748726097</v>
      </c>
      <c r="CT45" s="440"/>
      <c r="CU45" s="1920">
        <f>CU17/CU9</f>
        <v>0.25352670088978113</v>
      </c>
      <c r="CV45" s="1079">
        <f>CV17/CV9</f>
        <v>0.27334453684350185</v>
      </c>
      <c r="CW45" s="1079">
        <f>CW17/CW9</f>
        <v>0.28416701779311387</v>
      </c>
      <c r="CX45" s="1921">
        <f>CX17/CX9</f>
        <v>0.31184922737345638</v>
      </c>
      <c r="CY45" s="1922">
        <f>CY17/CY9</f>
        <v>0.28219223931059029</v>
      </c>
      <c r="CZ45" s="8"/>
      <c r="DA45" s="8"/>
      <c r="DB45" s="8"/>
      <c r="DC45"/>
      <c r="DD45"/>
      <c r="DE45"/>
      <c r="DF45"/>
      <c r="DG45"/>
      <c r="DH45"/>
    </row>
    <row r="46" spans="1:137" s="272" customFormat="1" ht="11.25" customHeight="1" x14ac:dyDescent="0.2">
      <c r="A46" s="208" t="s">
        <v>211</v>
      </c>
      <c r="B46" s="440"/>
      <c r="C46" s="1920"/>
      <c r="D46" s="1079"/>
      <c r="E46" s="1079"/>
      <c r="F46" s="1921"/>
      <c r="G46" s="1922"/>
      <c r="H46" s="440"/>
      <c r="I46" s="1920"/>
      <c r="J46" s="1079"/>
      <c r="K46" s="1079"/>
      <c r="L46" s="1921"/>
      <c r="M46" s="1922"/>
      <c r="N46" s="440"/>
      <c r="O46" s="1920"/>
      <c r="P46" s="1079"/>
      <c r="Q46" s="1079"/>
      <c r="R46" s="1921"/>
      <c r="S46" s="1922"/>
      <c r="T46" s="440"/>
      <c r="U46" s="1920"/>
      <c r="V46" s="1079"/>
      <c r="W46" s="1079"/>
      <c r="X46" s="1921"/>
      <c r="Y46" s="1922"/>
      <c r="Z46" s="440"/>
      <c r="AA46" s="1920"/>
      <c r="AB46" s="1079"/>
      <c r="AC46" s="1079"/>
      <c r="AD46" s="1921"/>
      <c r="AE46" s="1923"/>
      <c r="AF46" s="440"/>
      <c r="AG46" s="1920">
        <f>AG20/AG9</f>
        <v>0.39191066975055799</v>
      </c>
      <c r="AH46" s="1079">
        <f>AH20/AH9</f>
        <v>0.41911923916121185</v>
      </c>
      <c r="AI46" s="1079">
        <f>AI20/AI9</f>
        <v>0.43190492145467707</v>
      </c>
      <c r="AJ46" s="1921">
        <f>AJ20/AJ9</f>
        <v>0.4051930800444174</v>
      </c>
      <c r="AK46" s="1923">
        <f>AK20/AK9</f>
        <v>0.41246750674621846</v>
      </c>
      <c r="AL46" s="440"/>
      <c r="AM46" s="1920">
        <f>AM20/AM9</f>
        <v>0.40693891755307066</v>
      </c>
      <c r="AN46" s="1079">
        <f>AN20/AN9</f>
        <v>0.41120136420039738</v>
      </c>
      <c r="AO46" s="1079">
        <f>AO20/AO9</f>
        <v>0.41816219920748615</v>
      </c>
      <c r="AP46" s="1921">
        <f>AP20/AP9</f>
        <v>0.42194230016221962</v>
      </c>
      <c r="AQ46" s="1923">
        <f>AQ20/AQ9</f>
        <v>0.41474631493860303</v>
      </c>
      <c r="AR46" s="440"/>
      <c r="AS46" s="1920">
        <f>AS20/AS9</f>
        <v>0.41345240572909758</v>
      </c>
      <c r="AT46" s="1079">
        <f>AT20/AT9</f>
        <v>0.4166923597600089</v>
      </c>
      <c r="AU46" s="1079">
        <f>AU20/AU9</f>
        <v>0.40741125361302938</v>
      </c>
      <c r="AV46" s="1921">
        <f>AV20/AV9</f>
        <v>0.42603313198971376</v>
      </c>
      <c r="AW46" s="1923">
        <f>AW20/AW9</f>
        <v>0.41633874675464005</v>
      </c>
      <c r="AX46" s="440"/>
      <c r="AY46" s="1920">
        <f>AY20/AY9</f>
        <v>0.42331203486920677</v>
      </c>
      <c r="AZ46" s="1079">
        <f>AZ20/AZ9</f>
        <v>0.43819434724442008</v>
      </c>
      <c r="BA46" s="1079">
        <f>BA20/BA9</f>
        <v>0.43997975608714079</v>
      </c>
      <c r="BB46" s="1921">
        <f>BB20/BB9</f>
        <v>0.46271051446908223</v>
      </c>
      <c r="BC46" s="1923">
        <f>BC20/BC9</f>
        <v>0.44188317485826517</v>
      </c>
      <c r="BD46" s="440"/>
      <c r="BE46" s="1920">
        <f>BE20/BE9</f>
        <v>0.40668234643054796</v>
      </c>
      <c r="BF46" s="1079">
        <f>BF20/BF9</f>
        <v>0.55559207615387518</v>
      </c>
      <c r="BG46" s="1079">
        <f>BG20/BG9</f>
        <v>0.2945236573186209</v>
      </c>
      <c r="BH46" s="1079">
        <f>BH20/BH9</f>
        <v>0.44280375636057739</v>
      </c>
      <c r="BI46" s="1923">
        <f>BI20/BI9</f>
        <v>0.42497382086737118</v>
      </c>
      <c r="BJ46" s="208"/>
      <c r="BK46" s="1920">
        <f>BK20/BK9</f>
        <v>0.39051841208924509</v>
      </c>
      <c r="BL46" s="1079">
        <f>BL20/BL9</f>
        <v>0.39362450450885617</v>
      </c>
      <c r="BM46" s="1079">
        <f>BM20/BM9</f>
        <v>0.40411632126429442</v>
      </c>
      <c r="BN46" s="1079">
        <f>BN20/BN9</f>
        <v>0.33995454671433706</v>
      </c>
      <c r="BO46" s="1923">
        <f>BO20/BO9</f>
        <v>0.3811319016741484</v>
      </c>
      <c r="BP46" s="440"/>
      <c r="BQ46" s="1920">
        <f>BQ20/BQ9</f>
        <v>0.37991624515865546</v>
      </c>
      <c r="BR46" s="1079">
        <f>BR20/BR9</f>
        <v>0.38476347290393675</v>
      </c>
      <c r="BS46" s="1079">
        <f>BS20/BS9</f>
        <v>0.40607704070116762</v>
      </c>
      <c r="BT46" s="1921">
        <f>BT20/BT9</f>
        <v>0.41505595408895268</v>
      </c>
      <c r="BU46" s="1923">
        <f>BU20/BU9</f>
        <v>0.39710562998830828</v>
      </c>
      <c r="BV46" s="440"/>
      <c r="BW46" s="1920">
        <f>BW20/BW9</f>
        <v>0.352799627319617</v>
      </c>
      <c r="BX46" s="1079">
        <f>BX20/BX9</f>
        <v>0.36382665693814814</v>
      </c>
      <c r="BY46" s="1079">
        <f>BY20/BY9</f>
        <v>0.41381814960804286</v>
      </c>
      <c r="BZ46" s="1921">
        <f>BZ20/BZ9</f>
        <v>0.46125806583632334</v>
      </c>
      <c r="CA46" s="1923">
        <f>CA20/CA9</f>
        <v>0.40071121554629285</v>
      </c>
      <c r="CB46" s="440"/>
      <c r="CC46" s="1920">
        <f>CC20/CC9</f>
        <v>0.38462436670061567</v>
      </c>
      <c r="CD46" s="1079">
        <f>CD20/CD9</f>
        <v>0.41345686286848626</v>
      </c>
      <c r="CE46" s="1079">
        <f>CE20/CE9</f>
        <v>0.4120389681668496</v>
      </c>
      <c r="CF46" s="1921">
        <f>CF20/CF9</f>
        <v>0.43954239725216759</v>
      </c>
      <c r="CG46" s="1923">
        <f>CG20/CG9</f>
        <v>0.41412825616006482</v>
      </c>
      <c r="CH46" s="440"/>
      <c r="CI46" s="1920">
        <f>CI20/CI9</f>
        <v>0.36316516841897611</v>
      </c>
      <c r="CJ46" s="1079">
        <f>CJ20/CJ9</f>
        <v>0.38649292593934031</v>
      </c>
      <c r="CK46" s="1079">
        <f>CK20/CK9</f>
        <v>0.38276686993934311</v>
      </c>
      <c r="CL46" s="1921">
        <f>CL20/CL9</f>
        <v>0.41128903697058777</v>
      </c>
      <c r="CM46" s="1923">
        <f>CM20/CM9</f>
        <v>0.38723886355794734</v>
      </c>
      <c r="CN46" s="440"/>
      <c r="CO46" s="1920">
        <f>CO20/CO9</f>
        <v>0.3810278900522634</v>
      </c>
      <c r="CP46" s="1079">
        <f>CP20/CP9</f>
        <v>0.38853152901091154</v>
      </c>
      <c r="CQ46" s="1079">
        <f>CQ20/CQ9</f>
        <v>0.39860549340515916</v>
      </c>
      <c r="CR46" s="1921">
        <f>CR20/CR9</f>
        <v>0.41576479979489389</v>
      </c>
      <c r="CS46" s="1923">
        <f>CS20/CS9</f>
        <v>0.39690526712667717</v>
      </c>
      <c r="CT46" s="440"/>
      <c r="CU46" s="1920">
        <f>CU20/CU9</f>
        <v>0.3874317786785369</v>
      </c>
      <c r="CV46" s="1079">
        <f>CV20/CV9</f>
        <v>0.39645093674645154</v>
      </c>
      <c r="CW46" s="1079">
        <f>CW20/CW9</f>
        <v>0.4065567717993101</v>
      </c>
      <c r="CX46" s="1921">
        <f>CX20/CX9</f>
        <v>0.42483682798554989</v>
      </c>
      <c r="CY46" s="1923">
        <f>CY20/CY9</f>
        <v>0.40477000406453439</v>
      </c>
      <c r="CZ46" s="8"/>
      <c r="DA46" s="8"/>
      <c r="DB46" s="8"/>
      <c r="DC46"/>
      <c r="DD46"/>
      <c r="DE46"/>
      <c r="DF46"/>
      <c r="DG46"/>
      <c r="DH46"/>
    </row>
    <row r="47" spans="1:137" s="271" customFormat="1" ht="11.25" customHeight="1" x14ac:dyDescent="0.2">
      <c r="A47" s="58" t="s">
        <v>256</v>
      </c>
      <c r="B47" s="39"/>
      <c r="C47" s="386"/>
      <c r="D47" s="384"/>
      <c r="E47" s="384"/>
      <c r="F47" s="1276"/>
      <c r="G47" s="385"/>
      <c r="H47" s="39"/>
      <c r="I47" s="1924">
        <f>(I17-C17)/(I9-C9)</f>
        <v>-2.2855759922555992</v>
      </c>
      <c r="J47" s="1925">
        <f>(J17-D17)/(J9-D9)</f>
        <v>-4.3098427489806357E-2</v>
      </c>
      <c r="K47" s="1925">
        <f>(K17-E17)/(K9-E9)</f>
        <v>0.3000725689404945</v>
      </c>
      <c r="L47" s="1926">
        <f>(L17-F17)/(L9-F9)</f>
        <v>0.79158157476741775</v>
      </c>
      <c r="M47" s="1927">
        <f>(M17-G17)/(M9-G9)</f>
        <v>0.66109422492401382</v>
      </c>
      <c r="N47" s="1925"/>
      <c r="O47" s="1924">
        <f>(O17-I17)/(O9-I9)</f>
        <v>0.4661796932067207</v>
      </c>
      <c r="P47" s="1925">
        <f>(P17-J17)/(P9-J9)</f>
        <v>0.34956130134327229</v>
      </c>
      <c r="Q47" s="1925">
        <f>(Q17-K17)/(Q9-K9)</f>
        <v>0.22924019099024409</v>
      </c>
      <c r="R47" s="1926">
        <f>(R17-L17)/(R9-L9)</f>
        <v>0.16481017358210312</v>
      </c>
      <c r="S47" s="1927">
        <f>(S17-M17)/(S9-M9)</f>
        <v>0.27977383019455893</v>
      </c>
      <c r="T47" s="1925"/>
      <c r="U47" s="1924">
        <f>(U17-O17)/(U9-O9)</f>
        <v>0.26335838029638781</v>
      </c>
      <c r="V47" s="1925">
        <f>(V17-P17)/(V9-P9)</f>
        <v>0.31541777492433215</v>
      </c>
      <c r="W47" s="1925">
        <f>(W17-Q17)/(W9-Q9)</f>
        <v>0.22224115311877027</v>
      </c>
      <c r="X47" s="1926">
        <f>(X17-R17)/(X9-R9)</f>
        <v>0.22168071810560569</v>
      </c>
      <c r="Y47" s="1927">
        <f>(Y17-S17)/(Y9-S9)</f>
        <v>0.23730950672840739</v>
      </c>
      <c r="Z47" s="1925"/>
      <c r="AA47" s="1924">
        <f>(AA17-U17)/(AA9-U9)</f>
        <v>0.32663107274035352</v>
      </c>
      <c r="AB47" s="1925">
        <f>(AB17-V17)/(AB9-V9)</f>
        <v>0.29681710099095965</v>
      </c>
      <c r="AC47" s="1925">
        <f>(AC17-W17)/(AC9-W9)</f>
        <v>0.42811253876827637</v>
      </c>
      <c r="AD47" s="1926">
        <f>(AD17-X17)/(AD9-X9)</f>
        <v>0.54575805913120767</v>
      </c>
      <c r="AE47" s="1928">
        <f>(AE17-Y17)/(AE9-Y9)</f>
        <v>0.3633661045801615</v>
      </c>
      <c r="AF47" s="1925"/>
      <c r="AG47" s="1924">
        <f>(AG17-AA17)/(AG9-AA9)</f>
        <v>3.7607579373693939E-2</v>
      </c>
      <c r="AH47" s="1925">
        <f>(AH17-AB17)/(AH9-AB9)</f>
        <v>0.50381713669840034</v>
      </c>
      <c r="AI47" s="1925">
        <f>(AI17-AC17)/(AI9-AC9)</f>
        <v>0.51800131674694283</v>
      </c>
      <c r="AJ47" s="1926">
        <f>(AJ17-AD17)/(AJ9-AD9)</f>
        <v>0.32416756590103363</v>
      </c>
      <c r="AK47" s="1928">
        <f>(AK17-AE17)/(AK9-AE9)</f>
        <v>0.37236628155755402</v>
      </c>
      <c r="AL47" s="1925"/>
      <c r="AM47" s="1924">
        <f>(AM17-AG17)/(AM9-AG9)</f>
        <v>0.33199788169740352</v>
      </c>
      <c r="AN47" s="1925">
        <f>(AN17-AH17)/(AN9-AH9)</f>
        <v>6.1120468043613894E-2</v>
      </c>
      <c r="AO47" s="1925">
        <f>(AO17-AI17)/(AO9-AI9)</f>
        <v>-0.18140264701869405</v>
      </c>
      <c r="AP47" s="1926">
        <f>(AP17-AJ17)/(AP9-AJ9)</f>
        <v>0.34022988505748225</v>
      </c>
      <c r="AQ47" s="1927">
        <f>(AQ17-AK17)/(AQ9-AK9)</f>
        <v>0.15595443651264015</v>
      </c>
      <c r="AR47" s="1925"/>
      <c r="AS47" s="1929">
        <f>(AS17-AM17)/(AS9-AM9)</f>
        <v>31.000000000003158</v>
      </c>
      <c r="AT47" s="1925">
        <f>(AT17-AN17)/(AT9-AN9)</f>
        <v>0.27961354643095893</v>
      </c>
      <c r="AU47" s="1925">
        <f>(AU17-AO17)/(AU9-AO9)</f>
        <v>-0.30045304777594634</v>
      </c>
      <c r="AV47" s="1926">
        <f>(AV17-AP17)/(AV9-AP9)</f>
        <v>0.27713482681656759</v>
      </c>
      <c r="AW47" s="1927">
        <f>(AW17-AQ17)/(AW9-AQ9)</f>
        <v>0.13855143592983099</v>
      </c>
      <c r="AX47" s="1925"/>
      <c r="AY47" s="1924">
        <f>(AY17-AS17)/(AY9-AS9)</f>
        <v>0.30089871567621462</v>
      </c>
      <c r="AZ47" s="1925">
        <f>(AZ17-AT17)/(AZ9-AT9)</f>
        <v>0.31099217127336637</v>
      </c>
      <c r="BA47" s="1925">
        <f>(BA17-AU17)/(BA9-AU9)</f>
        <v>0.58439366398337989</v>
      </c>
      <c r="BB47" s="1926">
        <f>(BB17-AV17)/(BB9-AV9)</f>
        <v>0.85312087186261409</v>
      </c>
      <c r="BC47" s="1927">
        <f>(BC17-AW17)/(BC9-AW9)</f>
        <v>0.4343930397006206</v>
      </c>
      <c r="BD47" s="1925"/>
      <c r="BE47" s="1924">
        <f>(BE17-AY17)/(BE9-AY9)</f>
        <v>-0.26167179200447116</v>
      </c>
      <c r="BF47" s="1925">
        <f>(BF17-AZ17)/(BF9-AZ9)</f>
        <v>-0.32275247309491178</v>
      </c>
      <c r="BG47" s="1925">
        <f>(BG17-BA17)/(BG9-BA9)</f>
        <v>0.20320663866406916</v>
      </c>
      <c r="BH47" s="1925">
        <f>(BH17-BB17)/(BH9-BB9)</f>
        <v>1.6632405157914098E-2</v>
      </c>
      <c r="BI47" s="1927">
        <f>(BI17-BC17)/(BI9-BC9)</f>
        <v>-1.1689262055150515E-2</v>
      </c>
      <c r="BJ47" s="1927"/>
      <c r="BK47" s="1924">
        <f>(BK17-BE17)/(BK9-BE9)</f>
        <v>-0.25773718924404204</v>
      </c>
      <c r="BL47" s="1925">
        <f>(BL17-BF17)/(BL9-BF9)</f>
        <v>-0.15575042158515823</v>
      </c>
      <c r="BM47" s="1925">
        <f>(BM17-BG17)/(BM9-BG9)</f>
        <v>-0.2267109531901699</v>
      </c>
      <c r="BN47" s="893">
        <f>(BN17-BH17)/(BN9-BH9)</f>
        <v>19.569014084507302</v>
      </c>
      <c r="BO47" s="1927">
        <f>(BO17-BI17)/(BO9-BI9)</f>
        <v>-1.0940366396099839</v>
      </c>
      <c r="BP47" s="1925"/>
      <c r="BQ47" s="1924">
        <f>(BQ17-BK17)/(BQ9-BK9)</f>
        <v>0.39969963527140079</v>
      </c>
      <c r="BR47" s="1925">
        <f>(BR17-BL17)/(BR9-BL9)</f>
        <v>0.19395637042695438</v>
      </c>
      <c r="BS47" s="1925">
        <f>(BS17-BM17)/(BS9-BM9)</f>
        <v>0.2935213551991353</v>
      </c>
      <c r="BT47" s="1930">
        <f>(BT17-BN17)/(BT9-BN9)</f>
        <v>-1.7286758732737655</v>
      </c>
      <c r="BU47" s="1927">
        <f>(BU17-BO17)/(BU9-BO9)</f>
        <v>-7.743604749657354E-2</v>
      </c>
      <c r="BV47" s="1925"/>
      <c r="BW47" s="1924">
        <f>(BW17-BQ17)/(BW9-BQ9)</f>
        <v>36.862857142860697</v>
      </c>
      <c r="BX47" s="1925">
        <f>(BX17-BR17)/(BX9-BR9)</f>
        <v>-0.64663011500401679</v>
      </c>
      <c r="BY47" s="1925">
        <f>(BY17-BS17)/(BY9-BS9)</f>
        <v>0.35197313878295494</v>
      </c>
      <c r="BZ47" s="1930">
        <f>(BZ17-BT17)/(BZ9-BT9)</f>
        <v>1.1022481265611999</v>
      </c>
      <c r="CA47" s="1927">
        <f>(CA17-BU17)/(CA9-BU9)</f>
        <v>0.10177108115252384</v>
      </c>
      <c r="CB47" s="1925"/>
      <c r="CC47" s="1924">
        <f>(CC17-BW17)/(CC9-BW9)</f>
        <v>0.9433867230784746</v>
      </c>
      <c r="CD47" s="1925">
        <f>(CD17-BX17)/(CD9-BX9)</f>
        <v>1.235290246149795</v>
      </c>
      <c r="CE47" s="1925">
        <f>(CE17-BY17)/(CE9-BY9)</f>
        <v>0.43239354462376195</v>
      </c>
      <c r="CF47" s="1930">
        <f>(CF17-BZ17)/(CF9-BZ9)</f>
        <v>0.29515000980456246</v>
      </c>
      <c r="CG47" s="1927">
        <f>(CG17-CA17)/(CG9-CA9)</f>
        <v>0.59292187538374652</v>
      </c>
      <c r="CH47" s="1925"/>
      <c r="CI47" s="1924">
        <f>(CI17-CC17)/(CI9-CC9)</f>
        <v>0.23872070636227644</v>
      </c>
      <c r="CJ47" s="1925">
        <f>(CJ17-CD17)/(CJ9-CD9)</f>
        <v>0.24780215255293156</v>
      </c>
      <c r="CK47" s="1925">
        <f>(CK17-CE17)/(CK9-CE9)</f>
        <v>8.1211030184142941E-2</v>
      </c>
      <c r="CL47" s="1926">
        <f>(CL17-CF17)/(CL9-CF9)</f>
        <v>3.7204189802468486E-2</v>
      </c>
      <c r="CM47" s="1927">
        <f>(CM17-CG17)/(CM9-CG9)</f>
        <v>0.15443548846563027</v>
      </c>
      <c r="CN47" s="1925"/>
      <c r="CO47" s="1924">
        <f>(CO17-CI17)/(CO9-CI9)</f>
        <v>0.49248562024776665</v>
      </c>
      <c r="CP47" s="1925">
        <f>(CP17-CJ17)/(CP9-CJ9)</f>
        <v>0.34923086917735408</v>
      </c>
      <c r="CQ47" s="1925">
        <f>(CQ17-CK17)/(CQ9-CK9)</f>
        <v>0.58115282532116208</v>
      </c>
      <c r="CR47" s="1926">
        <f>(CR17-CL17)/(CR9-CL9)</f>
        <v>0.41325039317440704</v>
      </c>
      <c r="CS47" s="1927">
        <f>(CS17-CM17)/(CS9-CM9)</f>
        <v>0.45303707041537056</v>
      </c>
      <c r="CT47" s="1925"/>
      <c r="CU47" s="1924">
        <f>(CU17-CO17)/(CU9-CO9)</f>
        <v>0.39648035932046172</v>
      </c>
      <c r="CV47" s="1925">
        <f>(CV17-CP17)/(CV9-CP9)</f>
        <v>0.42504720386746198</v>
      </c>
      <c r="CW47" s="1925">
        <f>(CW17-CQ17)/(CW9-CQ9)</f>
        <v>0.43586806307276033</v>
      </c>
      <c r="CX47" s="1926">
        <f>(CX17-CR17)/(CX9-CR9)</f>
        <v>0.46935577365476577</v>
      </c>
      <c r="CY47" s="1927">
        <f>(CY17-CS17)/(CY9-CS9)</f>
        <v>0.43271538703810375</v>
      </c>
      <c r="CZ47" s="31"/>
      <c r="DA47" s="31"/>
      <c r="DB47" s="31"/>
      <c r="DC47"/>
      <c r="DD47"/>
      <c r="DE47"/>
      <c r="DF47"/>
      <c r="DG47"/>
      <c r="DH47"/>
    </row>
    <row r="48" spans="1:137" s="271" customFormat="1" ht="11.25" customHeight="1" x14ac:dyDescent="0.2">
      <c r="A48" s="58" t="s">
        <v>16</v>
      </c>
      <c r="B48" s="39"/>
      <c r="C48" s="210">
        <f>C23/C9</f>
        <v>7.3497262070832204E-3</v>
      </c>
      <c r="D48" s="211">
        <f>D23/D9</f>
        <v>-0.10851911554487666</v>
      </c>
      <c r="E48" s="211">
        <f>E23/E9</f>
        <v>2.3782396601882685E-3</v>
      </c>
      <c r="F48" s="211">
        <f>F23/F9</f>
        <v>5.694486606441871E-3</v>
      </c>
      <c r="G48" s="204">
        <f>G23/G9</f>
        <v>-2.4272979725664626E-2</v>
      </c>
      <c r="H48" s="39"/>
      <c r="I48" s="210">
        <f>I23/I9</f>
        <v>-1.0102604577742701E-3</v>
      </c>
      <c r="J48" s="211">
        <f>J23/J9</f>
        <v>4.5239850927715876E-3</v>
      </c>
      <c r="K48" s="211">
        <f>K23/K9</f>
        <v>5.4625979264424198E-3</v>
      </c>
      <c r="L48" s="1931">
        <f>L23/L9</f>
        <v>-7.8585461689587412E-4</v>
      </c>
      <c r="M48" s="204">
        <f>M23/M9</f>
        <v>2.0457084049749618E-3</v>
      </c>
      <c r="N48" s="39"/>
      <c r="O48" s="210">
        <f>O23/O9</f>
        <v>5.3442487237271756E-3</v>
      </c>
      <c r="P48" s="211">
        <f>P23/P9</f>
        <v>5.616737170259554E-3</v>
      </c>
      <c r="Q48" s="211">
        <f>Q23/Q9</f>
        <v>2.2214873790688408E-3</v>
      </c>
      <c r="R48" s="1931">
        <f>R23/R9</f>
        <v>-3.5983509543970594E-3</v>
      </c>
      <c r="S48" s="204">
        <f>S23/S9</f>
        <v>2.2027661246344821E-3</v>
      </c>
      <c r="T48" s="39"/>
      <c r="U48" s="210">
        <f>U23/U9</f>
        <v>-1.9862526294387667E-3</v>
      </c>
      <c r="V48" s="211">
        <f>V23/V9</f>
        <v>8.4049793022756402E-3</v>
      </c>
      <c r="W48" s="211">
        <f>W23/W9</f>
        <v>6.1370533085737585E-3</v>
      </c>
      <c r="X48" s="1931">
        <f>X23/X9</f>
        <v>1.2244082502473549E-2</v>
      </c>
      <c r="Y48" s="204">
        <f>Y23/Y9</f>
        <v>6.9855057296844747E-3</v>
      </c>
      <c r="Z48" s="39"/>
      <c r="AA48" s="210">
        <f>AA23/AA9</f>
        <v>1.0308730794858672E-2</v>
      </c>
      <c r="AB48" s="211">
        <f>AB23/AB9</f>
        <v>1.9459538845645469E-3</v>
      </c>
      <c r="AC48" s="211">
        <f>AC23/AC9</f>
        <v>-3.1759098786828424E-3</v>
      </c>
      <c r="AD48" s="1931">
        <f>AD23/AD9</f>
        <v>9.7562620951931207E-3</v>
      </c>
      <c r="AE48" s="204">
        <f>AE23/AE9</f>
        <v>4.6361880231809392E-3</v>
      </c>
      <c r="AF48" s="39"/>
      <c r="AG48" s="210">
        <f>AG23/AG9</f>
        <v>1.2587526535193927E-2</v>
      </c>
      <c r="AH48" s="211">
        <f>AH23/AH9</f>
        <v>7.9531637768783629E-3</v>
      </c>
      <c r="AI48" s="211">
        <f>AI23/AI9</f>
        <v>1.0128668754019708E-3</v>
      </c>
      <c r="AJ48" s="1931">
        <f>AJ23/AJ9</f>
        <v>1.0689193536670156E-2</v>
      </c>
      <c r="AK48" s="204">
        <f>AK23/AK9</f>
        <v>7.9657366375362072E-3</v>
      </c>
      <c r="AL48" s="39"/>
      <c r="AM48" s="210">
        <f>AM23/AM9</f>
        <v>8.4542524700791342E-3</v>
      </c>
      <c r="AN48" s="211">
        <f>AN23/AN9</f>
        <v>1.0878584642087713E-2</v>
      </c>
      <c r="AO48" s="211">
        <f>AO23/AO9</f>
        <v>6.1024289416988387E-3</v>
      </c>
      <c r="AP48" s="1931">
        <f>AP23/AP9</f>
        <v>3.4087095150193E-3</v>
      </c>
      <c r="AQ48" s="204">
        <f>AQ23/AQ9</f>
        <v>7.1195321818119956E-3</v>
      </c>
      <c r="AR48" s="39"/>
      <c r="AS48" s="210">
        <f>AS23/AS9</f>
        <v>5.2144627551889196E-3</v>
      </c>
      <c r="AT48" s="211">
        <f>AT23/AT9</f>
        <v>-7.3818915078124724E-3</v>
      </c>
      <c r="AU48" s="211">
        <f>AU23/AU9</f>
        <v>1.1457846547934301E-2</v>
      </c>
      <c r="AV48" s="1931">
        <f>AV23/AV9</f>
        <v>7.9211769631002907E-3</v>
      </c>
      <c r="AW48" s="204">
        <f>AW23/AW9</f>
        <v>4.4915695445254394E-3</v>
      </c>
      <c r="AX48" s="39"/>
      <c r="AY48" s="210">
        <f>AY23/AY9</f>
        <v>-7.354379904325588E-4</v>
      </c>
      <c r="AZ48" s="211">
        <f>AZ23/AZ9</f>
        <v>-4.7003219264809756E-3</v>
      </c>
      <c r="BA48" s="211">
        <f>BA23/BA9</f>
        <v>7.9858292609985906E-4</v>
      </c>
      <c r="BB48" s="1931">
        <f>BB23/BB9</f>
        <v>-7.4221139750441532E-3</v>
      </c>
      <c r="BC48" s="204">
        <f>BC23/BC9</f>
        <v>-3.1814587358982701E-3</v>
      </c>
      <c r="BD48" s="39"/>
      <c r="BE48" s="1924">
        <f>BE23/BE9</f>
        <v>1.7030331778533218E-3</v>
      </c>
      <c r="BF48" s="211">
        <f>BF23/BF9</f>
        <v>2.1810171548487415E-2</v>
      </c>
      <c r="BG48" s="211">
        <f>BG23/BG9</f>
        <v>8.8539302247298592E-3</v>
      </c>
      <c r="BH48" s="211">
        <f>BH23/BH9</f>
        <v>1.4636567977163978E-2</v>
      </c>
      <c r="BI48" s="1927">
        <f>BI23/BI9</f>
        <v>1.1935234969197418E-2</v>
      </c>
      <c r="BJ48" s="1927"/>
      <c r="BK48" s="1924">
        <f>BK23/BK9</f>
        <v>2.6089175827811451E-3</v>
      </c>
      <c r="BL48" s="211">
        <f>BL23/BL9</f>
        <v>6.6025232688377219E-3</v>
      </c>
      <c r="BM48" s="211">
        <f>BM23/BM9</f>
        <v>7.4890796627835512E-3</v>
      </c>
      <c r="BN48" s="211">
        <f>BN23/BN9</f>
        <v>-1.3192539009450957E-3</v>
      </c>
      <c r="BO48" s="1927">
        <f>BO23/BO9</f>
        <v>3.7595353359922219E-3</v>
      </c>
      <c r="BP48" s="1925"/>
      <c r="BQ48" s="1924">
        <f>BQ23/BQ9</f>
        <v>-2.3767361052994432E-4</v>
      </c>
      <c r="BR48" s="211">
        <f>BR23/BR9</f>
        <v>1.4931633777421615E-2</v>
      </c>
      <c r="BS48" s="1925">
        <f>BS23/BS9</f>
        <v>1.4992322633765787E-2</v>
      </c>
      <c r="BT48" s="1926">
        <f>BT23/BT9</f>
        <v>-1.9512195121951221E-4</v>
      </c>
      <c r="BU48" s="1927">
        <f>BU23/BU9</f>
        <v>7.2952422875856788E-3</v>
      </c>
      <c r="BV48" s="1925"/>
      <c r="BW48" s="1924">
        <f>BW23/BW9</f>
        <v>4.7456422871582785E-3</v>
      </c>
      <c r="BX48" s="1925">
        <f>BX23/BX9</f>
        <v>3.0411588100905467E-3</v>
      </c>
      <c r="BY48" s="1925">
        <f>BY23/BY9</f>
        <v>-7.009463070404654E-3</v>
      </c>
      <c r="BZ48" s="1926">
        <f>BZ23/BZ9</f>
        <v>3.4596128398564881E-3</v>
      </c>
      <c r="CA48" s="1927">
        <f>CA23/CA9</f>
        <v>9.9178544549253351E-4</v>
      </c>
      <c r="CB48" s="1925"/>
      <c r="CC48" s="1924">
        <f>CC23/CC9</f>
        <v>3.1883907546398703E-3</v>
      </c>
      <c r="CD48" s="1925">
        <f>CD23/CD9</f>
        <v>0</v>
      </c>
      <c r="CE48" s="1925">
        <f>CE23/CE9</f>
        <v>-8.0900109769484092E-3</v>
      </c>
      <c r="CF48" s="1926">
        <f>CF23/CF9</f>
        <v>7.7333152024738555E-3</v>
      </c>
      <c r="CG48" s="1927">
        <f>CG23/CG9</f>
        <v>7.7918875601035653E-4</v>
      </c>
      <c r="CH48" s="1925"/>
      <c r="CI48" s="1924">
        <f>CI23/CI9</f>
        <v>3.6528669605647031E-3</v>
      </c>
      <c r="CJ48" s="1925">
        <f>CJ23/CJ9</f>
        <v>3.2050644859660613E-3</v>
      </c>
      <c r="CK48" s="1925">
        <f>CK23/CK9</f>
        <v>3.1018999347051032E-3</v>
      </c>
      <c r="CL48" s="1926">
        <f>CL23/CL9</f>
        <v>2.9099562855424989E-3</v>
      </c>
      <c r="CM48" s="1927">
        <f>CM23/CM9</f>
        <v>3.1954123748435021E-3</v>
      </c>
      <c r="CN48" s="1925"/>
      <c r="CO48" s="1924">
        <f>CO23/CO9</f>
        <v>3.2900874991246784E-3</v>
      </c>
      <c r="CP48" s="1925">
        <f>CP23/CP9</f>
        <v>2.9799400144819039E-3</v>
      </c>
      <c r="CQ48" s="1925">
        <f>CQ23/CQ9</f>
        <v>2.9270736490824437E-3</v>
      </c>
      <c r="CR48" s="1926">
        <f>CR23/CR9</f>
        <v>2.6732167161809522E-3</v>
      </c>
      <c r="CS48" s="1927">
        <f>CS23/CS9</f>
        <v>2.9515071662165513E-3</v>
      </c>
      <c r="CT48" s="1925"/>
      <c r="CU48" s="1924">
        <f>CU23/CU9</f>
        <v>2.9716429285829011E-3</v>
      </c>
      <c r="CV48" s="1925">
        <f>CV23/CV9</f>
        <v>2.7073556805007966E-3</v>
      </c>
      <c r="CW48" s="1925">
        <f>CW23/CW9</f>
        <v>2.6652097021594582E-3</v>
      </c>
      <c r="CX48" s="1926">
        <f>CX23/CX9</f>
        <v>2.4362049504294148E-3</v>
      </c>
      <c r="CY48" s="1927">
        <f>CY23/CY9</f>
        <v>2.6817600022923582E-3</v>
      </c>
      <c r="CZ48" s="31"/>
      <c r="DA48" s="31"/>
      <c r="DB48" s="31"/>
      <c r="DC48"/>
      <c r="DD48"/>
      <c r="DE48"/>
      <c r="DF48"/>
      <c r="DG48"/>
      <c r="DH48"/>
    </row>
    <row r="49" spans="1:114" ht="11.25" customHeight="1" x14ac:dyDescent="0.2">
      <c r="A49" s="58" t="s">
        <v>203</v>
      </c>
      <c r="B49" s="28"/>
      <c r="C49" s="313">
        <f>C27/C9</f>
        <v>0</v>
      </c>
      <c r="D49" s="314">
        <f>D27/D9</f>
        <v>0</v>
      </c>
      <c r="E49" s="314">
        <f>E27/E9</f>
        <v>0</v>
      </c>
      <c r="F49" s="314">
        <f>F27/F9</f>
        <v>0</v>
      </c>
      <c r="G49" s="315">
        <f>G27/G9</f>
        <v>0</v>
      </c>
      <c r="H49" s="28"/>
      <c r="I49" s="313">
        <f>I27/I9</f>
        <v>0</v>
      </c>
      <c r="J49" s="314">
        <f>J27/J9</f>
        <v>0</v>
      </c>
      <c r="K49" s="314">
        <f>K27/K9</f>
        <v>0</v>
      </c>
      <c r="L49" s="314">
        <f>L27/L9</f>
        <v>0</v>
      </c>
      <c r="M49" s="315">
        <f>M27/M9</f>
        <v>0</v>
      </c>
      <c r="N49" s="28"/>
      <c r="O49" s="313">
        <f>O27/O9</f>
        <v>0</v>
      </c>
      <c r="P49" s="314">
        <f>P27/P9</f>
        <v>0</v>
      </c>
      <c r="Q49" s="314">
        <f>Q27/Q9</f>
        <v>0</v>
      </c>
      <c r="R49" s="314">
        <f>R27/R9</f>
        <v>0</v>
      </c>
      <c r="S49" s="315">
        <f>S27/S9</f>
        <v>0</v>
      </c>
      <c r="T49" s="28"/>
      <c r="U49" s="313">
        <f>U27/U9</f>
        <v>0</v>
      </c>
      <c r="V49" s="314">
        <f>V27/V9</f>
        <v>0</v>
      </c>
      <c r="W49" s="314">
        <f>W27/W9</f>
        <v>-3.9630418044295481E-5</v>
      </c>
      <c r="X49" s="314">
        <f>X27/X9</f>
        <v>2.6638252530633983E-4</v>
      </c>
      <c r="Y49" s="315">
        <f>Y27/Y9</f>
        <v>7.5410835151914365E-5</v>
      </c>
      <c r="Z49" s="28"/>
      <c r="AA49" s="313">
        <f>AA27/AA9</f>
        <v>2.8970672023022033E-4</v>
      </c>
      <c r="AB49" s="314">
        <f>AB27/AB9</f>
        <v>2.5701277720663828E-4</v>
      </c>
      <c r="AC49" s="314">
        <f>AC27/AC9</f>
        <v>1.6291161178509531E-3</v>
      </c>
      <c r="AD49" s="314">
        <f>AD27/AD9</f>
        <v>-4.2161893237653975E-6</v>
      </c>
      <c r="AE49" s="315">
        <f>AE27/AE9</f>
        <v>5.498474201405414E-4</v>
      </c>
      <c r="AF49" s="28"/>
      <c r="AG49" s="313">
        <f>AG27/AG9</f>
        <v>0</v>
      </c>
      <c r="AH49" s="314">
        <f>AH27/AH9</f>
        <v>0</v>
      </c>
      <c r="AI49" s="314">
        <f>AI27/AI9</f>
        <v>0</v>
      </c>
      <c r="AJ49" s="314">
        <f>AJ27/AJ9</f>
        <v>0</v>
      </c>
      <c r="AK49" s="315">
        <f>AK27/AK9</f>
        <v>0</v>
      </c>
      <c r="AL49" s="28"/>
      <c r="AM49" s="313">
        <f>AM27/AM9</f>
        <v>0</v>
      </c>
      <c r="AN49" s="314">
        <f>AN27/AN9</f>
        <v>0</v>
      </c>
      <c r="AO49" s="314">
        <f>AO27/AO9</f>
        <v>0</v>
      </c>
      <c r="AP49" s="314">
        <f>AP27/AP9</f>
        <v>0</v>
      </c>
      <c r="AQ49" s="315">
        <f>AQ27/AQ9</f>
        <v>0</v>
      </c>
      <c r="AR49" s="28"/>
      <c r="AS49" s="313">
        <f>AS27/AS9</f>
        <v>0</v>
      </c>
      <c r="AT49" s="314">
        <f>AT27/AT9</f>
        <v>0</v>
      </c>
      <c r="AU49" s="314">
        <f>AU27/AU9</f>
        <v>-2.3469546705436424E-3</v>
      </c>
      <c r="AV49" s="314">
        <f>AV27/AV9</f>
        <v>-1.2289934812511208E-3</v>
      </c>
      <c r="AW49" s="315">
        <f>AW27/AW9</f>
        <v>-9.3097054320293179E-4</v>
      </c>
      <c r="AX49" s="28"/>
      <c r="AY49" s="210">
        <f>AY27/AY9</f>
        <v>-3.4410401387211469E-4</v>
      </c>
      <c r="AZ49" s="211">
        <f>AZ27/AZ9</f>
        <v>1.1392747051719816E-3</v>
      </c>
      <c r="BA49" s="211">
        <f>BA27/BA9</f>
        <v>-2.694806581900759E-4</v>
      </c>
      <c r="BB49" s="211">
        <f>BB27/BB9</f>
        <v>-3.8957441159835171E-4</v>
      </c>
      <c r="BC49" s="204">
        <f>BC27/BC9</f>
        <v>2.4711906993947976E-5</v>
      </c>
      <c r="BD49" s="28"/>
      <c r="BE49" s="210">
        <f>BE27/BE9</f>
        <v>2.9646612380425326E-4</v>
      </c>
      <c r="BF49" s="211">
        <f>BF27/BF9</f>
        <v>7.585047343337169E-5</v>
      </c>
      <c r="BG49" s="211">
        <f>BG27/BG9</f>
        <v>2.3161659115965795E-4</v>
      </c>
      <c r="BH49" s="211">
        <f>BH27/BH9</f>
        <v>4.495497607457562E-4</v>
      </c>
      <c r="BI49" s="1927">
        <f>BI27/BI9</f>
        <v>2.6944604342980316E-4</v>
      </c>
      <c r="BJ49" s="1927"/>
      <c r="BK49" s="210">
        <f>BK27/BK9</f>
        <v>5.0413866333935152E-5</v>
      </c>
      <c r="BL49" s="211">
        <f>BL27/BL9</f>
        <v>6.6719599561643184E-4</v>
      </c>
      <c r="BM49" s="211">
        <f>BM27/BM9</f>
        <v>3.7118753285009666E-4</v>
      </c>
      <c r="BN49" s="211">
        <f>BN27/BN9</f>
        <v>5.7093761259388598E-4</v>
      </c>
      <c r="BO49" s="1927">
        <f>BO27/BO9</f>
        <v>4.219355998505397E-4</v>
      </c>
      <c r="BP49" s="1932"/>
      <c r="BQ49" s="210">
        <f>BQ27/BQ9</f>
        <v>-4.2178697079962109E-4</v>
      </c>
      <c r="BR49" s="211">
        <f>BR27/BR9</f>
        <v>-1.2521286186517078E-5</v>
      </c>
      <c r="BS49" s="1925">
        <f>BS27/BS9</f>
        <v>2.6703882553781306E-4</v>
      </c>
      <c r="BT49" s="1926">
        <f>BT27/BT9</f>
        <v>-5.7388809182209468E-4</v>
      </c>
      <c r="BU49" s="1927">
        <f>BU27/BU9</f>
        <v>-1.920005994165055E-4</v>
      </c>
      <c r="BV49" s="1932"/>
      <c r="BW49" s="210">
        <f>BW27/BW9</f>
        <v>-1.5751778777997109E-4</v>
      </c>
      <c r="BX49" s="1925">
        <f>BW49</f>
        <v>-1.5751778777997109E-4</v>
      </c>
      <c r="BY49" s="1925">
        <f>BX49</f>
        <v>-1.5751778777997109E-4</v>
      </c>
      <c r="BZ49" s="1926">
        <f>BZ27/BZ9</f>
        <v>0</v>
      </c>
      <c r="CA49" s="1927">
        <f>CA27/CA9</f>
        <v>-7.4738918273740265E-5</v>
      </c>
      <c r="CB49" s="1932"/>
      <c r="CC49" s="210">
        <f>CC27/CC9</f>
        <v>0</v>
      </c>
      <c r="CD49" s="1925">
        <f>CD27/CD9</f>
        <v>0</v>
      </c>
      <c r="CE49" s="1925">
        <f>CD49</f>
        <v>0</v>
      </c>
      <c r="CF49" s="1926">
        <f>CF27/CF9</f>
        <v>0</v>
      </c>
      <c r="CG49" s="1927">
        <f>CG27/CG9</f>
        <v>0</v>
      </c>
      <c r="CH49" s="1932"/>
      <c r="CI49" s="1924">
        <f>CF49</f>
        <v>0</v>
      </c>
      <c r="CJ49" s="1925">
        <f>CI49</f>
        <v>0</v>
      </c>
      <c r="CK49" s="1925">
        <f>CJ49</f>
        <v>0</v>
      </c>
      <c r="CL49" s="1926">
        <f>CK49</f>
        <v>0</v>
      </c>
      <c r="CM49" s="1927">
        <f>CM27/CM9</f>
        <v>0</v>
      </c>
      <c r="CN49" s="1932"/>
      <c r="CO49" s="1924">
        <f>CL49</f>
        <v>0</v>
      </c>
      <c r="CP49" s="1925">
        <f>CO49</f>
        <v>0</v>
      </c>
      <c r="CQ49" s="1925">
        <f>CP49</f>
        <v>0</v>
      </c>
      <c r="CR49" s="1926">
        <f>CQ49</f>
        <v>0</v>
      </c>
      <c r="CS49" s="1927">
        <f>CS27/CS9</f>
        <v>0</v>
      </c>
      <c r="CT49" s="1932"/>
      <c r="CU49" s="1924">
        <f>CR49</f>
        <v>0</v>
      </c>
      <c r="CV49" s="1925">
        <f>CU49</f>
        <v>0</v>
      </c>
      <c r="CW49" s="1925">
        <f>CV49</f>
        <v>0</v>
      </c>
      <c r="CX49" s="1926">
        <f>CW49</f>
        <v>0</v>
      </c>
      <c r="CY49" s="1927">
        <f>CY27/CY9</f>
        <v>0</v>
      </c>
      <c r="CZ49" s="261"/>
      <c r="DA49" s="261"/>
      <c r="DB49" s="261"/>
      <c r="DJ49" s="269"/>
    </row>
    <row r="50" spans="1:114" s="30" customFormat="1" ht="11.25" customHeight="1" x14ac:dyDescent="0.2">
      <c r="A50" s="58" t="s">
        <v>246</v>
      </c>
      <c r="B50" s="39"/>
      <c r="C50" s="386">
        <f>C26/C25</f>
        <v>0.37135183831209534</v>
      </c>
      <c r="D50" s="384">
        <f>D26/D25</f>
        <v>0.26135422061108221</v>
      </c>
      <c r="E50" s="384">
        <f>E26/E25</f>
        <v>0.37416529676414656</v>
      </c>
      <c r="F50" s="1276">
        <f>F26/F25</f>
        <v>0.29474965932568387</v>
      </c>
      <c r="G50" s="1276">
        <f>G26/G25</f>
        <v>0.3310560932127849</v>
      </c>
      <c r="H50" s="39"/>
      <c r="I50" s="386">
        <f>I26/I25</f>
        <v>0.35702761259392429</v>
      </c>
      <c r="J50" s="384">
        <f>J26/J25</f>
        <v>0.36724282508562645</v>
      </c>
      <c r="K50" s="384">
        <f>K26/K25</f>
        <v>0.33815192407503547</v>
      </c>
      <c r="L50" s="1276">
        <f>L26/L25</f>
        <v>0.33219446937215402</v>
      </c>
      <c r="M50" s="1276">
        <f>M26/M25</f>
        <v>0.34745696317987612</v>
      </c>
      <c r="N50" s="39"/>
      <c r="O50" s="386">
        <f>O26/O25</f>
        <v>0.3347862183478621</v>
      </c>
      <c r="P50" s="384">
        <f>P26/P25</f>
        <v>0.35534774985388656</v>
      </c>
      <c r="Q50" s="384">
        <f>Q26/Q25</f>
        <v>0.31957415016809848</v>
      </c>
      <c r="R50" s="1276">
        <f>R26/R25</f>
        <v>0.31749276675336835</v>
      </c>
      <c r="S50" s="1276">
        <f>S26/S25</f>
        <v>0.33123874427792815</v>
      </c>
      <c r="T50" s="39"/>
      <c r="U50" s="386">
        <f>U26/U25</f>
        <v>0.31734406682202004</v>
      </c>
      <c r="V50" s="384">
        <f>V26/V25</f>
        <v>0.31115736663731225</v>
      </c>
      <c r="W50" s="384">
        <f>W26/W25</f>
        <v>0.21136807900281801</v>
      </c>
      <c r="X50" s="1276">
        <f>X26/X25</f>
        <v>0.31523545706371142</v>
      </c>
      <c r="Y50" s="1276">
        <f>Y26/Y25</f>
        <v>0.28861811944885452</v>
      </c>
      <c r="Z50" s="1276"/>
      <c r="AA50" s="384">
        <f>AA26/AA25</f>
        <v>0.30667591273708694</v>
      </c>
      <c r="AB50" s="384">
        <f>AB26/AB25</f>
        <v>0.25246985393237675</v>
      </c>
      <c r="AC50" s="384">
        <f>AC26/AC25</f>
        <v>0.27454104724289324</v>
      </c>
      <c r="AD50" s="1276">
        <f>AD26/AD25</f>
        <v>0.30096244998955612</v>
      </c>
      <c r="AE50" s="385">
        <f>AE26/AE25</f>
        <v>0.2840005421025712</v>
      </c>
      <c r="AF50" s="39"/>
      <c r="AG50" s="386">
        <f>AG26/AG25</f>
        <v>0.27584969957851296</v>
      </c>
      <c r="AH50" s="384">
        <f>AH26/AH25</f>
        <v>0.28075770898847946</v>
      </c>
      <c r="AI50" s="384">
        <f>AI26/AI25</f>
        <v>0.28951002522905323</v>
      </c>
      <c r="AJ50" s="1276">
        <f>AJ26/AJ25</f>
        <v>0.2809147692423235</v>
      </c>
      <c r="AK50" s="385">
        <f>AK26/AK25</f>
        <v>0.28218923866484918</v>
      </c>
      <c r="AL50" s="39"/>
      <c r="AM50" s="386">
        <f>AM26/AM25</f>
        <v>0.29778548976660185</v>
      </c>
      <c r="AN50" s="384">
        <f>AN26/AN25</f>
        <v>0.24785346307956499</v>
      </c>
      <c r="AO50" s="384">
        <f>AO26/AO25</f>
        <v>0.21680260141798607</v>
      </c>
      <c r="AP50" s="1276">
        <f>AP26/AP25</f>
        <v>0.19880343205664952</v>
      </c>
      <c r="AQ50" s="385">
        <f>AQ26/AQ25</f>
        <v>0.23891624774018921</v>
      </c>
      <c r="AR50" s="39"/>
      <c r="AS50" s="386">
        <f>AS26/AS25</f>
        <v>0.26013271162123397</v>
      </c>
      <c r="AT50" s="384">
        <f>AT26/AT25</f>
        <v>0.22853212811947329</v>
      </c>
      <c r="AU50" s="384">
        <f>AU26/AU25</f>
        <v>0.24561926170679524</v>
      </c>
      <c r="AV50" s="1276">
        <f>AV26/AV25</f>
        <v>0.21821812202361843</v>
      </c>
      <c r="AW50" s="385">
        <f>AW26/AW25</f>
        <v>0.23641782645963785</v>
      </c>
      <c r="AX50" s="39"/>
      <c r="AY50" s="386">
        <f>AY26/AY25</f>
        <v>0.27707671957671959</v>
      </c>
      <c r="AZ50" s="384">
        <f>AZ26/AZ25</f>
        <v>0.23931209430724457</v>
      </c>
      <c r="BA50" s="384">
        <f>BA26/BA25</f>
        <v>0.21808223308166783</v>
      </c>
      <c r="BB50" s="1276">
        <f>BB26/BB25</f>
        <v>0.13644006725918806</v>
      </c>
      <c r="BC50" s="385">
        <f>BC26/BC25</f>
        <v>0.21310317771675177</v>
      </c>
      <c r="BD50" s="39"/>
      <c r="BE50" s="386">
        <f>BE26/BE25</f>
        <v>0.24010876199988895</v>
      </c>
      <c r="BF50" s="384">
        <f>BF26/BF25</f>
        <v>0.22521849195346888</v>
      </c>
      <c r="BG50" s="384">
        <f>BG26/BG25</f>
        <v>0.18127249464911349</v>
      </c>
      <c r="BH50" s="384">
        <f>BH26/BH25</f>
        <v>0.15926000595220957</v>
      </c>
      <c r="BI50" s="385">
        <f>BI26/BI25</f>
        <v>0.19758891355266267</v>
      </c>
      <c r="BJ50" s="58"/>
      <c r="BK50" s="386">
        <f>BK26/BK25</f>
        <v>0.22350117129884031</v>
      </c>
      <c r="BL50" s="384">
        <f>BL26/BL25</f>
        <v>0.22123780830312009</v>
      </c>
      <c r="BM50" s="384">
        <f>BM26/BM25</f>
        <v>0.1953961456102784</v>
      </c>
      <c r="BN50" s="384">
        <f>BN26/BN25</f>
        <v>9.2310686005957543E-2</v>
      </c>
      <c r="BO50" s="385">
        <f>BO26/BO25</f>
        <v>0.1855507023964113</v>
      </c>
      <c r="BP50" s="59"/>
      <c r="BQ50" s="386">
        <f>BQ26/BQ25</f>
        <v>0.1903501724871226</v>
      </c>
      <c r="BR50" s="384">
        <f>BR26/BR25</f>
        <v>0.19070625555806262</v>
      </c>
      <c r="BS50" s="384">
        <f>BS26/BS25</f>
        <v>0.15789473684210531</v>
      </c>
      <c r="BT50" s="384">
        <f>BT26/BT25</f>
        <v>0.1521283241120828</v>
      </c>
      <c r="BU50" s="385">
        <f>BU26/BU25</f>
        <v>0.17112433365620947</v>
      </c>
      <c r="BV50" s="59"/>
      <c r="BW50" s="386">
        <f>BW26/BW25</f>
        <v>0.14963971781038971</v>
      </c>
      <c r="BX50" s="384">
        <f>BX26/BX25</f>
        <v>0.16087091115467964</v>
      </c>
      <c r="BY50" s="384">
        <f>BY26/BY25</f>
        <v>0.1705239590177898</v>
      </c>
      <c r="BZ50" s="384">
        <f>BZ26/BZ25</f>
        <v>0.15382805642775058</v>
      </c>
      <c r="CA50" s="385">
        <f>CA26/CA25</f>
        <v>0.15901972916254711</v>
      </c>
      <c r="CB50" s="59"/>
      <c r="CC50" s="386">
        <f>CC26/CC25</f>
        <v>0.1767730007622321</v>
      </c>
      <c r="CD50" s="384">
        <f>CD26/CD25</f>
        <v>0.17038863109048724</v>
      </c>
      <c r="CE50" s="384">
        <f>CE26/CE25</f>
        <v>0.19391817609324466</v>
      </c>
      <c r="CF50" s="384">
        <f>CF26/CF25</f>
        <v>0.16715732747866874</v>
      </c>
      <c r="CG50" s="385">
        <f>CG26/CG25</f>
        <v>0.17655463404288574</v>
      </c>
      <c r="CH50" s="59"/>
      <c r="CI50" s="1933">
        <v>0.20499999999999999</v>
      </c>
      <c r="CJ50" s="1934">
        <f>+CI50</f>
        <v>0.20499999999999999</v>
      </c>
      <c r="CK50" s="1934">
        <f>+CJ50</f>
        <v>0.20499999999999999</v>
      </c>
      <c r="CL50" s="1934">
        <f>+CK50</f>
        <v>0.20499999999999999</v>
      </c>
      <c r="CM50" s="385">
        <f>CM26/CM25</f>
        <v>0.20500000000000007</v>
      </c>
      <c r="CN50" s="59"/>
      <c r="CO50" s="1933">
        <f>+CL50</f>
        <v>0.20499999999999999</v>
      </c>
      <c r="CP50" s="1934">
        <f>+CO50</f>
        <v>0.20499999999999999</v>
      </c>
      <c r="CQ50" s="1934">
        <f>+CP50</f>
        <v>0.20499999999999999</v>
      </c>
      <c r="CR50" s="1934">
        <f>+CQ50</f>
        <v>0.20499999999999999</v>
      </c>
      <c r="CS50" s="385">
        <f>CS26/CS25</f>
        <v>0.20500000000000007</v>
      </c>
      <c r="CT50" s="59"/>
      <c r="CU50" s="1933">
        <f>+CR50</f>
        <v>0.20499999999999999</v>
      </c>
      <c r="CV50" s="1934">
        <f>+CU50</f>
        <v>0.20499999999999999</v>
      </c>
      <c r="CW50" s="1934">
        <f>+CV50</f>
        <v>0.20499999999999999</v>
      </c>
      <c r="CX50" s="1934">
        <f>+CW50</f>
        <v>0.20499999999999999</v>
      </c>
      <c r="CY50" s="385">
        <f>CY26/CY25</f>
        <v>0.20499999999999996</v>
      </c>
      <c r="CZ50" s="31"/>
      <c r="DA50" s="31"/>
      <c r="DB50" s="31"/>
      <c r="DC50"/>
      <c r="DD50"/>
      <c r="DE50"/>
      <c r="DF50"/>
      <c r="DG50"/>
      <c r="DH50"/>
    </row>
    <row r="51" spans="1:114" s="272" customFormat="1" ht="11.25" customHeight="1" x14ac:dyDescent="0.2">
      <c r="A51" s="208" t="s">
        <v>257</v>
      </c>
      <c r="B51" s="440"/>
      <c r="C51" s="1920">
        <f>C28/C9</f>
        <v>0.1253134044015074</v>
      </c>
      <c r="D51" s="1079">
        <f>D28/D9</f>
        <v>0.10122241146831318</v>
      </c>
      <c r="E51" s="1079">
        <f>E28/E9</f>
        <v>0.16002560755727102</v>
      </c>
      <c r="F51" s="1921">
        <f>F28/F9</f>
        <v>0.16794276203536077</v>
      </c>
      <c r="G51" s="1922">
        <f>G28/G9</f>
        <v>0.13801408983550914</v>
      </c>
      <c r="H51" s="440"/>
      <c r="I51" s="1920">
        <f>I28/I9</f>
        <v>0.14678242567745331</v>
      </c>
      <c r="J51" s="1079">
        <f>J28/J9</f>
        <v>0.16015968471610503</v>
      </c>
      <c r="K51" s="1079">
        <f>K28/K9</f>
        <v>0.18093147936070361</v>
      </c>
      <c r="L51" s="1921">
        <f>L28/L9</f>
        <v>0.19255608797738283</v>
      </c>
      <c r="M51" s="1922">
        <f>M28/M9</f>
        <v>0.17059857678936735</v>
      </c>
      <c r="N51" s="440"/>
      <c r="O51" s="1920">
        <f>O28/O9</f>
        <v>0.17688451455640899</v>
      </c>
      <c r="P51" s="1079">
        <f>P28/P9</f>
        <v>0.17533757826781951</v>
      </c>
      <c r="Q51" s="1079">
        <f>Q28/Q9</f>
        <v>0.18533309592246847</v>
      </c>
      <c r="R51" s="1921">
        <f>R28/R9</f>
        <v>0.18550452375467663</v>
      </c>
      <c r="S51" s="1922">
        <f>S28/S9</f>
        <v>0.18097752577408119</v>
      </c>
      <c r="T51" s="440"/>
      <c r="U51" s="1920">
        <f>U28/U9</f>
        <v>0.1763933093001977</v>
      </c>
      <c r="V51" s="1079">
        <f>V28/V9</f>
        <v>0.19115218566488196</v>
      </c>
      <c r="W51" s="1079">
        <f>W28/W9</f>
        <v>0.17591376421033555</v>
      </c>
      <c r="X51" s="1921">
        <f>X28/X9</f>
        <v>0.15259913235406072</v>
      </c>
      <c r="Y51" s="1922">
        <f>Y28/Y9</f>
        <v>0.1716319828124856</v>
      </c>
      <c r="Z51" s="440"/>
      <c r="AA51" s="1920">
        <f>AA28/AA9</f>
        <v>0.17832897163771191</v>
      </c>
      <c r="AB51" s="1079">
        <f>AB28/AB9</f>
        <v>0.18553109854604205</v>
      </c>
      <c r="AC51" s="1079">
        <f>AC28/AC9</f>
        <v>0.18379982668977465</v>
      </c>
      <c r="AD51" s="1921">
        <f>AD28/AD9</f>
        <v>0.183433748909061</v>
      </c>
      <c r="AE51" s="1923">
        <f>AE28/AE9</f>
        <v>0.18285618298384598</v>
      </c>
      <c r="AF51" s="440"/>
      <c r="AG51" s="1920">
        <f>AG28/AG9</f>
        <v>0.18274771084446428</v>
      </c>
      <c r="AH51" s="1079">
        <f>AH28/AH9</f>
        <v>0.20094855010909568</v>
      </c>
      <c r="AI51" s="1079">
        <f>AI28/AI9</f>
        <v>0.20606641787883342</v>
      </c>
      <c r="AJ51" s="1921">
        <f>AJ28/AJ9</f>
        <v>0.19872559906184184</v>
      </c>
      <c r="AK51" s="1923">
        <f>AK28/AK9</f>
        <v>0.19764612680414931</v>
      </c>
      <c r="AL51" s="440"/>
      <c r="AM51" s="1920">
        <f>AM28/AM9</f>
        <v>0.18675765232785085</v>
      </c>
      <c r="AN51" s="1079">
        <f>AN28/AN9</f>
        <v>0.20006242434854099</v>
      </c>
      <c r="AO51" s="1079">
        <f>AO28/AO9</f>
        <v>0.21423389727942485</v>
      </c>
      <c r="AP51" s="1921">
        <f>AP28/AP9</f>
        <v>0.21676945236896575</v>
      </c>
      <c r="AQ51" s="1922">
        <f>AQ28/AQ9</f>
        <v>0.20479736185560285</v>
      </c>
      <c r="AR51" s="440"/>
      <c r="AS51" s="1920">
        <f>AS28/AS9</f>
        <v>0.18733468298866657</v>
      </c>
      <c r="AT51" s="1079">
        <f>AT28/AT9</f>
        <v>0.19478554240777959</v>
      </c>
      <c r="AU51" s="1079">
        <f>AU28/AU9</f>
        <v>0.19518493518181976</v>
      </c>
      <c r="AV51" s="1921">
        <f>AV28/AV9</f>
        <v>0.22016625799892384</v>
      </c>
      <c r="AW51" s="1922">
        <f>AW28/AW9</f>
        <v>0.20045702190302692</v>
      </c>
      <c r="AX51" s="440"/>
      <c r="AY51" s="1920">
        <f>AY28/AY9</f>
        <v>0.18471975764282003</v>
      </c>
      <c r="AZ51" s="1079">
        <f>AZ28/AZ9</f>
        <v>0.19798315826478705</v>
      </c>
      <c r="BA51" s="1079">
        <f>BA28/BA9</f>
        <v>0.20482173197190823</v>
      </c>
      <c r="BB51" s="1921">
        <f>BB28/BB9</f>
        <v>0.23899668717463321</v>
      </c>
      <c r="BC51" s="1922">
        <f>BC28/BC9</f>
        <v>0.207837500876874</v>
      </c>
      <c r="BD51" s="440"/>
      <c r="BE51" s="1920">
        <f>BE28/BE9</f>
        <v>0.18013940495954889</v>
      </c>
      <c r="BF51" s="1079">
        <f>BF28/BF9</f>
        <v>0.20305171738113589</v>
      </c>
      <c r="BG51" s="1079">
        <f>BG28/BG9</f>
        <v>0.21122197825274605</v>
      </c>
      <c r="BH51" s="1079">
        <f>BH28/BH9</f>
        <v>0.24107726464139434</v>
      </c>
      <c r="BI51" s="1922">
        <f>BI28/BI9</f>
        <v>0.21030646425553282</v>
      </c>
      <c r="BJ51" s="208"/>
      <c r="BK51" s="1920">
        <f>BK28/BK9</f>
        <v>0.16914482328364411</v>
      </c>
      <c r="BL51" s="1079">
        <f>BL28/BL9</f>
        <v>0.18349701271295171</v>
      </c>
      <c r="BM51" s="1079">
        <f>BM28/BM9</f>
        <v>0.19600780384669061</v>
      </c>
      <c r="BN51" s="1079">
        <f>BN28/BN9</f>
        <v>0.16749535766747026</v>
      </c>
      <c r="BO51" s="1922">
        <f>BO28/BO9</f>
        <v>0.17895417913097611</v>
      </c>
      <c r="BP51" s="440"/>
      <c r="BQ51" s="1920">
        <f>BQ28/BQ9</f>
        <v>0.17248074341627354</v>
      </c>
      <c r="BR51" s="1079">
        <f>BR28/BR9</f>
        <v>0.19087761694881308</v>
      </c>
      <c r="BS51" s="1079">
        <f>BS28/BS9</f>
        <v>0.20064788705529288</v>
      </c>
      <c r="BT51" s="1921">
        <f>BT28/BT9</f>
        <v>0.21868005738880922</v>
      </c>
      <c r="BU51" s="1922">
        <f>BU28/BU9</f>
        <v>0.19654929654414532</v>
      </c>
      <c r="BV51" s="440"/>
      <c r="BW51" s="1920">
        <f>BW28/BW9</f>
        <v>0.15124388780711776</v>
      </c>
      <c r="BX51" s="1079">
        <f>BX28/BX9</f>
        <v>0.17022116431228543</v>
      </c>
      <c r="BY51" s="1079">
        <f>BY28/BY9</f>
        <v>0.20142905649792578</v>
      </c>
      <c r="BZ51" s="1921">
        <f>BZ28/BZ9</f>
        <v>0.25514099013682934</v>
      </c>
      <c r="CA51" s="1922">
        <f>CA28/CA9</f>
        <v>0.19715080295756848</v>
      </c>
      <c r="CB51" s="440"/>
      <c r="CC51" s="1920">
        <f>CC28/CC9</f>
        <v>0.16464486581513182</v>
      </c>
      <c r="CD51" s="1079">
        <f>CD28/CD9</f>
        <v>0.19636962752355511</v>
      </c>
      <c r="CE51" s="1079">
        <f>CE28/CE9</f>
        <v>0.20724753018660819</v>
      </c>
      <c r="CF51" s="1921">
        <f>CF28/CF9</f>
        <v>0.25218514629337246</v>
      </c>
      <c r="CG51" s="1922">
        <f>CG28/CG9</f>
        <v>0.20788699649505957</v>
      </c>
      <c r="CH51" s="440"/>
      <c r="CI51" s="1920">
        <f>CI28/CI9</f>
        <v>0.15873692922266502</v>
      </c>
      <c r="CJ51" s="1079">
        <f>CJ28/CJ9</f>
        <v>0.19233124676384775</v>
      </c>
      <c r="CK51" s="1079">
        <f>CK28/CK9</f>
        <v>0.19197777463683377</v>
      </c>
      <c r="CL51" s="1921">
        <f>CL28/CL9</f>
        <v>0.22031936092541102</v>
      </c>
      <c r="CM51" s="1922">
        <f>CM28/CM9</f>
        <v>0.19257681485056169</v>
      </c>
      <c r="CN51" s="440"/>
      <c r="CO51" s="1920">
        <f>CO28/CO9</f>
        <v>0.18152415177458395</v>
      </c>
      <c r="CP51" s="1079">
        <f>CP28/CP9</f>
        <v>0.19842973994051466</v>
      </c>
      <c r="CQ51" s="1079">
        <f>CQ28/CQ9</f>
        <v>0.20748061152636568</v>
      </c>
      <c r="CR51" s="1921">
        <f>CR28/CR9</f>
        <v>0.22939534850507243</v>
      </c>
      <c r="CS51" s="1922">
        <f>CS28/CS9</f>
        <v>0.20546719085086459</v>
      </c>
      <c r="CT51" s="440"/>
      <c r="CU51" s="1920">
        <f>CU28/CU9</f>
        <v>0.22034580150907065</v>
      </c>
      <c r="CV51" s="1079">
        <f>CV28/CV9</f>
        <v>0.23805679982989958</v>
      </c>
      <c r="CW51" s="1079">
        <f>CW28/CW9</f>
        <v>0.24777417004806518</v>
      </c>
      <c r="CX51" s="1921">
        <f>CX28/CX9</f>
        <v>0.26647292286562485</v>
      </c>
      <c r="CY51" s="1922">
        <f>CY28/CY9</f>
        <v>0.24432547919283756</v>
      </c>
      <c r="CZ51" s="8"/>
      <c r="DA51" s="8"/>
      <c r="DB51" s="8"/>
      <c r="DC51"/>
      <c r="DD51"/>
      <c r="DE51"/>
      <c r="DF51"/>
      <c r="DG51"/>
      <c r="DH51"/>
    </row>
    <row r="52" spans="1:114" s="30" customFormat="1" ht="11.25" customHeight="1" x14ac:dyDescent="0.2">
      <c r="A52" s="58"/>
      <c r="B52" s="39"/>
      <c r="C52" s="386"/>
      <c r="D52" s="384"/>
      <c r="E52" s="384"/>
      <c r="F52" s="384"/>
      <c r="G52" s="385"/>
      <c r="H52" s="39"/>
      <c r="I52" s="386"/>
      <c r="J52" s="384"/>
      <c r="K52" s="384"/>
      <c r="L52" s="384"/>
      <c r="M52" s="385"/>
      <c r="N52" s="39"/>
      <c r="O52" s="386"/>
      <c r="P52" s="384"/>
      <c r="Q52" s="384"/>
      <c r="R52" s="384"/>
      <c r="S52" s="385"/>
      <c r="T52" s="39"/>
      <c r="U52" s="386"/>
      <c r="V52" s="384"/>
      <c r="W52" s="384"/>
      <c r="X52" s="384"/>
      <c r="Y52" s="385"/>
      <c r="Z52" s="39"/>
      <c r="AA52" s="386"/>
      <c r="AB52" s="384"/>
      <c r="AC52" s="384"/>
      <c r="AD52" s="384"/>
      <c r="AE52" s="385"/>
      <c r="AF52" s="39"/>
      <c r="AG52" s="386"/>
      <c r="AH52" s="384"/>
      <c r="AI52" s="384"/>
      <c r="AJ52" s="384"/>
      <c r="AK52" s="385"/>
      <c r="AL52" s="39"/>
      <c r="AM52" s="386"/>
      <c r="AN52" s="384"/>
      <c r="AO52" s="384"/>
      <c r="AP52" s="384"/>
      <c r="AQ52" s="385"/>
      <c r="AR52" s="39"/>
      <c r="AS52" s="386"/>
      <c r="AT52" s="384"/>
      <c r="AU52" s="384"/>
      <c r="AV52" s="384"/>
      <c r="AW52" s="385"/>
      <c r="AX52" s="39"/>
      <c r="AY52" s="386"/>
      <c r="AZ52" s="384"/>
      <c r="BA52" s="384"/>
      <c r="BB52" s="384"/>
      <c r="BC52" s="385"/>
      <c r="BD52" s="39"/>
      <c r="BE52" s="386"/>
      <c r="BF52" s="384"/>
      <c r="BG52" s="384"/>
      <c r="BH52" s="384"/>
      <c r="BI52" s="385"/>
      <c r="BJ52" s="39"/>
      <c r="BK52" s="386"/>
      <c r="BL52" s="384"/>
      <c r="BM52" s="384"/>
      <c r="BN52" s="384"/>
      <c r="BO52" s="385"/>
      <c r="BP52" s="39"/>
      <c r="BQ52" s="386"/>
      <c r="BR52" s="384"/>
      <c r="BS52" s="384"/>
      <c r="BT52" s="384"/>
      <c r="BU52" s="385"/>
      <c r="BV52" s="39"/>
      <c r="BW52" s="386"/>
      <c r="BX52" s="384"/>
      <c r="BY52" s="384"/>
      <c r="BZ52" s="384"/>
      <c r="CA52" s="385"/>
      <c r="CB52" s="39"/>
      <c r="CC52" s="386"/>
      <c r="CD52" s="384"/>
      <c r="CE52" s="384"/>
      <c r="CF52" s="384"/>
      <c r="CG52" s="385"/>
      <c r="CH52" s="39"/>
      <c r="CI52" s="386"/>
      <c r="CJ52" s="384"/>
      <c r="CK52" s="384"/>
      <c r="CL52" s="384"/>
      <c r="CM52" s="385"/>
      <c r="CN52" s="39"/>
      <c r="CO52" s="386"/>
      <c r="CP52" s="384"/>
      <c r="CQ52" s="384"/>
      <c r="CR52" s="384"/>
      <c r="CS52" s="385"/>
      <c r="CT52" s="39"/>
      <c r="CU52" s="386"/>
      <c r="CV52" s="384"/>
      <c r="CW52" s="384"/>
      <c r="CX52" s="384"/>
      <c r="CY52" s="385"/>
      <c r="CZ52" s="31"/>
      <c r="DA52" s="31"/>
      <c r="DB52" s="31"/>
      <c r="DC52"/>
      <c r="DD52"/>
      <c r="DE52"/>
      <c r="DF52"/>
      <c r="DG52"/>
      <c r="DH52"/>
    </row>
    <row r="53" spans="1:114" s="30" customFormat="1" ht="11.25" customHeight="1" x14ac:dyDescent="0.2">
      <c r="A53" s="392" t="s">
        <v>194</v>
      </c>
      <c r="B53" s="186"/>
      <c r="C53" s="393"/>
      <c r="D53" s="394"/>
      <c r="E53" s="394"/>
      <c r="F53" s="394"/>
      <c r="G53" s="395"/>
      <c r="H53" s="186"/>
      <c r="I53" s="393"/>
      <c r="J53" s="394"/>
      <c r="K53" s="394"/>
      <c r="L53" s="394"/>
      <c r="M53" s="395"/>
      <c r="N53" s="186"/>
      <c r="O53" s="393"/>
      <c r="P53" s="394"/>
      <c r="Q53" s="394"/>
      <c r="R53" s="394"/>
      <c r="S53" s="395"/>
      <c r="T53" s="186"/>
      <c r="U53" s="393"/>
      <c r="V53" s="394"/>
      <c r="W53" s="394"/>
      <c r="X53" s="394"/>
      <c r="Y53" s="395"/>
      <c r="Z53" s="186"/>
      <c r="AA53" s="393"/>
      <c r="AB53" s="394"/>
      <c r="AC53" s="394"/>
      <c r="AD53" s="394"/>
      <c r="AE53" s="396"/>
      <c r="AF53" s="186"/>
      <c r="AG53" s="393"/>
      <c r="AH53" s="394"/>
      <c r="AI53" s="394"/>
      <c r="AJ53" s="394"/>
      <c r="AK53" s="396"/>
      <c r="AL53" s="186"/>
      <c r="AM53" s="393"/>
      <c r="AN53" s="394"/>
      <c r="AO53" s="394"/>
      <c r="AP53" s="394"/>
      <c r="AQ53" s="395"/>
      <c r="AR53" s="186"/>
      <c r="AS53" s="393"/>
      <c r="AT53" s="394"/>
      <c r="AU53" s="394"/>
      <c r="AV53" s="394"/>
      <c r="AW53" s="395"/>
      <c r="AX53" s="186"/>
      <c r="AY53" s="393"/>
      <c r="AZ53" s="394"/>
      <c r="BA53" s="394"/>
      <c r="BB53" s="394"/>
      <c r="BC53" s="395"/>
      <c r="BD53" s="186"/>
      <c r="BE53" s="393"/>
      <c r="BF53" s="394"/>
      <c r="BG53" s="394"/>
      <c r="BH53" s="394"/>
      <c r="BI53" s="395"/>
      <c r="BJ53" s="186"/>
      <c r="BK53" s="393"/>
      <c r="BL53" s="394"/>
      <c r="BM53" s="394"/>
      <c r="BN53" s="394"/>
      <c r="BO53" s="395"/>
      <c r="BP53" s="186"/>
      <c r="BQ53" s="393"/>
      <c r="BR53" s="394"/>
      <c r="BS53" s="394"/>
      <c r="BT53" s="394"/>
      <c r="BU53" s="395"/>
      <c r="BV53" s="186"/>
      <c r="BW53" s="393"/>
      <c r="BX53" s="394"/>
      <c r="BY53" s="394"/>
      <c r="BZ53" s="394"/>
      <c r="CA53" s="395"/>
      <c r="CB53" s="186"/>
      <c r="CC53" s="393"/>
      <c r="CD53" s="394"/>
      <c r="CE53" s="394"/>
      <c r="CF53" s="394"/>
      <c r="CG53" s="395"/>
      <c r="CH53" s="186"/>
      <c r="CI53" s="393"/>
      <c r="CJ53" s="394"/>
      <c r="CK53" s="394"/>
      <c r="CL53" s="394"/>
      <c r="CM53" s="395"/>
      <c r="CN53" s="186"/>
      <c r="CO53" s="393"/>
      <c r="CP53" s="394"/>
      <c r="CQ53" s="394"/>
      <c r="CR53" s="394"/>
      <c r="CS53" s="395"/>
      <c r="CT53" s="186"/>
      <c r="CU53" s="393"/>
      <c r="CV53" s="394"/>
      <c r="CW53" s="394"/>
      <c r="CX53" s="394"/>
      <c r="CY53" s="395"/>
      <c r="CZ53" s="31"/>
      <c r="DA53" s="31"/>
      <c r="DB53" s="31"/>
      <c r="DC53"/>
      <c r="DD53"/>
      <c r="DE53"/>
      <c r="DF53"/>
      <c r="DG53"/>
      <c r="DH53"/>
    </row>
    <row r="54" spans="1:114" s="273" customFormat="1" ht="11.25" customHeight="1" x14ac:dyDescent="0.2">
      <c r="A54" s="204" t="s">
        <v>411</v>
      </c>
      <c r="B54" s="211"/>
      <c r="C54" s="210"/>
      <c r="D54" s="211"/>
      <c r="E54" s="211"/>
      <c r="F54" s="211"/>
      <c r="G54" s="204"/>
      <c r="H54" s="211"/>
      <c r="I54" s="210">
        <f>I9/C9-1</f>
        <v>-1.075391950696436E-2</v>
      </c>
      <c r="J54" s="211">
        <f>J9/D9-1</f>
        <v>1.7407260966979976E-2</v>
      </c>
      <c r="K54" s="211">
        <f>K9/E9-1</f>
        <v>9.1457141909007555E-2</v>
      </c>
      <c r="L54" s="211">
        <f>L9/F9-1</f>
        <v>9.2263244391871835E-2</v>
      </c>
      <c r="M54" s="204">
        <f>M9/G9-1</f>
        <v>4.6675371556029521E-2</v>
      </c>
      <c r="N54" s="211"/>
      <c r="O54" s="210">
        <f>O9/I9-1</f>
        <v>0.14406735069718501</v>
      </c>
      <c r="P54" s="211">
        <f>P9/J9-1</f>
        <v>0.12833569165155323</v>
      </c>
      <c r="Q54" s="211">
        <f>Q9/K9-1</f>
        <v>0.1952752075077786</v>
      </c>
      <c r="R54" s="211">
        <f>R9/L9-1</f>
        <v>0.20648809238583588</v>
      </c>
      <c r="S54" s="204">
        <f>S9/M9-1</f>
        <v>0.16913615883733502</v>
      </c>
      <c r="T54" s="211"/>
      <c r="U54" s="210">
        <f>U9/O9-1</f>
        <v>0.17627742261877355</v>
      </c>
      <c r="V54" s="211">
        <f>V9/P9-1</f>
        <v>0.19257636907968534</v>
      </c>
      <c r="W54" s="211">
        <f>W9/Q9-1</f>
        <v>0.49765556770873065</v>
      </c>
      <c r="X54" s="211">
        <f>X9/R9-1</f>
        <v>0.66988903098712393</v>
      </c>
      <c r="Y54" s="204">
        <f>Y9/S9-1</f>
        <v>0.3950293916844505</v>
      </c>
      <c r="Z54" s="211"/>
      <c r="AA54" s="210">
        <f>AA9/U9-1</f>
        <v>0.61954660264781558</v>
      </c>
      <c r="AB54" s="211">
        <f>AB9/V9-1</f>
        <v>0.61351905745747537</v>
      </c>
      <c r="AC54" s="211">
        <f>AC9/W9-1</f>
        <v>0.30667149780334246</v>
      </c>
      <c r="AD54" s="211">
        <f>AD9/X9-1</f>
        <v>0.12822988811933933</v>
      </c>
      <c r="AE54" s="204">
        <f>AE9/Y9-1</f>
        <v>0.37428552081185162</v>
      </c>
      <c r="AF54" s="211"/>
      <c r="AG54" s="210">
        <f>AG9/AA9-1</f>
        <v>6.6762913677054447E-2</v>
      </c>
      <c r="AH54" s="211">
        <f>AH9/AB9-1</f>
        <v>0.10219929505066805</v>
      </c>
      <c r="AI54" s="211">
        <f>AI9/AC9-1</f>
        <v>0.12503899480069314</v>
      </c>
      <c r="AJ54" s="211">
        <f>AJ9/AD9-1</f>
        <v>0.21880336114612908</v>
      </c>
      <c r="AK54" s="204">
        <f>AK9/AE9-1</f>
        <v>0.13085472717601276</v>
      </c>
      <c r="AL54" s="211"/>
      <c r="AM54" s="210">
        <f>AM9/AG9-1</f>
        <v>0.19657995862999189</v>
      </c>
      <c r="AN54" s="211">
        <f>AN9/AH9-1</f>
        <v>9.3947267609387319E-2</v>
      </c>
      <c r="AO54" s="211">
        <f>AO9/AI9-1</f>
        <v>5.6450960683049667E-2</v>
      </c>
      <c r="AP54" s="211">
        <f>AP9/AJ9-1</f>
        <v>-1.0533525669631505E-2</v>
      </c>
      <c r="AQ54" s="204">
        <f>AQ9/AK9-1</f>
        <v>7.6850939519223616E-2</v>
      </c>
      <c r="AR54" s="211"/>
      <c r="AS54" s="210">
        <f>AS9/AM9-1</f>
        <v>-3.744836664598683E-4</v>
      </c>
      <c r="AT54" s="211">
        <f>AT9/AN9-1</f>
        <v>7.406801208900804E-2</v>
      </c>
      <c r="AU54" s="211">
        <f>AU9/AO9-1</f>
        <v>5.3106442546396959E-2</v>
      </c>
      <c r="AV54" s="211">
        <f>AV9/AP9-1</f>
        <v>0.16916988309000391</v>
      </c>
      <c r="AW54" s="204">
        <f>AW9/AQ9-1</f>
        <v>7.5697676450275919E-2</v>
      </c>
      <c r="AX54" s="211"/>
      <c r="AY54" s="210">
        <f>AY9/AS9-1</f>
        <v>0.12168467258244586</v>
      </c>
      <c r="AZ54" s="211">
        <f>AZ9/AT9-1</f>
        <v>8.8724453091499234E-2</v>
      </c>
      <c r="BA54" s="211">
        <f>BA9/AU9-1</f>
        <v>5.3322256261141954E-2</v>
      </c>
      <c r="BB54" s="211">
        <f>BB9/AV9-1</f>
        <v>3.6217929549667627E-2</v>
      </c>
      <c r="BC54" s="204">
        <f>BC9/AW9-1</f>
        <v>7.2416513998325938E-2</v>
      </c>
      <c r="BD54" s="211"/>
      <c r="BE54" s="210">
        <f>BE9/AY9-1</f>
        <v>2.4134510933736308E-2</v>
      </c>
      <c r="BF54" s="211">
        <f>BF9/AZ9-1</f>
        <v>2.9943394322505812E-2</v>
      </c>
      <c r="BG54" s="211">
        <f>BG9/BA9-1</f>
        <v>6.4156114746178661E-2</v>
      </c>
      <c r="BH54" s="211">
        <f>BH9/BB9-1</f>
        <v>4.632472614361749E-2</v>
      </c>
      <c r="BI54" s="204">
        <f>BI9/BC9-1</f>
        <v>4.1394835689733345E-2</v>
      </c>
      <c r="BJ54" s="211"/>
      <c r="BK54" s="210">
        <f>BK9/BE9-1</f>
        <v>4.5448256779191842E-2</v>
      </c>
      <c r="BL54" s="211">
        <f>BL9/BF9-1</f>
        <v>4.6853469527072367E-2</v>
      </c>
      <c r="BM54" s="211">
        <f>BM9/BG9-1</f>
        <v>3.9980111855372424E-2</v>
      </c>
      <c r="BN54" s="211">
        <f>BN9/BH9-1</f>
        <v>-4.895403836341794E-3</v>
      </c>
      <c r="BO54" s="204">
        <f>BO9/BI9-1</f>
        <v>3.046041592671056E-2</v>
      </c>
      <c r="BP54" s="211"/>
      <c r="BQ54" s="210">
        <f>BQ9/BK9-1</f>
        <v>-5.8744757745617937E-2</v>
      </c>
      <c r="BR54" s="211">
        <f>BR9/BL9-1</f>
        <v>-3.5566678843245048E-2</v>
      </c>
      <c r="BS54" s="211">
        <f>BS9/BM9-1</f>
        <v>-6.5911027833126079E-2</v>
      </c>
      <c r="BT54" s="211">
        <f>BT9/BN9-1</f>
        <v>-3.4117679665197742E-2</v>
      </c>
      <c r="BU54" s="204">
        <f>BU9/BO9-1</f>
        <v>-4.8233627524463807E-2</v>
      </c>
      <c r="BV54" s="211"/>
      <c r="BW54" s="210">
        <f>BW9/BQ9-1</f>
        <v>-1.1716304744432415E-3</v>
      </c>
      <c r="BX54" s="211">
        <f>BX9/BR9-1</f>
        <v>4.6817089051387262E-2</v>
      </c>
      <c r="BY54" s="211">
        <f>BY9/BS9-1</f>
        <v>7.6691007467550198E-2</v>
      </c>
      <c r="BZ54" s="211">
        <f>BZ9/BT9-1</f>
        <v>5.1692969870875238E-2</v>
      </c>
      <c r="CA54" s="204">
        <f>CA9/BU9-1</f>
        <v>4.4288918755648998E-2</v>
      </c>
      <c r="CB54" s="211"/>
      <c r="CC54" s="210">
        <f>CC9/BW9-1</f>
        <v>3.3269767644505954E-2</v>
      </c>
      <c r="CD54" s="211">
        <f>CD9/BX9-1</f>
        <v>4.5434972429219123E-2</v>
      </c>
      <c r="CE54" s="211">
        <f>CE9/BY9-1</f>
        <v>7.5926007942483276E-2</v>
      </c>
      <c r="CF54" s="211">
        <f>CF9/BZ9-1</f>
        <v>8.348362277123722E-2</v>
      </c>
      <c r="CG54" s="204">
        <f>CG9/CA9-1</f>
        <v>6.0862890707037653E-2</v>
      </c>
      <c r="CH54" s="211"/>
      <c r="CI54" s="210">
        <f>CI9/CC9-1</f>
        <v>0.10992639920909131</v>
      </c>
      <c r="CJ54" s="211">
        <f>CJ9/CD9-1</f>
        <v>0.11556367311142313</v>
      </c>
      <c r="CK54" s="211">
        <f>CK9/CE9-1</f>
        <v>0.10586945092190492</v>
      </c>
      <c r="CL54" s="211">
        <f>CL9/CF9-1</f>
        <v>8.1706510528411824E-2</v>
      </c>
      <c r="CM54" s="204">
        <f>CM9/CG9-1</f>
        <v>0.10237826399264605</v>
      </c>
      <c r="CN54" s="211"/>
      <c r="CO54" s="210">
        <f>CO9/CI9-1</f>
        <v>0.11026438097361879</v>
      </c>
      <c r="CP54" s="211">
        <f>CP9/CJ9-1</f>
        <v>7.554664536537592E-2</v>
      </c>
      <c r="CQ54" s="211">
        <f>CQ9/CK9-1</f>
        <v>5.9727327215515436E-2</v>
      </c>
      <c r="CR54" s="211">
        <f>CR9/CL9-1</f>
        <v>8.8559811828410773E-2</v>
      </c>
      <c r="CS54" s="204">
        <f>CS9/CM9-1</f>
        <v>8.2637511918904005E-2</v>
      </c>
      <c r="CT54" s="211"/>
      <c r="CU54" s="210">
        <f>CU9/CO9-1</f>
        <v>0.10716111531395711</v>
      </c>
      <c r="CV54" s="211">
        <f>CV9/CP9-1</f>
        <v>0.10068286776811153</v>
      </c>
      <c r="CW54" s="211">
        <f>CW9/CQ9-1</f>
        <v>9.8252661586370804E-2</v>
      </c>
      <c r="CX54" s="211">
        <f>CX9/CR9-1</f>
        <v>9.7287285172686699E-2</v>
      </c>
      <c r="CY54" s="204">
        <f>CY9/CS9-1</f>
        <v>0.10058587035887401</v>
      </c>
      <c r="CZ54" s="54"/>
      <c r="DA54" s="54"/>
      <c r="DB54" s="54"/>
      <c r="DC54"/>
      <c r="DD54"/>
      <c r="DE54"/>
      <c r="DF54"/>
      <c r="DG54"/>
      <c r="DH54"/>
    </row>
    <row r="55" spans="1:114" s="273" customFormat="1" ht="11.25" customHeight="1" x14ac:dyDescent="0.2">
      <c r="A55" s="1139" t="s">
        <v>548</v>
      </c>
      <c r="B55" s="211"/>
      <c r="C55" s="210"/>
      <c r="D55" s="211"/>
      <c r="E55" s="211"/>
      <c r="F55" s="211"/>
      <c r="G55" s="204"/>
      <c r="H55" s="211"/>
      <c r="I55" s="210"/>
      <c r="J55" s="211"/>
      <c r="K55" s="211"/>
      <c r="L55" s="211"/>
      <c r="M55" s="204"/>
      <c r="N55" s="211"/>
      <c r="O55" s="210"/>
      <c r="P55" s="211"/>
      <c r="Q55" s="211"/>
      <c r="R55" s="211"/>
      <c r="S55" s="204"/>
      <c r="T55" s="211"/>
      <c r="U55" s="210"/>
      <c r="V55" s="211"/>
      <c r="W55" s="211"/>
      <c r="X55" s="211"/>
      <c r="Y55" s="204"/>
      <c r="Z55" s="211"/>
      <c r="AA55" s="210"/>
      <c r="AB55" s="211"/>
      <c r="AC55" s="211"/>
      <c r="AD55" s="211"/>
      <c r="AE55" s="204"/>
      <c r="AF55" s="211"/>
      <c r="AG55" s="210"/>
      <c r="AH55" s="211"/>
      <c r="AI55" s="211"/>
      <c r="AJ55" s="211"/>
      <c r="AK55" s="204"/>
      <c r="AL55" s="211"/>
      <c r="AM55" s="313">
        <f>+RevBuild!AM60</f>
        <v>0.14000000000000001</v>
      </c>
      <c r="AN55" s="314">
        <f>+RevBuild!AN60</f>
        <v>0.11</v>
      </c>
      <c r="AO55" s="314">
        <f>+RevBuild!AO60</f>
        <v>7.0000000000000007E-2</v>
      </c>
      <c r="AP55" s="314">
        <f>+RevBuild!AP60</f>
        <v>0</v>
      </c>
      <c r="AQ55" s="315">
        <f>+RevBuild!AQ60</f>
        <v>0.08</v>
      </c>
      <c r="AR55" s="211"/>
      <c r="AS55" s="313">
        <f>+RevBuild!AS60</f>
        <v>-0.02</v>
      </c>
      <c r="AT55" s="314">
        <f>+RevBuild!AT60</f>
        <v>0.01</v>
      </c>
      <c r="AU55" s="314">
        <f>+RevBuild!AU60</f>
        <v>0.01</v>
      </c>
      <c r="AV55" s="314">
        <f>+RevBuild!AV60</f>
        <v>0.17</v>
      </c>
      <c r="AW55" s="315">
        <f>+RevBuild!AW60</f>
        <v>0.04</v>
      </c>
      <c r="AX55" s="211"/>
      <c r="AY55" s="313">
        <f>+RevBuild!AY60</f>
        <v>0.13</v>
      </c>
      <c r="AZ55" s="314">
        <f>+RevBuild!AZ60</f>
        <v>0.14000000000000001</v>
      </c>
      <c r="BA55" s="314">
        <f>+RevBuild!BA60</f>
        <v>0.1</v>
      </c>
      <c r="BB55" s="314">
        <f>+RevBuild!BB60</f>
        <v>0.04</v>
      </c>
      <c r="BC55" s="315">
        <f>+RevBuild!BC60</f>
        <v>0.1</v>
      </c>
      <c r="BD55" s="211"/>
      <c r="BE55" s="313">
        <f>+RevBuild!BE60</f>
        <v>0.03</v>
      </c>
      <c r="BF55" s="314">
        <f>+RevBuild!BF60</f>
        <v>0.03</v>
      </c>
      <c r="BG55" s="314">
        <f>+RevBuild!BG60</f>
        <v>6.9999999999999993E-2</v>
      </c>
      <c r="BH55" s="314">
        <f>+RevBuild!BH60</f>
        <v>0.05</v>
      </c>
      <c r="BI55" s="315">
        <f>+RevBuild!BI60</f>
        <v>0.05</v>
      </c>
      <c r="BJ55" s="211"/>
      <c r="BK55" s="313">
        <f>+RevBuild!BK60</f>
        <v>0.05</v>
      </c>
      <c r="BL55" s="314">
        <f>+RevBuild!BL60</f>
        <v>0.04</v>
      </c>
      <c r="BM55" s="314">
        <f>+RevBuild!BM60</f>
        <v>0.04</v>
      </c>
      <c r="BN55" s="314">
        <f>+RevBuild!BN60</f>
        <v>4.2999999999999997E-2</v>
      </c>
      <c r="BO55" s="315">
        <f>+RevBuild!BO60</f>
        <v>0.04</v>
      </c>
      <c r="BP55" s="211"/>
      <c r="BQ55" s="313">
        <f>+RevBuild!BQ60</f>
        <v>2.0000000000000004E-2</v>
      </c>
      <c r="BR55" s="314">
        <f>+RevBuild!BR60</f>
        <v>4.8999999999999995E-2</v>
      </c>
      <c r="BS55" s="314">
        <f>+RevBuild!BS60</f>
        <v>2.3088972166873917E-2</v>
      </c>
      <c r="BT55" s="314">
        <f>+RevBuild!BT60</f>
        <v>2.8882320334802258E-2</v>
      </c>
      <c r="BU55" s="315">
        <f>+RevBuild!BU60</f>
        <v>3.2016372475536195E-2</v>
      </c>
      <c r="BV55" s="211"/>
      <c r="BW55" s="313">
        <f>+RevBuild!BW60</f>
        <v>1.9E-2</v>
      </c>
      <c r="BX55" s="314">
        <f>+RevBuild!BX60</f>
        <v>6.2E-2</v>
      </c>
      <c r="BY55" s="314">
        <f>+RevBuild!BY60</f>
        <v>8.5000000000000006E-2</v>
      </c>
      <c r="BZ55" s="314">
        <f>+RevBuild!BZ60</f>
        <v>8.2000000000000003E-2</v>
      </c>
      <c r="CA55" s="315">
        <f>+RevBuild!CA60</f>
        <v>6.3E-2</v>
      </c>
      <c r="CB55" s="211"/>
      <c r="CC55" s="313">
        <f>+RevBuild!CC60</f>
        <v>5.5E-2</v>
      </c>
      <c r="CD55" s="314">
        <f>+RevBuild!CD60</f>
        <v>6.8000000000000005E-2</v>
      </c>
      <c r="CE55" s="314">
        <f>+RevBuild!CE60</f>
        <v>7.0000000000000007E-2</v>
      </c>
      <c r="CF55" s="314">
        <f>+RevBuild!CF60</f>
        <v>0.06</v>
      </c>
      <c r="CG55" s="315">
        <f>+RevBuild!CG60</f>
        <v>6.4584298010176483E-2</v>
      </c>
      <c r="CH55" s="211"/>
      <c r="CI55" s="313">
        <f>+RevBuild!CI60</f>
        <v>5.9926399209091305E-2</v>
      </c>
      <c r="CJ55" s="314">
        <f>+RevBuild!CJ60</f>
        <v>7.0563673111423128E-2</v>
      </c>
      <c r="CK55" s="314">
        <f>+RevBuild!CK60</f>
        <v>8.0869450921904923E-2</v>
      </c>
      <c r="CL55" s="314">
        <f>+RevBuild!CL60</f>
        <v>6.170651052841182E-2</v>
      </c>
      <c r="CM55" s="315">
        <f>+RevBuild!CM60</f>
        <v>6.7378263992646042E-2</v>
      </c>
      <c r="CN55" s="211"/>
      <c r="CO55" s="313">
        <f>+RevBuild!CO60</f>
        <v>0.11026438097361879</v>
      </c>
      <c r="CP55" s="314">
        <f>+RevBuild!CP60</f>
        <v>7.554664536537592E-2</v>
      </c>
      <c r="CQ55" s="314">
        <f>+RevBuild!CQ60</f>
        <v>5.9727327215515436E-2</v>
      </c>
      <c r="CR55" s="314">
        <f>+RevBuild!CR60</f>
        <v>8.8559811828410773E-2</v>
      </c>
      <c r="CS55" s="315">
        <f>+RevBuild!CS60</f>
        <v>8.2637511918903783E-2</v>
      </c>
      <c r="CT55" s="211"/>
      <c r="CU55" s="313">
        <f>+RevBuild!CU60</f>
        <v>0.10716111531395711</v>
      </c>
      <c r="CV55" s="314">
        <f>+RevBuild!CV60</f>
        <v>0.10068286776811153</v>
      </c>
      <c r="CW55" s="314">
        <f>+RevBuild!CW60</f>
        <v>9.8252661586370804E-2</v>
      </c>
      <c r="CX55" s="314">
        <f>+RevBuild!CX60</f>
        <v>9.7287285172686699E-2</v>
      </c>
      <c r="CY55" s="315">
        <f>+RevBuild!CY60</f>
        <v>0.10058587035887401</v>
      </c>
      <c r="CZ55" s="54"/>
      <c r="DA55" s="54"/>
      <c r="DB55" s="54"/>
      <c r="DC55"/>
      <c r="DD55"/>
      <c r="DE55"/>
      <c r="DF55"/>
      <c r="DG55"/>
      <c r="DH55"/>
    </row>
    <row r="56" spans="1:114" s="273" customFormat="1" ht="11.25" customHeight="1" x14ac:dyDescent="0.2">
      <c r="A56" s="1139" t="s">
        <v>398</v>
      </c>
      <c r="B56" s="211"/>
      <c r="C56" s="210"/>
      <c r="D56" s="211"/>
      <c r="E56" s="211"/>
      <c r="F56" s="211"/>
      <c r="G56" s="204"/>
      <c r="H56" s="211"/>
      <c r="I56" s="210"/>
      <c r="J56" s="211"/>
      <c r="K56" s="211"/>
      <c r="L56" s="211"/>
      <c r="M56" s="204"/>
      <c r="N56" s="211"/>
      <c r="O56" s="210"/>
      <c r="P56" s="211"/>
      <c r="Q56" s="211"/>
      <c r="R56" s="211"/>
      <c r="S56" s="204"/>
      <c r="T56" s="211"/>
      <c r="U56" s="210"/>
      <c r="V56" s="211"/>
      <c r="W56" s="211"/>
      <c r="X56" s="211"/>
      <c r="Y56" s="204"/>
      <c r="Z56" s="211"/>
      <c r="AA56" s="210"/>
      <c r="AB56" s="211"/>
      <c r="AC56" s="211"/>
      <c r="AD56" s="211"/>
      <c r="AE56" s="204"/>
      <c r="AF56" s="211"/>
      <c r="AG56" s="210"/>
      <c r="AH56" s="211"/>
      <c r="AI56" s="211"/>
      <c r="AJ56" s="211"/>
      <c r="AK56" s="204"/>
      <c r="AL56" s="211"/>
      <c r="AM56" s="313"/>
      <c r="AN56" s="314"/>
      <c r="AO56" s="314"/>
      <c r="AP56" s="314"/>
      <c r="AQ56" s="315"/>
      <c r="AR56" s="211"/>
      <c r="AS56" s="313"/>
      <c r="AT56" s="314"/>
      <c r="AU56" s="314"/>
      <c r="AV56" s="314"/>
      <c r="AW56" s="315"/>
      <c r="AX56" s="211"/>
      <c r="AY56" s="313"/>
      <c r="AZ56" s="314"/>
      <c r="BA56" s="314"/>
      <c r="BB56" s="314"/>
      <c r="BC56" s="315">
        <f>+BC54-BC55</f>
        <v>-2.7583486001674068E-2</v>
      </c>
      <c r="BD56" s="211"/>
      <c r="BE56" s="313"/>
      <c r="BF56" s="314"/>
      <c r="BG56" s="314"/>
      <c r="BH56" s="314"/>
      <c r="BI56" s="315">
        <f>+BI54-BI55</f>
        <v>-8.6051643102666581E-3</v>
      </c>
      <c r="BJ56" s="211"/>
      <c r="BK56" s="313">
        <f>+BK54-BK55</f>
        <v>-4.5517432208081604E-3</v>
      </c>
      <c r="BL56" s="314">
        <f>+BL54-BL55</f>
        <v>6.8534695270723658E-3</v>
      </c>
      <c r="BM56" s="314">
        <f>+BM54-BM55</f>
        <v>-1.9888144627576432E-5</v>
      </c>
      <c r="BN56" s="314">
        <f>+BN54-BN55</f>
        <v>-4.7895403836341791E-2</v>
      </c>
      <c r="BO56" s="315">
        <f>+BO54-BO55</f>
        <v>-9.5395840732894407E-3</v>
      </c>
      <c r="BP56" s="211"/>
      <c r="BQ56" s="313">
        <f>+BQ54-BQ55</f>
        <v>-7.8744757745617941E-2</v>
      </c>
      <c r="BR56" s="314">
        <f>+BR54-BR55</f>
        <v>-8.4566678843245036E-2</v>
      </c>
      <c r="BS56" s="314">
        <f>+BS54-BS55</f>
        <v>-8.8999999999999996E-2</v>
      </c>
      <c r="BT56" s="314">
        <f>+BT54-BT55</f>
        <v>-6.3E-2</v>
      </c>
      <c r="BU56" s="315">
        <f>+BU54-BU55</f>
        <v>-8.0250000000000002E-2</v>
      </c>
      <c r="BV56" s="211"/>
      <c r="BW56" s="313">
        <f>+BW54-BW55</f>
        <v>-2.0171630474443241E-2</v>
      </c>
      <c r="BX56" s="314">
        <f>+BX54-BX55</f>
        <v>-1.5182910948612738E-2</v>
      </c>
      <c r="BY56" s="314">
        <f>+BY54-BY55</f>
        <v>-8.3089925324498076E-3</v>
      </c>
      <c r="BZ56" s="314">
        <f>+BZ54-BZ55</f>
        <v>-3.0307030129124765E-2</v>
      </c>
      <c r="CA56" s="315">
        <f>+CA54-CA55</f>
        <v>-1.8711081244351002E-2</v>
      </c>
      <c r="CB56" s="211"/>
      <c r="CC56" s="313">
        <f>+CC54-CC55</f>
        <v>-2.1730232355494046E-2</v>
      </c>
      <c r="CD56" s="314">
        <f>+CD54-CD55</f>
        <v>-2.2565027570780882E-2</v>
      </c>
      <c r="CE56" s="314">
        <f>+CE54-CE55</f>
        <v>5.926007942483269E-3</v>
      </c>
      <c r="CF56" s="314">
        <f>+CF54-CF55</f>
        <v>2.3483622771237223E-2</v>
      </c>
      <c r="CG56" s="315">
        <f>+CG54-CG55</f>
        <v>-3.7214073031388295E-3</v>
      </c>
      <c r="CH56" s="211"/>
      <c r="CI56" s="313">
        <f>+CI54-CI55</f>
        <v>0.05</v>
      </c>
      <c r="CJ56" s="314">
        <f>+CJ54-CJ55</f>
        <v>4.4999999999999998E-2</v>
      </c>
      <c r="CK56" s="314">
        <f>+CK54-CK55</f>
        <v>2.4999999999999994E-2</v>
      </c>
      <c r="CL56" s="314">
        <f>+CL54-CL55</f>
        <v>2.0000000000000004E-2</v>
      </c>
      <c r="CM56" s="315">
        <f>+CM54-CM55</f>
        <v>3.5000000000000003E-2</v>
      </c>
      <c r="CN56" s="211"/>
      <c r="CO56" s="313">
        <f>+CO54-CO55</f>
        <v>0</v>
      </c>
      <c r="CP56" s="314">
        <f>+CP54-CP55</f>
        <v>0</v>
      </c>
      <c r="CQ56" s="314">
        <f>+CQ54-CQ55</f>
        <v>0</v>
      </c>
      <c r="CR56" s="314">
        <f>+CR54-CR55</f>
        <v>0</v>
      </c>
      <c r="CS56" s="315">
        <f>+CS54-CS55</f>
        <v>2.2204460492503131E-16</v>
      </c>
      <c r="CT56" s="211"/>
      <c r="CU56" s="313">
        <f>+CU54-CU55</f>
        <v>0</v>
      </c>
      <c r="CV56" s="314">
        <f>+CV54-CV55</f>
        <v>0</v>
      </c>
      <c r="CW56" s="314">
        <f>+CW54-CW55</f>
        <v>0</v>
      </c>
      <c r="CX56" s="314">
        <f>+CX54-CX55</f>
        <v>0</v>
      </c>
      <c r="CY56" s="315">
        <f>+CY54-CY55</f>
        <v>0</v>
      </c>
      <c r="CZ56" s="54"/>
      <c r="DA56" s="54"/>
      <c r="DB56" s="54"/>
      <c r="DC56"/>
      <c r="DD56"/>
      <c r="DE56"/>
      <c r="DF56"/>
      <c r="DG56"/>
      <c r="DH56"/>
    </row>
    <row r="57" spans="1:114" s="273" customFormat="1" ht="11.25" customHeight="1" x14ac:dyDescent="0.2">
      <c r="A57" s="1139" t="s">
        <v>397</v>
      </c>
      <c r="B57" s="211"/>
      <c r="C57" s="210"/>
      <c r="D57" s="211"/>
      <c r="E57" s="211"/>
      <c r="F57" s="211"/>
      <c r="G57" s="204"/>
      <c r="H57" s="211"/>
      <c r="I57" s="210"/>
      <c r="J57" s="211"/>
      <c r="K57" s="211"/>
      <c r="L57" s="211"/>
      <c r="M57" s="204"/>
      <c r="N57" s="211"/>
      <c r="O57" s="210"/>
      <c r="P57" s="211"/>
      <c r="Q57" s="211"/>
      <c r="R57" s="211"/>
      <c r="S57" s="204"/>
      <c r="T57" s="211"/>
      <c r="U57" s="210"/>
      <c r="V57" s="211"/>
      <c r="W57" s="211"/>
      <c r="X57" s="211"/>
      <c r="Y57" s="204"/>
      <c r="Z57" s="211"/>
      <c r="AA57" s="210"/>
      <c r="AB57" s="211"/>
      <c r="AC57" s="211"/>
      <c r="AD57" s="211"/>
      <c r="AE57" s="204"/>
      <c r="AF57" s="211"/>
      <c r="AG57" s="210"/>
      <c r="AH57" s="211"/>
      <c r="AI57" s="211"/>
      <c r="AJ57" s="211"/>
      <c r="AK57" s="204"/>
      <c r="AL57" s="211"/>
      <c r="AM57" s="313">
        <f>+RevBuild!AM62</f>
        <v>0.11000000000000001</v>
      </c>
      <c r="AN57" s="314">
        <f>+RevBuild!AN62</f>
        <v>5.2999999999999999E-2</v>
      </c>
      <c r="AO57" s="314">
        <f>+RevBuild!AO62</f>
        <v>3.0000000000000006E-2</v>
      </c>
      <c r="AP57" s="314">
        <f>+RevBuild!AP62</f>
        <v>-0.03</v>
      </c>
      <c r="AQ57" s="315">
        <f>+RevBuild!AQ62</f>
        <v>0.04</v>
      </c>
      <c r="AR57" s="211"/>
      <c r="AS57" s="313">
        <f>+RevBuild!AS62</f>
        <v>-0.02</v>
      </c>
      <c r="AT57" s="314">
        <f>+RevBuild!AT62</f>
        <v>0.01</v>
      </c>
      <c r="AU57" s="314">
        <f>+RevBuild!AU62</f>
        <v>-0.03</v>
      </c>
      <c r="AV57" s="314">
        <f>+RevBuild!AV62</f>
        <v>0.11000000000000001</v>
      </c>
      <c r="AW57" s="315">
        <f>+RevBuild!AW62</f>
        <v>0.02</v>
      </c>
      <c r="AX57" s="211"/>
      <c r="AY57" s="313">
        <f>+RevBuild!AY62</f>
        <v>0.06</v>
      </c>
      <c r="AZ57" s="314">
        <f>+RevBuild!AZ62</f>
        <v>5.0000000000000017E-2</v>
      </c>
      <c r="BA57" s="314">
        <f>+RevBuild!BA62</f>
        <v>4.0000000000000008E-2</v>
      </c>
      <c r="BB57" s="314">
        <f>+RevBuild!BB62</f>
        <v>0.02</v>
      </c>
      <c r="BC57" s="315">
        <f>+RevBuild!BC62</f>
        <v>4.0000000000000008E-2</v>
      </c>
      <c r="BD57" s="211"/>
      <c r="BE57" s="313">
        <f>+RevBuild!BE62</f>
        <v>1.9999999999999997E-2</v>
      </c>
      <c r="BF57" s="314">
        <f>+RevBuild!BF62</f>
        <v>9.9999999999999985E-3</v>
      </c>
      <c r="BG57" s="314">
        <f>+RevBuild!BG62</f>
        <v>3.4999999999999989E-2</v>
      </c>
      <c r="BH57" s="314">
        <f>+RevBuild!BH62</f>
        <v>2.0000000000000004E-2</v>
      </c>
      <c r="BI57" s="315">
        <f>+RevBuild!BI62</f>
        <v>2.6250000000000002E-2</v>
      </c>
      <c r="BJ57" s="211"/>
      <c r="BK57" s="313">
        <f>+RevBuild!BK62</f>
        <v>2.0000000000000004E-2</v>
      </c>
      <c r="BL57" s="314">
        <f>+RevBuild!BL62</f>
        <v>1.3333333333333336E-2</v>
      </c>
      <c r="BM57" s="314">
        <f>+RevBuild!BM62</f>
        <v>0.03</v>
      </c>
      <c r="BN57" s="314">
        <f>+RevBuild!BN62</f>
        <v>3.2999999999999995E-2</v>
      </c>
      <c r="BO57" s="315">
        <f>+RevBuild!BO62</f>
        <v>0.02</v>
      </c>
      <c r="BP57" s="211"/>
      <c r="BQ57" s="313">
        <f>+RevBuild!BQ62</f>
        <v>0</v>
      </c>
      <c r="BR57" s="314">
        <f>+RevBuild!BR62</f>
        <v>2.8999999999999995E-2</v>
      </c>
      <c r="BS57" s="314">
        <f>+RevBuild!BS62</f>
        <v>8.2414708528700514E-3</v>
      </c>
      <c r="BT57" s="314">
        <f>+RevBuild!BT62</f>
        <v>1.1653862143510448E-2</v>
      </c>
      <c r="BU57" s="315">
        <f>+RevBuild!BU62</f>
        <v>1.7458054835285328E-2</v>
      </c>
      <c r="BV57" s="211"/>
      <c r="BW57" s="313">
        <f>+RevBuild!BW62</f>
        <v>3.2432609488867836E-2</v>
      </c>
      <c r="BX57" s="314">
        <f>+RevBuild!BX62</f>
        <v>7.8303215466292694E-2</v>
      </c>
      <c r="BY57" s="314">
        <f>+RevBuild!BY62</f>
        <v>7.9074201824129511E-2</v>
      </c>
      <c r="BZ57" s="314">
        <f>+RevBuild!BZ62</f>
        <v>7.5977761836441893E-2</v>
      </c>
      <c r="CA57" s="315">
        <f>+RevBuild!CA62</f>
        <v>6.7046457803490944E-2</v>
      </c>
      <c r="CB57" s="211"/>
      <c r="CC57" s="313">
        <f>+RevBuild!CC62</f>
        <v>5.164855770680913E-2</v>
      </c>
      <c r="CD57" s="314">
        <f>+RevBuild!CD62</f>
        <v>7.4519353372486635E-2</v>
      </c>
      <c r="CE57" s="314">
        <f>+RevBuild!CE62</f>
        <v>7.2952596070094633E-2</v>
      </c>
      <c r="CF57" s="314">
        <f>+RevBuild!CF62</f>
        <v>6.8185203879786632E-2</v>
      </c>
      <c r="CG57" s="315">
        <f>+RevBuild!CG62</f>
        <v>6.8455886085133644E-2</v>
      </c>
      <c r="CH57" s="211"/>
      <c r="CI57" s="313">
        <f>+RevBuild!CI62</f>
        <v>6.9656991542681956E-2</v>
      </c>
      <c r="CJ57" s="314">
        <f>+RevBuild!CJ62</f>
        <v>7.6284398728260372E-2</v>
      </c>
      <c r="CK57" s="314">
        <f>+RevBuild!CK62</f>
        <v>7.8262425674923586E-2</v>
      </c>
      <c r="CL57" s="314">
        <f>+RevBuild!CL62</f>
        <v>5.5348118836374541E-2</v>
      </c>
      <c r="CM57" s="315">
        <f>+RevBuild!CM62</f>
        <v>6.8452642702334823E-2</v>
      </c>
      <c r="CN57" s="211"/>
      <c r="CO57" s="313">
        <f>+RevBuild!CO62</f>
        <v>0.10002174201619536</v>
      </c>
      <c r="CP57" s="314">
        <f>+RevBuild!CP62</f>
        <v>5.7841869144899388E-2</v>
      </c>
      <c r="CQ57" s="314">
        <f>+RevBuild!CQ62</f>
        <v>5.9727327215515436E-2</v>
      </c>
      <c r="CR57" s="314">
        <f>+RevBuild!CR62</f>
        <v>8.8559811828410773E-2</v>
      </c>
      <c r="CS57" s="315">
        <f>+RevBuild!CS62</f>
        <v>7.5984663354479606E-2</v>
      </c>
      <c r="CT57" s="211"/>
      <c r="CU57" s="313">
        <f>+RevBuild!CU62</f>
        <v>0.10716111531395711</v>
      </c>
      <c r="CV57" s="314">
        <f>+RevBuild!CV62</f>
        <v>0.10068286776811153</v>
      </c>
      <c r="CW57" s="314">
        <f>+RevBuild!CW62</f>
        <v>9.8252661586370804E-2</v>
      </c>
      <c r="CX57" s="314">
        <f>+RevBuild!CX62</f>
        <v>9.7287285172686699E-2</v>
      </c>
      <c r="CY57" s="315">
        <f>+RevBuild!CY62</f>
        <v>0.10058587035887401</v>
      </c>
      <c r="CZ57" s="54"/>
      <c r="DB57" s="54"/>
      <c r="DC57"/>
      <c r="DD57"/>
      <c r="DE57"/>
      <c r="DF57"/>
      <c r="DG57"/>
      <c r="DH57"/>
    </row>
    <row r="58" spans="1:114" s="273" customFormat="1" ht="11.25" customHeight="1" x14ac:dyDescent="0.2">
      <c r="A58" s="204" t="s">
        <v>136</v>
      </c>
      <c r="B58" s="211"/>
      <c r="C58" s="210"/>
      <c r="D58" s="211"/>
      <c r="E58" s="211"/>
      <c r="F58" s="211"/>
      <c r="G58" s="204"/>
      <c r="H58" s="211"/>
      <c r="I58" s="210">
        <f>I10/C10-1</f>
        <v>-6.2178229958323006E-2</v>
      </c>
      <c r="J58" s="211">
        <f>J10/D10-1</f>
        <v>9.7556471964055369E-3</v>
      </c>
      <c r="K58" s="211">
        <f>K10/E10-1</f>
        <v>2.5950492341356712E-2</v>
      </c>
      <c r="L58" s="211">
        <f>L10/F10-1</f>
        <v>-6.2332182585347229E-2</v>
      </c>
      <c r="M58" s="204">
        <f>M10/G10-1</f>
        <v>-2.3102389024176828E-2</v>
      </c>
      <c r="N58" s="211"/>
      <c r="O58" s="210">
        <f>O10/I10-1</f>
        <v>7.4535176289906246E-2</v>
      </c>
      <c r="P58" s="211">
        <f>P10/J10-1</f>
        <v>-5.4554874889519711E-3</v>
      </c>
      <c r="Q58" s="211">
        <f>Q10/K10-1</f>
        <v>0.20528543339887362</v>
      </c>
      <c r="R58" s="211">
        <f>R10/L10-1</f>
        <v>0.27630053862412329</v>
      </c>
      <c r="S58" s="204">
        <f>S10/M10-1</f>
        <v>0.13333061789743805</v>
      </c>
      <c r="T58" s="211"/>
      <c r="U58" s="210">
        <f>U10/O10-1</f>
        <v>0.18382800145967648</v>
      </c>
      <c r="V58" s="211">
        <f>V10/P10-1</f>
        <v>0.27411743074282913</v>
      </c>
      <c r="W58" s="211">
        <f>W10/Q10-1</f>
        <v>0.40169215030276217</v>
      </c>
      <c r="X58" s="211">
        <f>X10/R10-1</f>
        <v>0.55378081679531932</v>
      </c>
      <c r="Y58" s="204">
        <f>Y10/S10-1</f>
        <v>0.36120096030821847</v>
      </c>
      <c r="Z58" s="211"/>
      <c r="AA58" s="210">
        <f>AA10/U10-1</f>
        <v>0.40912944077679869</v>
      </c>
      <c r="AB58" s="211">
        <f>AB10/V10-1</f>
        <v>0.38449142554777893</v>
      </c>
      <c r="AC58" s="211">
        <f>AC10/W10-1</f>
        <v>0.27207811421244688</v>
      </c>
      <c r="AD58" s="211">
        <f>AD10/X10-1</f>
        <v>0.12215498865433627</v>
      </c>
      <c r="AE58" s="204">
        <f>AE10/Y10-1</f>
        <v>0.27887819277299331</v>
      </c>
      <c r="AF58" s="211"/>
      <c r="AG58" s="210">
        <f>AG10/AA10-1</f>
        <v>0.111710660638763</v>
      </c>
      <c r="AH58" s="211">
        <f>AH10/AB10-1</f>
        <v>0.16333408613171652</v>
      </c>
      <c r="AI58" s="211">
        <f>AI10/AC10-1</f>
        <v>9.4761816151841982E-2</v>
      </c>
      <c r="AJ58" s="211">
        <f>AJ10/AD10-1</f>
        <v>0.26235485155795168</v>
      </c>
      <c r="AK58" s="204">
        <f>AK10/AE10-1</f>
        <v>0.16007184590292511</v>
      </c>
      <c r="AL58" s="211"/>
      <c r="AM58" s="210">
        <f>AM10/AG10-1</f>
        <v>0.23232323232323293</v>
      </c>
      <c r="AN58" s="211">
        <f>AN10/AH10-1</f>
        <v>0.10971402971701649</v>
      </c>
      <c r="AO58" s="211">
        <f>AO10/AI10-1</f>
        <v>0.10195611835861706</v>
      </c>
      <c r="AP58" s="211">
        <f>AP10/AJ10-1</f>
        <v>-2.1795058492306452E-2</v>
      </c>
      <c r="AQ58" s="204">
        <f>AQ10/AK10-1</f>
        <v>9.580640109342542E-2</v>
      </c>
      <c r="AR58" s="211"/>
      <c r="AS58" s="210">
        <f>AS10/AM10-1</f>
        <v>-2.4417181179476222E-2</v>
      </c>
      <c r="AT58" s="211">
        <f>AT10/AN10-1</f>
        <v>2.9012810851544613E-2</v>
      </c>
      <c r="AU58" s="211">
        <f>AU10/AO10-1</f>
        <v>5.7277272902554133E-2</v>
      </c>
      <c r="AV58" s="211">
        <f>AV10/AP10-1</f>
        <v>0.30508138150059527</v>
      </c>
      <c r="AW58" s="204">
        <f>AW10/AQ10-1</f>
        <v>9.5394469725759823E-2</v>
      </c>
      <c r="AX58" s="211"/>
      <c r="AY58" s="210">
        <f>AY10/AS10-1</f>
        <v>0.18188141904333199</v>
      </c>
      <c r="AZ58" s="211">
        <f>AZ10/AT10-1</f>
        <v>0.15262593503164723</v>
      </c>
      <c r="BA58" s="211">
        <f>BA10/AU10-1</f>
        <v>4.2296329617156792E-2</v>
      </c>
      <c r="BB58" s="211">
        <f>BB10/AV10-1</f>
        <v>-7.7861216730038318E-2</v>
      </c>
      <c r="BC58" s="204">
        <f>BC10/AW10-1</f>
        <v>6.0177085619058213E-2</v>
      </c>
      <c r="BD58" s="211"/>
      <c r="BE58" s="210">
        <f>BE10/AY10-1</f>
        <v>-2.6416008863038409E-2</v>
      </c>
      <c r="BF58" s="211">
        <f>BF10/AZ10-1</f>
        <v>5.51174848818341E-2</v>
      </c>
      <c r="BG58" s="211">
        <f>BG10/BA10-1</f>
        <v>6.5074884523865117E-2</v>
      </c>
      <c r="BH58" s="211">
        <f>BH10/BB10-1</f>
        <v>1.2503994474740043E-2</v>
      </c>
      <c r="BI58" s="204">
        <f>BI10/BC10-1</f>
        <v>2.6182271796650447E-2</v>
      </c>
      <c r="BJ58" s="211"/>
      <c r="BK58" s="210">
        <f>BK10/BE10-1</f>
        <v>3.7836492301127178E-2</v>
      </c>
      <c r="BL58" s="211">
        <f>BL10/BF10-1</f>
        <v>1.4742411045517656E-2</v>
      </c>
      <c r="BM58" s="211">
        <f>BM10/BG10-1</f>
        <v>1.6120730251558024E-2</v>
      </c>
      <c r="BN58" s="211">
        <f>BN10/BH10-1</f>
        <v>0.1874325507523773</v>
      </c>
      <c r="BO58" s="204">
        <f>BO10/BI10-1</f>
        <v>6.6627054754383463E-2</v>
      </c>
      <c r="BP58" s="211"/>
      <c r="BQ58" s="210">
        <f>BQ10/BK10-1</f>
        <v>-7.8784763862714824E-2</v>
      </c>
      <c r="BR58" s="211">
        <f>BR10/BL10-1</f>
        <v>-6.9091217361817447E-3</v>
      </c>
      <c r="BS58" s="211">
        <f>BS10/BM10-1</f>
        <v>-6.1218111076384307E-3</v>
      </c>
      <c r="BT58" s="211">
        <f>BT10/BN10-1</f>
        <v>-0.12182762878112363</v>
      </c>
      <c r="BU58" s="204">
        <f>BU10/BO10-1</f>
        <v>-5.7052982332408408E-2</v>
      </c>
      <c r="BV58" s="211"/>
      <c r="BW58" s="210">
        <f>BW10/BQ10-1</f>
        <v>0.12731690987763011</v>
      </c>
      <c r="BX58" s="211">
        <f>BX10/BR10-1</f>
        <v>6.7416449699090997E-2</v>
      </c>
      <c r="BY58" s="211">
        <f>BY10/BS10-1</f>
        <v>5.4828390175134079E-2</v>
      </c>
      <c r="BZ58" s="211">
        <f>BZ10/BT10-1</f>
        <v>3.2063110824717134E-2</v>
      </c>
      <c r="CA58" s="204">
        <f>CA10/BU10-1</f>
        <v>6.7550831818021795E-2</v>
      </c>
      <c r="CB58" s="211"/>
      <c r="CC58" s="210">
        <f>CC10/BW10-1</f>
        <v>-1.8146624727801708E-3</v>
      </c>
      <c r="CD58" s="211">
        <f>CD10/BX10-1</f>
        <v>2.7650598796409076E-2</v>
      </c>
      <c r="CE58" s="211">
        <f>CE10/BY10-1</f>
        <v>8.6654809758303974E-2</v>
      </c>
      <c r="CF58" s="211">
        <f>CF10/BZ10-1</f>
        <v>0.10588702734918209</v>
      </c>
      <c r="CG58" s="204">
        <f>CG10/CA10-1</f>
        <v>5.6412430382445811E-2</v>
      </c>
      <c r="CH58" s="211"/>
      <c r="CI58" s="210">
        <f>CI10/CC10-1</f>
        <v>6.0773111045917538E-2</v>
      </c>
      <c r="CJ58" s="211">
        <f>CJ10/CD10-1</f>
        <v>6.8822574946274084E-2</v>
      </c>
      <c r="CK58" s="211">
        <f>CK10/CE10-1</f>
        <v>0.10604708889398484</v>
      </c>
      <c r="CL58" s="211">
        <f>CL10/CF10-1</f>
        <v>8.870927526978245E-2</v>
      </c>
      <c r="CM58" s="204">
        <f>CM10/CG10-1</f>
        <v>8.2107839541060601E-2</v>
      </c>
      <c r="CN58" s="211"/>
      <c r="CO58" s="210">
        <f>CO10/CI10-1</f>
        <v>0.10808570010613994</v>
      </c>
      <c r="CP58" s="211">
        <f>CP10/CJ10-1</f>
        <v>7.2789162108953365E-2</v>
      </c>
      <c r="CQ58" s="211">
        <f>CQ10/CK10-1</f>
        <v>4.6990651620515189E-2</v>
      </c>
      <c r="CR58" s="211">
        <f>CR10/CL10-1</f>
        <v>7.1306516255358776E-2</v>
      </c>
      <c r="CS58" s="204">
        <f>CS10/CM10-1</f>
        <v>7.3218756231800519E-2</v>
      </c>
      <c r="CT58" s="211"/>
      <c r="CU58" s="210">
        <f>CU10/CO10-1</f>
        <v>9.9778373583013114E-2</v>
      </c>
      <c r="CV58" s="211">
        <f>CV10/CP10-1</f>
        <v>9.2451604340509252E-2</v>
      </c>
      <c r="CW58" s="211">
        <f>CW10/CQ10-1</f>
        <v>8.9212449646911329E-2</v>
      </c>
      <c r="CX58" s="211">
        <f>CX10/CR10-1</f>
        <v>8.6605266051769547E-2</v>
      </c>
      <c r="CY58" s="204">
        <f>CY10/CS10-1</f>
        <v>9.1599219363125428E-2</v>
      </c>
      <c r="CZ58" s="54"/>
      <c r="DA58" s="54"/>
      <c r="DB58" s="54"/>
      <c r="DC58"/>
      <c r="DD58"/>
      <c r="DE58"/>
      <c r="DF58"/>
      <c r="DG58"/>
      <c r="DH58"/>
    </row>
    <row r="59" spans="1:114" s="273" customFormat="1" ht="11.25" customHeight="1" x14ac:dyDescent="0.2">
      <c r="A59" s="204" t="s">
        <v>247</v>
      </c>
      <c r="B59" s="211"/>
      <c r="C59" s="210"/>
      <c r="D59" s="211"/>
      <c r="E59" s="211"/>
      <c r="F59" s="211"/>
      <c r="G59" s="204"/>
      <c r="H59" s="211"/>
      <c r="I59" s="210">
        <f t="shared" ref="I59:M61" si="79">I12/C12-1</f>
        <v>7.2663252240717124E-2</v>
      </c>
      <c r="J59" s="211">
        <f t="shared" si="79"/>
        <v>1.7716322782759031E-2</v>
      </c>
      <c r="K59" s="211">
        <f t="shared" si="79"/>
        <v>0.16175893207695347</v>
      </c>
      <c r="L59" s="211">
        <f t="shared" si="79"/>
        <v>0.13183110455933367</v>
      </c>
      <c r="M59" s="204">
        <f t="shared" si="79"/>
        <v>9.3186456789777994E-2</v>
      </c>
      <c r="N59" s="211"/>
      <c r="O59" s="210">
        <f t="shared" ref="O59:S61" si="80">O12/I12-1</f>
        <v>1.3428827215756556E-2</v>
      </c>
      <c r="P59" s="211">
        <f t="shared" si="80"/>
        <v>8.6402717333616375E-2</v>
      </c>
      <c r="Q59" s="211">
        <f t="shared" si="80"/>
        <v>0.14058803649881702</v>
      </c>
      <c r="R59" s="211">
        <f t="shared" si="80"/>
        <v>2.4467392315564496E-2</v>
      </c>
      <c r="S59" s="204">
        <f t="shared" si="80"/>
        <v>6.2915601023018075E-2</v>
      </c>
      <c r="T59" s="211"/>
      <c r="U59" s="210">
        <f t="shared" ref="U59:Y61" si="81">U12/O12-1</f>
        <v>0.13182175107970151</v>
      </c>
      <c r="V59" s="211">
        <f t="shared" si="81"/>
        <v>0.23986321446018555</v>
      </c>
      <c r="W59" s="211">
        <f t="shared" si="81"/>
        <v>0.76493827160493844</v>
      </c>
      <c r="X59" s="211">
        <f t="shared" si="81"/>
        <v>1.0744642208499817</v>
      </c>
      <c r="Y59" s="204">
        <f t="shared" si="81"/>
        <v>0.56243984600577468</v>
      </c>
      <c r="Z59" s="211"/>
      <c r="AA59" s="210">
        <f t="shared" ref="AA59:AE61" si="82">AA12/U12-1</f>
        <v>0.85317838869135354</v>
      </c>
      <c r="AB59" s="211">
        <f t="shared" si="82"/>
        <v>0.87864460204885741</v>
      </c>
      <c r="AC59" s="211">
        <f t="shared" si="82"/>
        <v>0.34711807498601011</v>
      </c>
      <c r="AD59" s="211">
        <f t="shared" si="82"/>
        <v>0.22784976361407772</v>
      </c>
      <c r="AE59" s="204">
        <f t="shared" si="82"/>
        <v>0.49889889889889893</v>
      </c>
      <c r="AF59" s="211"/>
      <c r="AG59" s="210">
        <f t="shared" ref="AG59:AK61" si="83">AG12/AA12-1</f>
        <v>0.20000935935233288</v>
      </c>
      <c r="AH59" s="211">
        <f t="shared" si="83"/>
        <v>4.6560402684563629E-2</v>
      </c>
      <c r="AI59" s="211">
        <f t="shared" si="83"/>
        <v>0.11107880197731901</v>
      </c>
      <c r="AJ59" s="211">
        <f t="shared" si="83"/>
        <v>8.9521908089415403E-2</v>
      </c>
      <c r="AK59" s="204">
        <f t="shared" si="83"/>
        <v>0.10858821958060649</v>
      </c>
      <c r="AL59" s="211"/>
      <c r="AM59" s="210">
        <f t="shared" ref="AM59:AQ61" si="84">AM12/AG12-1</f>
        <v>0.2321881215146433</v>
      </c>
      <c r="AN59" s="211">
        <f t="shared" si="84"/>
        <v>0.17927855711422835</v>
      </c>
      <c r="AO59" s="211">
        <f t="shared" si="84"/>
        <v>0.15826073952218933</v>
      </c>
      <c r="AP59" s="211">
        <f t="shared" si="84"/>
        <v>0.11387434554973841</v>
      </c>
      <c r="AQ59" s="204">
        <f t="shared" si="84"/>
        <v>0.16811862835959213</v>
      </c>
      <c r="AR59" s="211"/>
      <c r="AS59" s="210">
        <f t="shared" ref="AS59:AW61" si="85">AS12/AM12-1</f>
        <v>3.3863974427952082E-2</v>
      </c>
      <c r="AT59" s="211">
        <f t="shared" si="85"/>
        <v>0.10484994732012387</v>
      </c>
      <c r="AU59" s="211">
        <f t="shared" si="85"/>
        <v>5.3776630083925081E-2</v>
      </c>
      <c r="AV59" s="211">
        <f t="shared" si="85"/>
        <v>-3.5987074030552901E-2</v>
      </c>
      <c r="AW59" s="204">
        <f t="shared" si="85"/>
        <v>3.6464614408124429E-2</v>
      </c>
      <c r="AX59" s="211"/>
      <c r="AY59" s="210">
        <f t="shared" ref="AY59:BC61" si="86">AY12/AS12-1</f>
        <v>-0.1233660881011418</v>
      </c>
      <c r="AZ59" s="211">
        <f t="shared" si="86"/>
        <v>-5.8047249907715148E-2</v>
      </c>
      <c r="BA59" s="211">
        <f t="shared" si="86"/>
        <v>-5.017460025730569E-2</v>
      </c>
      <c r="BB59" s="211">
        <f t="shared" si="86"/>
        <v>-1.843669053786301E-2</v>
      </c>
      <c r="BC59" s="204">
        <f t="shared" si="86"/>
        <v>-6.246363942557942E-2</v>
      </c>
      <c r="BD59" s="211"/>
      <c r="BE59" s="210">
        <f t="shared" ref="BE59:BI61" si="87">BE12/AY12-1</f>
        <v>0.1977511610853091</v>
      </c>
      <c r="BF59" s="211">
        <f t="shared" si="87"/>
        <v>9.8559811893798477E-2</v>
      </c>
      <c r="BG59" s="211">
        <f t="shared" si="87"/>
        <v>0.10745614035087736</v>
      </c>
      <c r="BH59" s="211">
        <f t="shared" si="87"/>
        <v>0.35957777087860876</v>
      </c>
      <c r="BI59" s="204">
        <f t="shared" si="87"/>
        <v>0.19264998856918902</v>
      </c>
      <c r="BJ59" s="211"/>
      <c r="BK59" s="210">
        <f t="shared" ref="BK59:BO61" si="88">BK12/BE12-1</f>
        <v>0.1759766763848396</v>
      </c>
      <c r="BL59" s="211">
        <f t="shared" si="88"/>
        <v>0.12693599690835033</v>
      </c>
      <c r="BM59" s="211">
        <f t="shared" si="88"/>
        <v>0.20736750145602789</v>
      </c>
      <c r="BN59" s="211">
        <f t="shared" si="88"/>
        <v>2.9229082937523021E-3</v>
      </c>
      <c r="BO59" s="204">
        <f t="shared" si="88"/>
        <v>0.12018128170547215</v>
      </c>
      <c r="BP59" s="211"/>
      <c r="BQ59" s="210">
        <f t="shared" ref="BQ59:BU61" si="89">BQ12/BK12-1</f>
        <v>-4.9781832606108578E-2</v>
      </c>
      <c r="BR59" s="211">
        <f t="shared" si="89"/>
        <v>-0.11432641325278947</v>
      </c>
      <c r="BS59" s="211">
        <f t="shared" si="89"/>
        <v>-0.14213357130797621</v>
      </c>
      <c r="BT59" s="211">
        <f t="shared" si="89"/>
        <v>-0.15960837887067403</v>
      </c>
      <c r="BU59" s="204">
        <f t="shared" si="89"/>
        <v>-0.11761578233288106</v>
      </c>
      <c r="BV59" s="211"/>
      <c r="BW59" s="210">
        <f t="shared" ref="BW59:CA61" si="90">BW12/BQ12-1</f>
        <v>3.7335629304946716E-2</v>
      </c>
      <c r="BX59" s="211">
        <f t="shared" si="90"/>
        <v>0.25450483991064754</v>
      </c>
      <c r="BY59" s="211">
        <f t="shared" si="90"/>
        <v>1.7825011246063838E-2</v>
      </c>
      <c r="BZ59" s="211">
        <f t="shared" si="90"/>
        <v>-0.18781721304072974</v>
      </c>
      <c r="CA59" s="204">
        <f t="shared" si="90"/>
        <v>2.5471957298166981E-2</v>
      </c>
      <c r="CB59" s="211"/>
      <c r="CC59" s="210">
        <f t="shared" ref="CC59:CG61" si="91">CC12/BW12-1</f>
        <v>-4.8517316833924462E-2</v>
      </c>
      <c r="CD59" s="211">
        <f t="shared" si="91"/>
        <v>-7.9131054131054146E-2</v>
      </c>
      <c r="CE59" s="211">
        <f t="shared" si="91"/>
        <v>6.1515938345947818E-2</v>
      </c>
      <c r="CF59" s="211">
        <f t="shared" si="91"/>
        <v>0.36581677471006224</v>
      </c>
      <c r="CG59" s="204">
        <f t="shared" si="91"/>
        <v>5.3568855588775888E-2</v>
      </c>
      <c r="CH59" s="211"/>
      <c r="CI59" s="210">
        <f t="shared" ref="CI59:CM61" si="92">CI12/CC12-1</f>
        <v>0.31853330441310801</v>
      </c>
      <c r="CJ59" s="211">
        <f t="shared" si="92"/>
        <v>0.26283692733097919</v>
      </c>
      <c r="CK59" s="211">
        <f t="shared" si="92"/>
        <v>0.34999103115075259</v>
      </c>
      <c r="CL59" s="211">
        <f t="shared" si="92"/>
        <v>0.26873083049550051</v>
      </c>
      <c r="CM59" s="204">
        <f t="shared" si="92"/>
        <v>0.29936208260936348</v>
      </c>
      <c r="CN59" s="211"/>
      <c r="CO59" s="210">
        <f t="shared" ref="CO59:CS61" si="93">CO12/CI12-1</f>
        <v>-5.7015263266975147E-2</v>
      </c>
      <c r="CP59" s="211">
        <f t="shared" si="93"/>
        <v>7.2166254682340947E-2</v>
      </c>
      <c r="CQ59" s="211">
        <f t="shared" si="93"/>
        <v>-1.7805858488253334E-2</v>
      </c>
      <c r="CR59" s="211">
        <f t="shared" si="93"/>
        <v>8.7647288032425053E-2</v>
      </c>
      <c r="CS59" s="204">
        <f t="shared" si="93"/>
        <v>2.1314360892375372E-2</v>
      </c>
      <c r="CT59" s="211"/>
      <c r="CU59" s="210">
        <f t="shared" ref="CU59:CY61" si="94">CU12/CO12-1</f>
        <v>2.794398271794396E-2</v>
      </c>
      <c r="CV59" s="211">
        <f t="shared" si="94"/>
        <v>2.5965387063223933E-2</v>
      </c>
      <c r="CW59" s="211">
        <f t="shared" si="94"/>
        <v>2.3365982476171387E-2</v>
      </c>
      <c r="CX59" s="211">
        <f t="shared" si="94"/>
        <v>2.5021866736909093E-2</v>
      </c>
      <c r="CY59" s="204">
        <f t="shared" si="94"/>
        <v>2.5517596635260986E-2</v>
      </c>
      <c r="CZ59" s="54"/>
      <c r="DA59" s="54"/>
      <c r="DB59" s="54"/>
      <c r="DC59"/>
      <c r="DD59"/>
      <c r="DE59"/>
      <c r="DF59"/>
      <c r="DG59"/>
      <c r="DH59"/>
    </row>
    <row r="60" spans="1:114" s="273" customFormat="1" ht="11.25" customHeight="1" x14ac:dyDescent="0.2">
      <c r="A60" s="204" t="s">
        <v>10</v>
      </c>
      <c r="B60" s="211"/>
      <c r="C60" s="210"/>
      <c r="D60" s="211"/>
      <c r="E60" s="211"/>
      <c r="F60" s="211"/>
      <c r="G60" s="204"/>
      <c r="H60" s="211"/>
      <c r="I60" s="210">
        <f t="shared" si="79"/>
        <v>-5.5035376858874052E-2</v>
      </c>
      <c r="J60" s="211">
        <f t="shared" si="79"/>
        <v>9.7794598635641439E-2</v>
      </c>
      <c r="K60" s="211">
        <f t="shared" si="79"/>
        <v>0.20149775336994491</v>
      </c>
      <c r="L60" s="211">
        <f t="shared" si="79"/>
        <v>0.10471274086600424</v>
      </c>
      <c r="M60" s="204">
        <f t="shared" si="79"/>
        <v>8.2085799830868389E-2</v>
      </c>
      <c r="N60" s="211"/>
      <c r="O60" s="210">
        <f t="shared" si="80"/>
        <v>0.18449605451936879</v>
      </c>
      <c r="P60" s="211">
        <f t="shared" si="80"/>
        <v>0.22417535645882092</v>
      </c>
      <c r="Q60" s="211">
        <f t="shared" si="80"/>
        <v>0.1928446771378709</v>
      </c>
      <c r="R60" s="211">
        <f t="shared" si="80"/>
        <v>0.29125040283596526</v>
      </c>
      <c r="S60" s="204">
        <f t="shared" si="80"/>
        <v>0.22445056975995126</v>
      </c>
      <c r="T60" s="211"/>
      <c r="U60" s="210">
        <f t="shared" si="81"/>
        <v>0.18486695181498169</v>
      </c>
      <c r="V60" s="211">
        <f t="shared" si="81"/>
        <v>0.11240525693623526</v>
      </c>
      <c r="W60" s="211">
        <f t="shared" si="81"/>
        <v>0.57320514160309322</v>
      </c>
      <c r="X60" s="211">
        <f t="shared" si="81"/>
        <v>0.75422724152991871</v>
      </c>
      <c r="Y60" s="204">
        <f t="shared" si="81"/>
        <v>0.42045160511290125</v>
      </c>
      <c r="Z60" s="211"/>
      <c r="AA60" s="210">
        <f t="shared" si="82"/>
        <v>0.72756604798262159</v>
      </c>
      <c r="AB60" s="211">
        <f t="shared" si="82"/>
        <v>0.80328176277543362</v>
      </c>
      <c r="AC60" s="211">
        <f t="shared" si="82"/>
        <v>0.23936052433461774</v>
      </c>
      <c r="AD60" s="211">
        <f t="shared" si="82"/>
        <v>6.1035034678996736E-2</v>
      </c>
      <c r="AE60" s="204">
        <f t="shared" si="82"/>
        <v>0.38082457951302451</v>
      </c>
      <c r="AF60" s="211"/>
      <c r="AG60" s="210">
        <f t="shared" si="83"/>
        <v>3.7353452420577637E-2</v>
      </c>
      <c r="AH60" s="211">
        <f t="shared" si="83"/>
        <v>2.3277176927343435E-2</v>
      </c>
      <c r="AI60" s="211">
        <f t="shared" si="83"/>
        <v>8.481026227399413E-2</v>
      </c>
      <c r="AJ60" s="211">
        <f t="shared" si="83"/>
        <v>0.15581106902215858</v>
      </c>
      <c r="AK60" s="204">
        <f t="shared" si="83"/>
        <v>7.6540842890311822E-2</v>
      </c>
      <c r="AL60" s="211"/>
      <c r="AM60" s="210">
        <f t="shared" si="84"/>
        <v>0.14863274983065367</v>
      </c>
      <c r="AN60" s="211">
        <f t="shared" si="84"/>
        <v>0.12222429241687682</v>
      </c>
      <c r="AO60" s="211">
        <f t="shared" si="84"/>
        <v>0.10247204334722237</v>
      </c>
      <c r="AP60" s="211">
        <f t="shared" si="84"/>
        <v>1.2964413121029805E-2</v>
      </c>
      <c r="AQ60" s="204">
        <f t="shared" si="84"/>
        <v>9.2600913346458924E-2</v>
      </c>
      <c r="AR60" s="211"/>
      <c r="AS60" s="210">
        <f t="shared" si="85"/>
        <v>6.1735675709230664E-2</v>
      </c>
      <c r="AT60" s="211">
        <f t="shared" si="85"/>
        <v>0.153950645234322</v>
      </c>
      <c r="AU60" s="211">
        <f t="shared" si="85"/>
        <v>0.19721844609432182</v>
      </c>
      <c r="AV60" s="211">
        <f t="shared" si="85"/>
        <v>0.17849166809826511</v>
      </c>
      <c r="AW60" s="204">
        <f t="shared" si="85"/>
        <v>0.14897339653960606</v>
      </c>
      <c r="AX60" s="211"/>
      <c r="AY60" s="210">
        <f t="shared" si="86"/>
        <v>0.20412488671909257</v>
      </c>
      <c r="AZ60" s="211">
        <f t="shared" si="86"/>
        <v>0.11528350009809696</v>
      </c>
      <c r="BA60" s="211">
        <f t="shared" si="86"/>
        <v>5.9256578865278353E-2</v>
      </c>
      <c r="BB60" s="211">
        <f t="shared" si="86"/>
        <v>0.10555150631681198</v>
      </c>
      <c r="BC60" s="204">
        <f t="shared" si="86"/>
        <v>0.11784324443923833</v>
      </c>
      <c r="BD60" s="211"/>
      <c r="BE60" s="210">
        <f t="shared" si="87"/>
        <v>8.7376637249784395E-2</v>
      </c>
      <c r="BF60" s="211">
        <f t="shared" si="87"/>
        <v>7.068219399781861E-2</v>
      </c>
      <c r="BG60" s="211">
        <f t="shared" si="87"/>
        <v>8.5591103990953377E-2</v>
      </c>
      <c r="BH60" s="211">
        <f t="shared" si="87"/>
        <v>8.2222637321584191E-2</v>
      </c>
      <c r="BI60" s="204">
        <f t="shared" si="87"/>
        <v>8.142652139869444E-2</v>
      </c>
      <c r="BJ60" s="211"/>
      <c r="BK60" s="210">
        <f t="shared" si="88"/>
        <v>2.0049789566518372E-2</v>
      </c>
      <c r="BL60" s="211">
        <f t="shared" si="88"/>
        <v>1.6660094637223732E-2</v>
      </c>
      <c r="BM60" s="211">
        <f t="shared" si="88"/>
        <v>-7.7041602465333092E-4</v>
      </c>
      <c r="BN60" s="211">
        <f t="shared" si="88"/>
        <v>2.1351987978718956E-2</v>
      </c>
      <c r="BO60" s="204">
        <f t="shared" si="88"/>
        <v>1.4397493560290853E-2</v>
      </c>
      <c r="BP60" s="211"/>
      <c r="BQ60" s="210">
        <f t="shared" si="89"/>
        <v>-3.0227747802961447E-2</v>
      </c>
      <c r="BR60" s="211">
        <f t="shared" si="89"/>
        <v>-3.2181604662938845E-2</v>
      </c>
      <c r="BS60" s="211">
        <f t="shared" si="89"/>
        <v>-3.6139737422220319E-2</v>
      </c>
      <c r="BT60" s="211">
        <f t="shared" si="89"/>
        <v>-6.7915900392663597E-2</v>
      </c>
      <c r="BU60" s="204">
        <f t="shared" si="89"/>
        <v>-4.2213271349423653E-2</v>
      </c>
      <c r="BV60" s="211"/>
      <c r="BW60" s="210">
        <f t="shared" si="90"/>
        <v>6.0511674622789391E-2</v>
      </c>
      <c r="BX60" s="211">
        <f t="shared" si="90"/>
        <v>9.9532450183680288E-2</v>
      </c>
      <c r="BY60" s="211">
        <f t="shared" si="90"/>
        <v>6.4027309906600882E-2</v>
      </c>
      <c r="BZ60" s="211">
        <f t="shared" si="90"/>
        <v>2.6755401028834891E-2</v>
      </c>
      <c r="CA60" s="204">
        <f t="shared" si="90"/>
        <v>6.2318483242511435E-2</v>
      </c>
      <c r="CB60" s="211"/>
      <c r="CC60" s="210">
        <f t="shared" si="91"/>
        <v>-1.7398614495653053E-2</v>
      </c>
      <c r="CD60" s="211">
        <f t="shared" si="91"/>
        <v>-2.9401342499316585E-2</v>
      </c>
      <c r="CE60" s="211">
        <f t="shared" si="91"/>
        <v>2.3284132059888663E-2</v>
      </c>
      <c r="CF60" s="211">
        <f t="shared" si="91"/>
        <v>-4.2013053338642248E-2</v>
      </c>
      <c r="CG60" s="204">
        <f t="shared" si="91"/>
        <v>-1.6650251700970009E-2</v>
      </c>
      <c r="CH60" s="211"/>
      <c r="CI60" s="210">
        <f t="shared" si="92"/>
        <v>8.230841864524252E-2</v>
      </c>
      <c r="CJ60" s="211">
        <f t="shared" si="92"/>
        <v>0.10516499593303275</v>
      </c>
      <c r="CK60" s="211">
        <f t="shared" si="92"/>
        <v>9.5232815100617652E-2</v>
      </c>
      <c r="CL60" s="211">
        <f t="shared" si="92"/>
        <v>6.8992253145600868E-2</v>
      </c>
      <c r="CM60" s="204">
        <f t="shared" si="92"/>
        <v>8.8174943422028473E-2</v>
      </c>
      <c r="CN60" s="211"/>
      <c r="CO60" s="210">
        <f t="shared" si="93"/>
        <v>9.2724715447692674E-2</v>
      </c>
      <c r="CP60" s="211">
        <f t="shared" si="93"/>
        <v>5.6489931542033522E-2</v>
      </c>
      <c r="CQ60" s="211">
        <f t="shared" si="93"/>
        <v>4.0471476525638206E-2</v>
      </c>
      <c r="CR60" s="211">
        <f t="shared" si="93"/>
        <v>6.657969639275918E-2</v>
      </c>
      <c r="CS60" s="204">
        <f t="shared" si="93"/>
        <v>6.3607582935939044E-2</v>
      </c>
      <c r="CT60" s="211"/>
      <c r="CU60" s="210">
        <f t="shared" si="94"/>
        <v>9.3027251305312308E-2</v>
      </c>
      <c r="CV60" s="211">
        <f t="shared" si="94"/>
        <v>8.5254994491664959E-2</v>
      </c>
      <c r="CW60" s="211">
        <f t="shared" si="94"/>
        <v>8.3217654915058947E-2</v>
      </c>
      <c r="CX60" s="211">
        <f t="shared" si="94"/>
        <v>7.9568946102986926E-2</v>
      </c>
      <c r="CY60" s="204">
        <f t="shared" si="94"/>
        <v>8.5315691799507043E-2</v>
      </c>
      <c r="CZ60" s="54"/>
      <c r="DA60" s="54"/>
      <c r="DB60" s="54"/>
      <c r="DC60"/>
      <c r="DD60"/>
      <c r="DE60"/>
      <c r="DF60"/>
      <c r="DG60"/>
      <c r="DH60"/>
    </row>
    <row r="61" spans="1:114" s="273" customFormat="1" ht="11.25" customHeight="1" x14ac:dyDescent="0.2">
      <c r="A61" s="204" t="s">
        <v>415</v>
      </c>
      <c r="B61" s="211"/>
      <c r="C61" s="210"/>
      <c r="D61" s="211"/>
      <c r="E61" s="211"/>
      <c r="F61" s="211"/>
      <c r="G61" s="204"/>
      <c r="H61" s="211"/>
      <c r="I61" s="210">
        <f t="shared" si="79"/>
        <v>-6.541728697784388E-2</v>
      </c>
      <c r="J61" s="211">
        <f t="shared" si="79"/>
        <v>-7.2573917879321437E-2</v>
      </c>
      <c r="K61" s="211">
        <f t="shared" si="79"/>
        <v>-2.4920845674599068E-2</v>
      </c>
      <c r="L61" s="211">
        <f t="shared" si="79"/>
        <v>1.8731988472621586E-2</v>
      </c>
      <c r="M61" s="204">
        <f t="shared" si="79"/>
        <v>-3.8163730073115354E-2</v>
      </c>
      <c r="N61" s="211"/>
      <c r="O61" s="210">
        <f t="shared" si="80"/>
        <v>7.2807346326836608E-2</v>
      </c>
      <c r="P61" s="211">
        <f t="shared" si="80"/>
        <v>0.24735158904657206</v>
      </c>
      <c r="Q61" s="211">
        <f t="shared" si="80"/>
        <v>0.29349533884990042</v>
      </c>
      <c r="R61" s="211">
        <f t="shared" si="80"/>
        <v>0.24217013538088561</v>
      </c>
      <c r="S61" s="204">
        <f t="shared" si="80"/>
        <v>0.21062732098796211</v>
      </c>
      <c r="T61" s="211"/>
      <c r="U61" s="210">
        <f t="shared" si="81"/>
        <v>0.16114944536640752</v>
      </c>
      <c r="V61" s="211">
        <f t="shared" si="81"/>
        <v>2.3635926608444935E-2</v>
      </c>
      <c r="W61" s="211">
        <f t="shared" si="81"/>
        <v>0.56045023888573975</v>
      </c>
      <c r="X61" s="211">
        <f t="shared" si="81"/>
        <v>0.72362749084993827</v>
      </c>
      <c r="Y61" s="204">
        <f t="shared" si="81"/>
        <v>0.36970395684934321</v>
      </c>
      <c r="Z61" s="211"/>
      <c r="AA61" s="210">
        <f t="shared" si="82"/>
        <v>0.36174213931096721</v>
      </c>
      <c r="AB61" s="211">
        <f t="shared" si="82"/>
        <v>0.42431120851596749</v>
      </c>
      <c r="AC61" s="211">
        <f t="shared" si="82"/>
        <v>8.9257913855733673E-3</v>
      </c>
      <c r="AD61" s="211">
        <f t="shared" si="82"/>
        <v>-0.16506228765571906</v>
      </c>
      <c r="AE61" s="204">
        <f t="shared" si="82"/>
        <v>0.10376961462153544</v>
      </c>
      <c r="AF61" s="211"/>
      <c r="AG61" s="210">
        <f t="shared" si="83"/>
        <v>4.8886924819090849E-2</v>
      </c>
      <c r="AH61" s="211">
        <f t="shared" si="83"/>
        <v>-4.4293015332197649E-2</v>
      </c>
      <c r="AI61" s="211">
        <f t="shared" si="83"/>
        <v>1.9442444192984354E-2</v>
      </c>
      <c r="AJ61" s="211">
        <f t="shared" si="83"/>
        <v>0.34701028597264738</v>
      </c>
      <c r="AK61" s="204">
        <f t="shared" si="83"/>
        <v>8.9833324255134128E-2</v>
      </c>
      <c r="AL61" s="211"/>
      <c r="AM61" s="210">
        <f t="shared" si="84"/>
        <v>2.9070992205603607E-2</v>
      </c>
      <c r="AN61" s="211">
        <f t="shared" si="84"/>
        <v>0.12345466045655784</v>
      </c>
      <c r="AO61" s="211">
        <f t="shared" si="84"/>
        <v>-1.6952573158425799E-2</v>
      </c>
      <c r="AP61" s="211">
        <f t="shared" si="84"/>
        <v>-0.19245615507258595</v>
      </c>
      <c r="AQ61" s="204">
        <f t="shared" si="84"/>
        <v>-2.7788537228393473E-2</v>
      </c>
      <c r="AR61" s="211"/>
      <c r="AS61" s="210">
        <f t="shared" si="85"/>
        <v>-1.2436028659160825E-2</v>
      </c>
      <c r="AT61" s="211">
        <f t="shared" si="85"/>
        <v>-7.2832429112498431E-2</v>
      </c>
      <c r="AU61" s="211">
        <f t="shared" si="85"/>
        <v>-1.9451857934715711E-2</v>
      </c>
      <c r="AV61" s="211">
        <f t="shared" si="85"/>
        <v>-4.4526419701771625E-2</v>
      </c>
      <c r="AW61" s="204">
        <f t="shared" si="85"/>
        <v>-3.7296456708092895E-2</v>
      </c>
      <c r="AX61" s="211"/>
      <c r="AY61" s="210">
        <f t="shared" si="86"/>
        <v>-4.0887184536456345E-2</v>
      </c>
      <c r="AZ61" s="211">
        <f t="shared" si="86"/>
        <v>-7.4413469500414164E-2</v>
      </c>
      <c r="BA61" s="211">
        <f t="shared" si="86"/>
        <v>-9.8403559277678854E-3</v>
      </c>
      <c r="BB61" s="211">
        <f t="shared" si="86"/>
        <v>0.10255573681348684</v>
      </c>
      <c r="BC61" s="204">
        <f t="shared" si="86"/>
        <v>-5.8606004779256926E-3</v>
      </c>
      <c r="BD61" s="211"/>
      <c r="BE61" s="210">
        <f t="shared" si="87"/>
        <v>-8.3531445861248943E-2</v>
      </c>
      <c r="BF61" s="211">
        <f t="shared" si="87"/>
        <v>-0.10347706805033674</v>
      </c>
      <c r="BG61" s="211">
        <f t="shared" si="87"/>
        <v>-3.2880477877041403E-2</v>
      </c>
      <c r="BH61" s="211">
        <f t="shared" si="87"/>
        <v>-0.22154271059380659</v>
      </c>
      <c r="BI61" s="204">
        <f t="shared" si="87"/>
        <v>-0.11273298598055548</v>
      </c>
      <c r="BJ61" s="211"/>
      <c r="BK61" s="210">
        <f t="shared" si="88"/>
        <v>0.37312816884801303</v>
      </c>
      <c r="BL61" s="211">
        <f t="shared" si="88"/>
        <v>0.66338477913783866</v>
      </c>
      <c r="BM61" s="211">
        <f t="shared" si="88"/>
        <v>0.4022410494670674</v>
      </c>
      <c r="BN61" s="211">
        <f t="shared" si="88"/>
        <v>0.78047389761784136</v>
      </c>
      <c r="BO61" s="204">
        <f t="shared" si="88"/>
        <v>0.54453407594630154</v>
      </c>
      <c r="BP61" s="211"/>
      <c r="BQ61" s="210">
        <f t="shared" si="89"/>
        <v>2.0437078699927058E-2</v>
      </c>
      <c r="BR61" s="211">
        <f t="shared" si="89"/>
        <v>-6.0910254359302307E-2</v>
      </c>
      <c r="BS61" s="211">
        <f t="shared" si="89"/>
        <v>-0.22967178607624539</v>
      </c>
      <c r="BT61" s="211">
        <f t="shared" si="89"/>
        <v>-0.19709639540262613</v>
      </c>
      <c r="BU61" s="204">
        <f t="shared" si="89"/>
        <v>-0.12227099909849859</v>
      </c>
      <c r="BV61" s="211"/>
      <c r="BW61" s="210">
        <f t="shared" si="90"/>
        <v>-0.1897589094122103</v>
      </c>
      <c r="BX61" s="211">
        <f t="shared" si="90"/>
        <v>3.5049614582002286E-2</v>
      </c>
      <c r="BY61" s="211">
        <f t="shared" si="90"/>
        <v>0.21556522619168095</v>
      </c>
      <c r="BZ61" s="211">
        <f t="shared" si="90"/>
        <v>-3.112627784671762E-2</v>
      </c>
      <c r="CA61" s="204">
        <f t="shared" si="90"/>
        <v>-1.4438713614816079E-3</v>
      </c>
      <c r="CB61" s="211"/>
      <c r="CC61" s="210">
        <f t="shared" si="91"/>
        <v>0.22282806252271858</v>
      </c>
      <c r="CD61" s="211">
        <f t="shared" si="91"/>
        <v>-4.2791310072415323E-3</v>
      </c>
      <c r="CE61" s="211">
        <f t="shared" si="91"/>
        <v>7.2475231038215071E-2</v>
      </c>
      <c r="CF61" s="211">
        <f t="shared" si="91"/>
        <v>0.15791720667835651</v>
      </c>
      <c r="CG61" s="204">
        <f t="shared" si="91"/>
        <v>0.10487303137135062</v>
      </c>
      <c r="CH61" s="211"/>
      <c r="CI61" s="210">
        <f t="shared" si="92"/>
        <v>2.6938785124340558E-2</v>
      </c>
      <c r="CJ61" s="211">
        <f t="shared" si="92"/>
        <v>0.12556374988262298</v>
      </c>
      <c r="CK61" s="211">
        <f t="shared" si="92"/>
        <v>6.1461182364882072E-2</v>
      </c>
      <c r="CL61" s="211">
        <f t="shared" si="92"/>
        <v>0.13840506221268756</v>
      </c>
      <c r="CM61" s="204">
        <f t="shared" si="92"/>
        <v>8.8641613411443387E-2</v>
      </c>
      <c r="CN61" s="211"/>
      <c r="CO61" s="210">
        <f t="shared" si="93"/>
        <v>9.5964223394597425E-2</v>
      </c>
      <c r="CP61" s="211">
        <f t="shared" si="93"/>
        <v>6.081596789360022E-2</v>
      </c>
      <c r="CQ61" s="211">
        <f t="shared" si="93"/>
        <v>4.4890637734570138E-2</v>
      </c>
      <c r="CR61" s="211">
        <f t="shared" si="93"/>
        <v>7.3867577768767845E-2</v>
      </c>
      <c r="CS61" s="204">
        <f t="shared" si="93"/>
        <v>6.8164413950997593E-2</v>
      </c>
      <c r="CT61" s="211"/>
      <c r="CU61" s="210">
        <f t="shared" si="94"/>
        <v>9.2570897191291523E-2</v>
      </c>
      <c r="CV61" s="211">
        <f t="shared" si="94"/>
        <v>8.5767672163348241E-2</v>
      </c>
      <c r="CW61" s="211">
        <f t="shared" si="94"/>
        <v>8.3820881057107055E-2</v>
      </c>
      <c r="CX61" s="211">
        <f t="shared" si="94"/>
        <v>8.243138929193794E-2</v>
      </c>
      <c r="CY61" s="204">
        <f t="shared" si="94"/>
        <v>8.5954175454148851E-2</v>
      </c>
      <c r="CZ61" s="54"/>
      <c r="DA61" s="54"/>
      <c r="DB61" s="54"/>
      <c r="DC61"/>
      <c r="DD61"/>
      <c r="DE61"/>
      <c r="DF61"/>
      <c r="DG61"/>
      <c r="DH61"/>
    </row>
    <row r="62" spans="1:114" s="273" customFormat="1" ht="11.25" customHeight="1" x14ac:dyDescent="0.2">
      <c r="A62" s="204" t="s">
        <v>244</v>
      </c>
      <c r="B62" s="211"/>
      <c r="C62" s="210"/>
      <c r="D62" s="211"/>
      <c r="E62" s="211"/>
      <c r="F62" s="211"/>
      <c r="G62" s="204"/>
      <c r="H62" s="211"/>
      <c r="I62" s="210">
        <f>+I16/C16-1</f>
        <v>-4.4063043647599387E-2</v>
      </c>
      <c r="J62" s="211">
        <f>+J16/D16-1</f>
        <v>2.4221687268399794E-2</v>
      </c>
      <c r="K62" s="211">
        <f>+K16/E16-1</f>
        <v>8.6748613401288921E-2</v>
      </c>
      <c r="L62" s="211">
        <f>+L16/F16-1</f>
        <v>2.5175419361911588E-2</v>
      </c>
      <c r="M62" s="204">
        <f>+M16/G16-1</f>
        <v>2.0715922462376746E-2</v>
      </c>
      <c r="N62" s="211"/>
      <c r="O62" s="210">
        <f>+O16/I16-1</f>
        <v>9.925032594524108E-2</v>
      </c>
      <c r="P62" s="211">
        <f>+P16/J16-1</f>
        <v>0.11061228262448308</v>
      </c>
      <c r="Q62" s="211">
        <f>+Q16/K16-1</f>
        <v>0.20484985585610427</v>
      </c>
      <c r="R62" s="211">
        <f>+R16/L16-1</f>
        <v>0.24055878617739523</v>
      </c>
      <c r="S62" s="204">
        <f>+S16/M16-1</f>
        <v>0.16358745664330732</v>
      </c>
      <c r="T62" s="211"/>
      <c r="U62" s="210">
        <f>+U16/O16-1</f>
        <v>0.17441314553990606</v>
      </c>
      <c r="V62" s="211">
        <f>+V16/P16-1</f>
        <v>0.17748186898109641</v>
      </c>
      <c r="W62" s="211">
        <f>+W16/Q16-1</f>
        <v>0.52261070659889186</v>
      </c>
      <c r="X62" s="211">
        <f>+X16/R16-1</f>
        <v>0.70730603448275819</v>
      </c>
      <c r="Y62" s="204">
        <f>+Y16/S16-1</f>
        <v>0.40652610965301061</v>
      </c>
      <c r="Z62" s="211"/>
      <c r="AA62" s="210">
        <f>+AA16/U16-1</f>
        <v>0.56123168204340557</v>
      </c>
      <c r="AB62" s="211">
        <f>+AB16/V16-1</f>
        <v>0.5882388578121529</v>
      </c>
      <c r="AC62" s="211">
        <f>+AC16/W16-1</f>
        <v>0.23292254712512306</v>
      </c>
      <c r="AD62" s="211">
        <f>+AD16/X16-1</f>
        <v>7.7285752155417553E-2</v>
      </c>
      <c r="AE62" s="204">
        <f>+AE16/Y16-1</f>
        <v>0.31888863715939308</v>
      </c>
      <c r="AF62" s="211"/>
      <c r="AG62" s="210">
        <f>+AG16/AA16-1</f>
        <v>8.9666186003261039E-2</v>
      </c>
      <c r="AH62" s="211">
        <f>+AH16/AB16-1</f>
        <v>7.0243362831858391E-2</v>
      </c>
      <c r="AI62" s="211">
        <f>+AI16/AC16-1</f>
        <v>8.483000457386769E-2</v>
      </c>
      <c r="AJ62" s="211">
        <f>+AJ16/AD16-1</f>
        <v>0.20548619370411814</v>
      </c>
      <c r="AK62" s="204">
        <f>+AK16/AE16-1</f>
        <v>0.11452776563183176</v>
      </c>
      <c r="AL62" s="211"/>
      <c r="AM62" s="210">
        <f>+AM16/AG16-1</f>
        <v>0.17940425321402764</v>
      </c>
      <c r="AN62" s="211">
        <f>+AN16/AH16-1</f>
        <v>0.12583088300810852</v>
      </c>
      <c r="AO62" s="211">
        <f>+AO16/AI16-1</f>
        <v>9.7349411136408603E-2</v>
      </c>
      <c r="AP62" s="211">
        <f>+AP16/AJ16-1</f>
        <v>-9.7639923015611085E-3</v>
      </c>
      <c r="AQ62" s="204">
        <f>+AQ16/AK16-1</f>
        <v>9.1779587753380687E-2</v>
      </c>
      <c r="AR62" s="211"/>
      <c r="AS62" s="210">
        <f>+AS16/AM16-1</f>
        <v>1.5572158867479313E-2</v>
      </c>
      <c r="AT62" s="211">
        <f>+AT16/AN16-1</f>
        <v>7.3962686252163179E-2</v>
      </c>
      <c r="AU62" s="211">
        <f>+AU16/AO16-1</f>
        <v>9.705330888003183E-2</v>
      </c>
      <c r="AV62" s="211">
        <f>+AV16/AP16-1</f>
        <v>0.17167369335499383</v>
      </c>
      <c r="AW62" s="204">
        <f>+AW16/AQ16-1</f>
        <v>9.1004643211901382E-2</v>
      </c>
      <c r="AX62" s="211"/>
      <c r="AY62" s="210">
        <f>+AY16/AS16-1</f>
        <v>0.11606391491778312</v>
      </c>
      <c r="AZ62" s="211">
        <f>+AZ16/AT16-1</f>
        <v>8.4747428099790634E-2</v>
      </c>
      <c r="BA62" s="211">
        <f>+BA16/AU16-1</f>
        <v>2.9895352258028529E-2</v>
      </c>
      <c r="BB62" s="211">
        <f>+BB16/AV16-1</f>
        <v>7.4520892240024228E-3</v>
      </c>
      <c r="BC62" s="204">
        <f>+BC16/AW16-1</f>
        <v>5.6359566316477983E-2</v>
      </c>
      <c r="BD62" s="211"/>
      <c r="BE62" s="210">
        <f>+BE16/AY16-1</f>
        <v>4.1753016060987358E-2</v>
      </c>
      <c r="BF62" s="211">
        <f>+BF16/AZ16-1</f>
        <v>5.5109694016196142E-2</v>
      </c>
      <c r="BG62" s="211">
        <f>+BG16/BA16-1</f>
        <v>7.0528544677146643E-2</v>
      </c>
      <c r="BH62" s="211">
        <f>+BH16/BB16-1</f>
        <v>6.563716195988456E-2</v>
      </c>
      <c r="BI62" s="204">
        <f>+BI16/BC16-1</f>
        <v>5.8500598535675463E-2</v>
      </c>
      <c r="BJ62" s="211"/>
      <c r="BK62" s="210">
        <f>+BK16/BE16-1</f>
        <v>7.7055265939023565E-2</v>
      </c>
      <c r="BL62" s="211">
        <f>+BL16/BF16-1</f>
        <v>7.3547844302123799E-2</v>
      </c>
      <c r="BM62" s="211">
        <f>+BM16/BG16-1</f>
        <v>6.7262731677565579E-2</v>
      </c>
      <c r="BN62" s="211">
        <f>+BN16/BH16-1</f>
        <v>0.12860431542393402</v>
      </c>
      <c r="BO62" s="204">
        <f>+BO16/BI16-1</f>
        <v>8.7662009762666138E-2</v>
      </c>
      <c r="BP62" s="211"/>
      <c r="BQ62" s="210">
        <f>+BQ16/BK16-1</f>
        <v>-4.6142112098287003E-2</v>
      </c>
      <c r="BR62" s="211">
        <f>+BR16/BL16-1</f>
        <v>-3.7969116106486345E-2</v>
      </c>
      <c r="BS62" s="211">
        <f>+BS16/BM16-1</f>
        <v>-6.222989463658557E-2</v>
      </c>
      <c r="BT62" s="211">
        <f>+BT16/BN16-1</f>
        <v>-0.11612791702679359</v>
      </c>
      <c r="BU62" s="204">
        <f>+BU16/BO16-1</f>
        <v>-6.766593673589405E-2</v>
      </c>
      <c r="BV62" s="211"/>
      <c r="BW62" s="210">
        <f>+BW16/BQ16-1</f>
        <v>5.4252408552793785E-2</v>
      </c>
      <c r="BX62" s="211">
        <f>+BX16/BR16-1</f>
        <v>0.10235575764124993</v>
      </c>
      <c r="BY62" s="211">
        <f>+BY16/BS16-1</f>
        <v>6.615630712979903E-2</v>
      </c>
      <c r="BZ62" s="211">
        <f>+BZ16/BT16-1</f>
        <v>-7.2048814832199604E-3</v>
      </c>
      <c r="CA62" s="204">
        <f>+CA16/BU16-1</f>
        <v>5.2877338476174263E-2</v>
      </c>
      <c r="CB62" s="211"/>
      <c r="CC62" s="210">
        <f>+CC16/BW16-1</f>
        <v>2.3040813398109705E-3</v>
      </c>
      <c r="CD62" s="211">
        <f>+CD16/BX16-1</f>
        <v>-1.3478918217841862E-2</v>
      </c>
      <c r="CE62" s="211">
        <f>+CE16/BY16-1</f>
        <v>5.7935118700309873E-2</v>
      </c>
      <c r="CF62" s="211">
        <f>+CF16/BZ16-1</f>
        <v>8.4970333073304483E-2</v>
      </c>
      <c r="CG62" s="204">
        <f>+CG16/CA16-1</f>
        <v>3.2663348766724498E-2</v>
      </c>
      <c r="CH62" s="211"/>
      <c r="CI62" s="210">
        <f>+CI16/CC16-1</f>
        <v>0.10553341422939067</v>
      </c>
      <c r="CJ62" s="211">
        <f>+CJ16/CD16-1</f>
        <v>0.11614617784224635</v>
      </c>
      <c r="CK62" s="211">
        <f>+CK16/CE16-1</f>
        <v>0.13298841628463154</v>
      </c>
      <c r="CL62" s="211">
        <f>+CL16/CF16-1</f>
        <v>0.11343959793945424</v>
      </c>
      <c r="CM62" s="204">
        <f>+CM16/CG16-1</f>
        <v>0.11724258098986051</v>
      </c>
      <c r="CN62" s="211"/>
      <c r="CO62" s="210">
        <f>+CO16/CI16-1</f>
        <v>7.0851634279131215E-2</v>
      </c>
      <c r="CP62" s="211">
        <f>+CP16/CJ16-1</f>
        <v>6.5654865305292853E-2</v>
      </c>
      <c r="CQ62" s="211">
        <f>+CQ16/CK16-1</f>
        <v>3.3383698004209039E-2</v>
      </c>
      <c r="CR62" s="211">
        <f>+CR16/CL16-1</f>
        <v>7.2795762132710218E-2</v>
      </c>
      <c r="CS62" s="204">
        <f>+CS16/CM16-1</f>
        <v>6.0401698344219268E-2</v>
      </c>
      <c r="CT62" s="211"/>
      <c r="CU62" s="210">
        <f>+CU16/CO16-1</f>
        <v>8.4896935354664027E-2</v>
      </c>
      <c r="CV62" s="211">
        <f>+CV16/CP16-1</f>
        <v>7.8023464733341763E-2</v>
      </c>
      <c r="CW62" s="211">
        <f>+CW16/CQ16-1</f>
        <v>7.585134925514847E-2</v>
      </c>
      <c r="CX62" s="211">
        <f>+CX16/CR16-1</f>
        <v>7.3385689675316224E-2</v>
      </c>
      <c r="CY62" s="204">
        <f>+CY16/CS16-1</f>
        <v>7.7851083704530311E-2</v>
      </c>
      <c r="CZ62" s="54"/>
      <c r="DA62" s="54"/>
      <c r="DB62" s="54"/>
      <c r="DC62"/>
      <c r="DD62"/>
      <c r="DE62"/>
      <c r="DF62"/>
      <c r="DG62"/>
      <c r="DH62"/>
    </row>
    <row r="63" spans="1:114" s="273" customFormat="1" ht="11.25" customHeight="1" x14ac:dyDescent="0.2">
      <c r="A63" s="204" t="s">
        <v>100</v>
      </c>
      <c r="B63" s="211"/>
      <c r="C63" s="210"/>
      <c r="D63" s="211"/>
      <c r="E63" s="211"/>
      <c r="F63" s="211"/>
      <c r="G63" s="204"/>
      <c r="H63" s="211"/>
      <c r="I63" s="210">
        <f>I17/C17-1</f>
        <v>0.12405422446406078</v>
      </c>
      <c r="J63" s="211">
        <f>J17/D17-1</f>
        <v>-2.9965580076938281E-3</v>
      </c>
      <c r="K63" s="211">
        <f>K17/E17-1</f>
        <v>0.10471447262904698</v>
      </c>
      <c r="L63" s="211">
        <f>L17/F17-1</f>
        <v>0.30922306430882096</v>
      </c>
      <c r="M63" s="204">
        <f>M17/G17-1</f>
        <v>0.1305246546569907</v>
      </c>
      <c r="N63" s="211"/>
      <c r="O63" s="210">
        <f>O17/I17-1</f>
        <v>0.29832188098910883</v>
      </c>
      <c r="P63" s="211">
        <f>P17/J17-1</f>
        <v>0.18285203687908669</v>
      </c>
      <c r="Q63" s="211">
        <f>Q17/K17-1</f>
        <v>0.16875525330480756</v>
      </c>
      <c r="R63" s="211">
        <f>R17/L17-1</f>
        <v>0.12020988490182805</v>
      </c>
      <c r="S63" s="204">
        <f>S17/M17-1</f>
        <v>0.18531770997168895</v>
      </c>
      <c r="T63" s="211"/>
      <c r="U63" s="210">
        <f>U17/O17-1</f>
        <v>0.18171017101710052</v>
      </c>
      <c r="V63" s="211">
        <f>V17/P17-1</f>
        <v>0.23617072416989959</v>
      </c>
      <c r="W63" s="211">
        <f>W17/Q17-1</f>
        <v>0.42639992154555184</v>
      </c>
      <c r="X63" s="211">
        <f>X17/R17-1</f>
        <v>0.5649572391284654</v>
      </c>
      <c r="Y63" s="204">
        <f>Y17/S17-1</f>
        <v>0.36211643722010334</v>
      </c>
      <c r="Z63" s="211"/>
      <c r="AA63" s="210">
        <f>AA17/U17-1</f>
        <v>0.78843458655779686</v>
      </c>
      <c r="AB63" s="211">
        <f>AB17/V17-1</f>
        <v>0.68306435932335297</v>
      </c>
      <c r="AC63" s="211">
        <f>AC17/W17-1</f>
        <v>0.53145410794087322</v>
      </c>
      <c r="AD63" s="211">
        <f>AD17/X17-1</f>
        <v>0.28409222569806403</v>
      </c>
      <c r="AE63" s="204">
        <f>AE17/Y17-1</f>
        <v>0.53804705194710212</v>
      </c>
      <c r="AF63" s="211"/>
      <c r="AG63" s="210">
        <f>AG17/AA17-1</f>
        <v>8.8586030664405957E-3</v>
      </c>
      <c r="AH63" s="211">
        <f>AH17/AB17-1</f>
        <v>0.18515645629786048</v>
      </c>
      <c r="AI63" s="211">
        <f>AI17/AC17-1</f>
        <v>0.22370370370370396</v>
      </c>
      <c r="AJ63" s="211">
        <f>AJ17/AD17-1</f>
        <v>0.25298505218202139</v>
      </c>
      <c r="AK63" s="204">
        <f>AK17/AE17-1</f>
        <v>0.1722423450705628</v>
      </c>
      <c r="AL63" s="211"/>
      <c r="AM63" s="210">
        <f>AM17/AG17-1</f>
        <v>0.24348193177980271</v>
      </c>
      <c r="AN63" s="211">
        <f>AN17/AH17-1</f>
        <v>1.9203186141399264E-2</v>
      </c>
      <c r="AO63" s="211">
        <f>AO17/AI17-1</f>
        <v>-3.2516447770685297E-2</v>
      </c>
      <c r="AP63" s="211">
        <f>AP17/AJ17-1</f>
        <v>-1.2433840208351477E-2</v>
      </c>
      <c r="AQ63" s="204">
        <f>AQ17/AK17-1</f>
        <v>4.087111567373336E-2</v>
      </c>
      <c r="AR63" s="211"/>
      <c r="AS63" s="210">
        <f>AS17/AM17-1</f>
        <v>-4.1676285663846513E-2</v>
      </c>
      <c r="AT63" s="211">
        <f>AT17/AN17-1</f>
        <v>7.4340756934007768E-2</v>
      </c>
      <c r="AU63" s="211">
        <f>AU17/AO17-1</f>
        <v>-5.5324527586424588E-2</v>
      </c>
      <c r="AV63" s="211">
        <f>AV17/AP17-1</f>
        <v>0.16297016467156933</v>
      </c>
      <c r="AW63" s="204">
        <f>AW17/AQ17-1</f>
        <v>3.7001709767737534E-2</v>
      </c>
      <c r="AX63" s="211"/>
      <c r="AY63" s="210">
        <f>AY17/AS17-1</f>
        <v>0.13711208728921709</v>
      </c>
      <c r="AZ63" s="211">
        <f>AZ17/AT17-1</f>
        <v>9.9019470692220501E-2</v>
      </c>
      <c r="BA63" s="211">
        <f>BA17/AU17-1</f>
        <v>0.12044742968770872</v>
      </c>
      <c r="BB63" s="211">
        <f>BB17/AV17-1</f>
        <v>0.10797847327446419</v>
      </c>
      <c r="BC63" s="204">
        <f>BC17/AW17-1</f>
        <v>0.11512229612619373</v>
      </c>
      <c r="BD63" s="211"/>
      <c r="BE63" s="210">
        <f>BE17/AY17-1</f>
        <v>-2.332826558333112E-2</v>
      </c>
      <c r="BF63" s="211">
        <f>BF17/AZ17-1</f>
        <v>-3.4356665933787056E-2</v>
      </c>
      <c r="BG63" s="211">
        <f>BG17/BA17-1</f>
        <v>4.737282063529924E-2</v>
      </c>
      <c r="BH63" s="211">
        <f>BH17/BB17-1</f>
        <v>2.5182027388990225E-3</v>
      </c>
      <c r="BI63" s="204">
        <f>BI17/BC17-1</f>
        <v>-1.7029944084545612E-3</v>
      </c>
      <c r="BJ63" s="211"/>
      <c r="BK63" s="210">
        <f>BK17/BE17-1</f>
        <v>-4.5372189756807568E-2</v>
      </c>
      <c r="BL63" s="211">
        <f>BL17/BF17-1</f>
        <v>-2.7669926181573823E-2</v>
      </c>
      <c r="BM63" s="211">
        <f>BM17/BG17-1</f>
        <v>-3.3463691609563084E-2</v>
      </c>
      <c r="BN63" s="211">
        <f>BN17/BH17-1</f>
        <v>-0.32677924643680345</v>
      </c>
      <c r="BO63" s="204">
        <f>BO17/BI17-1</f>
        <v>-0.12234981339088979</v>
      </c>
      <c r="BP63" s="211"/>
      <c r="BQ63" s="210">
        <f>BQ17/BK17-1</f>
        <v>-9.9601700125638182E-2</v>
      </c>
      <c r="BR63" s="211">
        <f>BR17/BL17-1</f>
        <v>-2.8161549932830598E-2</v>
      </c>
      <c r="BS63" s="211">
        <f>BS17/BM17-1</f>
        <v>-7.685320624734604E-2</v>
      </c>
      <c r="BT63" s="211">
        <f>BT17/BN17-1</f>
        <v>0.29737283398546777</v>
      </c>
      <c r="BU63" s="204">
        <f>BU17/BO17-1</f>
        <v>1.6100471038045017E-2</v>
      </c>
      <c r="BV63" s="211"/>
      <c r="BW63" s="210">
        <f>BW17/BQ17-1</f>
        <v>-0.19152094528397101</v>
      </c>
      <c r="BX63" s="211">
        <f>BX17/BR17-1</f>
        <v>-0.12264438075430595</v>
      </c>
      <c r="BY63" s="211">
        <f>BY17/BS17-1</f>
        <v>0.10850147590630899</v>
      </c>
      <c r="BZ63" s="211">
        <f>BZ17/BT17-1</f>
        <v>0.21388410168031013</v>
      </c>
      <c r="CA63" s="204">
        <f>CA17/BU17-1</f>
        <v>1.8199466148992816E-2</v>
      </c>
      <c r="CB63" s="211"/>
      <c r="CC63" s="210">
        <f>CC17/BW17-1</f>
        <v>0.17194844300822631</v>
      </c>
      <c r="CD63" s="211">
        <f>CD17/BX17-1</f>
        <v>0.27129497130798041</v>
      </c>
      <c r="CE63" s="211">
        <f>CE17/BY17-1</f>
        <v>0.12817586572601125</v>
      </c>
      <c r="CF63" s="211">
        <f>CF17/BZ17-1</f>
        <v>8.0135229864149116E-2</v>
      </c>
      <c r="CG63" s="204">
        <f>CG17/CA17-1</f>
        <v>0.14944350216037527</v>
      </c>
      <c r="CH63" s="211"/>
      <c r="CI63" s="210">
        <f>CI17/CC17-1</f>
        <v>0.12675235275500651</v>
      </c>
      <c r="CJ63" s="211">
        <f>CJ17/CD17-1</f>
        <v>0.11383074273077409</v>
      </c>
      <c r="CK63" s="211">
        <f>CK17/CE17-1</f>
        <v>3.2013103072030757E-2</v>
      </c>
      <c r="CL63" s="211">
        <f>CL17/CF17-1</f>
        <v>9.9168131975599927E-3</v>
      </c>
      <c r="CM63" s="204">
        <f>CM17/CG17-1</f>
        <v>6.0430123658823609E-2</v>
      </c>
      <c r="CN63" s="211"/>
      <c r="CO63" s="210">
        <f>CO17/CI17-1</f>
        <v>0.25837973099086353</v>
      </c>
      <c r="CP63" s="211">
        <f>CP17/CJ17-1</f>
        <v>0.10503550551935681</v>
      </c>
      <c r="CQ63" s="211">
        <f>CQ17/CK17-1</f>
        <v>0.13849183713437974</v>
      </c>
      <c r="CR63" s="211">
        <f>CR17/CL17-1</f>
        <v>0.1278784664921826</v>
      </c>
      <c r="CS63" s="204">
        <f>CS17/CM17-1</f>
        <v>0.14875041092848296</v>
      </c>
      <c r="CT63" s="211"/>
      <c r="CU63" s="210">
        <f>CU17/CO17-1</f>
        <v>0.17836237221317996</v>
      </c>
      <c r="CV63" s="211">
        <f>CV17/CP17-1</f>
        <v>0.1658265552418865</v>
      </c>
      <c r="CW63" s="211">
        <f>CW17/CQ17-1</f>
        <v>0.15904657720631921</v>
      </c>
      <c r="CX63" s="211">
        <f>CX17/CR17-1</f>
        <v>0.15399112779967861</v>
      </c>
      <c r="CY63" s="204">
        <f>CY17/CS17-1</f>
        <v>0.16298360097724873</v>
      </c>
      <c r="CZ63" s="54"/>
      <c r="DA63" s="54"/>
      <c r="DB63" s="54"/>
      <c r="DC63"/>
      <c r="DD63"/>
      <c r="DE63"/>
      <c r="DF63"/>
      <c r="DG63"/>
      <c r="DH63"/>
    </row>
    <row r="64" spans="1:114" s="273" customFormat="1" ht="11.25" customHeight="1" x14ac:dyDescent="0.2">
      <c r="A64" s="204" t="s">
        <v>98</v>
      </c>
      <c r="B64" s="211"/>
      <c r="C64" s="210"/>
      <c r="D64" s="211"/>
      <c r="E64" s="211"/>
      <c r="F64" s="211"/>
      <c r="G64" s="204"/>
      <c r="H64" s="211"/>
      <c r="I64" s="210">
        <f>I20/C20-1</f>
        <v>5.719685282320297E-2</v>
      </c>
      <c r="J64" s="211">
        <f>J20/D20-1</f>
        <v>1.1315233295399185E-2</v>
      </c>
      <c r="K64" s="211">
        <f>K20/E20-1</f>
        <v>0.1246621855727259</v>
      </c>
      <c r="L64" s="211">
        <f>L20/F20-1</f>
        <v>0.30329574072046173</v>
      </c>
      <c r="M64" s="204">
        <f>M20/G20-1</f>
        <v>0.12164435472446522</v>
      </c>
      <c r="N64" s="211"/>
      <c r="O64" s="210">
        <f>O20/I20-1</f>
        <v>0.25843639414833475</v>
      </c>
      <c r="P64" s="211">
        <f>P20/J20-1</f>
        <v>0.17242709706459158</v>
      </c>
      <c r="Q64" s="211">
        <f>Q20/K20-1</f>
        <v>0.18585951940850376</v>
      </c>
      <c r="R64" s="211">
        <f>R20/L20-1</f>
        <v>0.15276260886611248</v>
      </c>
      <c r="S64" s="204">
        <f>S20/M20-1</f>
        <v>0.1889361634947071</v>
      </c>
      <c r="T64" s="211"/>
      <c r="U64" s="210">
        <f>U20/O20-1</f>
        <v>0.20475431221916129</v>
      </c>
      <c r="V64" s="211">
        <f>V20/P20-1</f>
        <v>0.24469368727033358</v>
      </c>
      <c r="W64" s="211">
        <f>W20/Q20-1</f>
        <v>0.64754630712077432</v>
      </c>
      <c r="X64" s="211">
        <f>X20/R20-1</f>
        <v>0.8574725488290742</v>
      </c>
      <c r="Y64" s="204">
        <f>Y20/S20-1</f>
        <v>0.50597538142851484</v>
      </c>
      <c r="Z64" s="211"/>
      <c r="AA64" s="210">
        <f>AA20/U20-1</f>
        <v>1.0243996342461146</v>
      </c>
      <c r="AB64" s="211">
        <f>AB20/V20-1</f>
        <v>0.89118508889819159</v>
      </c>
      <c r="AC64" s="211">
        <f>AC20/W20-1</f>
        <v>0.49603431148394028</v>
      </c>
      <c r="AD64" s="211">
        <f>AD20/X20-1</f>
        <v>0.22249251252272351</v>
      </c>
      <c r="AE64" s="204">
        <f>AE20/Y20-1</f>
        <v>0.57970171099560375</v>
      </c>
      <c r="AF64" s="211"/>
      <c r="AG64" s="210">
        <f>AG20/AA20-1</f>
        <v>2.9192915725663404E-2</v>
      </c>
      <c r="AH64" s="211">
        <f>AH20/AB20-1</f>
        <v>0.1725905474201701</v>
      </c>
      <c r="AI64" s="211">
        <f>AI20/AC20-1</f>
        <v>0.18203568831223604</v>
      </c>
      <c r="AJ64" s="211">
        <f>AJ20/AD20-1</f>
        <v>0.25311052389460142</v>
      </c>
      <c r="AK64" s="204">
        <f>AK20/AE20-1</f>
        <v>0.16242789246453659</v>
      </c>
      <c r="AL64" s="211"/>
      <c r="AM64" s="210">
        <f>AM20/AG20-1</f>
        <v>0.24246413969925773</v>
      </c>
      <c r="AN64" s="211">
        <f>AN20/AH20-1</f>
        <v>7.3280743934667436E-2</v>
      </c>
      <c r="AO64" s="211">
        <f>AO20/AI20-1</f>
        <v>2.2835895423903851E-2</v>
      </c>
      <c r="AP64" s="211">
        <f>AP20/AJ20-1</f>
        <v>3.0367448690365784E-2</v>
      </c>
      <c r="AQ64" s="204">
        <f>AQ20/AK20-1</f>
        <v>8.2800345721693924E-2</v>
      </c>
      <c r="AR64" s="211"/>
      <c r="AS64" s="210">
        <f>AS20/AM20-1</f>
        <v>1.5625580963004371E-2</v>
      </c>
      <c r="AT64" s="211">
        <f>AT20/AN20-1</f>
        <v>8.8410626677775106E-2</v>
      </c>
      <c r="AU64" s="211">
        <f>AU20/AO20-1</f>
        <v>2.6031087360189886E-2</v>
      </c>
      <c r="AV64" s="211">
        <f>AV20/AP20-1</f>
        <v>0.1805052656000139</v>
      </c>
      <c r="AW64" s="204">
        <f>AW20/AQ20-1</f>
        <v>7.9827852277564837E-2</v>
      </c>
      <c r="AX64" s="211"/>
      <c r="AY64" s="210">
        <f>AY20/AS20-1</f>
        <v>0.14843356732960578</v>
      </c>
      <c r="AZ64" s="211">
        <f>AZ20/AT20-1</f>
        <v>0.14490436380027361</v>
      </c>
      <c r="BA64" s="211">
        <f>BA20/AU20-1</f>
        <v>0.13752495857937874</v>
      </c>
      <c r="BB64" s="211">
        <f>BB20/AV20-1</f>
        <v>0.12542639358760099</v>
      </c>
      <c r="BC64" s="204">
        <f>BC20/AW20-1</f>
        <v>0.13821453724864519</v>
      </c>
      <c r="BD64" s="211"/>
      <c r="BE64" s="210">
        <f>BE20/AY20-1</f>
        <v>-1.6098311271208532E-2</v>
      </c>
      <c r="BF64" s="211">
        <f>BF20/AZ20-1</f>
        <v>0.30587807070324313</v>
      </c>
      <c r="BG64" s="211">
        <f>BG20/BA20-1</f>
        <v>-0.28765097362583214</v>
      </c>
      <c r="BH64" s="211">
        <f>BH20/BB20-1</f>
        <v>1.3096841790150027E-3</v>
      </c>
      <c r="BI64" s="204">
        <f>BI20/BC20-1</f>
        <v>1.5442260198477165E-3</v>
      </c>
      <c r="BJ64" s="211"/>
      <c r="BK64" s="210">
        <f>BK20/BE20-1</f>
        <v>3.8960302610580033E-3</v>
      </c>
      <c r="BL64" s="211">
        <f>BL20/BF20-1</f>
        <v>-0.25832783453548414</v>
      </c>
      <c r="BM64" s="211">
        <f>BM20/BG20-1</f>
        <v>0.42695816294432287</v>
      </c>
      <c r="BN64" s="211">
        <f>BN20/BH20-1</f>
        <v>-0.23602650821530446</v>
      </c>
      <c r="BO64" s="204">
        <f>BO20/BI20-1</f>
        <v>-7.5845808288857897E-2</v>
      </c>
      <c r="BP64" s="211"/>
      <c r="BQ64" s="210">
        <f>BQ20/BK20-1</f>
        <v>-8.4298854284331037E-2</v>
      </c>
      <c r="BR64" s="211">
        <f>BR20/BL20-1</f>
        <v>-5.7277405796767544E-2</v>
      </c>
      <c r="BS64" s="211">
        <f>BS20/BM20-1</f>
        <v>-6.1378950539720534E-2</v>
      </c>
      <c r="BT64" s="211">
        <f>BT20/BN20-1</f>
        <v>0.17926120382523969</v>
      </c>
      <c r="BU64" s="204">
        <f>BU20/BO20-1</f>
        <v>-8.34387443453255E-3</v>
      </c>
      <c r="BV64" s="211"/>
      <c r="BW64" s="210">
        <f>BW20/BQ20-1</f>
        <v>-7.2463257322101904E-2</v>
      </c>
      <c r="BX64" s="211">
        <f>BX20/BR20-1</f>
        <v>-1.0145222308099444E-2</v>
      </c>
      <c r="BY64" s="211">
        <f>BY20/BS20-1</f>
        <v>9.7216133274879546E-2</v>
      </c>
      <c r="BZ64" s="211">
        <f>BZ20/BT20-1</f>
        <v>0.16876257371393821</v>
      </c>
      <c r="CA64" s="204">
        <f>CA20/BU20-1</f>
        <v>5.3770710902336871E-2</v>
      </c>
      <c r="CB64" s="211"/>
      <c r="CC64" s="210">
        <f>CC20/BW20-1</f>
        <v>0.12647718204962599</v>
      </c>
      <c r="CD64" s="211">
        <f>CD20/BX20-1</f>
        <v>0.18804451458066218</v>
      </c>
      <c r="CE64" s="211">
        <f>CE20/BY20-1</f>
        <v>7.1300141273170858E-2</v>
      </c>
      <c r="CF64" s="211">
        <f>CF20/BZ20-1</f>
        <v>3.2474062156182981E-2</v>
      </c>
      <c r="CG64" s="204">
        <f>CG20/CA20-1</f>
        <v>9.6383834314405892E-2</v>
      </c>
      <c r="CH64" s="211"/>
      <c r="CI64" s="210">
        <f>CI20/CC20-1</f>
        <v>4.8000705621420892E-2</v>
      </c>
      <c r="CJ64" s="211">
        <f>CJ20/CD20-1</f>
        <v>4.2811250250345267E-2</v>
      </c>
      <c r="CK64" s="211">
        <f>CK20/CE20-1</f>
        <v>2.7306204008141099E-2</v>
      </c>
      <c r="CL64" s="211">
        <f>CL20/CF20-1</f>
        <v>1.217546198349484E-2</v>
      </c>
      <c r="CM64" s="204">
        <f>CM20/CG20-1</f>
        <v>3.0800723712269829E-2</v>
      </c>
      <c r="CN64" s="211"/>
      <c r="CO64" s="210">
        <f>CO20/CI20-1</f>
        <v>0.1648740883500861</v>
      </c>
      <c r="CP64" s="211">
        <f>CP20/CJ20-1</f>
        <v>8.121974452891445E-2</v>
      </c>
      <c r="CQ64" s="211">
        <f>CQ20/CK20-1</f>
        <v>0.10357809756787639</v>
      </c>
      <c r="CR64" s="211">
        <f>CR20/CL20-1</f>
        <v>0.1004058254583915</v>
      </c>
      <c r="CS64" s="204">
        <f>CS20/CM20-1</f>
        <v>0.10966272063039395</v>
      </c>
      <c r="CT64" s="211"/>
      <c r="CU64" s="210">
        <f>CU20/CO20-1</f>
        <v>0.12576903525608718</v>
      </c>
      <c r="CV64" s="211">
        <f>CV20/CP20-1</f>
        <v>0.12311800048325949</v>
      </c>
      <c r="CW64" s="211">
        <f>CW20/CQ20-1</f>
        <v>0.1201603191672822</v>
      </c>
      <c r="CX64" s="211">
        <f>CX20/CR20-1</f>
        <v>0.12123019998713414</v>
      </c>
      <c r="CY64" s="204">
        <f>CY20/CS20-1</f>
        <v>0.12239414317560282</v>
      </c>
      <c r="CZ64" s="54"/>
      <c r="DA64" s="54"/>
      <c r="DB64" s="54"/>
      <c r="DC64"/>
      <c r="DD64"/>
      <c r="DE64"/>
      <c r="DF64"/>
      <c r="DG64"/>
      <c r="DH64"/>
    </row>
    <row r="65" spans="1:205" s="273" customFormat="1" ht="11.25" customHeight="1" x14ac:dyDescent="0.2">
      <c r="A65" s="204" t="s">
        <v>413</v>
      </c>
      <c r="B65" s="211"/>
      <c r="C65" s="210"/>
      <c r="D65" s="211"/>
      <c r="E65" s="211"/>
      <c r="F65" s="211"/>
      <c r="G65" s="204"/>
      <c r="H65" s="211"/>
      <c r="I65" s="210">
        <f>I32/C32-1</f>
        <v>0.15669734860023343</v>
      </c>
      <c r="J65" s="211">
        <f>J32/D32-1</f>
        <v>0.59993189032829153</v>
      </c>
      <c r="K65" s="211">
        <f>K32/E32-1</f>
        <v>0.21814401038945008</v>
      </c>
      <c r="L65" s="211">
        <f>L32/F32-1</f>
        <v>0.24284183715361585</v>
      </c>
      <c r="M65" s="204">
        <f>M32/G32-1</f>
        <v>0.27954933354893585</v>
      </c>
      <c r="N65" s="211"/>
      <c r="O65" s="210">
        <f>O32/I32-1</f>
        <v>0.34951193629368515</v>
      </c>
      <c r="P65" s="211">
        <f>P32/J32-1</f>
        <v>0.20484949038476818</v>
      </c>
      <c r="Q65" s="211">
        <f>Q32/K32-1</f>
        <v>0.19512904127939712</v>
      </c>
      <c r="R65" s="211">
        <f>R32/L32-1</f>
        <v>0.12440626862370863</v>
      </c>
      <c r="S65" s="204">
        <f>S32/M32-1</f>
        <v>0.21324029247988374</v>
      </c>
      <c r="T65" s="211"/>
      <c r="U65" s="210">
        <f>U32/O32-1</f>
        <v>0.14356530414584889</v>
      </c>
      <c r="V65" s="211">
        <f>V32/P32-1</f>
        <v>0.26973850158533863</v>
      </c>
      <c r="W65" s="211">
        <f>W32/Q32-1</f>
        <v>0.22847325316259237</v>
      </c>
      <c r="X65" s="211">
        <f>X32/R32-1</f>
        <v>3.6003536194730179E-2</v>
      </c>
      <c r="Y65" s="204">
        <f>Y32/S32-1</f>
        <v>0.15425541555902211</v>
      </c>
      <c r="Z65" s="211"/>
      <c r="AA65" s="210">
        <f>AA32/U32-1</f>
        <v>0.24678274842259151</v>
      </c>
      <c r="AB65" s="211">
        <f>AB32/V32-1</f>
        <v>0.19586192204117614</v>
      </c>
      <c r="AC65" s="211">
        <f>AC32/W32-1</f>
        <v>0.18721231623106283</v>
      </c>
      <c r="AD65" s="211">
        <f>AD32/X32-1</f>
        <v>0.37764322701997988</v>
      </c>
      <c r="AE65" s="204">
        <f>AE32/Y32-1</f>
        <v>0.26130083938496673</v>
      </c>
      <c r="AF65" s="211"/>
      <c r="AG65" s="210">
        <f>AG32/AA32-1</f>
        <v>0.10373129133083592</v>
      </c>
      <c r="AH65" s="211">
        <f>AH32/AB32-1</f>
        <v>0.20369114386548626</v>
      </c>
      <c r="AI65" s="211">
        <f>AI32/AC32-1</f>
        <v>0.23883281700668557</v>
      </c>
      <c r="AJ65" s="211">
        <f>AJ32/AD32-1</f>
        <v>0.10686319849620496</v>
      </c>
      <c r="AK65" s="204">
        <f>AK32/AE32-1</f>
        <v>0.16880222889148322</v>
      </c>
      <c r="AL65" s="211"/>
      <c r="AM65" s="210">
        <f>AM32/AG32-1</f>
        <v>2.69387362804554E-2</v>
      </c>
      <c r="AN65" s="211">
        <f>AN32/AH32-1</f>
        <v>-8.1482121644064542E-2</v>
      </c>
      <c r="AO65" s="211">
        <f>AO32/AI32-1</f>
        <v>-4.2592485096213939E-2</v>
      </c>
      <c r="AP65" s="211">
        <f>AP32/AJ32-1</f>
        <v>8.1709008682297579E-2</v>
      </c>
      <c r="AQ65" s="204">
        <f>AQ32/AK32-1</f>
        <v>-8.8647863285385986E-3</v>
      </c>
      <c r="AR65" s="211"/>
      <c r="AS65" s="210">
        <f>AS32/AM32-1</f>
        <v>9.1462890603573044E-3</v>
      </c>
      <c r="AT65" s="211">
        <f>AT32/AN32-1</f>
        <v>4.8571877067868252E-2</v>
      </c>
      <c r="AU65" s="211">
        <f>AU32/AO32-1</f>
        <v>-3.7511610711169152E-2</v>
      </c>
      <c r="AV65" s="211">
        <f>AV32/AP32-1</f>
        <v>0.20662774087081548</v>
      </c>
      <c r="AW65" s="204">
        <f>AW32/AQ32-1</f>
        <v>5.9149695906372868E-2</v>
      </c>
      <c r="AX65" s="211"/>
      <c r="AY65" s="210">
        <f>AY32/AS32-1</f>
        <v>0.11295859956364351</v>
      </c>
      <c r="AZ65" s="211">
        <f>AZ32/AT32-1</f>
        <v>0.11006104864431387</v>
      </c>
      <c r="BA65" s="211">
        <f>BA32/AU32-1</f>
        <v>8.7654047075482522E-2</v>
      </c>
      <c r="BB65" s="211">
        <f>BB32/AV32-1</f>
        <v>0.10116131987516241</v>
      </c>
      <c r="BC65" s="204">
        <f>BC32/AW32-1</f>
        <v>0.10413259906936179</v>
      </c>
      <c r="BD65" s="211"/>
      <c r="BE65" s="210">
        <f>BE32/AY32-1</f>
        <v>-1.1870089278698925E-2</v>
      </c>
      <c r="BF65" s="211">
        <f>BF32/AZ32-1</f>
        <v>5.5300577756641545E-2</v>
      </c>
      <c r="BG65" s="211">
        <f>BG32/BA32-1</f>
        <v>9.6018903167105041E-2</v>
      </c>
      <c r="BH65" s="211">
        <f>BH32/BB32-1</f>
        <v>4.4105295465085792E-2</v>
      </c>
      <c r="BI65" s="204">
        <f>BI32/BC32-1</f>
        <v>4.7547926633905613E-2</v>
      </c>
      <c r="BJ65" s="211"/>
      <c r="BK65" s="210">
        <f>BK32/BE32-1</f>
        <v>-2.4404055404780634E-2</v>
      </c>
      <c r="BL65" s="211">
        <f>BL32/BF32-1</f>
        <v>-5.4666478811555397E-2</v>
      </c>
      <c r="BM65" s="211">
        <f>BM32/BG32-1</f>
        <v>-3.1019523415193873E-2</v>
      </c>
      <c r="BN65" s="211">
        <f>BN33/BH33-1</f>
        <v>-0.22873391337217797</v>
      </c>
      <c r="BO65" s="204">
        <f>BO33/BI33-1</f>
        <v>-1.7897268152775814E-2</v>
      </c>
      <c r="BP65" s="211"/>
      <c r="BQ65" s="210">
        <f>BQ33/BK33-1</f>
        <v>-2.4040000871670464E-2</v>
      </c>
      <c r="BR65" s="211">
        <f>BR33/BL33-1</f>
        <v>1.2086335497621281E-2</v>
      </c>
      <c r="BS65" s="211">
        <f>BS33/BM33-1</f>
        <v>-3.2302754036394599E-2</v>
      </c>
      <c r="BT65" s="211">
        <f>BT33/BN33-1</f>
        <v>0.27456040097903478</v>
      </c>
      <c r="BU65" s="204">
        <f>BU33/BO33-1</f>
        <v>5.8063551287066195E-2</v>
      </c>
      <c r="BV65" s="211"/>
      <c r="BW65" s="210">
        <f>BW33/BQ33-1</f>
        <v>-0.12207727419147607</v>
      </c>
      <c r="BX65" s="211">
        <f>BX33/BR33-1</f>
        <v>-6.6991817870149073E-2</v>
      </c>
      <c r="BY65" s="211">
        <f>BY33/BS33-1</f>
        <v>7.7549339952808438E-2</v>
      </c>
      <c r="BZ65" s="211">
        <f>BZ33/BT33-1</f>
        <v>0.2215804505335901</v>
      </c>
      <c r="CA65" s="204">
        <f>CA33/BU33-1</f>
        <v>4.533886490124206E-2</v>
      </c>
      <c r="CB65" s="211"/>
      <c r="CC65" s="210">
        <f>CC33/BW33-1</f>
        <v>0.14149769265644774</v>
      </c>
      <c r="CD65" s="211">
        <f>CD33/BX33-1</f>
        <v>0.23695464186493531</v>
      </c>
      <c r="CE65" s="211">
        <f>CE33/BY33-1</f>
        <v>0.1382858324292926</v>
      </c>
      <c r="CF65" s="211">
        <f>CF33/BZ33-1</f>
        <v>0.10742369018642628</v>
      </c>
      <c r="CG65" s="204">
        <f>CG33/CA33-1</f>
        <v>0.1492534059021895</v>
      </c>
      <c r="CH65" s="211"/>
      <c r="CI65" s="210">
        <f>CI33/CC33-1</f>
        <v>8.481579289629182E-2</v>
      </c>
      <c r="CJ65" s="211">
        <f>CJ33/CD33-1</f>
        <v>0.10470603778896237</v>
      </c>
      <c r="CK65" s="211">
        <f>CK33/CE33-1</f>
        <v>4.2651470540726377E-2</v>
      </c>
      <c r="CL65" s="211">
        <f>CL33/CF33-1</f>
        <v>-3.5774882247656237E-2</v>
      </c>
      <c r="CM65" s="204">
        <f>CM33/CG33-1</f>
        <v>3.7547785763498709E-2</v>
      </c>
      <c r="CN65" s="211"/>
      <c r="CO65" s="210">
        <f>CO33/CI33-1</f>
        <v>0.30444567168690462</v>
      </c>
      <c r="CP65" s="211">
        <f>CP33/CJ33-1</f>
        <v>0.13990010582310664</v>
      </c>
      <c r="CQ65" s="211">
        <f>CQ33/CK33-1</f>
        <v>0.17635726829646359</v>
      </c>
      <c r="CR65" s="211">
        <f>CR33/CL33-1</f>
        <v>0.1639649139942756</v>
      </c>
      <c r="CS65" s="204">
        <f>CS33/CM33-1</f>
        <v>0.18622824292004281</v>
      </c>
      <c r="CT65" s="211"/>
      <c r="CU65" s="210">
        <f>CU33/CO33-1</f>
        <v>0.37996573168863024</v>
      </c>
      <c r="CV65" s="211">
        <f>CV33/CP33-1</f>
        <v>0.35568984508468349</v>
      </c>
      <c r="CW65" s="211">
        <f>CW33/CQ33-1</f>
        <v>0.34630274303502251</v>
      </c>
      <c r="CX65" s="211">
        <f>CX33/CR33-1</f>
        <v>0.30824064514599536</v>
      </c>
      <c r="CY65" s="204">
        <f>CY33/CS33-1</f>
        <v>0.34330503054017059</v>
      </c>
      <c r="CZ65" s="54"/>
      <c r="DA65" s="54"/>
      <c r="DB65" s="54"/>
      <c r="DC65"/>
      <c r="DD65"/>
      <c r="DE65"/>
      <c r="DF65"/>
      <c r="DG65"/>
      <c r="DH65"/>
    </row>
    <row r="66" spans="1:205" s="273" customFormat="1" ht="11.25" customHeight="1" x14ac:dyDescent="0.2">
      <c r="A66" s="196" t="s">
        <v>402</v>
      </c>
      <c r="B66" s="195"/>
      <c r="C66" s="194"/>
      <c r="D66" s="195"/>
      <c r="E66" s="195"/>
      <c r="F66" s="195"/>
      <c r="G66" s="196"/>
      <c r="H66" s="195"/>
      <c r="I66" s="194">
        <f>I28/C28-1</f>
        <v>0.15872631487565214</v>
      </c>
      <c r="J66" s="195">
        <f>J28/D28-1</f>
        <v>0.60979790720908578</v>
      </c>
      <c r="K66" s="195">
        <f>K28/E28-1</f>
        <v>0.23404596526044785</v>
      </c>
      <c r="L66" s="195">
        <f>L28/F28-1</f>
        <v>0.25234296990601512</v>
      </c>
      <c r="M66" s="196">
        <f>M28/G28-1</f>
        <v>0.29379057573583722</v>
      </c>
      <c r="N66" s="195"/>
      <c r="O66" s="194">
        <f>O28/I28-1</f>
        <v>0.37869228563234891</v>
      </c>
      <c r="P66" s="195">
        <f>P28/J28-1</f>
        <v>0.23526496694854249</v>
      </c>
      <c r="Q66" s="195">
        <f>Q28/K28-1</f>
        <v>0.22435330474007187</v>
      </c>
      <c r="R66" s="195">
        <f>R28/L28-1</f>
        <v>0.16230549417897855</v>
      </c>
      <c r="S66" s="196">
        <f>S28/M28-1</f>
        <v>0.24026456317179168</v>
      </c>
      <c r="T66" s="195"/>
      <c r="U66" s="194">
        <f>U28/O28-1</f>
        <v>0.17301092043681598</v>
      </c>
      <c r="V66" s="195">
        <f>V28/P28-1</f>
        <v>0.30014102951546207</v>
      </c>
      <c r="W66" s="195">
        <f>W28/Q28-1</f>
        <v>0.42153902461341275</v>
      </c>
      <c r="X66" s="195">
        <f>X28/R28-1</f>
        <v>0.37367872275284153</v>
      </c>
      <c r="Y66" s="196">
        <f>Y28/S28-1</f>
        <v>0.32299112584502043</v>
      </c>
      <c r="Z66" s="195"/>
      <c r="AA66" s="194">
        <f>AA28/U28-1</f>
        <v>0.63731879239260514</v>
      </c>
      <c r="AB66" s="195">
        <f>AB28/V28-1</f>
        <v>0.56607135939255504</v>
      </c>
      <c r="AC66" s="195">
        <f>AC28/W28-1</f>
        <v>0.36524845520082394</v>
      </c>
      <c r="AD66" s="195">
        <f>AD28/X28-1</f>
        <v>0.35620324189525898</v>
      </c>
      <c r="AE66" s="196">
        <f>AE28/Y28-1</f>
        <v>0.46415953802836962</v>
      </c>
      <c r="AF66" s="195"/>
      <c r="AG66" s="194">
        <f>AG28/AA28-1</f>
        <v>9.319578696558839E-2</v>
      </c>
      <c r="AH66" s="195">
        <f>AH28/AB28-1</f>
        <v>0.19379097093382724</v>
      </c>
      <c r="AI66" s="195">
        <f>AI28/AC28-1</f>
        <v>0.26133283043775513</v>
      </c>
      <c r="AJ66" s="195">
        <f>AJ28/AD28-1</f>
        <v>0.32040821017307719</v>
      </c>
      <c r="AK66" s="196">
        <f>AK28/AE28-1</f>
        <v>0.22232157074091008</v>
      </c>
      <c r="AL66" s="195"/>
      <c r="AM66" s="194">
        <f>AM28/AG28-1</f>
        <v>0.22283591331269159</v>
      </c>
      <c r="AN66" s="195">
        <f>AN28/AH28-1</f>
        <v>8.9123272342983118E-2</v>
      </c>
      <c r="AO66" s="195">
        <f>AO28/AI28-1</f>
        <v>9.8323583830152606E-2</v>
      </c>
      <c r="AP66" s="195">
        <f>AP28/AJ28-1</f>
        <v>7.9307883788534594E-2</v>
      </c>
      <c r="AQ66" s="196">
        <f>AQ28/AK28-1</f>
        <v>0.11581357596649089</v>
      </c>
      <c r="AR66" s="195"/>
      <c r="AS66" s="194">
        <f>AS28/AM28-1</f>
        <v>2.7140889573038507E-3</v>
      </c>
      <c r="AT66" s="195">
        <f>AT28/AN28-1</f>
        <v>4.5738203957382595E-2</v>
      </c>
      <c r="AU66" s="195">
        <f>AU28/AO28-1</f>
        <v>-4.0532262455758139E-2</v>
      </c>
      <c r="AV66" s="195">
        <f>AV28/AP28-1</f>
        <v>0.18749092785833099</v>
      </c>
      <c r="AW66" s="196">
        <f>AW28/AQ28-1</f>
        <v>5.2900050740223303E-2</v>
      </c>
      <c r="AX66" s="195"/>
      <c r="AY66" s="194">
        <f>AY28/AS28-1</f>
        <v>0.10602755221589377</v>
      </c>
      <c r="AZ66" s="195">
        <f>AZ28/AT28-1</f>
        <v>0.10659704533876724</v>
      </c>
      <c r="BA66" s="195">
        <f>BA28/AU28-1</f>
        <v>0.10532756357961182</v>
      </c>
      <c r="BB66" s="195">
        <f>BB28/AV28-1</f>
        <v>0.12484380942032702</v>
      </c>
      <c r="BC66" s="196">
        <f>BC28/AW28-1</f>
        <v>0.11190102522986556</v>
      </c>
      <c r="BD66" s="195"/>
      <c r="BE66" s="194">
        <f>BE28/AY28-1</f>
        <v>-1.2601588895989613E-3</v>
      </c>
      <c r="BF66" s="195">
        <f>BF28/AZ28-1</f>
        <v>5.631093500813722E-2</v>
      </c>
      <c r="BG66" s="195">
        <f>BG28/BA28-1</f>
        <v>9.7408744484556165E-2</v>
      </c>
      <c r="BH66" s="195">
        <f>BH28/BB28-1</f>
        <v>5.5433470176285748E-2</v>
      </c>
      <c r="BI66" s="196">
        <f>BI28/BC28-1</f>
        <v>5.3765874126947555E-2</v>
      </c>
      <c r="BJ66" s="195"/>
      <c r="BK66" s="194">
        <f>BK28/BE28-1</f>
        <v>-1.8359360713894435E-2</v>
      </c>
      <c r="BL66" s="195">
        <f>BL28/BF28-1</f>
        <v>-5.3962769269081945E-2</v>
      </c>
      <c r="BM66" s="195">
        <f>BM28/BG28-1</f>
        <v>-3.4928943213052732E-2</v>
      </c>
      <c r="BN66" s="195">
        <f>BN28/BH28-1</f>
        <v>-0.3086224845843204</v>
      </c>
      <c r="BO66" s="196">
        <f>BO28/BI28-1</f>
        <v>-0.12315963034275912</v>
      </c>
      <c r="BP66" s="195"/>
      <c r="BQ66" s="194">
        <f>BQ28/BK28-1</f>
        <v>-4.0181066279199817E-2</v>
      </c>
      <c r="BR66" s="195">
        <f>BR28/BL28-1</f>
        <v>3.2246919267542307E-3</v>
      </c>
      <c r="BS66" s="195">
        <f>BS28/BM28-1</f>
        <v>-4.3798385019770847E-2</v>
      </c>
      <c r="BT66" s="195">
        <f>BT28/BN28-1</f>
        <v>0.26104510705894168</v>
      </c>
      <c r="BU66" s="196">
        <f>BU28/BO28-1</f>
        <v>4.5345863912595874E-2</v>
      </c>
      <c r="BV66" s="195"/>
      <c r="BW66" s="194">
        <f>BW28/BQ28-1</f>
        <v>-0.12415332362930587</v>
      </c>
      <c r="BX66" s="195">
        <f>BX28/BR28-1</f>
        <v>-6.6467684536793192E-2</v>
      </c>
      <c r="BY66" s="195">
        <f>BY28/BS28-1</f>
        <v>8.0882818936561351E-2</v>
      </c>
      <c r="BZ66" s="195">
        <f>BZ28/BT28-1</f>
        <v>0.22704369505314248</v>
      </c>
      <c r="CA66" s="196">
        <f>CA28/BU28-1</f>
        <v>4.7484791206696686E-2</v>
      </c>
      <c r="CB66" s="195"/>
      <c r="CC66" s="194">
        <f>CC28/BW28-1</f>
        <v>0.12482272646693948</v>
      </c>
      <c r="CD66" s="195">
        <f>CD28/BX28-1</f>
        <v>0.20602909142013925</v>
      </c>
      <c r="CE66" s="195">
        <f>CE28/BY28-1</f>
        <v>0.10700517435980172</v>
      </c>
      <c r="CF66" s="195">
        <f>CF28/BZ28-1</f>
        <v>7.0931314362709053E-2</v>
      </c>
      <c r="CG66" s="196">
        <f>CG28/CA28-1</f>
        <v>0.11863404426315238</v>
      </c>
      <c r="CH66" s="195"/>
      <c r="CI66" s="194">
        <f>CI28/CC28-1</f>
        <v>7.009901220635828E-2</v>
      </c>
      <c r="CJ66" s="195">
        <f>CJ28/CD28-1</f>
        <v>9.262188251714587E-2</v>
      </c>
      <c r="CK66" s="195">
        <f>CK28/CE28-1</f>
        <v>2.4390283617300224E-2</v>
      </c>
      <c r="CL66" s="195">
        <f>CL28/CF28-1</f>
        <v>-5.4976509872503687E-2</v>
      </c>
      <c r="CM66" s="196">
        <f>CM28/CG28-1</f>
        <v>2.1191793712025397E-2</v>
      </c>
      <c r="CN66" s="195"/>
      <c r="CO66" s="194">
        <f>CO28/CI28-1</f>
        <v>0.26964658437523248</v>
      </c>
      <c r="CP66" s="195">
        <f>CP28/CJ28-1</f>
        <v>0.1096503803970601</v>
      </c>
      <c r="CQ66" s="195">
        <f>CQ28/CK28-1</f>
        <v>0.14530379528469806</v>
      </c>
      <c r="CR66" s="195">
        <f>CR28/CL28-1</f>
        <v>0.13340269486136402</v>
      </c>
      <c r="CS66" s="196">
        <f>CS28/CM28-1</f>
        <v>0.15510524180371155</v>
      </c>
      <c r="CT66" s="195"/>
      <c r="CU66" s="194">
        <f>CU28/CO28-1</f>
        <v>0.34394404804313328</v>
      </c>
      <c r="CV66" s="195">
        <f>CV28/CP28-1</f>
        <v>0.32049279108576711</v>
      </c>
      <c r="CW66" s="195">
        <f>CW28/CQ28-1</f>
        <v>0.31153768887490507</v>
      </c>
      <c r="CX66" s="195">
        <f>CX28/CR28-1</f>
        <v>0.27464376243351207</v>
      </c>
      <c r="CY66" s="196">
        <f>CY28/CS28-1</f>
        <v>0.30873045499257445</v>
      </c>
      <c r="CZ66" s="54"/>
      <c r="DA66" s="54"/>
      <c r="DB66" s="54"/>
      <c r="DC66"/>
      <c r="DD66"/>
      <c r="DE66"/>
      <c r="DF66"/>
      <c r="DG66"/>
      <c r="DH66"/>
    </row>
    <row r="67" spans="1:205" ht="11.25" customHeight="1" x14ac:dyDescent="0.2">
      <c r="A67" s="322"/>
      <c r="B67" s="190"/>
      <c r="C67" s="264"/>
      <c r="D67" s="264"/>
      <c r="E67" s="264"/>
      <c r="F67" s="264"/>
      <c r="G67" s="264"/>
      <c r="H67" s="190"/>
      <c r="I67" s="264"/>
      <c r="J67" s="264"/>
      <c r="K67" s="264"/>
      <c r="L67" s="264"/>
      <c r="M67" s="264"/>
      <c r="N67" s="190"/>
      <c r="O67" s="264"/>
      <c r="P67" s="264"/>
      <c r="Q67" s="264"/>
      <c r="R67" s="264"/>
      <c r="S67" s="264"/>
      <c r="T67" s="190"/>
      <c r="U67" s="264"/>
      <c r="V67" s="264"/>
      <c r="W67" s="264"/>
      <c r="X67" s="264"/>
      <c r="Y67" s="264"/>
      <c r="Z67" s="190"/>
      <c r="AA67" s="264"/>
      <c r="AB67" s="264"/>
      <c r="AC67" s="264"/>
      <c r="AD67" s="264"/>
      <c r="AE67" s="264"/>
      <c r="AF67" s="190"/>
      <c r="AG67" s="264"/>
      <c r="AH67" s="264"/>
      <c r="AI67" s="264"/>
      <c r="AJ67" s="317"/>
      <c r="AK67" s="264"/>
      <c r="AL67" s="190"/>
      <c r="AM67" s="317"/>
      <c r="AN67" s="317"/>
      <c r="AO67" s="317"/>
      <c r="AP67" s="317"/>
      <c r="AQ67" s="317"/>
      <c r="AR67" s="190"/>
      <c r="AS67" s="317"/>
      <c r="AT67" s="317"/>
      <c r="AU67" s="317"/>
      <c r="AV67" s="317"/>
      <c r="AW67" s="317">
        <f>+AW59+AW60+AW61</f>
        <v>0.1481415542396376</v>
      </c>
      <c r="AX67" s="317"/>
      <c r="AY67" s="317"/>
      <c r="AZ67" s="317"/>
      <c r="BA67" s="317"/>
      <c r="BB67" s="317"/>
      <c r="BC67" s="317"/>
      <c r="BD67" s="317"/>
      <c r="BE67" s="317"/>
      <c r="BF67" s="317"/>
      <c r="BG67" s="317"/>
      <c r="BH67" s="317"/>
      <c r="BI67" s="317"/>
      <c r="BJ67" s="317"/>
      <c r="BK67" s="317"/>
      <c r="BL67" s="317"/>
      <c r="BM67" s="317"/>
      <c r="BN67" s="317"/>
      <c r="BO67" s="317"/>
      <c r="BP67" s="317"/>
      <c r="BQ67" s="317"/>
      <c r="BR67" s="317"/>
      <c r="BS67" s="317"/>
      <c r="BT67" s="317"/>
      <c r="BU67" s="317"/>
      <c r="BV67" s="317"/>
      <c r="BW67" s="317"/>
      <c r="BX67" s="317"/>
      <c r="BY67" s="317"/>
      <c r="BZ67" s="317"/>
      <c r="CA67" s="317"/>
      <c r="CB67" s="317"/>
      <c r="CC67" s="317"/>
      <c r="CD67" s="317"/>
      <c r="CE67" s="317"/>
      <c r="CF67" s="317"/>
      <c r="CG67" s="317"/>
      <c r="CH67" s="317"/>
      <c r="CI67" s="317"/>
      <c r="CJ67" s="317"/>
      <c r="CK67" s="317"/>
      <c r="CL67" s="317"/>
      <c r="CM67" s="317"/>
      <c r="CN67" s="317"/>
      <c r="CO67" s="317"/>
      <c r="CP67" s="317"/>
      <c r="CQ67" s="317"/>
      <c r="CR67" s="317"/>
      <c r="CS67" s="317"/>
      <c r="CT67" s="317"/>
      <c r="CU67" s="317"/>
      <c r="CV67" s="317"/>
      <c r="CW67" s="317"/>
      <c r="CX67" s="317"/>
      <c r="CY67" s="317"/>
      <c r="CZ67" s="259"/>
      <c r="DA67" s="259"/>
      <c r="DB67" s="259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3"/>
      <c r="EL67" s="33"/>
      <c r="EM67" s="33"/>
      <c r="EN67" s="33"/>
      <c r="EO67" s="33"/>
      <c r="EP67" s="33"/>
      <c r="EQ67" s="33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3"/>
      <c r="FE67" s="33"/>
      <c r="FF67" s="33"/>
      <c r="FG67" s="33"/>
      <c r="FH67" s="33"/>
      <c r="FI67" s="33"/>
      <c r="FJ67" s="33"/>
      <c r="FK67" s="33"/>
      <c r="FL67" s="33"/>
      <c r="FM67" s="33"/>
      <c r="FN67" s="33"/>
      <c r="FO67" s="33"/>
      <c r="FP67" s="33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33"/>
      <c r="GM67" s="33"/>
      <c r="GN67" s="33"/>
      <c r="GO67" s="33"/>
      <c r="GP67" s="33"/>
      <c r="GQ67" s="33"/>
      <c r="GR67" s="33"/>
      <c r="GS67" s="33"/>
      <c r="GT67" s="33"/>
      <c r="GU67" s="33"/>
      <c r="GV67" s="33"/>
      <c r="GW67" s="33"/>
    </row>
    <row r="68" spans="1:205" s="33" customFormat="1" ht="11.25" customHeight="1" collapsed="1" x14ac:dyDescent="0.2">
      <c r="A68" s="39"/>
      <c r="B68" s="190"/>
      <c r="C68" s="238"/>
      <c r="D68" s="238"/>
      <c r="E68" s="238"/>
      <c r="F68" s="238"/>
      <c r="G68" s="238"/>
      <c r="H68" s="190"/>
      <c r="I68" s="238"/>
      <c r="J68" s="238"/>
      <c r="K68" s="238"/>
      <c r="L68" s="238"/>
      <c r="M68" s="238"/>
      <c r="N68" s="190"/>
      <c r="O68" s="238"/>
      <c r="P68" s="238"/>
      <c r="Q68" s="238"/>
      <c r="R68" s="238"/>
      <c r="S68" s="238"/>
      <c r="T68" s="190"/>
      <c r="U68" s="238"/>
      <c r="V68" s="238"/>
      <c r="W68" s="238"/>
      <c r="X68" s="238"/>
      <c r="Y68" s="238"/>
      <c r="Z68" s="190"/>
      <c r="AA68" s="238"/>
      <c r="AB68" s="238"/>
      <c r="AC68" s="238"/>
      <c r="AD68" s="238"/>
      <c r="AE68" s="238"/>
      <c r="AF68" s="190"/>
      <c r="AG68" s="238"/>
      <c r="AH68" s="238"/>
      <c r="AI68" s="238"/>
      <c r="AJ68" s="238"/>
      <c r="AK68" s="238"/>
      <c r="AL68" s="190"/>
      <c r="AM68" s="238"/>
      <c r="AN68" s="238"/>
      <c r="AO68" s="238"/>
      <c r="AP68" s="238"/>
      <c r="AQ68" s="376"/>
      <c r="AR68" s="190"/>
      <c r="AS68" s="374"/>
      <c r="AT68" s="375"/>
      <c r="AU68" s="375"/>
      <c r="AV68" s="375"/>
      <c r="AW68" s="375"/>
      <c r="AY68" s="374"/>
      <c r="AZ68" s="372"/>
      <c r="BA68" s="372"/>
      <c r="BB68" s="372"/>
      <c r="BC68" s="372"/>
      <c r="BD68" s="190"/>
      <c r="BE68" s="238"/>
      <c r="BF68" s="372"/>
      <c r="BG68" s="238"/>
      <c r="BH68" s="238"/>
      <c r="BI68" s="373"/>
      <c r="BK68" s="372"/>
      <c r="BL68" s="372"/>
      <c r="BM68" s="372"/>
      <c r="BN68" s="372"/>
      <c r="BO68" s="241"/>
      <c r="BQ68" s="372"/>
      <c r="BR68" s="372"/>
      <c r="BS68" s="372"/>
      <c r="BT68" s="372"/>
      <c r="BU68" s="1001"/>
      <c r="BW68" s="372"/>
      <c r="BX68" s="372"/>
      <c r="BY68" s="372"/>
      <c r="BZ68" s="372"/>
      <c r="CA68" s="238"/>
      <c r="CC68" s="372"/>
      <c r="CD68" s="372"/>
      <c r="CE68" s="372"/>
      <c r="CF68" s="372"/>
      <c r="CG68" s="238"/>
      <c r="CI68" s="372"/>
      <c r="CJ68" s="372"/>
      <c r="CK68" s="372"/>
      <c r="CL68" s="372"/>
      <c r="CM68" s="238"/>
      <c r="CO68" s="372"/>
      <c r="CP68" s="372"/>
      <c r="CQ68" s="372"/>
      <c r="CR68" s="372"/>
      <c r="CS68" s="238"/>
      <c r="CU68" s="372"/>
      <c r="CV68" s="372"/>
      <c r="CW68" s="372"/>
      <c r="CX68" s="372"/>
      <c r="CY68" s="238"/>
      <c r="CZ68" s="190"/>
      <c r="DA68" s="190"/>
      <c r="DB68" s="190"/>
      <c r="DC68"/>
      <c r="DD68"/>
      <c r="DE68"/>
      <c r="DF68"/>
      <c r="DG68"/>
      <c r="DH68"/>
    </row>
    <row r="69" spans="1:205" ht="11.25" customHeight="1" x14ac:dyDescent="0.2">
      <c r="A69" s="29" t="s">
        <v>168</v>
      </c>
      <c r="B69" s="26"/>
      <c r="C69" s="367"/>
      <c r="D69" s="42"/>
      <c r="E69" s="42"/>
      <c r="F69" s="42"/>
      <c r="G69" s="368"/>
      <c r="H69" s="26"/>
      <c r="I69" s="369"/>
      <c r="J69" s="370"/>
      <c r="K69" s="370"/>
      <c r="L69" s="370"/>
      <c r="M69" s="371"/>
      <c r="N69" s="26"/>
      <c r="O69" s="369"/>
      <c r="P69" s="370"/>
      <c r="Q69" s="370"/>
      <c r="R69" s="370"/>
      <c r="S69" s="371"/>
      <c r="T69" s="26"/>
      <c r="U69" s="369"/>
      <c r="V69" s="370"/>
      <c r="W69" s="370"/>
      <c r="X69" s="370"/>
      <c r="Y69" s="371"/>
      <c r="Z69" s="26"/>
      <c r="AA69" s="369"/>
      <c r="AB69" s="370"/>
      <c r="AC69" s="370"/>
      <c r="AD69" s="370"/>
      <c r="AE69" s="371"/>
      <c r="AF69" s="26"/>
      <c r="AG69" s="367"/>
      <c r="AH69" s="42"/>
      <c r="AI69" s="42"/>
      <c r="AJ69" s="42"/>
      <c r="AK69" s="368"/>
      <c r="AL69" s="26"/>
      <c r="AM69" s="367"/>
      <c r="AN69" s="42"/>
      <c r="AO69" s="42"/>
      <c r="AP69" s="42"/>
      <c r="AQ69" s="368"/>
      <c r="AR69" s="26"/>
      <c r="AS69" s="367"/>
      <c r="AT69" s="42"/>
      <c r="AU69" s="42"/>
      <c r="AV69" s="42"/>
      <c r="AW69" s="368"/>
      <c r="AX69" s="26"/>
      <c r="AY69" s="367"/>
      <c r="AZ69" s="42"/>
      <c r="BA69" s="42"/>
      <c r="BB69" s="42"/>
      <c r="BC69" s="368"/>
      <c r="BD69" s="26"/>
      <c r="BE69" s="367"/>
      <c r="BF69" s="42"/>
      <c r="BG69" s="42"/>
      <c r="BH69" s="42"/>
      <c r="BI69" s="368"/>
      <c r="BJ69" s="26"/>
      <c r="BK69" s="42"/>
      <c r="BL69" s="42"/>
      <c r="BM69" s="42"/>
      <c r="BN69" s="42"/>
      <c r="BO69" s="44"/>
      <c r="BP69" s="26"/>
      <c r="BQ69" s="42"/>
      <c r="BR69" s="42"/>
      <c r="BS69" s="42"/>
      <c r="BT69" s="42"/>
      <c r="BU69" s="44"/>
      <c r="BV69" s="26"/>
      <c r="BW69" s="42"/>
      <c r="BX69" s="42"/>
      <c r="BY69" s="42"/>
      <c r="BZ69" s="42"/>
      <c r="CA69" s="44"/>
      <c r="CB69" s="26"/>
      <c r="CC69" s="42"/>
      <c r="CD69" s="42"/>
      <c r="CE69" s="42"/>
      <c r="CF69" s="42"/>
      <c r="CG69" s="44"/>
      <c r="CH69" s="26"/>
      <c r="CI69" s="42"/>
      <c r="CJ69" s="42"/>
      <c r="CK69" s="42"/>
      <c r="CL69" s="42"/>
      <c r="CM69" s="44"/>
      <c r="CN69" s="26"/>
      <c r="CO69" s="42"/>
      <c r="CP69" s="42"/>
      <c r="CQ69" s="42"/>
      <c r="CR69" s="42"/>
      <c r="CS69" s="44"/>
      <c r="CT69" s="26"/>
      <c r="CU69" s="42"/>
      <c r="CV69" s="42"/>
      <c r="CW69" s="42"/>
      <c r="CX69" s="42"/>
      <c r="CY69" s="44"/>
      <c r="CZ69" s="236"/>
      <c r="DA69" s="236"/>
      <c r="DB69" s="236"/>
    </row>
    <row r="70" spans="1:205" ht="11.25" customHeight="1" outlineLevel="1" x14ac:dyDescent="0.2">
      <c r="A70" s="294" t="s">
        <v>180</v>
      </c>
      <c r="B70" s="223"/>
      <c r="C70" s="295">
        <v>0</v>
      </c>
      <c r="D70" s="219">
        <v>0</v>
      </c>
      <c r="E70" s="219">
        <v>0</v>
      </c>
      <c r="F70" s="219">
        <v>0</v>
      </c>
      <c r="G70" s="56">
        <f>SUM(C70:F70)</f>
        <v>0</v>
      </c>
      <c r="H70" s="223"/>
      <c r="I70" s="295">
        <v>0</v>
      </c>
      <c r="J70" s="219">
        <v>0</v>
      </c>
      <c r="K70" s="219">
        <v>0</v>
      </c>
      <c r="L70" s="219">
        <v>0</v>
      </c>
      <c r="M70" s="56">
        <f>SUM(I70:L70)</f>
        <v>0</v>
      </c>
      <c r="N70" s="223"/>
      <c r="O70" s="295">
        <v>0.08</v>
      </c>
      <c r="P70" s="219">
        <v>0.1</v>
      </c>
      <c r="Q70" s="219">
        <v>0.04</v>
      </c>
      <c r="R70" s="219">
        <v>0</v>
      </c>
      <c r="S70" s="56">
        <f>SUM(O70:R70)</f>
        <v>0.22</v>
      </c>
      <c r="T70" s="223"/>
      <c r="U70" s="295">
        <v>0.33</v>
      </c>
      <c r="V70" s="219">
        <v>0.89</v>
      </c>
      <c r="W70" s="219">
        <v>2.2000000000000002</v>
      </c>
      <c r="X70" s="219">
        <f>5.8-SUM(U70:W70)</f>
        <v>2.38</v>
      </c>
      <c r="Y70" s="56">
        <f>SUM(U70:X70)</f>
        <v>5.8</v>
      </c>
      <c r="Z70" s="223"/>
      <c r="AA70" s="295">
        <v>2</v>
      </c>
      <c r="AB70" s="219">
        <v>2.4</v>
      </c>
      <c r="AC70" s="219">
        <v>1.9</v>
      </c>
      <c r="AD70" s="219">
        <f>9.4-SUM(AA70:AC70)</f>
        <v>3.0999999999999996</v>
      </c>
      <c r="AE70" s="56">
        <f>SUM(AA70:AD70)</f>
        <v>9.4</v>
      </c>
      <c r="AF70" s="223"/>
      <c r="AG70" s="295">
        <v>2.2000000000000002</v>
      </c>
      <c r="AH70" s="219">
        <v>2.8140000000000001</v>
      </c>
      <c r="AI70" s="219">
        <v>2.3479999999999999</v>
      </c>
      <c r="AJ70" s="219">
        <f>9.7-SUM(AG70:AI70)</f>
        <v>2.3379999999999992</v>
      </c>
      <c r="AK70" s="56">
        <f>SUM(AG70:AJ70)</f>
        <v>9.6999999999999993</v>
      </c>
      <c r="AL70" s="223"/>
      <c r="AM70" s="295">
        <v>2.6</v>
      </c>
      <c r="AN70" s="219">
        <v>3.7</v>
      </c>
      <c r="AO70" s="219">
        <v>3.6</v>
      </c>
      <c r="AP70" s="219">
        <f>13.6-SUM(AM70:AO70)</f>
        <v>3.6999999999999993</v>
      </c>
      <c r="AQ70" s="56">
        <f>SUM(AM70:AP70)</f>
        <v>13.6</v>
      </c>
      <c r="AR70" s="223"/>
      <c r="AS70" s="295">
        <v>4</v>
      </c>
      <c r="AT70" s="219">
        <v>5.3</v>
      </c>
      <c r="AU70" s="219">
        <v>5.0999999999999996</v>
      </c>
      <c r="AV70" s="219">
        <f>19.5-SUM(AS70:AU70)</f>
        <v>5.0999999999999996</v>
      </c>
      <c r="AW70" s="296">
        <f>SUM(AS70:AV70)</f>
        <v>19.5</v>
      </c>
      <c r="AX70" s="223"/>
      <c r="AY70" s="295">
        <v>5.2</v>
      </c>
      <c r="AZ70" s="219">
        <v>7.4</v>
      </c>
      <c r="BA70" s="219">
        <v>7</v>
      </c>
      <c r="BB70" s="219">
        <f>25.4-SUM(AY70:BA70)</f>
        <v>5.7999999999999972</v>
      </c>
      <c r="BC70" s="296">
        <f>SUM(AY70:BB70)</f>
        <v>25.4</v>
      </c>
      <c r="BD70" s="223"/>
      <c r="BE70" s="295">
        <v>8.6</v>
      </c>
      <c r="BF70" s="219">
        <v>9.9</v>
      </c>
      <c r="BG70" s="219">
        <v>8.1999999999999993</v>
      </c>
      <c r="BH70" s="219">
        <v>11</v>
      </c>
      <c r="BI70" s="296">
        <f>SUM(BE70:BH70)</f>
        <v>37.700000000000003</v>
      </c>
      <c r="BJ70" s="223"/>
      <c r="BK70" s="295">
        <v>0</v>
      </c>
      <c r="BL70" s="219">
        <v>0</v>
      </c>
      <c r="BM70" s="219">
        <v>0</v>
      </c>
      <c r="BN70" s="219">
        <v>0</v>
      </c>
      <c r="BO70" s="296">
        <f>SUM(BK70:BN70)</f>
        <v>0</v>
      </c>
      <c r="BP70" s="223"/>
      <c r="BQ70" s="1637">
        <v>0</v>
      </c>
      <c r="BR70" s="1636">
        <v>0</v>
      </c>
      <c r="BS70" s="1636">
        <v>0</v>
      </c>
      <c r="BT70" s="1636">
        <v>0</v>
      </c>
      <c r="BU70" s="296">
        <f>SUM(BQ70:BT70)</f>
        <v>0</v>
      </c>
      <c r="BV70" s="223"/>
      <c r="BW70" s="1637">
        <v>0</v>
      </c>
      <c r="BX70" s="1636">
        <v>0</v>
      </c>
      <c r="BY70" s="1636">
        <v>0</v>
      </c>
      <c r="BZ70" s="1636">
        <v>0</v>
      </c>
      <c r="CA70" s="296">
        <f>SUM(BW70:BZ70)</f>
        <v>0</v>
      </c>
      <c r="CB70" s="223"/>
      <c r="CC70" s="1637">
        <v>0</v>
      </c>
      <c r="CD70" s="1636">
        <v>0</v>
      </c>
      <c r="CE70" s="1636">
        <v>0</v>
      </c>
      <c r="CF70" s="1636">
        <v>0</v>
      </c>
      <c r="CG70" s="296">
        <f>SUM(CC70:CF70)</f>
        <v>0</v>
      </c>
      <c r="CH70" s="223"/>
      <c r="CI70" s="300">
        <f>CI71*CI16</f>
        <v>0</v>
      </c>
      <c r="CJ70" s="264">
        <f>CJ71*CJ16</f>
        <v>0</v>
      </c>
      <c r="CK70" s="264">
        <f>CK71*CK16</f>
        <v>0</v>
      </c>
      <c r="CL70" s="264">
        <f>CL71*CL16</f>
        <v>0</v>
      </c>
      <c r="CM70" s="296">
        <f>SUM(CI70:CL70)</f>
        <v>0</v>
      </c>
      <c r="CN70" s="223"/>
      <c r="CO70" s="300">
        <f>CO71*CO16</f>
        <v>0</v>
      </c>
      <c r="CP70" s="264">
        <f>CP71*CP16</f>
        <v>0</v>
      </c>
      <c r="CQ70" s="264">
        <f>CQ71*CQ16</f>
        <v>0</v>
      </c>
      <c r="CR70" s="264">
        <f>CR71*CR16</f>
        <v>0</v>
      </c>
      <c r="CS70" s="296">
        <f>SUM(CO70:CR70)</f>
        <v>0</v>
      </c>
      <c r="CT70" s="223"/>
      <c r="CU70" s="300">
        <f>CU71*CU16</f>
        <v>0</v>
      </c>
      <c r="CV70" s="264">
        <f>CV71*CV16</f>
        <v>0</v>
      </c>
      <c r="CW70" s="264">
        <f>CW71*CW16</f>
        <v>0</v>
      </c>
      <c r="CX70" s="264">
        <f>CX71*CX16</f>
        <v>0</v>
      </c>
      <c r="CY70" s="296">
        <f>SUM(CU70:CX70)</f>
        <v>0</v>
      </c>
      <c r="CZ70" s="262"/>
      <c r="DA70" s="262"/>
      <c r="DB70" s="263"/>
    </row>
    <row r="71" spans="1:205" ht="11.25" customHeight="1" outlineLevel="1" x14ac:dyDescent="0.2">
      <c r="A71" s="294" t="s">
        <v>196</v>
      </c>
      <c r="B71" s="223"/>
      <c r="C71" s="297"/>
      <c r="D71" s="7"/>
      <c r="E71" s="7"/>
      <c r="F71" s="7"/>
      <c r="G71" s="56"/>
      <c r="H71" s="223"/>
      <c r="I71" s="297"/>
      <c r="J71" s="7"/>
      <c r="K71" s="7"/>
      <c r="L71" s="7"/>
      <c r="M71" s="56"/>
      <c r="N71" s="223"/>
      <c r="O71" s="297"/>
      <c r="P71" s="7"/>
      <c r="Q71" s="7"/>
      <c r="R71" s="7"/>
      <c r="S71" s="56"/>
      <c r="T71" s="223"/>
      <c r="U71" s="297"/>
      <c r="V71" s="7"/>
      <c r="W71" s="7"/>
      <c r="X71" s="7"/>
      <c r="Y71" s="56"/>
      <c r="Z71" s="223"/>
      <c r="AA71" s="297">
        <f>AA70/AA16</f>
        <v>1.3476544075037396E-2</v>
      </c>
      <c r="AB71" s="7">
        <f>AB70/AB16</f>
        <v>1.5257857796765334E-2</v>
      </c>
      <c r="AC71" s="7">
        <f>AC70/AC16</f>
        <v>1.1587132184784264E-2</v>
      </c>
      <c r="AD71" s="7">
        <f>AD70/AD16</f>
        <v>1.816232430880638E-2</v>
      </c>
      <c r="AE71" s="298">
        <f>AE70/AE16</f>
        <v>1.4679242925854204E-2</v>
      </c>
      <c r="AF71" s="223"/>
      <c r="AG71" s="297">
        <f>AG70/AG16</f>
        <v>1.3604348444466435E-2</v>
      </c>
      <c r="AH71" s="7">
        <f>AH70/AH16</f>
        <v>1.6715673171166356E-2</v>
      </c>
      <c r="AI71" s="7">
        <f>AI70/AI16</f>
        <v>1.3199539028023724E-2</v>
      </c>
      <c r="AJ71" s="7">
        <f>AJ70/AJ16</f>
        <v>1.1362973619238315E-2</v>
      </c>
      <c r="AK71" s="298">
        <f>AK70/AK16</f>
        <v>1.3591163781930477E-2</v>
      </c>
      <c r="AL71" s="223"/>
      <c r="AM71" s="297">
        <f>AM70/AM16</f>
        <v>1.3632192947961724E-2</v>
      </c>
      <c r="AN71" s="7">
        <f>AN70/AN16</f>
        <v>1.9522181419104299E-2</v>
      </c>
      <c r="AO71" s="7">
        <f>AO70/AO16</f>
        <v>1.8442433991455003E-2</v>
      </c>
      <c r="AP71" s="7">
        <f>AP70/AP16</f>
        <v>1.8159776585667513E-2</v>
      </c>
      <c r="AQ71" s="298">
        <f>AQ70/AQ16</f>
        <v>1.745375396880398E-2</v>
      </c>
      <c r="AR71" s="223"/>
      <c r="AS71" s="297">
        <f>AS70/AS16</f>
        <v>2.0651023516353027E-2</v>
      </c>
      <c r="AT71" s="7">
        <f>AT70/AT16</f>
        <v>2.6038340227761785E-2</v>
      </c>
      <c r="AU71" s="7">
        <f>AU70/AU16</f>
        <v>2.3815416512956052E-2</v>
      </c>
      <c r="AV71" s="7">
        <f>AV70/AV16</f>
        <v>2.136349355953503E-2</v>
      </c>
      <c r="AW71" s="298">
        <f>AW70/AW16</f>
        <v>2.2938127048992309E-2</v>
      </c>
      <c r="AX71" s="223"/>
      <c r="AY71" s="297">
        <f>AY70/AY16</f>
        <v>2.4054474132188586E-2</v>
      </c>
      <c r="AZ71" s="7">
        <f>AZ70/AZ16</f>
        <v>3.3515099911230278E-2</v>
      </c>
      <c r="BA71" s="7">
        <f>BA70/BA16</f>
        <v>3.1738978639667376E-2</v>
      </c>
      <c r="BB71" s="7">
        <f>BB70/BB16</f>
        <v>2.4116023018328169E-2</v>
      </c>
      <c r="BC71" s="298">
        <f>BC70/BC16</f>
        <v>2.8284290526433001E-2</v>
      </c>
      <c r="BD71" s="223"/>
      <c r="BE71" s="297">
        <f>BE70/BE16</f>
        <v>3.8187937940160385E-2</v>
      </c>
      <c r="BF71" s="7">
        <f>BF70/BF16</f>
        <v>4.2495836266547619E-2</v>
      </c>
      <c r="BG71" s="7">
        <f>BG70/BG16</f>
        <v>3.4730457764375014E-2</v>
      </c>
      <c r="BH71" s="7">
        <f>BH70/BH16</f>
        <v>4.2920129540754609E-2</v>
      </c>
      <c r="BI71" s="298">
        <f>AVERAGE(BE71:BH71)</f>
        <v>3.9583590377959402E-2</v>
      </c>
      <c r="BJ71" s="223"/>
      <c r="BK71" s="297">
        <f>BK70/BK16</f>
        <v>0</v>
      </c>
      <c r="BL71" s="7">
        <f>BL70/BL16</f>
        <v>0</v>
      </c>
      <c r="BM71" s="7">
        <f>BM70/BM16</f>
        <v>0</v>
      </c>
      <c r="BN71" s="7">
        <f>BN70/BN16</f>
        <v>0</v>
      </c>
      <c r="BO71" s="298">
        <f>AVERAGE(BK71:BN71)</f>
        <v>0</v>
      </c>
      <c r="BP71" s="223"/>
      <c r="BQ71" s="297">
        <f>BQ70/BQ16</f>
        <v>0</v>
      </c>
      <c r="BR71" s="7">
        <f>BR70/BR16</f>
        <v>0</v>
      </c>
      <c r="BS71" s="7">
        <f>BS70/BS16</f>
        <v>0</v>
      </c>
      <c r="BT71" s="7">
        <f>BT70/BT16</f>
        <v>0</v>
      </c>
      <c r="BU71" s="298">
        <f>AVERAGE(BQ71:BT71)</f>
        <v>0</v>
      </c>
      <c r="BV71" s="223"/>
      <c r="BW71" s="297">
        <f>BW70/BW16</f>
        <v>0</v>
      </c>
      <c r="BX71" s="7">
        <f>BX70/BX16</f>
        <v>0</v>
      </c>
      <c r="BY71" s="7">
        <f>BY70/BY16</f>
        <v>0</v>
      </c>
      <c r="BZ71" s="7">
        <f>BZ70/BZ16</f>
        <v>0</v>
      </c>
      <c r="CA71" s="298">
        <f>AVERAGE(BW71:BZ71)</f>
        <v>0</v>
      </c>
      <c r="CB71" s="223"/>
      <c r="CC71" s="297">
        <f>CC70/CC16</f>
        <v>0</v>
      </c>
      <c r="CD71" s="7">
        <f>CD70/CD16</f>
        <v>0</v>
      </c>
      <c r="CE71" s="7">
        <f>CE70/CE16</f>
        <v>0</v>
      </c>
      <c r="CF71" s="7">
        <f>CF70/CF16</f>
        <v>0</v>
      </c>
      <c r="CG71" s="298">
        <f>AVERAGE(CC71:CF71)</f>
        <v>0</v>
      </c>
      <c r="CH71" s="223"/>
      <c r="CI71" s="297">
        <f>CF71</f>
        <v>0</v>
      </c>
      <c r="CJ71" s="7">
        <f>CI71</f>
        <v>0</v>
      </c>
      <c r="CK71" s="7">
        <f>CJ71</f>
        <v>0</v>
      </c>
      <c r="CL71" s="7">
        <f>CK71</f>
        <v>0</v>
      </c>
      <c r="CM71" s="298">
        <f>AVERAGE(CI71:CL71)</f>
        <v>0</v>
      </c>
      <c r="CN71" s="223"/>
      <c r="CO71" s="297">
        <f>CL71</f>
        <v>0</v>
      </c>
      <c r="CP71" s="7">
        <f>CO71</f>
        <v>0</v>
      </c>
      <c r="CQ71" s="7">
        <f>CP71</f>
        <v>0</v>
      </c>
      <c r="CR71" s="7">
        <f>CQ71</f>
        <v>0</v>
      </c>
      <c r="CS71" s="298">
        <f>AVERAGE(CO71:CR71)</f>
        <v>0</v>
      </c>
      <c r="CT71" s="223"/>
      <c r="CU71" s="297">
        <f>CR71</f>
        <v>0</v>
      </c>
      <c r="CV71" s="7">
        <f>CU71</f>
        <v>0</v>
      </c>
      <c r="CW71" s="7">
        <f>CV71</f>
        <v>0</v>
      </c>
      <c r="CX71" s="7">
        <f>CW71</f>
        <v>0</v>
      </c>
      <c r="CY71" s="298">
        <f>AVERAGE(CU71:CX71)</f>
        <v>0</v>
      </c>
      <c r="CZ71" s="264"/>
      <c r="DA71" s="264"/>
      <c r="DB71" s="264"/>
    </row>
    <row r="72" spans="1:205" ht="11.25" customHeight="1" outlineLevel="1" x14ac:dyDescent="0.2">
      <c r="A72" s="299" t="s">
        <v>183</v>
      </c>
      <c r="B72" s="223"/>
      <c r="C72" s="295">
        <f>C70*(1-0)</f>
        <v>0</v>
      </c>
      <c r="D72" s="219">
        <f>D70*(1-0)</f>
        <v>0</v>
      </c>
      <c r="E72" s="219">
        <f>E70*(1-0)</f>
        <v>0</v>
      </c>
      <c r="F72" s="219">
        <f>F70*(1-0)</f>
        <v>0</v>
      </c>
      <c r="G72" s="56">
        <f>G70*(1-1.6/2.4)</f>
        <v>0</v>
      </c>
      <c r="H72" s="223"/>
      <c r="I72" s="295">
        <f>I70*(1-0)</f>
        <v>0</v>
      </c>
      <c r="J72" s="219">
        <f>J70*(1-0)</f>
        <v>0</v>
      </c>
      <c r="K72" s="219">
        <f>K70*(1-0)</f>
        <v>0</v>
      </c>
      <c r="L72" s="219">
        <f>L70*(1-0)</f>
        <v>0</v>
      </c>
      <c r="M72" s="56">
        <f>M70*(1-1.6/2.4)</f>
        <v>0</v>
      </c>
      <c r="N72" s="223"/>
      <c r="O72" s="295">
        <f>0.08-0.06</f>
        <v>2.0000000000000004E-2</v>
      </c>
      <c r="P72" s="219">
        <v>0</v>
      </c>
      <c r="Q72" s="219">
        <f>0.04-0.03</f>
        <v>1.0000000000000002E-2</v>
      </c>
      <c r="R72" s="219">
        <v>0</v>
      </c>
      <c r="S72" s="56">
        <f>SUM(O72:R72)</f>
        <v>3.0000000000000006E-2</v>
      </c>
      <c r="T72" s="223"/>
      <c r="U72" s="295">
        <f>(0.33-0.21)</f>
        <v>0.12000000000000002</v>
      </c>
      <c r="V72" s="219">
        <f>(0.89-0.59)</f>
        <v>0.30000000000000004</v>
      </c>
      <c r="W72" s="219">
        <f>(2.2-1.4)</f>
        <v>0.80000000000000027</v>
      </c>
      <c r="X72" s="219">
        <f>3.8-SUM(U72:W72)</f>
        <v>2.5799999999999996</v>
      </c>
      <c r="Y72" s="56">
        <f>SUM(U72:X72)</f>
        <v>3.8</v>
      </c>
      <c r="Z72" s="223"/>
      <c r="AA72" s="295">
        <f>(2-1.4)</f>
        <v>0.60000000000000009</v>
      </c>
      <c r="AB72" s="219">
        <f>(2.4-1.6)</f>
        <v>0.79999999999999982</v>
      </c>
      <c r="AC72" s="219">
        <f>(1.9-1.3)</f>
        <v>0.59999999999999987</v>
      </c>
      <c r="AD72" s="219">
        <f>(9.4-6.5)-SUM(AA72:AC72)</f>
        <v>0.90000000000000058</v>
      </c>
      <c r="AE72" s="56">
        <f>SUM(AA72:AD72)</f>
        <v>2.9000000000000004</v>
      </c>
      <c r="AF72" s="223"/>
      <c r="AG72" s="295">
        <f>(2.2-1.5)</f>
        <v>0.70000000000000018</v>
      </c>
      <c r="AH72" s="219">
        <v>0.86599999999999999</v>
      </c>
      <c r="AI72" s="219">
        <v>0.67800000000000005</v>
      </c>
      <c r="AJ72" s="219">
        <f>2.9-SUM(AG72:AI72)</f>
        <v>0.65599999999999969</v>
      </c>
      <c r="AK72" s="56">
        <f>SUM(AG72:AJ72)</f>
        <v>2.9</v>
      </c>
      <c r="AL72" s="223"/>
      <c r="AM72" s="295">
        <v>0.7</v>
      </c>
      <c r="AN72" s="219">
        <v>1.1000000000000001</v>
      </c>
      <c r="AO72" s="219">
        <v>1</v>
      </c>
      <c r="AP72" s="219">
        <f>2.9-SUM(AM72:AO72)</f>
        <v>0.10000000000000009</v>
      </c>
      <c r="AQ72" s="56">
        <f>SUM(AM72:AP72)</f>
        <v>2.9</v>
      </c>
      <c r="AR72" s="223"/>
      <c r="AS72" s="295">
        <v>0.8</v>
      </c>
      <c r="AT72" s="219">
        <v>1.2</v>
      </c>
      <c r="AU72" s="219">
        <v>1.1000000000000001</v>
      </c>
      <c r="AV72" s="219">
        <f>4.2-SUM(AS72:AU72)</f>
        <v>1.1000000000000001</v>
      </c>
      <c r="AW72" s="56">
        <f>SUM(AS72:AV72)</f>
        <v>4.2</v>
      </c>
      <c r="AX72" s="223"/>
      <c r="AY72" s="295">
        <v>1.1000000000000001</v>
      </c>
      <c r="AZ72" s="219">
        <v>1.7</v>
      </c>
      <c r="BA72" s="219">
        <v>0</v>
      </c>
      <c r="BB72" s="219">
        <f>5.6-SUM(AY72:BA72)</f>
        <v>2.8</v>
      </c>
      <c r="BC72" s="56">
        <f>SUM(AY72:BB72)</f>
        <v>5.6</v>
      </c>
      <c r="BD72" s="223"/>
      <c r="BE72" s="295">
        <v>2</v>
      </c>
      <c r="BF72" s="219">
        <v>1.8</v>
      </c>
      <c r="BG72" s="219">
        <v>2.1</v>
      </c>
      <c r="BH72" s="219">
        <v>3</v>
      </c>
      <c r="BI72" s="56">
        <f>SUM(BE72:BH72)</f>
        <v>8.9</v>
      </c>
      <c r="BJ72" s="223"/>
      <c r="BK72" s="295">
        <v>0</v>
      </c>
      <c r="BL72" s="219">
        <v>0</v>
      </c>
      <c r="BM72" s="219">
        <v>0</v>
      </c>
      <c r="BN72" s="219">
        <v>0</v>
      </c>
      <c r="BO72" s="56">
        <f>SUM(BK72:BN72)</f>
        <v>0</v>
      </c>
      <c r="BP72" s="223"/>
      <c r="BQ72" s="295">
        <v>0</v>
      </c>
      <c r="BR72" s="264">
        <f>BR70*0.3</f>
        <v>0</v>
      </c>
      <c r="BS72" s="264">
        <f>BS70*0.3</f>
        <v>0</v>
      </c>
      <c r="BT72" s="264">
        <f>BT70*0.3</f>
        <v>0</v>
      </c>
      <c r="BU72" s="56">
        <f>SUM(BQ72:BT72)</f>
        <v>0</v>
      </c>
      <c r="BV72" s="223"/>
      <c r="BW72" s="295">
        <v>0</v>
      </c>
      <c r="BX72" s="1636">
        <v>0</v>
      </c>
      <c r="BY72" s="1636">
        <v>0</v>
      </c>
      <c r="BZ72" s="1636">
        <v>0</v>
      </c>
      <c r="CA72" s="56">
        <f>SUM(BW72:BZ72)</f>
        <v>0</v>
      </c>
      <c r="CB72" s="223"/>
      <c r="CC72" s="295">
        <v>0</v>
      </c>
      <c r="CD72" s="1636">
        <v>0</v>
      </c>
      <c r="CE72" s="1636">
        <v>0</v>
      </c>
      <c r="CF72" s="1636">
        <v>0</v>
      </c>
      <c r="CG72" s="56">
        <f>SUM(CC72:CF72)</f>
        <v>0</v>
      </c>
      <c r="CH72" s="223"/>
      <c r="CI72" s="300">
        <f>CI70*0.3</f>
        <v>0</v>
      </c>
      <c r="CJ72" s="264">
        <f>CJ70*0.3</f>
        <v>0</v>
      </c>
      <c r="CK72" s="264">
        <f>CK70*0.3</f>
        <v>0</v>
      </c>
      <c r="CL72" s="264">
        <f>CL70*0.3</f>
        <v>0</v>
      </c>
      <c r="CM72" s="56">
        <f>SUM(CI72:CL72)</f>
        <v>0</v>
      </c>
      <c r="CN72" s="223"/>
      <c r="CO72" s="300">
        <f>CO70*0.3</f>
        <v>0</v>
      </c>
      <c r="CP72" s="264">
        <f>CP70*0.3</f>
        <v>0</v>
      </c>
      <c r="CQ72" s="264">
        <f>CQ70*0.3</f>
        <v>0</v>
      </c>
      <c r="CR72" s="264">
        <f>CR70*0.3</f>
        <v>0</v>
      </c>
      <c r="CS72" s="56">
        <f>SUM(CO72:CR72)</f>
        <v>0</v>
      </c>
      <c r="CT72" s="223"/>
      <c r="CU72" s="300">
        <f>CU70*0.3</f>
        <v>0</v>
      </c>
      <c r="CV72" s="264">
        <f>CV70*0.3</f>
        <v>0</v>
      </c>
      <c r="CW72" s="264">
        <f>CW70*0.3</f>
        <v>0</v>
      </c>
      <c r="CX72" s="264">
        <f>CX70*0.3</f>
        <v>0</v>
      </c>
      <c r="CY72" s="56">
        <f>SUM(CU72:CX72)</f>
        <v>0</v>
      </c>
      <c r="CZ72" s="264"/>
      <c r="DA72" s="264"/>
      <c r="DB72" s="264"/>
    </row>
    <row r="73" spans="1:205" ht="11.25" customHeight="1" x14ac:dyDescent="0.2">
      <c r="A73" s="714" t="s">
        <v>197</v>
      </c>
      <c r="B73" s="223"/>
      <c r="C73" s="1935">
        <f>C28</f>
        <v>12.037354999999996</v>
      </c>
      <c r="D73" s="441">
        <f>D28</f>
        <v>9.9842750000000073</v>
      </c>
      <c r="E73" s="441">
        <f>E28</f>
        <v>14.466794999999967</v>
      </c>
      <c r="F73" s="441">
        <f>F28</f>
        <v>16.04374000000006</v>
      </c>
      <c r="G73" s="1468">
        <f>G28</f>
        <v>52.532165000000006</v>
      </c>
      <c r="H73" s="223"/>
      <c r="I73" s="1935">
        <f>I28</f>
        <v>13.948</v>
      </c>
      <c r="J73" s="441">
        <f>J28</f>
        <v>16.072665000000008</v>
      </c>
      <c r="K73" s="441">
        <f>K28</f>
        <v>17.852689999999981</v>
      </c>
      <c r="L73" s="441">
        <f>L28</f>
        <v>20.092265000000005</v>
      </c>
      <c r="M73" s="1468">
        <f>M28</f>
        <v>67.965620000000001</v>
      </c>
      <c r="N73" s="223"/>
      <c r="O73" s="1935">
        <f>O28</f>
        <v>19.230000000000004</v>
      </c>
      <c r="P73" s="441">
        <f>P28</f>
        <v>19.854000000000006</v>
      </c>
      <c r="Q73" s="441">
        <f>Q28</f>
        <v>21.858000000000011</v>
      </c>
      <c r="R73" s="441">
        <f>R28</f>
        <v>23.353349999999999</v>
      </c>
      <c r="S73" s="1468">
        <f>S28</f>
        <v>84.295349999999985</v>
      </c>
      <c r="T73" s="223"/>
      <c r="U73" s="1935">
        <f>U28</f>
        <v>22.556999999999977</v>
      </c>
      <c r="V73" s="441">
        <f>V28</f>
        <v>25.812999999999992</v>
      </c>
      <c r="W73" s="441">
        <f>W28</f>
        <v>31.071999999999992</v>
      </c>
      <c r="X73" s="441">
        <f>X28</f>
        <v>32.080000000000069</v>
      </c>
      <c r="Y73" s="1468">
        <f>Y28</f>
        <v>111.52200000000002</v>
      </c>
      <c r="Z73" s="223"/>
      <c r="AA73" s="1935">
        <f>AA28</f>
        <v>36.932999999999957</v>
      </c>
      <c r="AB73" s="441">
        <f>AB28</f>
        <v>40.425000000000011</v>
      </c>
      <c r="AC73" s="441">
        <f>AC28</f>
        <v>42.420999999999992</v>
      </c>
      <c r="AD73" s="441">
        <f>AD28</f>
        <v>43.507000000000005</v>
      </c>
      <c r="AE73" s="1468">
        <f>AE28</f>
        <v>163.28599999999986</v>
      </c>
      <c r="AF73" s="223"/>
      <c r="AG73" s="1935">
        <f>AG28</f>
        <v>40.375000000000028</v>
      </c>
      <c r="AH73" s="441">
        <f>AH28</f>
        <v>48.258999999999979</v>
      </c>
      <c r="AI73" s="441">
        <f>AI28</f>
        <v>53.507000000000005</v>
      </c>
      <c r="AJ73" s="441">
        <f>AJ28</f>
        <v>57.447000000000074</v>
      </c>
      <c r="AK73" s="1468">
        <f>AK28</f>
        <v>199.58800000000008</v>
      </c>
      <c r="AL73" s="223"/>
      <c r="AM73" s="1935">
        <f>AM28</f>
        <v>49.371999999999957</v>
      </c>
      <c r="AN73" s="441">
        <f>AN28</f>
        <v>52.559999999999995</v>
      </c>
      <c r="AO73" s="441">
        <f>AO28</f>
        <v>58.767999999999986</v>
      </c>
      <c r="AP73" s="441">
        <f>AP28</f>
        <v>62.003000000000021</v>
      </c>
      <c r="AQ73" s="1468">
        <f>AQ28</f>
        <v>222.70300000000006</v>
      </c>
      <c r="AR73" s="223"/>
      <c r="AS73" s="1935">
        <f>AS28</f>
        <v>49.505999999999965</v>
      </c>
      <c r="AT73" s="441">
        <f>AT28</f>
        <v>54.964000000000027</v>
      </c>
      <c r="AU73" s="441">
        <f>AU28</f>
        <v>56.385999999999996</v>
      </c>
      <c r="AV73" s="441">
        <f>AV28</f>
        <v>73.628000000000128</v>
      </c>
      <c r="AW73" s="1468">
        <f>AW28</f>
        <v>234.48400000000004</v>
      </c>
      <c r="AX73" s="223"/>
      <c r="AY73" s="1935">
        <f>AY28</f>
        <v>54.755000000000003</v>
      </c>
      <c r="AZ73" s="441">
        <f>AZ28</f>
        <v>60.823000000000029</v>
      </c>
      <c r="BA73" s="441">
        <f>BA28</f>
        <v>62.324999999999982</v>
      </c>
      <c r="BB73" s="441">
        <f>BB28</f>
        <v>82.819999999999979</v>
      </c>
      <c r="BC73" s="1468">
        <f>BC28</f>
        <v>260.72299999999984</v>
      </c>
      <c r="BD73" s="223"/>
      <c r="BE73" s="1935">
        <f>BE28</f>
        <v>54.686000000000014</v>
      </c>
      <c r="BF73" s="441">
        <f>BF28</f>
        <v>64.247999999999962</v>
      </c>
      <c r="BG73" s="441">
        <f>BG28</f>
        <v>68.395999999999944</v>
      </c>
      <c r="BH73" s="441">
        <f>BH28</f>
        <v>87.410999999999959</v>
      </c>
      <c r="BI73" s="1468">
        <f>BI28</f>
        <v>274.74099999999999</v>
      </c>
      <c r="BJ73" s="223"/>
      <c r="BK73" s="1935">
        <f>BK28</f>
        <v>53.681999999999981</v>
      </c>
      <c r="BL73" s="441">
        <f>BL28</f>
        <v>60.780999999999985</v>
      </c>
      <c r="BM73" s="441">
        <f>BM28</f>
        <v>66.006999999999991</v>
      </c>
      <c r="BN73" s="441">
        <f>BN28</f>
        <v>60.433999999999941</v>
      </c>
      <c r="BO73" s="1468">
        <f>BO28</f>
        <v>240.904</v>
      </c>
      <c r="BP73" s="223"/>
      <c r="BQ73" s="1935">
        <f>BQ28</f>
        <v>51.524999999999977</v>
      </c>
      <c r="BR73" s="441">
        <f>BR28</f>
        <v>60.977000000000032</v>
      </c>
      <c r="BS73" s="441">
        <f>BS28</f>
        <v>63.115999999999978</v>
      </c>
      <c r="BT73" s="441">
        <f>BT28</f>
        <v>76.210000000000008</v>
      </c>
      <c r="BU73" s="1468">
        <f>BU28</f>
        <v>251.828</v>
      </c>
      <c r="BV73" s="223"/>
      <c r="BW73" s="1935">
        <f>BW28</f>
        <v>45.127999999999993</v>
      </c>
      <c r="BX73" s="441">
        <f>BX28</f>
        <v>56.923999999999992</v>
      </c>
      <c r="BY73" s="441">
        <f>BY28</f>
        <v>68.220999999999989</v>
      </c>
      <c r="BZ73" s="441">
        <f>BZ28</f>
        <v>93.513000000000005</v>
      </c>
      <c r="CA73" s="1468">
        <f>CA28</f>
        <v>263.786</v>
      </c>
      <c r="CB73" s="223"/>
      <c r="CC73" s="1935">
        <f>CC28</f>
        <v>50.761000000000038</v>
      </c>
      <c r="CD73" s="441">
        <f>CD28</f>
        <v>68.652000000000001</v>
      </c>
      <c r="CE73" s="441">
        <f>CE28</f>
        <v>75.521000000000015</v>
      </c>
      <c r="CF73" s="441">
        <f>CF28</f>
        <v>100.14600000000002</v>
      </c>
      <c r="CG73" s="1468">
        <f>CG28</f>
        <v>295.07999999999993</v>
      </c>
      <c r="CH73" s="223"/>
      <c r="CI73" s="1935">
        <f>CI28</f>
        <v>54.319295958606993</v>
      </c>
      <c r="CJ73" s="441">
        <f>CJ28</f>
        <v>75.010677478567104</v>
      </c>
      <c r="CK73" s="441">
        <f>CK28</f>
        <v>77.362978609062154</v>
      </c>
      <c r="CL73" s="441">
        <f>CL28</f>
        <v>94.640322442308261</v>
      </c>
      <c r="CM73" s="1468">
        <f>CM28</f>
        <v>301.33327448854436</v>
      </c>
      <c r="CN73" s="223"/>
      <c r="CO73" s="1935">
        <f>CO28</f>
        <v>68.966308579512742</v>
      </c>
      <c r="CP73" s="441">
        <f>CP28</f>
        <v>83.235626797933179</v>
      </c>
      <c r="CQ73" s="441">
        <f>CQ28</f>
        <v>88.604113015487798</v>
      </c>
      <c r="CR73" s="441">
        <f>CR28</f>
        <v>107.26559649866061</v>
      </c>
      <c r="CS73" s="1468">
        <f>CS28</f>
        <v>348.07164489159419</v>
      </c>
      <c r="CT73" s="223"/>
      <c r="CU73" s="1935">
        <f>CU28</f>
        <v>92.686859930942219</v>
      </c>
      <c r="CV73" s="441">
        <f>CV28</f>
        <v>109.91204514817606</v>
      </c>
      <c r="CW73" s="441">
        <f>CW28</f>
        <v>116.20763360914376</v>
      </c>
      <c r="CX73" s="441">
        <f>CX28</f>
        <v>136.72542350072771</v>
      </c>
      <c r="CY73" s="1468">
        <f>CY28</f>
        <v>455.53196218898984</v>
      </c>
      <c r="CZ73" s="255"/>
      <c r="DA73" s="255"/>
      <c r="DB73" s="255"/>
      <c r="DI73" s="274"/>
    </row>
    <row r="74" spans="1:205" ht="11.25" customHeight="1" x14ac:dyDescent="0.2">
      <c r="A74" s="808" t="s">
        <v>164</v>
      </c>
      <c r="B74" s="223"/>
      <c r="C74" s="19">
        <f>SUM(C75:C84)</f>
        <v>0.61635499999999999</v>
      </c>
      <c r="D74" s="20">
        <f>SUM(D75:D84)</f>
        <v>1.182275</v>
      </c>
      <c r="E74" s="20">
        <f>SUM(E75:E84)</f>
        <v>1.8267949999999997</v>
      </c>
      <c r="F74" s="20">
        <f>SUM(F75:F84)</f>
        <v>0.20174000000000003</v>
      </c>
      <c r="G74" s="6">
        <f>SUM(G75:G84)</f>
        <v>3.8271649999999999</v>
      </c>
      <c r="H74" s="223"/>
      <c r="I74" s="19">
        <f>SUM(I75:I84)</f>
        <v>0</v>
      </c>
      <c r="J74" s="20">
        <f>SUM(J75:J84)</f>
        <v>2.2956650000000001</v>
      </c>
      <c r="K74" s="20">
        <f>SUM(K75:K84)</f>
        <v>0.21269000000000005</v>
      </c>
      <c r="L74" s="20">
        <f>SUM(L75:L84)</f>
        <v>3.2322649999999999</v>
      </c>
      <c r="M74" s="6">
        <f>SUM(M75:M84)</f>
        <v>5.7406199999999998</v>
      </c>
      <c r="N74" s="223"/>
      <c r="O74" s="19">
        <f>SUM(O75:O84)</f>
        <v>1.6500000000000001</v>
      </c>
      <c r="P74" s="20">
        <f>SUM(P75:P84)</f>
        <v>5.6999999999999993</v>
      </c>
      <c r="Q74" s="20">
        <f>SUM(Q75:Q84)</f>
        <v>2.5</v>
      </c>
      <c r="R74" s="20">
        <f>SUM(R75:R84)</f>
        <v>3.9063500000000007</v>
      </c>
      <c r="S74" s="6">
        <f>SUM(S75:S84)</f>
        <v>13.756349999999999</v>
      </c>
      <c r="T74" s="223"/>
      <c r="U74" s="19">
        <f>SUM(U75:U84)</f>
        <v>2.69</v>
      </c>
      <c r="V74" s="20">
        <f>SUM(V75:V84)</f>
        <v>3.2299999999999995</v>
      </c>
      <c r="W74" s="20">
        <f>SUM(W75:W84)</f>
        <v>38.400000000000006</v>
      </c>
      <c r="X74" s="20">
        <f>SUM(X75:X84)</f>
        <v>17.079999999999998</v>
      </c>
      <c r="Y74" s="6">
        <f>SUM(Y75:Y84)</f>
        <v>61.399999999999991</v>
      </c>
      <c r="Z74" s="223"/>
      <c r="AA74" s="19">
        <f>SUM(AA75:AA84)</f>
        <v>16.600000000000001</v>
      </c>
      <c r="AB74" s="20">
        <f>SUM(AB75:AB84)</f>
        <v>17.2</v>
      </c>
      <c r="AC74" s="20">
        <f>SUM(AC75:AC84)</f>
        <v>21.629999999999995</v>
      </c>
      <c r="AD74" s="20">
        <f>SUM(AD75:AD84)</f>
        <v>18.822999999999993</v>
      </c>
      <c r="AE74" s="6">
        <f>SUM(AE75:AE84)</f>
        <v>74.253</v>
      </c>
      <c r="AF74" s="223"/>
      <c r="AG74" s="19">
        <f>SUM(AG75:AG84)</f>
        <v>15.691000000000001</v>
      </c>
      <c r="AH74" s="20">
        <f>SUM(AH75:AH84)</f>
        <v>17.329999999999998</v>
      </c>
      <c r="AI74" s="20">
        <f>SUM(AI75:AI84)</f>
        <v>15.817</v>
      </c>
      <c r="AJ74" s="20">
        <f>SUM(AJ75:AJ84)</f>
        <v>12.982999999999986</v>
      </c>
      <c r="AK74" s="6">
        <f>SUM(AK75:AK84)</f>
        <v>61.820999999999998</v>
      </c>
      <c r="AL74" s="223"/>
      <c r="AM74" s="19">
        <f>SUM(AM75:AM84)</f>
        <v>16.358000000000001</v>
      </c>
      <c r="AN74" s="20">
        <f>SUM(AN75:AN84)</f>
        <v>14.04</v>
      </c>
      <c r="AO74" s="20">
        <f>SUM(AO75:AO84)</f>
        <v>22.28</v>
      </c>
      <c r="AP74" s="20">
        <f>SUM(AP75:AP84)</f>
        <v>25.713000000000001</v>
      </c>
      <c r="AQ74" s="6">
        <f>SUM(AQ75:AQ84)</f>
        <v>78.390999999999991</v>
      </c>
      <c r="AR74" s="223"/>
      <c r="AS74" s="19">
        <f>SUM(AS75:AS84)</f>
        <v>21.524999999999999</v>
      </c>
      <c r="AT74" s="20">
        <f>SUM(AT75:AT84)</f>
        <v>21.676000000000002</v>
      </c>
      <c r="AU74" s="20">
        <f>SUM(AU75:AU84)</f>
        <v>21.241</v>
      </c>
      <c r="AV74" s="20">
        <f>SUM(AV75:AV84)</f>
        <v>74.006</v>
      </c>
      <c r="AW74" s="6">
        <f>SUM(AW75:AW84)</f>
        <v>138.44800000000004</v>
      </c>
      <c r="AX74" s="223"/>
      <c r="AY74" s="19">
        <f>SUM(AY75:AY84)</f>
        <v>26.163000000000007</v>
      </c>
      <c r="AZ74" s="20">
        <f>SUM(AZ75:AZ84)</f>
        <v>27.490000000000002</v>
      </c>
      <c r="BA74" s="20">
        <f>SUM(BA75:BA84)</f>
        <v>33.161999999999999</v>
      </c>
      <c r="BB74" s="20">
        <f>SUM(BB75:BB84)</f>
        <v>44.400999999999982</v>
      </c>
      <c r="BC74" s="6">
        <f>SUM(BC75:BC84)</f>
        <v>131.21599999999998</v>
      </c>
      <c r="BD74" s="223"/>
      <c r="BE74" s="19">
        <f>SUM(BE75:BE84)</f>
        <v>34.703000000000003</v>
      </c>
      <c r="BF74" s="20">
        <f>SUM(BF75:BF84)</f>
        <v>115.99700000000001</v>
      </c>
      <c r="BG74" s="20">
        <f>SUM(BG75:BG84)</f>
        <v>27.699999999999996</v>
      </c>
      <c r="BH74" s="20">
        <f>SUM(BH75:BH84)</f>
        <v>27.20000000000001</v>
      </c>
      <c r="BI74" s="6">
        <f>SUM(BI75:BI84)</f>
        <v>205.59999999999997</v>
      </c>
      <c r="BJ74" s="223"/>
      <c r="BK74" s="19">
        <f>SUM(BK75:BK84)</f>
        <v>30.4</v>
      </c>
      <c r="BL74" s="20">
        <f>SUM(BL75:BL84)</f>
        <v>28.100000000000005</v>
      </c>
      <c r="BM74" s="20">
        <f>SUM(BM75:BM84)</f>
        <v>31.300000000000004</v>
      </c>
      <c r="BN74" s="20">
        <f>SUM(BN75:BN84)</f>
        <v>34.599999999999994</v>
      </c>
      <c r="BO74" s="6">
        <f>SUM(BO75:BO84)</f>
        <v>124.40000000000002</v>
      </c>
      <c r="BP74" s="223"/>
      <c r="BQ74" s="19">
        <f>SUM(BQ75:BQ84)</f>
        <v>32.1</v>
      </c>
      <c r="BR74" s="20">
        <f>SUM(BR75:BR84)</f>
        <v>35.9</v>
      </c>
      <c r="BS74" s="20">
        <f>SUM(BS75:BS84)</f>
        <v>29.2</v>
      </c>
      <c r="BT74" s="20">
        <f>SUM(BT75:BT84)</f>
        <v>25.300000000000004</v>
      </c>
      <c r="BU74" s="6">
        <f>SUM(BU75:BU84)</f>
        <v>122.49999999999999</v>
      </c>
      <c r="BV74" s="223"/>
      <c r="BW74" s="19">
        <f>SUM(BW75:BW84)</f>
        <v>29.145000000000003</v>
      </c>
      <c r="BX74" s="20">
        <f>SUM(BX75:BX84)</f>
        <v>35.911000000000001</v>
      </c>
      <c r="BY74" s="20">
        <f>SUM(BY75:BY84)</f>
        <v>34.4</v>
      </c>
      <c r="BZ74" s="20">
        <f>SUM(BZ75:BZ84)</f>
        <v>84.899999999999977</v>
      </c>
      <c r="CA74" s="6">
        <f>SUM(CA75:CA84)</f>
        <v>184.35599999999999</v>
      </c>
      <c r="CB74" s="223"/>
      <c r="CC74" s="19">
        <f>SUM(CC75:CC84)</f>
        <v>33.100000000000009</v>
      </c>
      <c r="CD74" s="20">
        <f>SUM(CD75:CD84)</f>
        <v>54.699999999999996</v>
      </c>
      <c r="CE74" s="20">
        <f>SUM(CE75:CE84)</f>
        <v>27.000000000000007</v>
      </c>
      <c r="CF74" s="20">
        <f>SUM(CF75:CF84)</f>
        <v>139.80000000000001</v>
      </c>
      <c r="CG74" s="6">
        <f>SUM(CG75:CG84)</f>
        <v>254.59999999999997</v>
      </c>
      <c r="CH74" s="223"/>
      <c r="CI74" s="19">
        <f>SUM(CI75:CI84)</f>
        <v>57.756750000000004</v>
      </c>
      <c r="CJ74" s="20">
        <f>SUM(CJ75:CJ84)</f>
        <v>58.010752499999995</v>
      </c>
      <c r="CK74" s="20">
        <f>SUM(CK75:CK84)</f>
        <v>58.26729502500001</v>
      </c>
      <c r="CL74" s="20">
        <f>SUM(CL75:CL84)</f>
        <v>58.526402975250015</v>
      </c>
      <c r="CM74" s="6">
        <f>SUM(CM75:CM84)</f>
        <v>232.56120050025001</v>
      </c>
      <c r="CN74" s="223"/>
      <c r="CO74" s="19">
        <f>SUM(CO75:CO84)</f>
        <v>55.909412677725008</v>
      </c>
      <c r="CP74" s="20">
        <f>SUM(CP75:CP84)</f>
        <v>56.14494180450226</v>
      </c>
      <c r="CQ74" s="20">
        <f>SUM(CQ75:CQ84)</f>
        <v>56.38282622254728</v>
      </c>
      <c r="CR74" s="20">
        <f>SUM(CR75:CR84)</f>
        <v>56.623089484772748</v>
      </c>
      <c r="CS74" s="6">
        <f>SUM(CS75:CS84)</f>
        <v>225.06027018954731</v>
      </c>
      <c r="CT74" s="223"/>
      <c r="CU74" s="19">
        <f>SUM(CU75:CU84)</f>
        <v>54.19643053629548</v>
      </c>
      <c r="CV74" s="20">
        <f>SUM(CV75:CV84)</f>
        <v>54.414829841658431</v>
      </c>
      <c r="CW74" s="20">
        <f>SUM(CW75:CW84)</f>
        <v>54.635413140075023</v>
      </c>
      <c r="CX74" s="20">
        <f>SUM(CX75:CX84)</f>
        <v>54.858202271475776</v>
      </c>
      <c r="CY74" s="6">
        <f>SUM(CY75:CY84)</f>
        <v>218.10487578950472</v>
      </c>
      <c r="CZ74" s="223"/>
      <c r="DA74" s="223"/>
      <c r="DB74" s="223"/>
    </row>
    <row r="75" spans="1:205" ht="11.25" customHeight="1" outlineLevel="1" x14ac:dyDescent="0.2">
      <c r="A75" s="305" t="s">
        <v>308</v>
      </c>
      <c r="B75" s="223"/>
      <c r="C75" s="295">
        <v>0</v>
      </c>
      <c r="D75" s="219">
        <v>0</v>
      </c>
      <c r="E75" s="219">
        <f>1.454+0.572</f>
        <v>2.0259999999999998</v>
      </c>
      <c r="F75" s="219">
        <f>1.454+0.572-SUM(C75:E75)</f>
        <v>0</v>
      </c>
      <c r="G75" s="56">
        <f t="shared" ref="G75:G81" si="95">SUM(C75:F75)</f>
        <v>2.0259999999999998</v>
      </c>
      <c r="H75" s="223"/>
      <c r="I75" s="295">
        <v>0</v>
      </c>
      <c r="J75" s="219">
        <f>(0.253+2.056)</f>
        <v>2.3090000000000002</v>
      </c>
      <c r="K75" s="219">
        <f>0.274</f>
        <v>0.27400000000000002</v>
      </c>
      <c r="L75" s="219">
        <f>+(0.439+3.213)-SUM(I75:K75)</f>
        <v>1.069</v>
      </c>
      <c r="M75" s="56">
        <f t="shared" ref="M75:M84" si="96">SUM(I75:L75)</f>
        <v>3.6520000000000001</v>
      </c>
      <c r="N75" s="223"/>
      <c r="O75" s="295">
        <f>+(0.461+0.284)</f>
        <v>0.745</v>
      </c>
      <c r="P75" s="219">
        <f>+(1.284+3.246)</f>
        <v>4.53</v>
      </c>
      <c r="Q75" s="219">
        <v>1.4490000000000001</v>
      </c>
      <c r="R75" s="219">
        <f>+((2.046+6.061))-SUM(O75:Q75)</f>
        <v>1.3829999999999991</v>
      </c>
      <c r="S75" s="56">
        <f t="shared" ref="S75:S84" si="97">SUM(O75:R75)</f>
        <v>8.1069999999999993</v>
      </c>
      <c r="T75" s="223"/>
      <c r="U75" s="295">
        <v>0.69</v>
      </c>
      <c r="V75" s="219">
        <v>1.3460000000000001</v>
      </c>
      <c r="W75" s="219">
        <f>1.343+4.546</f>
        <v>5.8890000000000002</v>
      </c>
      <c r="X75" s="219">
        <f>+(2.839+14.708)-SUM(U75:W75)</f>
        <v>9.6219999999999999</v>
      </c>
      <c r="Y75" s="56">
        <f t="shared" ref="Y75:Y84" si="98">SUM(U75:X75)</f>
        <v>17.547000000000001</v>
      </c>
      <c r="Z75" s="223"/>
      <c r="AA75" s="295">
        <f>10.826+3.651</f>
        <v>14.477</v>
      </c>
      <c r="AB75" s="219">
        <f>+(11.949+2.816)</f>
        <v>14.765000000000001</v>
      </c>
      <c r="AC75" s="219">
        <f>+(12.777+4.018)</f>
        <v>16.794999999999998</v>
      </c>
      <c r="AD75" s="219">
        <f>48.7+14.368-SUM(AA75:AC75)</f>
        <v>17.031000000000006</v>
      </c>
      <c r="AE75" s="56">
        <f t="shared" ref="AE75:AE84" si="99">SUM(AA75:AD75)</f>
        <v>63.068000000000005</v>
      </c>
      <c r="AF75" s="223"/>
      <c r="AG75" s="295">
        <v>0.2</v>
      </c>
      <c r="AH75" s="219">
        <v>4.9390000000000001</v>
      </c>
      <c r="AI75" s="219">
        <v>2.79</v>
      </c>
      <c r="AJ75" s="219">
        <f>34.4-SUM(AG75:AI75)</f>
        <v>26.470999999999997</v>
      </c>
      <c r="AK75" s="56">
        <f t="shared" ref="AK75:AK84" si="100">SUM(AG75:AJ75)</f>
        <v>34.4</v>
      </c>
      <c r="AL75" s="223"/>
      <c r="AM75" s="295">
        <v>5.0999999999999996</v>
      </c>
      <c r="AN75" s="219">
        <v>5.5</v>
      </c>
      <c r="AO75" s="219">
        <v>3.7</v>
      </c>
      <c r="AP75" s="219">
        <f>20.8-0.2-SUM(AM75:AO75)</f>
        <v>6.3000000000000007</v>
      </c>
      <c r="AQ75" s="56">
        <f t="shared" ref="AQ75:AQ84" si="101">SUM(AM75:AP75)</f>
        <v>20.6</v>
      </c>
      <c r="AR75" s="223"/>
      <c r="AS75" s="295">
        <v>3.3</v>
      </c>
      <c r="AT75" s="219">
        <v>3.9</v>
      </c>
      <c r="AU75" s="219">
        <v>11.2</v>
      </c>
      <c r="AV75" s="219">
        <f>101.5-SUM(AS75:AU75)</f>
        <v>83.1</v>
      </c>
      <c r="AW75" s="56">
        <f t="shared" ref="AW75:AW84" si="102">SUM(AS75:AV75)</f>
        <v>101.5</v>
      </c>
      <c r="AX75" s="223"/>
      <c r="AY75" s="295">
        <v>11.4</v>
      </c>
      <c r="AZ75" s="219">
        <v>3.2</v>
      </c>
      <c r="BA75" s="219">
        <v>6.5</v>
      </c>
      <c r="BB75" s="219">
        <f>46.6-SUM(AY75:BA75)</f>
        <v>25.5</v>
      </c>
      <c r="BC75" s="56">
        <f>SUM(AY75:BB75)</f>
        <v>46.6</v>
      </c>
      <c r="BD75" s="223"/>
      <c r="BE75" s="295">
        <v>14.6</v>
      </c>
      <c r="BF75" s="219">
        <v>90.9</v>
      </c>
      <c r="BG75" s="219">
        <v>16.3</v>
      </c>
      <c r="BH75" s="219">
        <v>31.6</v>
      </c>
      <c r="BI75" s="56">
        <f t="shared" ref="BI75:BI84" si="103">SUM(BE75:BH75)</f>
        <v>153.4</v>
      </c>
      <c r="BJ75" s="223"/>
      <c r="BK75" s="295">
        <v>2.9</v>
      </c>
      <c r="BL75" s="219">
        <v>3.5</v>
      </c>
      <c r="BM75" s="219">
        <v>4.9000000000000004</v>
      </c>
      <c r="BN75" s="219">
        <v>21.6</v>
      </c>
      <c r="BO75" s="56">
        <f t="shared" ref="BO75:BO84" si="104">SUM(BK75:BN75)</f>
        <v>32.900000000000006</v>
      </c>
      <c r="BP75" s="223"/>
      <c r="BQ75" s="295">
        <v>2.1</v>
      </c>
      <c r="BR75" s="219">
        <v>4.4000000000000004</v>
      </c>
      <c r="BS75" s="219">
        <v>2.7</v>
      </c>
      <c r="BT75" s="219">
        <v>6</v>
      </c>
      <c r="BU75" s="56">
        <f t="shared" ref="BU75:BU84" si="105">SUM(BQ75:BT75)</f>
        <v>15.2</v>
      </c>
      <c r="BV75" s="223"/>
      <c r="BW75" s="295">
        <v>8.4450000000000003</v>
      </c>
      <c r="BX75" s="1636">
        <v>9.86</v>
      </c>
      <c r="BY75" s="1636">
        <v>9.6999999999999993</v>
      </c>
      <c r="BZ75" s="219">
        <v>10.6</v>
      </c>
      <c r="CA75" s="56">
        <f t="shared" ref="CA75:CA84" si="106">SUM(BW75:BZ75)</f>
        <v>38.604999999999997</v>
      </c>
      <c r="CB75" s="223"/>
      <c r="CC75" s="295">
        <v>5.9</v>
      </c>
      <c r="CD75" s="1636">
        <v>21.6</v>
      </c>
      <c r="CE75" s="1636">
        <v>5.4</v>
      </c>
      <c r="CF75" s="219">
        <v>35.5</v>
      </c>
      <c r="CG75" s="56">
        <f t="shared" ref="CG75:CG84" si="107">SUM(CC75:CF75)</f>
        <v>68.400000000000006</v>
      </c>
      <c r="CH75" s="223"/>
      <c r="CI75" s="1709">
        <f>CF75*0.9</f>
        <v>31.95</v>
      </c>
      <c r="CJ75" s="264">
        <f>CI75*1.01</f>
        <v>32.269500000000001</v>
      </c>
      <c r="CK75" s="264">
        <f>CJ75*1.01</f>
        <v>32.592195000000004</v>
      </c>
      <c r="CL75" s="264">
        <f>CK75*1.01</f>
        <v>32.918116950000005</v>
      </c>
      <c r="CM75" s="56">
        <f t="shared" ref="CM75:CM84" si="108">SUM(CI75:CL75)</f>
        <v>129.72981195</v>
      </c>
      <c r="CN75" s="223"/>
      <c r="CO75" s="300">
        <f>CL75*0.9</f>
        <v>29.626305255000005</v>
      </c>
      <c r="CP75" s="264">
        <f>CO75*1.01</f>
        <v>29.922568307550005</v>
      </c>
      <c r="CQ75" s="264">
        <f>CP75*1.01</f>
        <v>30.221793990625507</v>
      </c>
      <c r="CR75" s="264">
        <f>CQ75*1.01</f>
        <v>30.524011930531763</v>
      </c>
      <c r="CS75" s="56">
        <f t="shared" ref="CS75:CS84" si="109">SUM(CO75:CR75)</f>
        <v>120.29467948370728</v>
      </c>
      <c r="CT75" s="223"/>
      <c r="CU75" s="300">
        <f>CR75*0.9</f>
        <v>27.471610737478589</v>
      </c>
      <c r="CV75" s="264">
        <f>CU75*1.01</f>
        <v>27.746326844853375</v>
      </c>
      <c r="CW75" s="264">
        <f>CV75*1.01</f>
        <v>28.02379011330191</v>
      </c>
      <c r="CX75" s="264">
        <f>CW75*1.01</f>
        <v>28.30402801443493</v>
      </c>
      <c r="CY75" s="56">
        <f t="shared" ref="CY75:CY84" si="110">SUM(CU75:CX75)</f>
        <v>111.5457557100688</v>
      </c>
      <c r="CZ75" s="264"/>
      <c r="DA75" s="264"/>
      <c r="DB75" s="264"/>
    </row>
    <row r="76" spans="1:205" ht="11.25" customHeight="1" outlineLevel="1" x14ac:dyDescent="0.2">
      <c r="A76" s="305" t="s">
        <v>184</v>
      </c>
      <c r="B76" s="223"/>
      <c r="C76" s="295">
        <v>0</v>
      </c>
      <c r="D76" s="219">
        <v>0</v>
      </c>
      <c r="E76" s="219">
        <v>0</v>
      </c>
      <c r="F76" s="219">
        <v>0</v>
      </c>
      <c r="G76" s="56">
        <f t="shared" si="95"/>
        <v>0</v>
      </c>
      <c r="H76" s="223"/>
      <c r="I76" s="295">
        <v>0</v>
      </c>
      <c r="J76" s="219">
        <v>0</v>
      </c>
      <c r="K76" s="219">
        <v>0</v>
      </c>
      <c r="L76" s="219">
        <v>0</v>
      </c>
      <c r="M76" s="56">
        <f t="shared" si="96"/>
        <v>0</v>
      </c>
      <c r="N76" s="223"/>
      <c r="O76" s="295">
        <v>1.5049999999999999</v>
      </c>
      <c r="P76" s="219">
        <v>1.893</v>
      </c>
      <c r="Q76" s="219">
        <v>2.359</v>
      </c>
      <c r="R76" s="219">
        <f>8.22-SUM(O76:Q76)</f>
        <v>2.463000000000001</v>
      </c>
      <c r="S76" s="56">
        <f t="shared" si="97"/>
        <v>8.2200000000000006</v>
      </c>
      <c r="T76" s="223"/>
      <c r="U76" s="295">
        <v>2.5979999999999999</v>
      </c>
      <c r="V76" s="219">
        <v>2.6579999999999999</v>
      </c>
      <c r="W76" s="219">
        <f>8.406+2.951</f>
        <v>11.357000000000001</v>
      </c>
      <c r="X76" s="219">
        <f>+(23.615+7.711)-SUM(U76:W76)</f>
        <v>14.713000000000001</v>
      </c>
      <c r="Y76" s="56">
        <f t="shared" si="98"/>
        <v>31.326000000000001</v>
      </c>
      <c r="Z76" s="223"/>
      <c r="AA76" s="295">
        <v>8.7249999999999996</v>
      </c>
      <c r="AB76" s="219">
        <v>9.3420000000000005</v>
      </c>
      <c r="AC76" s="219">
        <f>+(8.554+0.396)</f>
        <v>8.9500000000000011</v>
      </c>
      <c r="AD76" s="219">
        <f>30.9+1.4-SUM(AA76:AC76)</f>
        <v>5.2829999999999941</v>
      </c>
      <c r="AE76" s="56">
        <f t="shared" si="99"/>
        <v>32.299999999999997</v>
      </c>
      <c r="AF76" s="223"/>
      <c r="AG76" s="295">
        <f>13.1+3.891</f>
        <v>16.991</v>
      </c>
      <c r="AH76" s="219">
        <f>13.165+4.011</f>
        <v>17.175999999999998</v>
      </c>
      <c r="AI76" s="219">
        <f>13.111+4.387</f>
        <v>17.498000000000001</v>
      </c>
      <c r="AJ76" s="219">
        <f>53.6+18.221-SUM(AG76:AI76)</f>
        <v>20.155999999999992</v>
      </c>
      <c r="AK76" s="56">
        <f t="shared" si="100"/>
        <v>71.820999999999998</v>
      </c>
      <c r="AL76" s="223"/>
      <c r="AM76" s="295">
        <f>15.1+6.158</f>
        <v>21.257999999999999</v>
      </c>
      <c r="AN76" s="219">
        <f>15.3+5.84</f>
        <v>21.14</v>
      </c>
      <c r="AO76" s="219">
        <f>15.6+5.88</f>
        <v>21.48</v>
      </c>
      <c r="AP76" s="219">
        <f>61.8+23.492-SUM(AM76:AO76)</f>
        <v>21.414000000000001</v>
      </c>
      <c r="AQ76" s="56">
        <f t="shared" si="101"/>
        <v>85.292000000000002</v>
      </c>
      <c r="AR76" s="223"/>
      <c r="AS76" s="295">
        <f>16.8+6.225</f>
        <v>23.024999999999999</v>
      </c>
      <c r="AT76" s="219">
        <f>16.8+6.176</f>
        <v>22.975999999999999</v>
      </c>
      <c r="AU76" s="219">
        <f>17.8+6.741</f>
        <v>24.541</v>
      </c>
      <c r="AV76" s="219">
        <f>70.2+26.746-SUM(AS76:AU76)</f>
        <v>26.403999999999996</v>
      </c>
      <c r="AW76" s="56">
        <f t="shared" si="102"/>
        <v>96.945999999999998</v>
      </c>
      <c r="AX76" s="223"/>
      <c r="AY76" s="295">
        <f>19.2+7.963</f>
        <v>27.163</v>
      </c>
      <c r="AZ76" s="219">
        <f>20.8+9.69</f>
        <v>30.490000000000002</v>
      </c>
      <c r="BA76" s="219">
        <v>20.7</v>
      </c>
      <c r="BB76" s="219">
        <f>78.5+36.117-SUM(AY76:BA76)</f>
        <v>36.263999999999982</v>
      </c>
      <c r="BC76" s="56">
        <f t="shared" ref="BC76:BC84" si="111">SUM(AY76:BB76)</f>
        <v>114.61699999999999</v>
      </c>
      <c r="BD76" s="223"/>
      <c r="BE76" s="295">
        <f>18+8.103</f>
        <v>26.103000000000002</v>
      </c>
      <c r="BF76" s="219">
        <f>19.7+9.009</f>
        <v>28.709</v>
      </c>
      <c r="BG76" s="219">
        <v>28.8</v>
      </c>
      <c r="BH76" s="219">
        <v>29.7</v>
      </c>
      <c r="BI76" s="56">
        <f t="shared" si="103"/>
        <v>113.312</v>
      </c>
      <c r="BJ76" s="223"/>
      <c r="BK76" s="295">
        <v>29.6</v>
      </c>
      <c r="BL76" s="219">
        <v>30.1</v>
      </c>
      <c r="BM76" s="219">
        <v>29.7</v>
      </c>
      <c r="BN76" s="219">
        <v>29.4</v>
      </c>
      <c r="BO76" s="56">
        <f t="shared" si="104"/>
        <v>118.80000000000001</v>
      </c>
      <c r="BP76" s="223"/>
      <c r="BQ76" s="295">
        <v>29.6</v>
      </c>
      <c r="BR76" s="219">
        <v>34.5</v>
      </c>
      <c r="BS76" s="219">
        <v>29.4</v>
      </c>
      <c r="BT76" s="219">
        <v>29.6</v>
      </c>
      <c r="BU76" s="56">
        <f t="shared" si="105"/>
        <v>123.1</v>
      </c>
      <c r="BV76" s="223"/>
      <c r="BW76" s="295">
        <v>29.6</v>
      </c>
      <c r="BX76" s="1636">
        <v>29.751000000000001</v>
      </c>
      <c r="BY76" s="1636">
        <v>30</v>
      </c>
      <c r="BZ76" s="219">
        <v>29.7</v>
      </c>
      <c r="CA76" s="56">
        <f t="shared" si="106"/>
        <v>119.051</v>
      </c>
      <c r="CB76" s="223"/>
      <c r="CC76" s="295">
        <v>30.3</v>
      </c>
      <c r="CD76" s="1636">
        <v>30.5</v>
      </c>
      <c r="CE76" s="1636">
        <v>26.8</v>
      </c>
      <c r="CF76" s="219">
        <v>16.5</v>
      </c>
      <c r="CG76" s="56">
        <f t="shared" si="107"/>
        <v>104.1</v>
      </c>
      <c r="CH76" s="223"/>
      <c r="CI76" s="1304">
        <f>-BS!CI125</f>
        <v>32.5</v>
      </c>
      <c r="CJ76" s="1303">
        <f>-BS!CJ125</f>
        <v>32.5</v>
      </c>
      <c r="CK76" s="1303">
        <f>-BS!CK125</f>
        <v>32.5</v>
      </c>
      <c r="CL76" s="1303">
        <f>-BS!CL125</f>
        <v>32.5</v>
      </c>
      <c r="CM76" s="56">
        <f t="shared" si="108"/>
        <v>130</v>
      </c>
      <c r="CN76" s="223"/>
      <c r="CO76" s="1304">
        <f>-BS!CO125</f>
        <v>32.5</v>
      </c>
      <c r="CP76" s="1303">
        <f>-BS!CP125</f>
        <v>32.5</v>
      </c>
      <c r="CQ76" s="1303">
        <f>-BS!CQ125</f>
        <v>32.5</v>
      </c>
      <c r="CR76" s="1303">
        <f>-BS!CR125</f>
        <v>32.5</v>
      </c>
      <c r="CS76" s="56">
        <f t="shared" si="109"/>
        <v>130</v>
      </c>
      <c r="CT76" s="223"/>
      <c r="CU76" s="1304">
        <f>-BS!CU125</f>
        <v>32.5</v>
      </c>
      <c r="CV76" s="1303">
        <f>-BS!CV125</f>
        <v>32.5</v>
      </c>
      <c r="CW76" s="1303">
        <f>-BS!CW125</f>
        <v>32.5</v>
      </c>
      <c r="CX76" s="1303">
        <f>-BS!CX125</f>
        <v>32.5</v>
      </c>
      <c r="CY76" s="56">
        <f t="shared" si="110"/>
        <v>130</v>
      </c>
      <c r="CZ76" s="264"/>
      <c r="DA76" s="264"/>
      <c r="DB76" s="264"/>
    </row>
    <row r="77" spans="1:205" ht="11.25" customHeight="1" outlineLevel="1" x14ac:dyDescent="0.2">
      <c r="A77" s="305" t="s">
        <v>165</v>
      </c>
      <c r="B77" s="223"/>
      <c r="C77" s="295">
        <v>0</v>
      </c>
      <c r="D77" s="219">
        <v>0</v>
      </c>
      <c r="E77" s="219">
        <v>0</v>
      </c>
      <c r="F77" s="219">
        <v>0</v>
      </c>
      <c r="G77" s="56">
        <f t="shared" si="95"/>
        <v>0</v>
      </c>
      <c r="H77" s="223"/>
      <c r="I77" s="295">
        <v>0</v>
      </c>
      <c r="J77" s="219">
        <v>0</v>
      </c>
      <c r="K77" s="219">
        <v>0</v>
      </c>
      <c r="L77" s="219">
        <v>0</v>
      </c>
      <c r="M77" s="56">
        <f t="shared" si="96"/>
        <v>0</v>
      </c>
      <c r="N77" s="223"/>
      <c r="O77" s="295">
        <v>0</v>
      </c>
      <c r="P77" s="219">
        <v>0</v>
      </c>
      <c r="Q77" s="219">
        <v>0</v>
      </c>
      <c r="R77" s="219">
        <v>0</v>
      </c>
      <c r="S77" s="56">
        <f t="shared" si="97"/>
        <v>0</v>
      </c>
      <c r="T77" s="223"/>
      <c r="U77" s="295">
        <v>0</v>
      </c>
      <c r="V77" s="219">
        <v>0</v>
      </c>
      <c r="W77" s="219">
        <v>0</v>
      </c>
      <c r="X77" s="219">
        <v>0</v>
      </c>
      <c r="Y77" s="56">
        <f t="shared" si="98"/>
        <v>0</v>
      </c>
      <c r="Z77" s="223"/>
      <c r="AA77" s="295">
        <v>0</v>
      </c>
      <c r="AB77" s="219">
        <v>0</v>
      </c>
      <c r="AC77" s="219">
        <v>0</v>
      </c>
      <c r="AD77" s="219">
        <f>0-SUM(AA77:AC77)</f>
        <v>0</v>
      </c>
      <c r="AE77" s="56">
        <f t="shared" si="99"/>
        <v>0</v>
      </c>
      <c r="AF77" s="223"/>
      <c r="AG77" s="295">
        <v>2.8</v>
      </c>
      <c r="AH77" s="219">
        <v>0</v>
      </c>
      <c r="AI77" s="219">
        <v>0</v>
      </c>
      <c r="AJ77" s="219">
        <f>0-SUM(AG77:AI77)</f>
        <v>-2.8</v>
      </c>
      <c r="AK77" s="56">
        <f t="shared" si="100"/>
        <v>0</v>
      </c>
      <c r="AL77" s="223"/>
      <c r="AM77" s="295">
        <v>0</v>
      </c>
      <c r="AN77" s="219">
        <v>0</v>
      </c>
      <c r="AO77" s="219">
        <v>0</v>
      </c>
      <c r="AP77" s="219">
        <f>36.289-36.29</f>
        <v>-9.9999999999766942E-4</v>
      </c>
      <c r="AQ77" s="56">
        <f t="shared" si="101"/>
        <v>-9.9999999999766942E-4</v>
      </c>
      <c r="AR77" s="223"/>
      <c r="AS77" s="295">
        <v>0</v>
      </c>
      <c r="AT77" s="219">
        <v>0</v>
      </c>
      <c r="AU77" s="219">
        <v>0</v>
      </c>
      <c r="AV77" s="219">
        <f>0.378-0.376</f>
        <v>2.0000000000000018E-3</v>
      </c>
      <c r="AW77" s="56">
        <f t="shared" si="102"/>
        <v>2.0000000000000018E-3</v>
      </c>
      <c r="AX77" s="223"/>
      <c r="AY77" s="295">
        <v>0</v>
      </c>
      <c r="AZ77" s="219">
        <v>0</v>
      </c>
      <c r="BA77" s="219">
        <f>29.225-29.163</f>
        <v>6.2000000000001165E-2</v>
      </c>
      <c r="BB77" s="965">
        <f>38.356-38.419</f>
        <v>-6.2999999999995282E-2</v>
      </c>
      <c r="BC77" s="56">
        <f t="shared" si="111"/>
        <v>-9.9999999999411671E-4</v>
      </c>
      <c r="BD77" s="223"/>
      <c r="BE77" s="295">
        <v>0</v>
      </c>
      <c r="BF77" s="219">
        <f>51.761-51.773</f>
        <v>-1.2000000000000455E-2</v>
      </c>
      <c r="BG77" s="219">
        <v>0</v>
      </c>
      <c r="BH77" s="219">
        <v>0</v>
      </c>
      <c r="BI77" s="56">
        <f t="shared" si="103"/>
        <v>-1.2000000000000455E-2</v>
      </c>
      <c r="BJ77" s="223"/>
      <c r="BK77" s="295">
        <v>0</v>
      </c>
      <c r="BL77" s="219">
        <v>0</v>
      </c>
      <c r="BM77" s="219">
        <v>0</v>
      </c>
      <c r="BN77" s="219">
        <v>0</v>
      </c>
      <c r="BO77" s="56">
        <f t="shared" si="104"/>
        <v>0</v>
      </c>
      <c r="BP77" s="223"/>
      <c r="BQ77" s="295">
        <v>0</v>
      </c>
      <c r="BR77" s="219">
        <v>0</v>
      </c>
      <c r="BS77" s="219">
        <v>0</v>
      </c>
      <c r="BT77" s="219">
        <v>0</v>
      </c>
      <c r="BU77" s="56">
        <f t="shared" si="105"/>
        <v>0</v>
      </c>
      <c r="BV77" s="223"/>
      <c r="BW77" s="295">
        <v>0</v>
      </c>
      <c r="BX77" s="219">
        <v>0</v>
      </c>
      <c r="BY77" s="219">
        <v>0</v>
      </c>
      <c r="BZ77" s="219">
        <v>0</v>
      </c>
      <c r="CA77" s="56">
        <f t="shared" si="106"/>
        <v>0</v>
      </c>
      <c r="CB77" s="223"/>
      <c r="CC77" s="295">
        <v>0</v>
      </c>
      <c r="CD77" s="219">
        <v>0</v>
      </c>
      <c r="CE77" s="219">
        <v>0</v>
      </c>
      <c r="CF77" s="219">
        <v>0</v>
      </c>
      <c r="CG77" s="56">
        <f t="shared" si="107"/>
        <v>0</v>
      </c>
      <c r="CH77" s="223"/>
      <c r="CI77" s="295">
        <v>0</v>
      </c>
      <c r="CJ77" s="219">
        <v>0</v>
      </c>
      <c r="CK77" s="219">
        <v>0</v>
      </c>
      <c r="CL77" s="219">
        <v>0</v>
      </c>
      <c r="CM77" s="56">
        <f t="shared" si="108"/>
        <v>0</v>
      </c>
      <c r="CN77" s="223"/>
      <c r="CO77" s="295">
        <v>0</v>
      </c>
      <c r="CP77" s="219">
        <v>0</v>
      </c>
      <c r="CQ77" s="219">
        <v>0</v>
      </c>
      <c r="CR77" s="219">
        <v>0</v>
      </c>
      <c r="CS77" s="56">
        <f t="shared" si="109"/>
        <v>0</v>
      </c>
      <c r="CT77" s="223"/>
      <c r="CU77" s="295">
        <v>0</v>
      </c>
      <c r="CV77" s="219">
        <v>0</v>
      </c>
      <c r="CW77" s="219">
        <v>0</v>
      </c>
      <c r="CX77" s="219">
        <v>0</v>
      </c>
      <c r="CY77" s="56">
        <f t="shared" si="110"/>
        <v>0</v>
      </c>
      <c r="CZ77" s="264"/>
      <c r="DA77" s="264"/>
      <c r="DB77" s="264"/>
    </row>
    <row r="78" spans="1:205" ht="11.25" customHeight="1" outlineLevel="1" x14ac:dyDescent="0.2">
      <c r="A78" s="305" t="s">
        <v>12</v>
      </c>
      <c r="B78" s="223"/>
      <c r="C78" s="295">
        <v>0</v>
      </c>
      <c r="D78" s="219">
        <v>0</v>
      </c>
      <c r="E78" s="219">
        <v>0</v>
      </c>
      <c r="F78" s="219">
        <v>0</v>
      </c>
      <c r="G78" s="56">
        <f t="shared" si="95"/>
        <v>0</v>
      </c>
      <c r="H78" s="223"/>
      <c r="I78" s="295">
        <v>0</v>
      </c>
      <c r="J78" s="219">
        <v>0.71399999999999997</v>
      </c>
      <c r="K78" s="219">
        <v>2.5000000000000001E-2</v>
      </c>
      <c r="L78" s="219">
        <f>3.239-SUM(I78:K78)</f>
        <v>2.5</v>
      </c>
      <c r="M78" s="56">
        <f t="shared" si="96"/>
        <v>3.2389999999999999</v>
      </c>
      <c r="N78" s="223"/>
      <c r="O78" s="295">
        <v>0</v>
      </c>
      <c r="P78" s="219">
        <v>0.1</v>
      </c>
      <c r="Q78" s="219">
        <v>0</v>
      </c>
      <c r="R78" s="219">
        <f>2.2-SUM(O78:Q78)</f>
        <v>2.1</v>
      </c>
      <c r="S78" s="56">
        <f t="shared" si="97"/>
        <v>2.2000000000000002</v>
      </c>
      <c r="T78" s="223"/>
      <c r="U78" s="295">
        <v>0</v>
      </c>
      <c r="V78" s="219">
        <v>0</v>
      </c>
      <c r="W78" s="219">
        <v>25.9</v>
      </c>
      <c r="X78" s="219">
        <f>25.9-SUM(U78:W78)</f>
        <v>0</v>
      </c>
      <c r="Y78" s="56">
        <f t="shared" si="98"/>
        <v>25.9</v>
      </c>
      <c r="Z78" s="223"/>
      <c r="AA78" s="295">
        <v>0</v>
      </c>
      <c r="AB78" s="219">
        <v>0</v>
      </c>
      <c r="AC78" s="219">
        <v>0</v>
      </c>
      <c r="AD78" s="219">
        <f>0-SUM(AA78:AC78)</f>
        <v>0</v>
      </c>
      <c r="AE78" s="56">
        <f t="shared" si="99"/>
        <v>0</v>
      </c>
      <c r="AF78" s="223"/>
      <c r="AG78" s="295">
        <v>0</v>
      </c>
      <c r="AH78" s="219">
        <v>0</v>
      </c>
      <c r="AI78" s="219">
        <v>0</v>
      </c>
      <c r="AJ78" s="219">
        <f>0-SUM(AG78:AI78)</f>
        <v>0</v>
      </c>
      <c r="AK78" s="56">
        <f t="shared" si="100"/>
        <v>0</v>
      </c>
      <c r="AL78" s="223"/>
      <c r="AM78" s="295">
        <v>0</v>
      </c>
      <c r="AN78" s="219">
        <v>0</v>
      </c>
      <c r="AO78" s="219">
        <v>0</v>
      </c>
      <c r="AP78" s="219">
        <v>0</v>
      </c>
      <c r="AQ78" s="56">
        <f t="shared" si="101"/>
        <v>0</v>
      </c>
      <c r="AR78" s="223"/>
      <c r="AS78" s="295">
        <v>0</v>
      </c>
      <c r="AT78" s="219">
        <v>0</v>
      </c>
      <c r="AU78" s="219">
        <v>0</v>
      </c>
      <c r="AV78" s="219">
        <v>0</v>
      </c>
      <c r="AW78" s="56">
        <f t="shared" si="102"/>
        <v>0</v>
      </c>
      <c r="AX78" s="223"/>
      <c r="AY78" s="295">
        <v>0</v>
      </c>
      <c r="AZ78" s="219">
        <v>0</v>
      </c>
      <c r="BA78" s="219">
        <v>0</v>
      </c>
      <c r="BB78" s="219">
        <v>0</v>
      </c>
      <c r="BC78" s="56">
        <f t="shared" si="111"/>
        <v>0</v>
      </c>
      <c r="BD78" s="223"/>
      <c r="BE78" s="295">
        <v>0</v>
      </c>
      <c r="BF78" s="219">
        <v>0</v>
      </c>
      <c r="BG78" s="219">
        <v>0</v>
      </c>
      <c r="BH78" s="219">
        <v>0</v>
      </c>
      <c r="BI78" s="56">
        <f t="shared" si="103"/>
        <v>0</v>
      </c>
      <c r="BJ78" s="223"/>
      <c r="BK78" s="295">
        <v>0</v>
      </c>
      <c r="BL78" s="219">
        <v>0</v>
      </c>
      <c r="BM78" s="219">
        <v>0</v>
      </c>
      <c r="BN78" s="219">
        <v>0</v>
      </c>
      <c r="BO78" s="56">
        <f t="shared" si="104"/>
        <v>0</v>
      </c>
      <c r="BP78" s="223"/>
      <c r="BQ78" s="295">
        <v>0</v>
      </c>
      <c r="BR78" s="219">
        <v>0</v>
      </c>
      <c r="BS78" s="219">
        <v>0</v>
      </c>
      <c r="BT78" s="219">
        <v>0</v>
      </c>
      <c r="BU78" s="56">
        <f t="shared" si="105"/>
        <v>0</v>
      </c>
      <c r="BV78" s="223"/>
      <c r="BW78" s="295">
        <v>0</v>
      </c>
      <c r="BX78" s="219">
        <v>0</v>
      </c>
      <c r="BY78" s="219">
        <v>0</v>
      </c>
      <c r="BZ78" s="219">
        <v>0</v>
      </c>
      <c r="CA78" s="56">
        <f t="shared" si="106"/>
        <v>0</v>
      </c>
      <c r="CB78" s="223"/>
      <c r="CC78" s="295">
        <v>0</v>
      </c>
      <c r="CD78" s="219">
        <v>0</v>
      </c>
      <c r="CE78" s="219">
        <v>0</v>
      </c>
      <c r="CF78" s="219">
        <v>0</v>
      </c>
      <c r="CG78" s="56">
        <f t="shared" si="107"/>
        <v>0</v>
      </c>
      <c r="CH78" s="223"/>
      <c r="CI78" s="295">
        <v>0</v>
      </c>
      <c r="CJ78" s="219">
        <v>0</v>
      </c>
      <c r="CK78" s="219">
        <v>0</v>
      </c>
      <c r="CL78" s="219">
        <v>0</v>
      </c>
      <c r="CM78" s="56">
        <f t="shared" si="108"/>
        <v>0</v>
      </c>
      <c r="CN78" s="223"/>
      <c r="CO78" s="295">
        <v>0</v>
      </c>
      <c r="CP78" s="219">
        <v>0</v>
      </c>
      <c r="CQ78" s="219">
        <v>0</v>
      </c>
      <c r="CR78" s="219">
        <v>0</v>
      </c>
      <c r="CS78" s="56">
        <f t="shared" si="109"/>
        <v>0</v>
      </c>
      <c r="CT78" s="223"/>
      <c r="CU78" s="295">
        <v>0</v>
      </c>
      <c r="CV78" s="219">
        <v>0</v>
      </c>
      <c r="CW78" s="219">
        <v>0</v>
      </c>
      <c r="CX78" s="219">
        <v>0</v>
      </c>
      <c r="CY78" s="56">
        <f t="shared" si="110"/>
        <v>0</v>
      </c>
      <c r="CZ78" s="264"/>
      <c r="DA78" s="264"/>
      <c r="DB78" s="264"/>
    </row>
    <row r="79" spans="1:205" ht="11.25" customHeight="1" outlineLevel="1" x14ac:dyDescent="0.2">
      <c r="A79" s="305" t="s">
        <v>166</v>
      </c>
      <c r="B79" s="223"/>
      <c r="C79" s="295">
        <v>0.94099999999999995</v>
      </c>
      <c r="D79" s="219">
        <v>1.8049999999999999</v>
      </c>
      <c r="E79" s="219">
        <v>0.76300000000000001</v>
      </c>
      <c r="F79" s="219">
        <f>3.817-SUM(C79:E79)</f>
        <v>0.30800000000000027</v>
      </c>
      <c r="G79" s="56">
        <f t="shared" si="95"/>
        <v>3.8170000000000002</v>
      </c>
      <c r="H79" s="223"/>
      <c r="I79" s="295">
        <v>0</v>
      </c>
      <c r="J79" s="219">
        <v>0</v>
      </c>
      <c r="K79" s="219">
        <v>0</v>
      </c>
      <c r="L79" s="219">
        <v>0</v>
      </c>
      <c r="M79" s="56">
        <f t="shared" si="96"/>
        <v>0</v>
      </c>
      <c r="N79" s="223"/>
      <c r="O79" s="295">
        <v>0</v>
      </c>
      <c r="P79" s="219">
        <v>0.78500000000000003</v>
      </c>
      <c r="Q79" s="219">
        <v>0</v>
      </c>
      <c r="R79" s="219">
        <f>1.452-SUM(O79:Q79)</f>
        <v>0.66699999999999993</v>
      </c>
      <c r="S79" s="56">
        <f t="shared" si="97"/>
        <v>1.452</v>
      </c>
      <c r="T79" s="223"/>
      <c r="U79" s="295">
        <v>0.40799999999999997</v>
      </c>
      <c r="V79" s="219">
        <v>0</v>
      </c>
      <c r="W79" s="219">
        <v>0</v>
      </c>
      <c r="X79" s="219">
        <f>0-SUM(U79:W79)</f>
        <v>-0.40799999999999997</v>
      </c>
      <c r="Y79" s="56">
        <f t="shared" si="98"/>
        <v>0</v>
      </c>
      <c r="Z79" s="223"/>
      <c r="AA79" s="295">
        <v>0</v>
      </c>
      <c r="AB79" s="219">
        <v>7.3999999999999996E-2</v>
      </c>
      <c r="AC79" s="219">
        <v>0.17199999999999999</v>
      </c>
      <c r="AD79" s="219">
        <f>1.2-SUM(AA79:AC79)</f>
        <v>0.95399999999999996</v>
      </c>
      <c r="AE79" s="56">
        <f t="shared" si="99"/>
        <v>1.2</v>
      </c>
      <c r="AF79" s="223"/>
      <c r="AG79" s="295">
        <v>0</v>
      </c>
      <c r="AH79" s="219">
        <v>0</v>
      </c>
      <c r="AI79" s="219">
        <v>0</v>
      </c>
      <c r="AJ79" s="219">
        <f>0-SUM(AG79:AI79)</f>
        <v>0</v>
      </c>
      <c r="AK79" s="56">
        <f t="shared" si="100"/>
        <v>0</v>
      </c>
      <c r="AL79" s="223"/>
      <c r="AM79" s="295">
        <v>0</v>
      </c>
      <c r="AN79" s="219">
        <v>0</v>
      </c>
      <c r="AO79" s="219">
        <v>0</v>
      </c>
      <c r="AP79" s="219">
        <v>0</v>
      </c>
      <c r="AQ79" s="56">
        <f t="shared" si="101"/>
        <v>0</v>
      </c>
      <c r="AR79" s="223"/>
      <c r="AS79" s="295">
        <v>0</v>
      </c>
      <c r="AT79" s="219">
        <v>0</v>
      </c>
      <c r="AU79" s="219">
        <v>0</v>
      </c>
      <c r="AV79" s="219">
        <v>0</v>
      </c>
      <c r="AW79" s="56">
        <f t="shared" si="102"/>
        <v>0</v>
      </c>
      <c r="AX79" s="223"/>
      <c r="AY79" s="295">
        <v>0</v>
      </c>
      <c r="AZ79" s="219">
        <v>0</v>
      </c>
      <c r="BA79" s="219">
        <v>0</v>
      </c>
      <c r="BB79" s="219">
        <v>0</v>
      </c>
      <c r="BC79" s="56">
        <f t="shared" si="111"/>
        <v>0</v>
      </c>
      <c r="BD79" s="223"/>
      <c r="BE79" s="295">
        <v>0</v>
      </c>
      <c r="BF79" s="219">
        <v>0</v>
      </c>
      <c r="BG79" s="219">
        <v>0</v>
      </c>
      <c r="BH79" s="219">
        <v>0</v>
      </c>
      <c r="BI79" s="56">
        <f t="shared" si="103"/>
        <v>0</v>
      </c>
      <c r="BJ79" s="223"/>
      <c r="BK79" s="295">
        <v>0</v>
      </c>
      <c r="BL79" s="219">
        <v>0</v>
      </c>
      <c r="BM79" s="219">
        <v>0</v>
      </c>
      <c r="BN79" s="219">
        <v>0</v>
      </c>
      <c r="BO79" s="56">
        <f t="shared" si="104"/>
        <v>0</v>
      </c>
      <c r="BP79" s="223"/>
      <c r="BQ79" s="295">
        <v>0</v>
      </c>
      <c r="BR79" s="219">
        <v>0</v>
      </c>
      <c r="BS79" s="219">
        <v>0</v>
      </c>
      <c r="BT79" s="219">
        <v>0</v>
      </c>
      <c r="BU79" s="56">
        <f t="shared" si="105"/>
        <v>0</v>
      </c>
      <c r="BV79" s="223"/>
      <c r="BW79" s="295">
        <v>0</v>
      </c>
      <c r="BX79" s="219">
        <v>0</v>
      </c>
      <c r="BY79" s="219">
        <v>0</v>
      </c>
      <c r="BZ79" s="219">
        <f>79.1-22.1</f>
        <v>56.999999999999993</v>
      </c>
      <c r="CA79" s="56">
        <f t="shared" si="106"/>
        <v>56.999999999999993</v>
      </c>
      <c r="CB79" s="223"/>
      <c r="CC79" s="295">
        <v>3.1</v>
      </c>
      <c r="CD79" s="219">
        <v>0</v>
      </c>
      <c r="CE79" s="219">
        <v>0</v>
      </c>
      <c r="CF79" s="219">
        <v>0</v>
      </c>
      <c r="CG79" s="56">
        <f t="shared" si="107"/>
        <v>3.1</v>
      </c>
      <c r="CH79" s="223"/>
      <c r="CI79" s="295">
        <v>0</v>
      </c>
      <c r="CJ79" s="219">
        <v>0</v>
      </c>
      <c r="CK79" s="219">
        <v>0</v>
      </c>
      <c r="CL79" s="219">
        <v>0</v>
      </c>
      <c r="CM79" s="56">
        <f t="shared" si="108"/>
        <v>0</v>
      </c>
      <c r="CN79" s="223"/>
      <c r="CO79" s="295">
        <v>0</v>
      </c>
      <c r="CP79" s="219">
        <v>0</v>
      </c>
      <c r="CQ79" s="219">
        <v>0</v>
      </c>
      <c r="CR79" s="219">
        <v>0</v>
      </c>
      <c r="CS79" s="56">
        <f t="shared" si="109"/>
        <v>0</v>
      </c>
      <c r="CT79" s="223"/>
      <c r="CU79" s="295">
        <v>0</v>
      </c>
      <c r="CV79" s="219">
        <v>0</v>
      </c>
      <c r="CW79" s="219">
        <v>0</v>
      </c>
      <c r="CX79" s="219">
        <v>0</v>
      </c>
      <c r="CY79" s="56">
        <f t="shared" si="110"/>
        <v>0</v>
      </c>
      <c r="CZ79" s="264"/>
      <c r="DA79" s="264"/>
      <c r="DB79" s="264"/>
    </row>
    <row r="80" spans="1:205" ht="11.25" customHeight="1" outlineLevel="1" x14ac:dyDescent="0.2">
      <c r="A80" s="305" t="s">
        <v>185</v>
      </c>
      <c r="B80" s="223"/>
      <c r="C80" s="295">
        <v>0</v>
      </c>
      <c r="D80" s="219">
        <v>0</v>
      </c>
      <c r="E80" s="219">
        <v>0</v>
      </c>
      <c r="F80" s="219">
        <v>0</v>
      </c>
      <c r="G80" s="56">
        <f t="shared" si="95"/>
        <v>0</v>
      </c>
      <c r="H80" s="223"/>
      <c r="I80" s="295">
        <v>0</v>
      </c>
      <c r="J80" s="219">
        <v>0</v>
      </c>
      <c r="K80" s="219">
        <v>0</v>
      </c>
      <c r="L80" s="219">
        <v>0</v>
      </c>
      <c r="M80" s="56">
        <f t="shared" si="96"/>
        <v>0</v>
      </c>
      <c r="N80" s="223"/>
      <c r="O80" s="295">
        <v>0</v>
      </c>
      <c r="P80" s="219">
        <v>0</v>
      </c>
      <c r="Q80" s="219">
        <v>0</v>
      </c>
      <c r="R80" s="219">
        <v>0</v>
      </c>
      <c r="S80" s="56">
        <f t="shared" si="97"/>
        <v>0</v>
      </c>
      <c r="T80" s="223"/>
      <c r="U80" s="295">
        <v>0</v>
      </c>
      <c r="V80" s="219">
        <v>0</v>
      </c>
      <c r="W80" s="219">
        <v>0</v>
      </c>
      <c r="X80" s="219">
        <v>0</v>
      </c>
      <c r="Y80" s="56">
        <f t="shared" si="98"/>
        <v>0</v>
      </c>
      <c r="Z80" s="223"/>
      <c r="AA80" s="295">
        <v>0</v>
      </c>
      <c r="AB80" s="219">
        <v>0</v>
      </c>
      <c r="AC80" s="219">
        <v>0</v>
      </c>
      <c r="AD80" s="219">
        <f>0-SUM(AA80:AC80)</f>
        <v>0</v>
      </c>
      <c r="AE80" s="56">
        <f t="shared" si="99"/>
        <v>0</v>
      </c>
      <c r="AF80" s="223"/>
      <c r="AG80" s="295">
        <v>0</v>
      </c>
      <c r="AH80" s="219">
        <v>0</v>
      </c>
      <c r="AI80" s="219">
        <v>0</v>
      </c>
      <c r="AJ80" s="219">
        <f>0-SUM(AG80:AI80)</f>
        <v>0</v>
      </c>
      <c r="AK80" s="56">
        <f t="shared" si="100"/>
        <v>0</v>
      </c>
      <c r="AL80" s="223"/>
      <c r="AM80" s="295">
        <v>0</v>
      </c>
      <c r="AN80" s="219">
        <v>0</v>
      </c>
      <c r="AO80" s="219">
        <v>0</v>
      </c>
      <c r="AP80" s="219">
        <v>0</v>
      </c>
      <c r="AQ80" s="56">
        <f t="shared" si="101"/>
        <v>0</v>
      </c>
      <c r="AR80" s="223"/>
      <c r="AS80" s="295">
        <v>0</v>
      </c>
      <c r="AT80" s="219">
        <v>0</v>
      </c>
      <c r="AU80" s="219">
        <v>0</v>
      </c>
      <c r="AV80" s="219">
        <v>0</v>
      </c>
      <c r="AW80" s="56">
        <f t="shared" si="102"/>
        <v>0</v>
      </c>
      <c r="AX80" s="223"/>
      <c r="AY80" s="295">
        <v>0</v>
      </c>
      <c r="AZ80" s="219">
        <v>0</v>
      </c>
      <c r="BA80" s="219">
        <v>0</v>
      </c>
      <c r="BB80" s="219">
        <v>0</v>
      </c>
      <c r="BC80" s="56">
        <f t="shared" si="111"/>
        <v>0</v>
      </c>
      <c r="BD80" s="223"/>
      <c r="BE80" s="295">
        <v>0</v>
      </c>
      <c r="BF80" s="219">
        <v>0</v>
      </c>
      <c r="BG80" s="219">
        <v>0</v>
      </c>
      <c r="BH80" s="219">
        <v>0</v>
      </c>
      <c r="BI80" s="56">
        <f t="shared" si="103"/>
        <v>0</v>
      </c>
      <c r="BJ80" s="223"/>
      <c r="BK80" s="295">
        <v>0</v>
      </c>
      <c r="BL80" s="219">
        <v>0</v>
      </c>
      <c r="BM80" s="219">
        <v>0</v>
      </c>
      <c r="BN80" s="219">
        <v>0</v>
      </c>
      <c r="BO80" s="56">
        <f t="shared" si="104"/>
        <v>0</v>
      </c>
      <c r="BP80" s="223"/>
      <c r="BQ80" s="295">
        <v>0</v>
      </c>
      <c r="BR80" s="219">
        <v>0</v>
      </c>
      <c r="BS80" s="219">
        <v>0</v>
      </c>
      <c r="BT80" s="219">
        <v>0</v>
      </c>
      <c r="BU80" s="56">
        <f t="shared" si="105"/>
        <v>0</v>
      </c>
      <c r="BV80" s="223"/>
      <c r="BW80" s="295">
        <v>0</v>
      </c>
      <c r="BX80" s="219">
        <v>0</v>
      </c>
      <c r="BY80" s="219">
        <v>0</v>
      </c>
      <c r="BZ80" s="219">
        <v>0</v>
      </c>
      <c r="CA80" s="56">
        <f t="shared" si="106"/>
        <v>0</v>
      </c>
      <c r="CB80" s="223"/>
      <c r="CC80" s="295">
        <v>0</v>
      </c>
      <c r="CD80" s="219">
        <v>0</v>
      </c>
      <c r="CE80" s="219">
        <v>0</v>
      </c>
      <c r="CF80" s="219">
        <v>0</v>
      </c>
      <c r="CG80" s="56">
        <f t="shared" si="107"/>
        <v>0</v>
      </c>
      <c r="CH80" s="223"/>
      <c r="CI80" s="295">
        <v>0</v>
      </c>
      <c r="CJ80" s="219">
        <v>0</v>
      </c>
      <c r="CK80" s="219">
        <v>0</v>
      </c>
      <c r="CL80" s="219">
        <v>0</v>
      </c>
      <c r="CM80" s="56">
        <f t="shared" si="108"/>
        <v>0</v>
      </c>
      <c r="CN80" s="223"/>
      <c r="CO80" s="295">
        <v>0</v>
      </c>
      <c r="CP80" s="219">
        <v>0</v>
      </c>
      <c r="CQ80" s="219">
        <v>0</v>
      </c>
      <c r="CR80" s="219">
        <v>0</v>
      </c>
      <c r="CS80" s="56">
        <f t="shared" si="109"/>
        <v>0</v>
      </c>
      <c r="CT80" s="223"/>
      <c r="CU80" s="295">
        <v>0</v>
      </c>
      <c r="CV80" s="219">
        <v>0</v>
      </c>
      <c r="CW80" s="219">
        <v>0</v>
      </c>
      <c r="CX80" s="219">
        <v>0</v>
      </c>
      <c r="CY80" s="56">
        <f t="shared" si="110"/>
        <v>0</v>
      </c>
      <c r="CZ80" s="264"/>
      <c r="DA80" s="264"/>
      <c r="DB80" s="264"/>
    </row>
    <row r="81" spans="1:112" ht="11.25" customHeight="1" outlineLevel="1" x14ac:dyDescent="0.2">
      <c r="A81" s="305" t="s">
        <v>176</v>
      </c>
      <c r="B81" s="223"/>
      <c r="C81" s="295">
        <v>0</v>
      </c>
      <c r="D81" s="219">
        <v>0</v>
      </c>
      <c r="E81" s="219">
        <v>0</v>
      </c>
      <c r="F81" s="219">
        <v>0</v>
      </c>
      <c r="G81" s="56">
        <f t="shared" si="95"/>
        <v>0</v>
      </c>
      <c r="H81" s="223"/>
      <c r="I81" s="295">
        <v>0</v>
      </c>
      <c r="J81" s="219">
        <v>0</v>
      </c>
      <c r="K81" s="219">
        <v>0</v>
      </c>
      <c r="L81" s="219">
        <v>0</v>
      </c>
      <c r="M81" s="56">
        <f t="shared" si="96"/>
        <v>0</v>
      </c>
      <c r="N81" s="223"/>
      <c r="O81" s="295">
        <v>0</v>
      </c>
      <c r="P81" s="219">
        <v>0</v>
      </c>
      <c r="Q81" s="219">
        <v>0</v>
      </c>
      <c r="R81" s="219">
        <v>0</v>
      </c>
      <c r="S81" s="56">
        <f t="shared" si="97"/>
        <v>0</v>
      </c>
      <c r="T81" s="223"/>
      <c r="U81" s="295">
        <v>0</v>
      </c>
      <c r="V81" s="219">
        <v>0</v>
      </c>
      <c r="W81" s="219">
        <v>0</v>
      </c>
      <c r="X81" s="219">
        <v>0</v>
      </c>
      <c r="Y81" s="56">
        <f t="shared" si="98"/>
        <v>0</v>
      </c>
      <c r="Z81" s="223"/>
      <c r="AA81" s="295">
        <v>0</v>
      </c>
      <c r="AB81" s="219">
        <v>0</v>
      </c>
      <c r="AC81" s="219">
        <v>2.5</v>
      </c>
      <c r="AD81" s="219">
        <f>2.5-SUM(AA81:AC81)</f>
        <v>0</v>
      </c>
      <c r="AE81" s="56">
        <f t="shared" si="99"/>
        <v>2.5</v>
      </c>
      <c r="AF81" s="223"/>
      <c r="AG81" s="295">
        <v>0</v>
      </c>
      <c r="AH81" s="219">
        <v>0</v>
      </c>
      <c r="AI81" s="219">
        <v>0</v>
      </c>
      <c r="AJ81" s="219">
        <f>0-SUM(AG81:AI81)</f>
        <v>0</v>
      </c>
      <c r="AK81" s="56">
        <f t="shared" si="100"/>
        <v>0</v>
      </c>
      <c r="AL81" s="223"/>
      <c r="AM81" s="295">
        <v>0</v>
      </c>
      <c r="AN81" s="219">
        <v>0</v>
      </c>
      <c r="AO81" s="219">
        <v>0</v>
      </c>
      <c r="AP81" s="219">
        <v>0</v>
      </c>
      <c r="AQ81" s="56">
        <f t="shared" si="101"/>
        <v>0</v>
      </c>
      <c r="AR81" s="223"/>
      <c r="AS81" s="295">
        <v>0</v>
      </c>
      <c r="AT81" s="219">
        <v>0</v>
      </c>
      <c r="AU81" s="219">
        <v>0</v>
      </c>
      <c r="AV81" s="219">
        <v>0</v>
      </c>
      <c r="AW81" s="56">
        <f t="shared" si="102"/>
        <v>0</v>
      </c>
      <c r="AX81" s="223"/>
      <c r="AY81" s="295">
        <v>0</v>
      </c>
      <c r="AZ81" s="219">
        <v>0</v>
      </c>
      <c r="BA81" s="219">
        <v>0</v>
      </c>
      <c r="BB81" s="219">
        <v>0</v>
      </c>
      <c r="BC81" s="56">
        <f t="shared" si="111"/>
        <v>0</v>
      </c>
      <c r="BD81" s="223"/>
      <c r="BE81" s="295">
        <v>0</v>
      </c>
      <c r="BF81" s="219">
        <v>0</v>
      </c>
      <c r="BG81" s="219">
        <v>0</v>
      </c>
      <c r="BH81" s="219">
        <v>0</v>
      </c>
      <c r="BI81" s="56">
        <f t="shared" si="103"/>
        <v>0</v>
      </c>
      <c r="BJ81" s="223"/>
      <c r="BK81" s="295">
        <v>0</v>
      </c>
      <c r="BL81" s="219">
        <v>0</v>
      </c>
      <c r="BM81" s="219">
        <v>0</v>
      </c>
      <c r="BN81" s="219">
        <v>0</v>
      </c>
      <c r="BO81" s="56">
        <f t="shared" si="104"/>
        <v>0</v>
      </c>
      <c r="BP81" s="223"/>
      <c r="BQ81" s="295">
        <v>0</v>
      </c>
      <c r="BR81" s="219">
        <v>0</v>
      </c>
      <c r="BS81" s="219">
        <v>0</v>
      </c>
      <c r="BT81" s="219">
        <v>0</v>
      </c>
      <c r="BU81" s="56">
        <f t="shared" si="105"/>
        <v>0</v>
      </c>
      <c r="BV81" s="223"/>
      <c r="BW81" s="295">
        <v>0</v>
      </c>
      <c r="BX81" s="219">
        <v>0</v>
      </c>
      <c r="BY81" s="219">
        <v>0</v>
      </c>
      <c r="BZ81" s="219">
        <v>0</v>
      </c>
      <c r="CA81" s="56">
        <f t="shared" si="106"/>
        <v>0</v>
      </c>
      <c r="CB81" s="223"/>
      <c r="CC81" s="295">
        <v>0</v>
      </c>
      <c r="CD81" s="219">
        <v>0</v>
      </c>
      <c r="CE81" s="219">
        <v>0</v>
      </c>
      <c r="CF81" s="219">
        <v>0</v>
      </c>
      <c r="CG81" s="56">
        <f t="shared" si="107"/>
        <v>0</v>
      </c>
      <c r="CH81" s="223"/>
      <c r="CI81" s="295">
        <v>0</v>
      </c>
      <c r="CJ81" s="219">
        <v>0</v>
      </c>
      <c r="CK81" s="219">
        <v>0</v>
      </c>
      <c r="CL81" s="219">
        <v>0</v>
      </c>
      <c r="CM81" s="56">
        <f t="shared" si="108"/>
        <v>0</v>
      </c>
      <c r="CN81" s="223"/>
      <c r="CO81" s="295">
        <v>0</v>
      </c>
      <c r="CP81" s="219">
        <v>0</v>
      </c>
      <c r="CQ81" s="219">
        <v>0</v>
      </c>
      <c r="CR81" s="219">
        <v>0</v>
      </c>
      <c r="CS81" s="56">
        <f t="shared" si="109"/>
        <v>0</v>
      </c>
      <c r="CT81" s="223"/>
      <c r="CU81" s="295">
        <v>0</v>
      </c>
      <c r="CV81" s="219">
        <v>0</v>
      </c>
      <c r="CW81" s="219">
        <v>0</v>
      </c>
      <c r="CX81" s="219">
        <v>0</v>
      </c>
      <c r="CY81" s="56">
        <f t="shared" si="110"/>
        <v>0</v>
      </c>
      <c r="CZ81" s="264"/>
      <c r="DA81" s="264"/>
      <c r="DB81" s="264"/>
    </row>
    <row r="82" spans="1:112" ht="11.25" customHeight="1" outlineLevel="1" x14ac:dyDescent="0.2">
      <c r="A82" s="305" t="s">
        <v>245</v>
      </c>
      <c r="B82" s="223"/>
      <c r="C82" s="295">
        <v>0</v>
      </c>
      <c r="D82" s="219">
        <v>0</v>
      </c>
      <c r="E82" s="219">
        <v>0</v>
      </c>
      <c r="F82" s="219">
        <v>0</v>
      </c>
      <c r="G82" s="56"/>
      <c r="H82" s="223"/>
      <c r="I82" s="295">
        <v>0</v>
      </c>
      <c r="J82" s="219">
        <v>0</v>
      </c>
      <c r="K82" s="219">
        <v>0</v>
      </c>
      <c r="L82" s="219">
        <v>0</v>
      </c>
      <c r="M82" s="56">
        <f t="shared" si="96"/>
        <v>0</v>
      </c>
      <c r="N82" s="223"/>
      <c r="O82" s="295">
        <v>0</v>
      </c>
      <c r="P82" s="219">
        <v>0</v>
      </c>
      <c r="Q82" s="219">
        <v>0</v>
      </c>
      <c r="R82" s="219">
        <v>0</v>
      </c>
      <c r="S82" s="56">
        <f t="shared" si="97"/>
        <v>0</v>
      </c>
      <c r="T82" s="223"/>
      <c r="U82" s="295">
        <v>0</v>
      </c>
      <c r="V82" s="219">
        <v>7.0000000000000007E-2</v>
      </c>
      <c r="W82" s="219">
        <v>0</v>
      </c>
      <c r="X82" s="219">
        <f>0.538-SUM(U82:W82)</f>
        <v>0.46800000000000003</v>
      </c>
      <c r="Y82" s="56">
        <f t="shared" si="98"/>
        <v>0.53800000000000003</v>
      </c>
      <c r="Z82" s="223"/>
      <c r="AA82" s="295">
        <v>0.46</v>
      </c>
      <c r="AB82" s="219">
        <v>0</v>
      </c>
      <c r="AC82" s="219">
        <f>0.83</f>
        <v>0.83</v>
      </c>
      <c r="AD82" s="219">
        <f>0.985-SUM(AA82:AC82)</f>
        <v>-0.30500000000000005</v>
      </c>
      <c r="AE82" s="56">
        <f t="shared" si="99"/>
        <v>0.98499999999999999</v>
      </c>
      <c r="AF82" s="223"/>
      <c r="AG82" s="295">
        <v>1</v>
      </c>
      <c r="AH82" s="219">
        <v>1.1319999999999999</v>
      </c>
      <c r="AI82" s="219">
        <f>-2.429+5.784</f>
        <v>3.355</v>
      </c>
      <c r="AJ82" s="219">
        <f>-12.9+2.7-SUM(AG82:AI82)</f>
        <v>-15.686999999999999</v>
      </c>
      <c r="AK82" s="56">
        <f t="shared" si="100"/>
        <v>-10.199999999999999</v>
      </c>
      <c r="AL82" s="223"/>
      <c r="AM82" s="295">
        <v>0</v>
      </c>
      <c r="AN82" s="219">
        <v>0</v>
      </c>
      <c r="AO82" s="219">
        <v>-0.6</v>
      </c>
      <c r="AP82" s="219">
        <f>0-SUM(AM82:AO82)</f>
        <v>0.6</v>
      </c>
      <c r="AQ82" s="56">
        <f t="shared" si="101"/>
        <v>0</v>
      </c>
      <c r="AR82" s="223"/>
      <c r="AS82" s="295">
        <v>1.3</v>
      </c>
      <c r="AT82" s="219">
        <v>-0.9</v>
      </c>
      <c r="AU82" s="219">
        <v>-10</v>
      </c>
      <c r="AV82" s="219">
        <f>-8.5-SUM(AS82:AU82)</f>
        <v>1.0999999999999996</v>
      </c>
      <c r="AW82" s="56">
        <f t="shared" si="102"/>
        <v>-8.5</v>
      </c>
      <c r="AX82" s="223"/>
      <c r="AY82" s="295">
        <v>-1.3</v>
      </c>
      <c r="AZ82" s="219">
        <v>-0.1</v>
      </c>
      <c r="BA82" s="219">
        <v>0.9</v>
      </c>
      <c r="BB82" s="219">
        <f>-0.4-SUM(AY82:BA82)</f>
        <v>0.10000000000000009</v>
      </c>
      <c r="BC82" s="56">
        <f t="shared" si="111"/>
        <v>-0.4</v>
      </c>
      <c r="BD82" s="223"/>
      <c r="BE82" s="295">
        <v>0</v>
      </c>
      <c r="BF82" s="219">
        <v>0.1</v>
      </c>
      <c r="BG82" s="219">
        <v>0</v>
      </c>
      <c r="BH82" s="219">
        <f>0.9-0.3</f>
        <v>0.60000000000000009</v>
      </c>
      <c r="BI82" s="56">
        <f t="shared" si="103"/>
        <v>0.70000000000000007</v>
      </c>
      <c r="BJ82" s="223"/>
      <c r="BK82" s="295">
        <f>0.5+8.3</f>
        <v>8.8000000000000007</v>
      </c>
      <c r="BL82" s="219">
        <f>4.7+1</f>
        <v>5.7</v>
      </c>
      <c r="BM82" s="219">
        <f>4.8+5.3</f>
        <v>10.1</v>
      </c>
      <c r="BN82" s="219">
        <f>-2.7+4.5</f>
        <v>1.7999999999999998</v>
      </c>
      <c r="BO82" s="56">
        <f t="shared" si="104"/>
        <v>26.400000000000002</v>
      </c>
      <c r="BP82" s="223"/>
      <c r="BQ82" s="295">
        <f>4.7+8.1</f>
        <v>12.8</v>
      </c>
      <c r="BR82" s="219">
        <f>4.8+2.3</f>
        <v>7.1</v>
      </c>
      <c r="BS82" s="219">
        <f>4.8+0.6</f>
        <v>5.3999999999999995</v>
      </c>
      <c r="BT82" s="219">
        <f>4.8-0.1</f>
        <v>4.7</v>
      </c>
      <c r="BU82" s="56">
        <f t="shared" si="105"/>
        <v>29.999999999999996</v>
      </c>
      <c r="BV82" s="223"/>
      <c r="BW82" s="295">
        <f>4.9+0.1</f>
        <v>5</v>
      </c>
      <c r="BX82" s="219">
        <v>5.64</v>
      </c>
      <c r="BY82" s="219">
        <v>5.8</v>
      </c>
      <c r="BZ82" s="219">
        <v>5.0999999999999996</v>
      </c>
      <c r="CA82" s="56">
        <f t="shared" si="106"/>
        <v>21.54</v>
      </c>
      <c r="CB82" s="223"/>
      <c r="CC82" s="295">
        <v>5.0999999999999996</v>
      </c>
      <c r="CD82" s="219">
        <f>5.1-0.3</f>
        <v>4.8</v>
      </c>
      <c r="CE82" s="219">
        <f>5.7-2.3+1.8</f>
        <v>5.2</v>
      </c>
      <c r="CF82" s="219">
        <v>8.1999999999999993</v>
      </c>
      <c r="CG82" s="56">
        <f t="shared" si="107"/>
        <v>23.299999999999997</v>
      </c>
      <c r="CH82" s="223"/>
      <c r="CI82" s="295">
        <f>+CF82</f>
        <v>8.1999999999999993</v>
      </c>
      <c r="CJ82" s="219">
        <f>+CI82</f>
        <v>8.1999999999999993</v>
      </c>
      <c r="CK82" s="219">
        <f>+CJ82</f>
        <v>8.1999999999999993</v>
      </c>
      <c r="CL82" s="219">
        <f>+CK82</f>
        <v>8.1999999999999993</v>
      </c>
      <c r="CM82" s="56">
        <f t="shared" si="108"/>
        <v>32.799999999999997</v>
      </c>
      <c r="CN82" s="223"/>
      <c r="CO82" s="295">
        <f>+CL82</f>
        <v>8.1999999999999993</v>
      </c>
      <c r="CP82" s="219">
        <f>+CO82</f>
        <v>8.1999999999999993</v>
      </c>
      <c r="CQ82" s="219">
        <f>+CP82</f>
        <v>8.1999999999999993</v>
      </c>
      <c r="CR82" s="219">
        <f>+CQ82</f>
        <v>8.1999999999999993</v>
      </c>
      <c r="CS82" s="56">
        <f t="shared" si="109"/>
        <v>32.799999999999997</v>
      </c>
      <c r="CT82" s="223"/>
      <c r="CU82" s="295">
        <f>+CR82</f>
        <v>8.1999999999999993</v>
      </c>
      <c r="CV82" s="219">
        <f>+CU82</f>
        <v>8.1999999999999993</v>
      </c>
      <c r="CW82" s="219">
        <f>+CV82</f>
        <v>8.1999999999999993</v>
      </c>
      <c r="CX82" s="219">
        <f>+CW82</f>
        <v>8.1999999999999993</v>
      </c>
      <c r="CY82" s="56">
        <f t="shared" si="110"/>
        <v>32.799999999999997</v>
      </c>
      <c r="CZ82" s="264"/>
      <c r="DA82" s="264"/>
      <c r="DB82" s="264"/>
    </row>
    <row r="83" spans="1:112" ht="11.25" customHeight="1" outlineLevel="1" x14ac:dyDescent="0.2">
      <c r="A83" s="305" t="s">
        <v>414</v>
      </c>
      <c r="B83" s="223"/>
      <c r="C83" s="295">
        <v>0</v>
      </c>
      <c r="D83" s="219">
        <v>0</v>
      </c>
      <c r="E83" s="219">
        <v>0</v>
      </c>
      <c r="F83" s="219">
        <v>0</v>
      </c>
      <c r="G83" s="56"/>
      <c r="H83" s="223"/>
      <c r="I83" s="295">
        <v>0</v>
      </c>
      <c r="J83" s="219">
        <v>0</v>
      </c>
      <c r="K83" s="219">
        <v>0</v>
      </c>
      <c r="L83" s="219">
        <v>0</v>
      </c>
      <c r="M83" s="56">
        <f t="shared" si="96"/>
        <v>0</v>
      </c>
      <c r="N83" s="223"/>
      <c r="O83" s="295">
        <v>0.08</v>
      </c>
      <c r="P83" s="219">
        <v>0.1</v>
      </c>
      <c r="Q83" s="219">
        <v>0.04</v>
      </c>
      <c r="R83" s="219">
        <f>0-SUM(O83:Q83)</f>
        <v>-0.22</v>
      </c>
      <c r="S83" s="56">
        <f t="shared" si="97"/>
        <v>0</v>
      </c>
      <c r="T83" s="223"/>
      <c r="U83" s="295">
        <v>0.33</v>
      </c>
      <c r="V83" s="219">
        <v>0.89</v>
      </c>
      <c r="W83" s="219">
        <v>2.2000000000000002</v>
      </c>
      <c r="X83" s="219">
        <f>5.8-SUM(U83:W83)</f>
        <v>2.38</v>
      </c>
      <c r="Y83" s="56">
        <f t="shared" si="98"/>
        <v>5.8</v>
      </c>
      <c r="Z83" s="223"/>
      <c r="AA83" s="295">
        <v>2</v>
      </c>
      <c r="AB83" s="219">
        <v>2.4</v>
      </c>
      <c r="AC83" s="219">
        <v>1.9</v>
      </c>
      <c r="AD83" s="219">
        <f>9.4-SUM(AA83:AC83)</f>
        <v>3.0999999999999996</v>
      </c>
      <c r="AE83" s="56">
        <f t="shared" si="99"/>
        <v>9.4</v>
      </c>
      <c r="AF83" s="223"/>
      <c r="AG83" s="295">
        <v>2.2000000000000002</v>
      </c>
      <c r="AH83" s="219">
        <v>2.8140000000000001</v>
      </c>
      <c r="AI83" s="219">
        <v>2.3479999999999999</v>
      </c>
      <c r="AJ83" s="219">
        <f>9.7-SUM(AG83:AI83)</f>
        <v>2.3379999999999992</v>
      </c>
      <c r="AK83" s="56">
        <f t="shared" si="100"/>
        <v>9.6999999999999993</v>
      </c>
      <c r="AL83" s="223"/>
      <c r="AM83" s="295">
        <v>2.6</v>
      </c>
      <c r="AN83" s="219">
        <v>3.7</v>
      </c>
      <c r="AO83" s="219">
        <v>3.6</v>
      </c>
      <c r="AP83" s="219">
        <f>13.6-SUM(AM83:AO83)</f>
        <v>3.6999999999999993</v>
      </c>
      <c r="AQ83" s="56">
        <f t="shared" si="101"/>
        <v>13.6</v>
      </c>
      <c r="AR83" s="223"/>
      <c r="AS83" s="295">
        <v>4</v>
      </c>
      <c r="AT83" s="219">
        <v>5.3</v>
      </c>
      <c r="AU83" s="219">
        <v>5.0999999999999996</v>
      </c>
      <c r="AV83" s="219">
        <f>19.5-SUM(AS83:AU83)</f>
        <v>5.0999999999999996</v>
      </c>
      <c r="AW83" s="56">
        <f t="shared" si="102"/>
        <v>19.5</v>
      </c>
      <c r="AX83" s="223"/>
      <c r="AY83" s="295">
        <v>5.2</v>
      </c>
      <c r="AZ83" s="219">
        <v>7.4</v>
      </c>
      <c r="BA83" s="219">
        <v>5</v>
      </c>
      <c r="BB83" s="219">
        <f>25.4-SUM(AY83:BA83)</f>
        <v>7.7999999999999972</v>
      </c>
      <c r="BC83" s="56">
        <f t="shared" si="111"/>
        <v>25.4</v>
      </c>
      <c r="BD83" s="223"/>
      <c r="BE83" s="295">
        <v>8.6</v>
      </c>
      <c r="BF83" s="219">
        <v>9.9</v>
      </c>
      <c r="BG83" s="219">
        <v>8.1999999999999993</v>
      </c>
      <c r="BH83" s="219">
        <v>11</v>
      </c>
      <c r="BI83" s="56">
        <f t="shared" si="103"/>
        <v>37.700000000000003</v>
      </c>
      <c r="BJ83" s="223"/>
      <c r="BK83" s="295">
        <v>0</v>
      </c>
      <c r="BL83" s="219">
        <v>0</v>
      </c>
      <c r="BM83" s="219">
        <v>0</v>
      </c>
      <c r="BN83" s="219">
        <v>0</v>
      </c>
      <c r="BO83" s="56">
        <f t="shared" si="104"/>
        <v>0</v>
      </c>
      <c r="BP83" s="223"/>
      <c r="BQ83" s="295">
        <v>0</v>
      </c>
      <c r="BR83" s="219">
        <v>0</v>
      </c>
      <c r="BS83" s="219">
        <v>0</v>
      </c>
      <c r="BT83" s="219">
        <f>BT70</f>
        <v>0</v>
      </c>
      <c r="BU83" s="56">
        <f t="shared" si="105"/>
        <v>0</v>
      </c>
      <c r="BV83" s="223"/>
      <c r="BW83" s="295">
        <v>0</v>
      </c>
      <c r="BX83" s="1636">
        <v>0</v>
      </c>
      <c r="BY83" s="1636">
        <v>0</v>
      </c>
      <c r="BZ83" s="219">
        <v>0</v>
      </c>
      <c r="CA83" s="56">
        <f t="shared" si="106"/>
        <v>0</v>
      </c>
      <c r="CB83" s="223"/>
      <c r="CC83" s="295">
        <v>0</v>
      </c>
      <c r="CD83" s="1636">
        <v>0</v>
      </c>
      <c r="CE83" s="1636">
        <v>0</v>
      </c>
      <c r="CF83" s="219">
        <v>0</v>
      </c>
      <c r="CG83" s="56">
        <f t="shared" si="107"/>
        <v>0</v>
      </c>
      <c r="CH83" s="223"/>
      <c r="CI83" s="300">
        <f>CI70</f>
        <v>0</v>
      </c>
      <c r="CJ83" s="264">
        <f>CJ70</f>
        <v>0</v>
      </c>
      <c r="CK83" s="264">
        <f>CK70</f>
        <v>0</v>
      </c>
      <c r="CL83" s="264">
        <f>CL70</f>
        <v>0</v>
      </c>
      <c r="CM83" s="56">
        <f t="shared" si="108"/>
        <v>0</v>
      </c>
      <c r="CN83" s="223"/>
      <c r="CO83" s="300">
        <f>CO70</f>
        <v>0</v>
      </c>
      <c r="CP83" s="264">
        <f>CP70</f>
        <v>0</v>
      </c>
      <c r="CQ83" s="264">
        <f>CQ70</f>
        <v>0</v>
      </c>
      <c r="CR83" s="264">
        <f>CR70</f>
        <v>0</v>
      </c>
      <c r="CS83" s="56">
        <f t="shared" si="109"/>
        <v>0</v>
      </c>
      <c r="CT83" s="223"/>
      <c r="CU83" s="300">
        <f>CU70</f>
        <v>0</v>
      </c>
      <c r="CV83" s="264">
        <f>CV70</f>
        <v>0</v>
      </c>
      <c r="CW83" s="264">
        <f>CW70</f>
        <v>0</v>
      </c>
      <c r="CX83" s="264">
        <f>CX70</f>
        <v>0</v>
      </c>
      <c r="CY83" s="56">
        <f t="shared" si="110"/>
        <v>0</v>
      </c>
      <c r="CZ83" s="264"/>
      <c r="DA83" s="264"/>
      <c r="DB83" s="264"/>
    </row>
    <row r="84" spans="1:112" s="271" customFormat="1" ht="11.25" customHeight="1" x14ac:dyDescent="0.2">
      <c r="A84" s="1936" t="s">
        <v>183</v>
      </c>
      <c r="B84" s="223"/>
      <c r="C84" s="53">
        <f>-0.941*C92</f>
        <v>-0.32464499999999996</v>
      </c>
      <c r="D84" s="51">
        <f>-1.805*D92</f>
        <v>-0.62272499999999997</v>
      </c>
      <c r="E84" s="51">
        <f>-((1.454+0.572+0.763)*(E92))</f>
        <v>-0.96220499999999987</v>
      </c>
      <c r="F84" s="51">
        <f>-((1.454+0.572+3.817)*(G92))-SUM(C84:E84)</f>
        <v>-0.10626000000000024</v>
      </c>
      <c r="G84" s="6">
        <f>SUM(C84:F84)</f>
        <v>-2.015835</v>
      </c>
      <c r="H84" s="223"/>
      <c r="I84" s="53">
        <v>0</v>
      </c>
      <c r="J84" s="51">
        <f>-((0.253+2.056)*(J92))</f>
        <v>-0.72733500000000006</v>
      </c>
      <c r="K84" s="51">
        <f>-(0.274*K92)</f>
        <v>-8.6310000000000012E-2</v>
      </c>
      <c r="L84" s="51">
        <f>-((0.439+3.213)*(L92))-SUM(I84:K84)</f>
        <v>-0.3367349999999999</v>
      </c>
      <c r="M84" s="6">
        <f t="shared" si="96"/>
        <v>-1.15038</v>
      </c>
      <c r="N84" s="223"/>
      <c r="O84" s="53">
        <f>-(1.505-0.95)-((0.461+0.284)-0.64)-(0.08-0.06)</f>
        <v>-0.67999999999999994</v>
      </c>
      <c r="P84" s="51">
        <f>-(1.893-1.2)-((1.284+3.246)-3.8)-(0.785-0.6)-(0.1-0)</f>
        <v>-1.7080000000000006</v>
      </c>
      <c r="Q84" s="51">
        <f>-(2.359-1.54)-(1.449-0.93)-(0.04-0.03)</f>
        <v>-1.3480000000000001</v>
      </c>
      <c r="R84" s="51">
        <f>-(8.22*0.35)-((2.046+6.061)*0.35)-(1.452*0.35)-SUM(O84:Q84)</f>
        <v>-2.4866499999999991</v>
      </c>
      <c r="S84" s="6">
        <f t="shared" si="97"/>
        <v>-6.2226499999999998</v>
      </c>
      <c r="T84" s="223"/>
      <c r="U84" s="53">
        <f>-(0.69-0.47)-(0.408-0.31)-(2.598-1.7)-(0.33-0.21)</f>
        <v>-1.3359999999999999</v>
      </c>
      <c r="V84" s="51">
        <f>-(1.346-0.86)-(0.07-0.04)-(2.658-1.74)-(0.89-0.59)</f>
        <v>-1.7340000000000002</v>
      </c>
      <c r="W84" s="51">
        <f>-((8.406+2.951)-7.3)-((1.343+4.546)-3.8)-(2.2-1.4)</f>
        <v>-6.9460000000000015</v>
      </c>
      <c r="X84" s="51">
        <f>-((23.615+7.711)-20)-((2.839+14.708)-11.3)-(0.538-0.4)-(5.8-3.8)-SUM(U84:W84)</f>
        <v>-9.6950000000000003</v>
      </c>
      <c r="Y84" s="6">
        <f t="shared" si="98"/>
        <v>-19.711000000000002</v>
      </c>
      <c r="Z84" s="223"/>
      <c r="AA84" s="53">
        <f>-((10.826+3.651)-9.3)-(0.46-0.3)-(8.725-5.6)-(2-1.4)</f>
        <v>-9.0619999999999994</v>
      </c>
      <c r="AB84" s="51">
        <f>-((11.949+2.816)-9.5)-(0.074-0)-(9.342-6.1)-(2.4-1.6)</f>
        <v>-9.3810000000000002</v>
      </c>
      <c r="AC84" s="51">
        <f>-((12.777+4.018)-10.9)-(0.172-0.1)-((8.554+0.396)-6)-(1.9-1.3)</f>
        <v>-9.5169999999999977</v>
      </c>
      <c r="AD84" s="51">
        <f>-(63.1-41.9)-(1.4-1.1)-(30.9-20.5)-(9.4-6.5)-(1.2-0.8)-SUM(AA84:AC84)</f>
        <v>-7.2400000000000091</v>
      </c>
      <c r="AE84" s="6">
        <f t="shared" si="99"/>
        <v>-35.200000000000003</v>
      </c>
      <c r="AF84" s="223"/>
      <c r="AG84" s="53">
        <f>-(16.9-11)-(2.2-1.5)-(2.8-1.9)</f>
        <v>-7.4999999999999982</v>
      </c>
      <c r="AH84" s="51">
        <f>-1.593-5.983-0.866-0.289</f>
        <v>-8.7309999999999999</v>
      </c>
      <c r="AI84" s="51">
        <f>-0.918-6.082-0.678-1.661-0.835</f>
        <v>-10.173999999999999</v>
      </c>
      <c r="AJ84" s="51">
        <f>-11.3-25.6-2.9-3.2-0.9-SUM(AG84:AI84)</f>
        <v>-17.495000000000008</v>
      </c>
      <c r="AK84" s="6">
        <f t="shared" si="100"/>
        <v>-43.900000000000006</v>
      </c>
      <c r="AL84" s="223"/>
      <c r="AM84" s="53">
        <f>-1.7-10.2-0.7</f>
        <v>-12.599999999999998</v>
      </c>
      <c r="AN84" s="51">
        <f>-7.7-7.5-1.1</f>
        <v>-16.3</v>
      </c>
      <c r="AO84" s="51">
        <f>2.7-7.6-1</f>
        <v>-5.8999999999999995</v>
      </c>
      <c r="AP84" s="51">
        <f>-8.1-30.1-2.9-SUM(AM84:AO84)</f>
        <v>-6.3000000000000043</v>
      </c>
      <c r="AQ84" s="6">
        <f t="shared" si="101"/>
        <v>-41.1</v>
      </c>
      <c r="AR84" s="223"/>
      <c r="AS84" s="53">
        <f>-1.1-7.8-0.8-0.4</f>
        <v>-10.100000000000001</v>
      </c>
      <c r="AT84" s="51">
        <f>-1.1-7.7-1.2+0.4</f>
        <v>-9.6</v>
      </c>
      <c r="AU84" s="51">
        <f>-3.3-8.2-1.1+3</f>
        <v>-9.6</v>
      </c>
      <c r="AV84" s="51">
        <f>-34.8-32.9-4.2+0.9-SUM(AS84:AU84)</f>
        <v>-41.699999999999982</v>
      </c>
      <c r="AW84" s="6">
        <f t="shared" si="102"/>
        <v>-70.999999999999986</v>
      </c>
      <c r="AX84" s="223"/>
      <c r="AY84" s="1937">
        <f>-3.9-10.9-1.1-0.4</f>
        <v>-16.3</v>
      </c>
      <c r="AZ84" s="1938">
        <f>-1.4-10.4-1.7</f>
        <v>-13.5</v>
      </c>
      <c r="BA84" s="1938">
        <v>0</v>
      </c>
      <c r="BB84" s="1938">
        <f>-13.9-38.7-5.6+3.2-SUM(AY84:BA84)</f>
        <v>-25.2</v>
      </c>
      <c r="BC84" s="6">
        <f t="shared" si="111"/>
        <v>-55</v>
      </c>
      <c r="BD84" s="223"/>
      <c r="BE84" s="53">
        <f>-4.1-8.5-2</f>
        <v>-14.6</v>
      </c>
      <c r="BF84" s="51">
        <f>-3-10.1-1.8+1.3</f>
        <v>-13.6</v>
      </c>
      <c r="BG84" s="51">
        <f>-13.9-9.6-2.1</f>
        <v>-25.6</v>
      </c>
      <c r="BH84" s="51">
        <f>-30.4-11.4-3-0.9</f>
        <v>-45.699999999999996</v>
      </c>
      <c r="BI84" s="6">
        <f t="shared" si="103"/>
        <v>-99.5</v>
      </c>
      <c r="BJ84" s="223"/>
      <c r="BK84" s="53">
        <f>-1-9.9</f>
        <v>-10.9</v>
      </c>
      <c r="BL84" s="51">
        <f>-1.2-10</f>
        <v>-11.2</v>
      </c>
      <c r="BM84" s="51">
        <v>-13.4</v>
      </c>
      <c r="BN84" s="51">
        <f>-7.1-9.9-1.2</f>
        <v>-18.2</v>
      </c>
      <c r="BO84" s="6">
        <f t="shared" si="104"/>
        <v>-53.7</v>
      </c>
      <c r="BP84" s="223"/>
      <c r="BQ84" s="53">
        <f>-0.7-9.9-1.8</f>
        <v>-12.4</v>
      </c>
      <c r="BR84" s="51">
        <v>-10.1</v>
      </c>
      <c r="BS84" s="51">
        <v>-8.3000000000000007</v>
      </c>
      <c r="BT84" s="51">
        <v>-15</v>
      </c>
      <c r="BU84" s="6">
        <f t="shared" si="105"/>
        <v>-45.8</v>
      </c>
      <c r="BV84" s="223"/>
      <c r="BW84" s="53">
        <f>-2.8-9.9-1.2</f>
        <v>-13.899999999999999</v>
      </c>
      <c r="BX84" s="51">
        <v>-9.34</v>
      </c>
      <c r="BY84" s="51">
        <v>-11.1</v>
      </c>
      <c r="BZ84" s="51">
        <v>-17.5</v>
      </c>
      <c r="CA84" s="6">
        <f t="shared" si="106"/>
        <v>-51.839999999999996</v>
      </c>
      <c r="CB84" s="223"/>
      <c r="CC84" s="53">
        <v>-11.3</v>
      </c>
      <c r="CD84" s="51">
        <v>-2.2000000000000002</v>
      </c>
      <c r="CE84" s="51">
        <v>-10.4</v>
      </c>
      <c r="CF84" s="51">
        <v>79.599999999999994</v>
      </c>
      <c r="CG84" s="6">
        <f t="shared" si="107"/>
        <v>55.699999999999996</v>
      </c>
      <c r="CH84" s="223"/>
      <c r="CI84" s="19">
        <f>-SUM(CI75:CI82)*CI92-CI72</f>
        <v>-14.89325</v>
      </c>
      <c r="CJ84" s="20">
        <f>-SUM(CJ75:CJ82)*CJ92-CJ72</f>
        <v>-14.958747499999998</v>
      </c>
      <c r="CK84" s="20">
        <f>-SUM(CK75:CK82)*CK92-CK72</f>
        <v>-15.024899975</v>
      </c>
      <c r="CL84" s="20">
        <f>-SUM(CL75:CL82)*CL92-CL72</f>
        <v>-15.091713974750002</v>
      </c>
      <c r="CM84" s="6">
        <f t="shared" si="108"/>
        <v>-59.968611449749993</v>
      </c>
      <c r="CN84" s="223"/>
      <c r="CO84" s="19">
        <f>-SUM(CO75:CO82)*CO92-CO72</f>
        <v>-14.416892577275</v>
      </c>
      <c r="CP84" s="20">
        <f>-SUM(CP75:CP82)*CP92-CP72</f>
        <v>-14.477626503047752</v>
      </c>
      <c r="CQ84" s="20">
        <f>-SUM(CQ75:CQ82)*CQ92-CQ72</f>
        <v>-14.538967768078226</v>
      </c>
      <c r="CR84" s="20">
        <f>-SUM(CR75:CR82)*CR92-CR72</f>
        <v>-14.600922445759009</v>
      </c>
      <c r="CS84" s="6">
        <f t="shared" si="109"/>
        <v>-58.034409294159985</v>
      </c>
      <c r="CT84" s="223"/>
      <c r="CU84" s="19">
        <f>-SUM(CU75:CU82)*CU92-CU72</f>
        <v>-13.975180201183109</v>
      </c>
      <c r="CV84" s="20">
        <f>-SUM(CV75:CV82)*CV92-CV72</f>
        <v>-14.031497003194941</v>
      </c>
      <c r="CW84" s="20">
        <f>-SUM(CW75:CW82)*CW92-CW72</f>
        <v>-14.088376973226891</v>
      </c>
      <c r="CX84" s="20">
        <f>-SUM(CX75:CX82)*CX92-CX72</f>
        <v>-14.145825742959161</v>
      </c>
      <c r="CY84" s="6">
        <f t="shared" si="110"/>
        <v>-56.240879920564105</v>
      </c>
      <c r="CZ84" s="265"/>
      <c r="DA84" s="265"/>
      <c r="DB84" s="265"/>
      <c r="DC84"/>
      <c r="DD84"/>
      <c r="DE84"/>
      <c r="DF84"/>
      <c r="DG84"/>
      <c r="DH84"/>
    </row>
    <row r="85" spans="1:112" ht="11.25" customHeight="1" x14ac:dyDescent="0.2">
      <c r="A85" s="1939" t="s">
        <v>169</v>
      </c>
      <c r="B85" s="223"/>
      <c r="C85" s="1935">
        <f>C73-C74</f>
        <v>11.420999999999996</v>
      </c>
      <c r="D85" s="441">
        <f>D73-D74</f>
        <v>8.8020000000000067</v>
      </c>
      <c r="E85" s="441">
        <f>E73-E74</f>
        <v>12.639999999999969</v>
      </c>
      <c r="F85" s="441">
        <f>F73-F74</f>
        <v>15.842000000000059</v>
      </c>
      <c r="G85" s="1468">
        <f>G73-G74</f>
        <v>48.705000000000005</v>
      </c>
      <c r="H85" s="223"/>
      <c r="I85" s="1935">
        <f>I73-I74</f>
        <v>13.948</v>
      </c>
      <c r="J85" s="441">
        <f>J73-J74</f>
        <v>13.777000000000008</v>
      </c>
      <c r="K85" s="441">
        <f>K73-K74</f>
        <v>17.639999999999983</v>
      </c>
      <c r="L85" s="441">
        <f>L73-L74</f>
        <v>16.860000000000007</v>
      </c>
      <c r="M85" s="1468">
        <f>M73-M74</f>
        <v>62.225000000000001</v>
      </c>
      <c r="N85" s="223"/>
      <c r="O85" s="1935">
        <f>O73-O74</f>
        <v>17.580000000000005</v>
      </c>
      <c r="P85" s="441">
        <f>P73-P74</f>
        <v>14.154000000000007</v>
      </c>
      <c r="Q85" s="441">
        <f>Q73-Q74</f>
        <v>19.358000000000011</v>
      </c>
      <c r="R85" s="441">
        <f>R73-R74</f>
        <v>19.446999999999999</v>
      </c>
      <c r="S85" s="1468">
        <f>S73-S74</f>
        <v>70.538999999999987</v>
      </c>
      <c r="T85" s="223"/>
      <c r="U85" s="1935">
        <f>U73-U74</f>
        <v>19.866999999999976</v>
      </c>
      <c r="V85" s="441">
        <f>V73-V74</f>
        <v>22.582999999999991</v>
      </c>
      <c r="W85" s="441">
        <f>W73-W74</f>
        <v>-7.3280000000000136</v>
      </c>
      <c r="X85" s="441">
        <f>X73-X74</f>
        <v>15.000000000000071</v>
      </c>
      <c r="Y85" s="1468">
        <f>Y73-Y74</f>
        <v>50.122000000000028</v>
      </c>
      <c r="Z85" s="223"/>
      <c r="AA85" s="1935">
        <f>AA73-AA74</f>
        <v>20.332999999999956</v>
      </c>
      <c r="AB85" s="441">
        <f>AB73-AB74</f>
        <v>23.225000000000012</v>
      </c>
      <c r="AC85" s="441">
        <f>AC73-AC74</f>
        <v>20.790999999999997</v>
      </c>
      <c r="AD85" s="441">
        <f>AD73-AD74</f>
        <v>24.684000000000012</v>
      </c>
      <c r="AE85" s="1468">
        <f>AE73-AE74</f>
        <v>89.032999999999859</v>
      </c>
      <c r="AF85" s="223"/>
      <c r="AG85" s="1935">
        <f>AG73-AG74</f>
        <v>24.684000000000026</v>
      </c>
      <c r="AH85" s="441">
        <f>AH73-AH74</f>
        <v>30.928999999999981</v>
      </c>
      <c r="AI85" s="441">
        <f>AI73-AI74</f>
        <v>37.690000000000005</v>
      </c>
      <c r="AJ85" s="441">
        <f>AJ73-AJ74</f>
        <v>44.464000000000084</v>
      </c>
      <c r="AK85" s="1468">
        <f>AK73-AK74</f>
        <v>137.76700000000008</v>
      </c>
      <c r="AL85" s="223"/>
      <c r="AM85" s="1935">
        <f>AM73-AM74</f>
        <v>33.013999999999953</v>
      </c>
      <c r="AN85" s="441">
        <f>AN73-AN74</f>
        <v>38.519999999999996</v>
      </c>
      <c r="AO85" s="441">
        <f>AO73-AO74</f>
        <v>36.487999999999985</v>
      </c>
      <c r="AP85" s="441">
        <f>AP73-AP74</f>
        <v>36.29000000000002</v>
      </c>
      <c r="AQ85" s="1468">
        <f>AQ73-AQ74</f>
        <v>144.31200000000007</v>
      </c>
      <c r="AR85" s="223"/>
      <c r="AS85" s="1940">
        <f>AS73-AS74</f>
        <v>27.980999999999966</v>
      </c>
      <c r="AT85" s="1941">
        <f>AT73-AT74</f>
        <v>33.288000000000025</v>
      </c>
      <c r="AU85" s="1941">
        <f>AU73-AU74</f>
        <v>35.144999999999996</v>
      </c>
      <c r="AV85" s="1942">
        <f>AV73-AV74</f>
        <v>-0.37799999999987222</v>
      </c>
      <c r="AW85" s="1468">
        <f>AW73-AW74</f>
        <v>96.036000000000001</v>
      </c>
      <c r="AX85" s="223"/>
      <c r="AY85" s="1943">
        <f>AY73-AY74</f>
        <v>28.591999999999995</v>
      </c>
      <c r="AZ85" s="1944">
        <f>AZ73-AZ74</f>
        <v>33.333000000000027</v>
      </c>
      <c r="BA85" s="1944">
        <f>BA73-BA74</f>
        <v>29.162999999999982</v>
      </c>
      <c r="BB85" s="1945">
        <f>BB73-BB74</f>
        <v>38.418999999999997</v>
      </c>
      <c r="BC85" s="1468">
        <f>BC73-BC74</f>
        <v>129.50699999999986</v>
      </c>
      <c r="BD85" s="223"/>
      <c r="BE85" s="1935">
        <f>BE73-BE74</f>
        <v>19.983000000000011</v>
      </c>
      <c r="BF85" s="441">
        <f>BF73-BF74</f>
        <v>-51.749000000000052</v>
      </c>
      <c r="BG85" s="441">
        <f>BG73-BG74</f>
        <v>40.695999999999948</v>
      </c>
      <c r="BH85" s="441">
        <f>BH73-BH74</f>
        <v>60.210999999999949</v>
      </c>
      <c r="BI85" s="1468">
        <f>BI73-BI74</f>
        <v>69.14100000000002</v>
      </c>
      <c r="BJ85" s="223"/>
      <c r="BK85" s="1935">
        <f>BK73-BK74</f>
        <v>23.281999999999982</v>
      </c>
      <c r="BL85" s="441">
        <f>BL73-BL74</f>
        <v>32.680999999999983</v>
      </c>
      <c r="BM85" s="441">
        <f>BM73-BM74</f>
        <v>34.706999999999987</v>
      </c>
      <c r="BN85" s="441">
        <f>BN73-BN74</f>
        <v>25.833999999999946</v>
      </c>
      <c r="BO85" s="1468">
        <f>BO73-BO74</f>
        <v>116.50399999999998</v>
      </c>
      <c r="BP85" s="223"/>
      <c r="BQ85" s="1935">
        <f>BQ73-BQ74</f>
        <v>19.424999999999976</v>
      </c>
      <c r="BR85" s="441">
        <f>BR73-BR74</f>
        <v>25.077000000000034</v>
      </c>
      <c r="BS85" s="441">
        <f>BS73-BS74</f>
        <v>33.915999999999983</v>
      </c>
      <c r="BT85" s="441">
        <f>BT73-BT74</f>
        <v>50.910000000000004</v>
      </c>
      <c r="BU85" s="1468">
        <f>BU73-BU74</f>
        <v>129.32800000000003</v>
      </c>
      <c r="BV85" s="223"/>
      <c r="BW85" s="1946">
        <f>BW73-BW74</f>
        <v>15.98299999999999</v>
      </c>
      <c r="BX85" s="441">
        <f>BX73-BX74</f>
        <v>21.012999999999991</v>
      </c>
      <c r="BY85" s="441">
        <f>BY73-BY74</f>
        <v>33.820999999999991</v>
      </c>
      <c r="BZ85" s="441">
        <f>BZ73-BZ74</f>
        <v>8.613000000000028</v>
      </c>
      <c r="CA85" s="1468">
        <f>CA73-CA74</f>
        <v>79.430000000000007</v>
      </c>
      <c r="CB85" s="223"/>
      <c r="CC85" s="1935">
        <f>CC73-CC74</f>
        <v>17.66100000000003</v>
      </c>
      <c r="CD85" s="441">
        <f>CD73-CD74</f>
        <v>13.952000000000005</v>
      </c>
      <c r="CE85" s="441">
        <f>CE73-CE74</f>
        <v>48.521000000000008</v>
      </c>
      <c r="CF85" s="441">
        <f>CF73-CF74</f>
        <v>-39.653999999999996</v>
      </c>
      <c r="CG85" s="1468">
        <f>CG73-CG74</f>
        <v>40.479999999999961</v>
      </c>
      <c r="CH85" s="223"/>
      <c r="CI85" s="1935">
        <f>CI73-CI74</f>
        <v>-3.4374540413930106</v>
      </c>
      <c r="CJ85" s="441">
        <f>CJ73-CJ74</f>
        <v>16.999924978567108</v>
      </c>
      <c r="CK85" s="441">
        <f>CK73-CK74</f>
        <v>19.095683584062144</v>
      </c>
      <c r="CL85" s="441">
        <f>CL73-CL74</f>
        <v>36.113919467058246</v>
      </c>
      <c r="CM85" s="1468">
        <f>CM73-CM74</f>
        <v>68.772073988294352</v>
      </c>
      <c r="CN85" s="223"/>
      <c r="CO85" s="1935">
        <f>CO73-CO74</f>
        <v>13.056895901787733</v>
      </c>
      <c r="CP85" s="441">
        <f>CP73-CP74</f>
        <v>27.090684993430919</v>
      </c>
      <c r="CQ85" s="441">
        <f>CQ73-CQ74</f>
        <v>32.221286792940518</v>
      </c>
      <c r="CR85" s="441">
        <f>CR73-CR74</f>
        <v>50.642507013887865</v>
      </c>
      <c r="CS85" s="1468">
        <f>CS73-CS74</f>
        <v>123.01137470204688</v>
      </c>
      <c r="CT85" s="223"/>
      <c r="CU85" s="1935">
        <f>CU73-CU74</f>
        <v>38.490429394646739</v>
      </c>
      <c r="CV85" s="441">
        <f>CV73-CV74</f>
        <v>55.497215306517631</v>
      </c>
      <c r="CW85" s="441">
        <f>CW73-CW74</f>
        <v>61.572220469068732</v>
      </c>
      <c r="CX85" s="441">
        <f>CX73-CX74</f>
        <v>81.867221229251939</v>
      </c>
      <c r="CY85" s="1468">
        <f>CY73-CY74</f>
        <v>237.42708639948512</v>
      </c>
      <c r="CZ85" s="255"/>
      <c r="DA85" s="255"/>
      <c r="DB85" s="255"/>
    </row>
    <row r="86" spans="1:112" ht="11.25" customHeight="1" x14ac:dyDescent="0.2">
      <c r="A86" s="1936" t="s">
        <v>198</v>
      </c>
      <c r="B86" s="223"/>
      <c r="C86" s="306">
        <f>C73-C70+C72</f>
        <v>12.037354999999996</v>
      </c>
      <c r="D86" s="181">
        <f>D73-D70+D72</f>
        <v>9.9842750000000073</v>
      </c>
      <c r="E86" s="181">
        <f>E73-E70+E72</f>
        <v>14.466794999999967</v>
      </c>
      <c r="F86" s="181">
        <f>F73-F70+F72</f>
        <v>16.04374000000006</v>
      </c>
      <c r="G86" s="307">
        <f>G73-G70+G72</f>
        <v>52.532165000000006</v>
      </c>
      <c r="H86" s="223"/>
      <c r="I86" s="306">
        <f>I73-I70+I72</f>
        <v>13.948</v>
      </c>
      <c r="J86" s="181">
        <f>J73-J70+J72</f>
        <v>16.072665000000008</v>
      </c>
      <c r="K86" s="181">
        <f>K73-K70+K72</f>
        <v>17.852689999999981</v>
      </c>
      <c r="L86" s="181">
        <f>L73-L70+L72</f>
        <v>20.092265000000005</v>
      </c>
      <c r="M86" s="307">
        <f>M73-M70+M72</f>
        <v>67.965620000000001</v>
      </c>
      <c r="N86" s="223"/>
      <c r="O86" s="306">
        <f>O73-O70+O72</f>
        <v>19.170000000000005</v>
      </c>
      <c r="P86" s="181">
        <f>P73-P70+P72</f>
        <v>19.754000000000005</v>
      </c>
      <c r="Q86" s="181">
        <f>Q73-Q70+Q72</f>
        <v>21.828000000000014</v>
      </c>
      <c r="R86" s="181">
        <f>R73-R70+R72</f>
        <v>23.353349999999999</v>
      </c>
      <c r="S86" s="307">
        <f>S73-S70+S72</f>
        <v>84.105349999999987</v>
      </c>
      <c r="T86" s="223"/>
      <c r="U86" s="306">
        <f>U73-U70+U72</f>
        <v>22.34699999999998</v>
      </c>
      <c r="V86" s="181">
        <f>V73-V70+V72</f>
        <v>25.222999999999992</v>
      </c>
      <c r="W86" s="181">
        <f>W73-W70+W72</f>
        <v>29.671999999999993</v>
      </c>
      <c r="X86" s="181">
        <f>X73-X70+X72</f>
        <v>32.280000000000072</v>
      </c>
      <c r="Y86" s="307">
        <f>Y73-Y70+Y72</f>
        <v>109.52200000000002</v>
      </c>
      <c r="Z86" s="223"/>
      <c r="AA86" s="306">
        <f>AA73-AA70+AA72</f>
        <v>35.532999999999959</v>
      </c>
      <c r="AB86" s="181">
        <f>AB73-AB70+AB72</f>
        <v>38.82500000000001</v>
      </c>
      <c r="AC86" s="181">
        <f>AC73-AC70+AC72</f>
        <v>41.120999999999995</v>
      </c>
      <c r="AD86" s="181">
        <f>AD73-AD70+AD72</f>
        <v>41.307000000000002</v>
      </c>
      <c r="AE86" s="307">
        <f>AE73-AE70+AE72</f>
        <v>156.78599999999986</v>
      </c>
      <c r="AF86" s="223"/>
      <c r="AG86" s="306">
        <f>AG73-AG70+AG72</f>
        <v>38.875000000000028</v>
      </c>
      <c r="AH86" s="181">
        <f>AH73-AH70+AH72</f>
        <v>46.310999999999979</v>
      </c>
      <c r="AI86" s="181">
        <f>AI73-AI70+AI72</f>
        <v>51.837000000000003</v>
      </c>
      <c r="AJ86" s="181">
        <f>AJ73-AJ70+AJ72</f>
        <v>55.765000000000072</v>
      </c>
      <c r="AK86" s="307">
        <f>AK73-AK70+AK72</f>
        <v>192.7880000000001</v>
      </c>
      <c r="AL86" s="223"/>
      <c r="AM86" s="306">
        <f>AM73-AM70+AM72</f>
        <v>47.471999999999959</v>
      </c>
      <c r="AN86" s="181">
        <f>AN73-AN70+AN72</f>
        <v>49.959999999999994</v>
      </c>
      <c r="AO86" s="181">
        <f>AO73-AO70+AO72</f>
        <v>56.167999999999985</v>
      </c>
      <c r="AP86" s="181">
        <f>AP73-AP70+AP72</f>
        <v>58.403000000000027</v>
      </c>
      <c r="AQ86" s="307">
        <f>AQ73-AQ70+AQ72</f>
        <v>212.00300000000007</v>
      </c>
      <c r="AR86" s="223"/>
      <c r="AS86" s="306">
        <f>AS73-AS70+AS72</f>
        <v>46.305999999999962</v>
      </c>
      <c r="AT86" s="181">
        <f>AT73-AT70+AT72</f>
        <v>50.864000000000033</v>
      </c>
      <c r="AU86" s="181">
        <f>AU73-AU70+AU72</f>
        <v>52.385999999999996</v>
      </c>
      <c r="AV86" s="181">
        <f>AV73-AV70+AV72</f>
        <v>69.628000000000128</v>
      </c>
      <c r="AW86" s="307">
        <f>AW73-AW70+AW72</f>
        <v>219.18400000000003</v>
      </c>
      <c r="AX86" s="223"/>
      <c r="AY86" s="306">
        <f>AY73-AY70+AY72</f>
        <v>50.655000000000001</v>
      </c>
      <c r="AZ86" s="181">
        <f>AZ73-AZ70+AZ72</f>
        <v>55.123000000000033</v>
      </c>
      <c r="BA86" s="181">
        <f>BA73-BA70+BA72</f>
        <v>55.324999999999982</v>
      </c>
      <c r="BB86" s="181">
        <f>BB73-BB70+BB72</f>
        <v>79.819999999999979</v>
      </c>
      <c r="BC86" s="307">
        <f>BC73-BC70+BC72</f>
        <v>240.92299999999983</v>
      </c>
      <c r="BD86" s="223"/>
      <c r="BE86" s="306">
        <f>BE73-BE70+BE72</f>
        <v>48.086000000000013</v>
      </c>
      <c r="BF86" s="181">
        <f>BF73-BF70+BF72</f>
        <v>56.147999999999961</v>
      </c>
      <c r="BG86" s="181">
        <f>BG73-BG70+BG72</f>
        <v>62.295999999999943</v>
      </c>
      <c r="BH86" s="181">
        <f>BH73-BH70+BH72</f>
        <v>79.410999999999959</v>
      </c>
      <c r="BI86" s="307">
        <f>BI73-BI70+BI72</f>
        <v>245.941</v>
      </c>
      <c r="BJ86" s="223"/>
      <c r="BK86" s="306">
        <f>BK73-BK70+BK72</f>
        <v>53.681999999999981</v>
      </c>
      <c r="BL86" s="181">
        <f>BL73-BL70+BL72</f>
        <v>60.780999999999985</v>
      </c>
      <c r="BM86" s="181">
        <f>BM73-BM70+BM72</f>
        <v>66.006999999999991</v>
      </c>
      <c r="BN86" s="181">
        <f>BN73-BN70+BN72</f>
        <v>60.433999999999941</v>
      </c>
      <c r="BO86" s="307">
        <f>BO73-BO70+BO72</f>
        <v>240.904</v>
      </c>
      <c r="BP86" s="223"/>
      <c r="BQ86" s="306">
        <f>BQ73-BQ70+BQ72</f>
        <v>51.524999999999977</v>
      </c>
      <c r="BR86" s="181">
        <f>BR73-BR70+BR72</f>
        <v>60.977000000000032</v>
      </c>
      <c r="BS86" s="181">
        <f>BS73-BS70+BS72</f>
        <v>63.115999999999978</v>
      </c>
      <c r="BT86" s="181">
        <f>BT73-BT70+BT72</f>
        <v>76.210000000000008</v>
      </c>
      <c r="BU86" s="307">
        <f>BU73-BU70+BU72</f>
        <v>251.828</v>
      </c>
      <c r="BV86" s="223"/>
      <c r="BW86" s="306">
        <f>BW73-BW70+BW72</f>
        <v>45.127999999999993</v>
      </c>
      <c r="BX86" s="181">
        <f>BX73-BX70+BX72</f>
        <v>56.923999999999992</v>
      </c>
      <c r="BY86" s="181">
        <f>BY73-BY70+BY72</f>
        <v>68.220999999999989</v>
      </c>
      <c r="BZ86" s="181">
        <f>BZ73-BZ70+BZ72</f>
        <v>93.513000000000005</v>
      </c>
      <c r="CA86" s="307">
        <f>CA73-CA70+CA72</f>
        <v>263.786</v>
      </c>
      <c r="CB86" s="223"/>
      <c r="CC86" s="306">
        <f>CC73-CC70+CC72</f>
        <v>50.761000000000038</v>
      </c>
      <c r="CD86" s="181">
        <f>CD73-CD70+CD72</f>
        <v>68.652000000000001</v>
      </c>
      <c r="CE86" s="181">
        <f>CE73-CE70+CE72</f>
        <v>75.521000000000015</v>
      </c>
      <c r="CF86" s="181">
        <f>CF73-CF70+CF72</f>
        <v>100.14600000000002</v>
      </c>
      <c r="CG86" s="307">
        <f>CG73-CG70+CG72</f>
        <v>295.07999999999993</v>
      </c>
      <c r="CH86" s="223"/>
      <c r="CI86" s="306">
        <f>CI73-CI70+CI72</f>
        <v>54.319295958606993</v>
      </c>
      <c r="CJ86" s="181">
        <f>CJ73-CJ70+CJ72</f>
        <v>75.010677478567104</v>
      </c>
      <c r="CK86" s="181">
        <f>CK73-CK70+CK72</f>
        <v>77.362978609062154</v>
      </c>
      <c r="CL86" s="181">
        <f>CL73-CL70+CL72</f>
        <v>94.640322442308261</v>
      </c>
      <c r="CM86" s="307">
        <f>CM73-CM70+CM72</f>
        <v>301.33327448854436</v>
      </c>
      <c r="CN86" s="223"/>
      <c r="CO86" s="306">
        <f>CO73-CO70+CO72</f>
        <v>68.966308579512742</v>
      </c>
      <c r="CP86" s="181">
        <f>CP73-CP70+CP72</f>
        <v>83.235626797933179</v>
      </c>
      <c r="CQ86" s="181">
        <f>CQ73-CQ70+CQ72</f>
        <v>88.604113015487798</v>
      </c>
      <c r="CR86" s="181">
        <f>CR73-CR70+CR72</f>
        <v>107.26559649866061</v>
      </c>
      <c r="CS86" s="307">
        <f>CS73-CS70+CS72</f>
        <v>348.07164489159419</v>
      </c>
      <c r="CT86" s="223"/>
      <c r="CU86" s="306">
        <f>CU73-CU70+CU72</f>
        <v>92.686859930942219</v>
      </c>
      <c r="CV86" s="181">
        <f>CV73-CV70+CV72</f>
        <v>109.91204514817606</v>
      </c>
      <c r="CW86" s="181">
        <f>CW73-CW70+CW72</f>
        <v>116.20763360914376</v>
      </c>
      <c r="CX86" s="181">
        <f>CX73-CX70+CX72</f>
        <v>136.72542350072771</v>
      </c>
      <c r="CY86" s="307">
        <f>CY73-CY70+CY72</f>
        <v>455.53196218898984</v>
      </c>
      <c r="CZ86" s="181"/>
      <c r="DA86" s="181"/>
      <c r="DB86" s="181"/>
    </row>
    <row r="87" spans="1:112" ht="11.25" customHeight="1" x14ac:dyDescent="0.2">
      <c r="A87" s="59" t="s">
        <v>170</v>
      </c>
      <c r="B87" s="223"/>
      <c r="C87" s="19">
        <f t="shared" ref="C87:G88" si="112">C35</f>
        <v>148.79400000000001</v>
      </c>
      <c r="D87" s="20">
        <f t="shared" si="112"/>
        <v>148.54400000000001</v>
      </c>
      <c r="E87" s="20">
        <f t="shared" si="112"/>
        <v>148.15100000000001</v>
      </c>
      <c r="F87" s="20">
        <f t="shared" si="112"/>
        <v>148.6</v>
      </c>
      <c r="G87" s="6">
        <f t="shared" si="112"/>
        <v>148.51900000000001</v>
      </c>
      <c r="H87" s="223"/>
      <c r="I87" s="19">
        <f t="shared" ref="I87:M88" si="113">I35</f>
        <v>149.05500000000001</v>
      </c>
      <c r="J87" s="20">
        <f t="shared" si="113"/>
        <v>149.46</v>
      </c>
      <c r="K87" s="20">
        <f t="shared" si="113"/>
        <v>150.08500000000001</v>
      </c>
      <c r="L87" s="20">
        <f t="shared" si="113"/>
        <v>149.73599999999999</v>
      </c>
      <c r="M87" s="6">
        <f t="shared" si="113"/>
        <v>150.172</v>
      </c>
      <c r="N87" s="223"/>
      <c r="O87" s="19">
        <f t="shared" ref="O87:S88" si="114">O35</f>
        <v>152.27799999999999</v>
      </c>
      <c r="P87" s="20">
        <f t="shared" si="114"/>
        <v>153.233</v>
      </c>
      <c r="Q87" s="20">
        <f t="shared" si="114"/>
        <v>153.755</v>
      </c>
      <c r="R87" s="20">
        <f t="shared" si="114"/>
        <v>154.78299999999999</v>
      </c>
      <c r="S87" s="6">
        <f t="shared" si="114"/>
        <v>153.517</v>
      </c>
      <c r="T87" s="223"/>
      <c r="U87" s="19">
        <f t="shared" ref="U87:Y88" si="115">U35</f>
        <v>156.19900000000001</v>
      </c>
      <c r="V87" s="20">
        <f t="shared" si="115"/>
        <v>156.90199999999999</v>
      </c>
      <c r="W87" s="20">
        <f t="shared" si="115"/>
        <v>177.91900000000001</v>
      </c>
      <c r="X87" s="20">
        <f t="shared" si="115"/>
        <v>205.233</v>
      </c>
      <c r="Y87" s="6">
        <f t="shared" si="115"/>
        <v>175.959</v>
      </c>
      <c r="Z87" s="223"/>
      <c r="AA87" s="19">
        <f t="shared" ref="AA87:AE88" si="116">AA35</f>
        <v>205.126</v>
      </c>
      <c r="AB87" s="20">
        <f t="shared" si="116"/>
        <v>205.47499999999999</v>
      </c>
      <c r="AC87" s="20">
        <f t="shared" si="116"/>
        <v>204.6</v>
      </c>
      <c r="AD87" s="20">
        <f t="shared" si="116"/>
        <v>202.03899999999999</v>
      </c>
      <c r="AE87" s="6">
        <f t="shared" si="116"/>
        <v>204.25899999999999</v>
      </c>
      <c r="AF87" s="223"/>
      <c r="AG87" s="19">
        <f t="shared" ref="AG87:AK88" si="117">AG35</f>
        <v>203.16800000000001</v>
      </c>
      <c r="AH87" s="20">
        <f t="shared" si="117"/>
        <v>203.785</v>
      </c>
      <c r="AI87" s="20">
        <f t="shared" si="117"/>
        <v>208.316</v>
      </c>
      <c r="AJ87" s="20">
        <f t="shared" si="117"/>
        <v>241.018</v>
      </c>
      <c r="AK87" s="6">
        <f t="shared" si="117"/>
        <v>213.61199999999999</v>
      </c>
      <c r="AL87" s="223"/>
      <c r="AM87" s="19">
        <f t="shared" ref="AM87:AQ88" si="118">AM35</f>
        <v>241.92400000000001</v>
      </c>
      <c r="AN87" s="20">
        <f t="shared" si="118"/>
        <v>241.636</v>
      </c>
      <c r="AO87" s="20">
        <f t="shared" si="118"/>
        <v>238.977</v>
      </c>
      <c r="AP87" s="20">
        <f t="shared" si="118"/>
        <v>240.483</v>
      </c>
      <c r="AQ87" s="6">
        <f t="shared" si="118"/>
        <v>240.483</v>
      </c>
      <c r="AR87" s="223"/>
      <c r="AS87" s="19">
        <f t="shared" ref="AS87:AW88" si="119">AS35</f>
        <v>240.38200000000001</v>
      </c>
      <c r="AT87" s="20">
        <f t="shared" si="119"/>
        <v>240.983</v>
      </c>
      <c r="AU87" s="20">
        <f t="shared" si="119"/>
        <v>238.227</v>
      </c>
      <c r="AV87" s="20">
        <f t="shared" si="119"/>
        <v>236.66900000000001</v>
      </c>
      <c r="AW87" s="6">
        <f t="shared" si="119"/>
        <v>239.06399999999999</v>
      </c>
      <c r="AX87" s="223"/>
      <c r="AY87" s="19">
        <f t="shared" ref="AY87:BC88" si="120">AY35</f>
        <v>238.88499999999999</v>
      </c>
      <c r="AZ87" s="20">
        <f t="shared" si="120"/>
        <v>240.23099999999999</v>
      </c>
      <c r="BA87" s="20">
        <f>BA35</f>
        <v>242.09800000000001</v>
      </c>
      <c r="BB87" s="20">
        <f t="shared" si="120"/>
        <v>241.75899999999999</v>
      </c>
      <c r="BC87" s="6">
        <f t="shared" si="120"/>
        <v>240.74600000000001</v>
      </c>
      <c r="BD87" s="223"/>
      <c r="BE87" s="19">
        <f>BE35</f>
        <v>241.45</v>
      </c>
      <c r="BF87" s="20">
        <f>BF35</f>
        <v>240.46100000000001</v>
      </c>
      <c r="BG87" s="20">
        <f t="shared" ref="BG87:BI88" si="121">BG35</f>
        <v>242.405</v>
      </c>
      <c r="BH87" s="20">
        <f t="shared" si="121"/>
        <v>244.38200000000001</v>
      </c>
      <c r="BI87" s="6">
        <f t="shared" si="121"/>
        <v>242.17500000000001</v>
      </c>
      <c r="BJ87" s="223"/>
      <c r="BK87" s="19">
        <f>BK35</f>
        <v>242.946</v>
      </c>
      <c r="BL87" s="20">
        <f t="shared" ref="BL87:BO88" si="122">BL35</f>
        <v>240.64</v>
      </c>
      <c r="BM87" s="20">
        <f>BM35</f>
        <v>241.42699999999999</v>
      </c>
      <c r="BN87" s="20">
        <f>BN35</f>
        <v>241.13800000000001</v>
      </c>
      <c r="BO87" s="6">
        <f t="shared" si="122"/>
        <v>241.53800000000001</v>
      </c>
      <c r="BP87" s="223"/>
      <c r="BQ87" s="19">
        <f t="shared" ref="BQ87:BU88" si="123">BQ35</f>
        <v>238.928</v>
      </c>
      <c r="BR87" s="20">
        <f t="shared" si="123"/>
        <v>238.53299999999999</v>
      </c>
      <c r="BS87" s="20">
        <f t="shared" si="123"/>
        <v>238.559</v>
      </c>
      <c r="BT87" s="20">
        <f t="shared" si="123"/>
        <v>238.58099999999999</v>
      </c>
      <c r="BU87" s="6">
        <f t="shared" si="123"/>
        <v>238.64699999999999</v>
      </c>
      <c r="BV87" s="223"/>
      <c r="BW87" s="19">
        <f>BW35</f>
        <v>238.363</v>
      </c>
      <c r="BX87" s="20">
        <f t="shared" ref="BX87:CA88" si="124">BX35</f>
        <v>238.667</v>
      </c>
      <c r="BY87" s="20">
        <f>BY35</f>
        <v>239.297</v>
      </c>
      <c r="BZ87" s="20">
        <f t="shared" ref="BZ87" si="125">BZ35</f>
        <v>239.648</v>
      </c>
      <c r="CA87" s="6">
        <f t="shared" si="124"/>
        <v>239.1246491652802</v>
      </c>
      <c r="CB87" s="223"/>
      <c r="CC87" s="19">
        <f>CC35</f>
        <v>234.881</v>
      </c>
      <c r="CD87" s="20">
        <f t="shared" ref="CD87" si="126">CD35</f>
        <v>232.7</v>
      </c>
      <c r="CE87" s="20">
        <f>CE35</f>
        <v>232.721</v>
      </c>
      <c r="CF87" s="20">
        <f t="shared" ref="CF87:CF88" si="127">CF35</f>
        <v>231.751</v>
      </c>
      <c r="CG87" s="6">
        <f t="shared" ref="CG87:CG88" si="128">CG35</f>
        <v>232.75369209698093</v>
      </c>
      <c r="CH87" s="223"/>
      <c r="CI87" s="19">
        <f t="shared" ref="CI87:CM88" si="129">CI35</f>
        <v>231.69456762330731</v>
      </c>
      <c r="CJ87" s="20">
        <f t="shared" si="129"/>
        <v>230.15454190023274</v>
      </c>
      <c r="CK87" s="20">
        <f t="shared" si="129"/>
        <v>228.64508220572245</v>
      </c>
      <c r="CL87" s="20">
        <f t="shared" si="129"/>
        <v>227.13589889782256</v>
      </c>
      <c r="CM87" s="6">
        <f t="shared" si="129"/>
        <v>229.08454298392306</v>
      </c>
      <c r="CN87" s="223"/>
      <c r="CO87" s="19">
        <f t="shared" ref="CO87:CS88" si="130">CO35</f>
        <v>225.51358234859146</v>
      </c>
      <c r="CP87" s="20">
        <f t="shared" si="130"/>
        <v>224.0468911837585</v>
      </c>
      <c r="CQ87" s="20">
        <f t="shared" si="130"/>
        <v>222.60931052232013</v>
      </c>
      <c r="CR87" s="20">
        <f t="shared" si="130"/>
        <v>221.17199308622503</v>
      </c>
      <c r="CS87" s="6">
        <f t="shared" si="130"/>
        <v>223.07406521155772</v>
      </c>
      <c r="CT87" s="223"/>
      <c r="CU87" s="19">
        <f t="shared" ref="CU87:CY88" si="131">CU35</f>
        <v>219.62692970600492</v>
      </c>
      <c r="CV87" s="20">
        <f t="shared" si="131"/>
        <v>218.23008097759262</v>
      </c>
      <c r="CW87" s="20">
        <f t="shared" si="131"/>
        <v>216.86095653812748</v>
      </c>
      <c r="CX87" s="20">
        <f t="shared" si="131"/>
        <v>215.49208278946548</v>
      </c>
      <c r="CY87" s="6">
        <f t="shared" si="131"/>
        <v>217.3324868320999</v>
      </c>
      <c r="CZ87" s="20"/>
      <c r="DA87" s="20"/>
      <c r="DB87" s="20"/>
    </row>
    <row r="88" spans="1:112" ht="11.25" customHeight="1" x14ac:dyDescent="0.2">
      <c r="A88" s="308" t="s">
        <v>103</v>
      </c>
      <c r="B88" s="238"/>
      <c r="C88" s="309">
        <f t="shared" si="112"/>
        <v>1.0163594013620312</v>
      </c>
      <c r="D88" s="310">
        <f t="shared" si="112"/>
        <v>1.0135371179039301</v>
      </c>
      <c r="E88" s="310">
        <f t="shared" si="112"/>
        <v>1.0097532715376227</v>
      </c>
      <c r="F88" s="310">
        <f t="shared" si="112"/>
        <v>1.0112076650357598</v>
      </c>
      <c r="G88" s="311">
        <f t="shared" si="112"/>
        <v>1.0126893861910022</v>
      </c>
      <c r="H88" s="238"/>
      <c r="I88" s="309">
        <f t="shared" si="113"/>
        <v>1.0117152766936583</v>
      </c>
      <c r="J88" s="310">
        <f t="shared" si="113"/>
        <v>1.0118064393836821</v>
      </c>
      <c r="K88" s="310">
        <f t="shared" si="113"/>
        <v>1.0142797285973022</v>
      </c>
      <c r="L88" s="310">
        <f t="shared" si="113"/>
        <v>1.0094720591110429</v>
      </c>
      <c r="M88" s="311">
        <f t="shared" si="113"/>
        <v>1.0157944222352997</v>
      </c>
      <c r="N88" s="238"/>
      <c r="O88" s="309">
        <f t="shared" si="114"/>
        <v>1.0227413158531016</v>
      </c>
      <c r="P88" s="310">
        <f t="shared" si="114"/>
        <v>1.025580445884172</v>
      </c>
      <c r="Q88" s="310">
        <f t="shared" si="114"/>
        <v>1.0271835709418382</v>
      </c>
      <c r="R88" s="310">
        <f t="shared" si="114"/>
        <v>1.0317009604937781</v>
      </c>
      <c r="S88" s="311">
        <f t="shared" si="114"/>
        <v>1.0268420911815068</v>
      </c>
      <c r="T88" s="238"/>
      <c r="U88" s="309">
        <f t="shared" si="115"/>
        <v>1.0386331447113819</v>
      </c>
      <c r="V88" s="310">
        <f t="shared" si="115"/>
        <v>1.0415209064900064</v>
      </c>
      <c r="W88" s="310">
        <f t="shared" si="115"/>
        <v>1</v>
      </c>
      <c r="X88" s="310">
        <f t="shared" si="115"/>
        <v>1.0531628291246098</v>
      </c>
      <c r="Y88" s="311">
        <f t="shared" si="115"/>
        <v>1.0445336198555122</v>
      </c>
      <c r="Z88" s="238"/>
      <c r="AA88" s="309">
        <f t="shared" si="116"/>
        <v>1.0465986030113321</v>
      </c>
      <c r="AB88" s="310">
        <f t="shared" si="116"/>
        <v>1.0458659092759997</v>
      </c>
      <c r="AC88" s="310">
        <f t="shared" si="116"/>
        <v>1.0380938850891968</v>
      </c>
      <c r="AD88" s="310">
        <f t="shared" si="116"/>
        <v>1.0221180065463631</v>
      </c>
      <c r="AE88" s="311">
        <f t="shared" si="116"/>
        <v>1.037880327635617</v>
      </c>
      <c r="AF88" s="238"/>
      <c r="AG88" s="309">
        <f t="shared" si="117"/>
        <v>1.0255519772243142</v>
      </c>
      <c r="AH88" s="310">
        <f t="shared" si="117"/>
        <v>1.0257565385467211</v>
      </c>
      <c r="AI88" s="310">
        <f t="shared" si="117"/>
        <v>1.0357847841327772</v>
      </c>
      <c r="AJ88" s="310">
        <f t="shared" si="117"/>
        <v>1.0487296524656362</v>
      </c>
      <c r="AK88" s="311">
        <f t="shared" si="117"/>
        <v>1.0323010902342844</v>
      </c>
      <c r="AL88" s="238"/>
      <c r="AM88" s="309">
        <f t="shared" si="118"/>
        <v>1.0418417970095777</v>
      </c>
      <c r="AN88" s="310">
        <f t="shared" si="118"/>
        <v>1.0389416069378576</v>
      </c>
      <c r="AO88" s="310">
        <f t="shared" si="118"/>
        <v>1.1575</v>
      </c>
      <c r="AP88" s="310">
        <f t="shared" si="118"/>
        <v>1.1575</v>
      </c>
      <c r="AQ88" s="311">
        <f t="shared" si="118"/>
        <v>1.0989458509868588</v>
      </c>
      <c r="AR88" s="238"/>
      <c r="AS88" s="309">
        <f t="shared" si="119"/>
        <v>1.0299054849572842</v>
      </c>
      <c r="AT88" s="310">
        <f t="shared" si="119"/>
        <v>1.0307184314866062</v>
      </c>
      <c r="AU88" s="310">
        <f t="shared" si="119"/>
        <v>1.0178814059015049</v>
      </c>
      <c r="AV88" s="310">
        <f t="shared" si="119"/>
        <v>1.0107364779739918</v>
      </c>
      <c r="AW88" s="311">
        <f t="shared" si="119"/>
        <v>1.0223104500798468</v>
      </c>
      <c r="AX88" s="238"/>
      <c r="AY88" s="309">
        <f t="shared" si="120"/>
        <v>1.0168564435458125</v>
      </c>
      <c r="AZ88" s="310">
        <f t="shared" si="120"/>
        <v>1.0193144064596336</v>
      </c>
      <c r="BA88" s="310">
        <f>BA36</f>
        <v>1.0245929737988124</v>
      </c>
      <c r="BB88" s="310">
        <f t="shared" si="120"/>
        <v>1.020097983905297</v>
      </c>
      <c r="BC88" s="311">
        <f t="shared" si="120"/>
        <v>1.0202154519273887</v>
      </c>
      <c r="BD88" s="238"/>
      <c r="BE88" s="309">
        <f>BE36</f>
        <v>1.0348226722382943</v>
      </c>
      <c r="BF88" s="310">
        <f>BF36</f>
        <v>1.0272862428121021</v>
      </c>
      <c r="BG88" s="310">
        <f t="shared" si="121"/>
        <v>1.0338731484285368</v>
      </c>
      <c r="BH88" s="310">
        <f t="shared" si="121"/>
        <v>1.0215004802641583</v>
      </c>
      <c r="BI88" s="311">
        <f t="shared" si="121"/>
        <v>1.029370635935773</v>
      </c>
      <c r="BJ88" s="238"/>
      <c r="BK88" s="309">
        <f>BK36</f>
        <v>1.043331501013502</v>
      </c>
      <c r="BL88" s="310">
        <f t="shared" si="122"/>
        <v>1.0347748685245943</v>
      </c>
      <c r="BM88" s="310">
        <f>BM36</f>
        <v>1.0367369198529663</v>
      </c>
      <c r="BN88" s="310">
        <f>BN36</f>
        <v>1.0365107202420867</v>
      </c>
      <c r="BO88" s="311">
        <f t="shared" si="122"/>
        <v>1.0378385024082872</v>
      </c>
      <c r="BP88" s="238"/>
      <c r="BQ88" s="309">
        <f t="shared" si="123"/>
        <v>1.0286472011503656</v>
      </c>
      <c r="BR88" s="310">
        <f t="shared" si="123"/>
        <v>1.0213796351802689</v>
      </c>
      <c r="BS88" s="310">
        <f t="shared" si="123"/>
        <v>1.0211979949230974</v>
      </c>
      <c r="BT88" s="310">
        <f t="shared" si="123"/>
        <v>1.0173552626529243</v>
      </c>
      <c r="BU88" s="311">
        <f t="shared" si="123"/>
        <v>1.022145023476664</v>
      </c>
      <c r="BV88" s="238"/>
      <c r="BW88" s="309">
        <f>BW36</f>
        <v>1.0182710627718017</v>
      </c>
      <c r="BX88" s="310">
        <f t="shared" si="124"/>
        <v>1.0166425285397853</v>
      </c>
      <c r="BY88" s="310">
        <f>BY36</f>
        <v>1.0193261202930652</v>
      </c>
      <c r="BZ88" s="310">
        <f t="shared" ref="BZ88" si="132">BZ36</f>
        <v>1.0208212642698926</v>
      </c>
      <c r="CA88" s="311">
        <f t="shared" si="124"/>
        <v>1.0187652439686361</v>
      </c>
      <c r="CB88" s="238"/>
      <c r="CC88" s="309">
        <f>CC36</f>
        <v>1.0172412299696838</v>
      </c>
      <c r="CD88" s="310">
        <f t="shared" ref="CD88" si="133">CD36</f>
        <v>1.0073593073593072</v>
      </c>
      <c r="CE88" s="310">
        <f>CE36</f>
        <v>1.0074502164502164</v>
      </c>
      <c r="CF88" s="310">
        <f t="shared" si="127"/>
        <v>1.0227316857899382</v>
      </c>
      <c r="CG88" s="311">
        <f t="shared" si="128"/>
        <v>1.0136956098922865</v>
      </c>
      <c r="CH88" s="238"/>
      <c r="CI88" s="309">
        <f t="shared" si="129"/>
        <v>1.03</v>
      </c>
      <c r="CJ88" s="310">
        <f t="shared" si="129"/>
        <v>1.03</v>
      </c>
      <c r="CK88" s="310">
        <f t="shared" si="129"/>
        <v>1.03</v>
      </c>
      <c r="CL88" s="310">
        <f t="shared" si="129"/>
        <v>1.03</v>
      </c>
      <c r="CM88" s="311">
        <f t="shared" si="129"/>
        <v>1.03</v>
      </c>
      <c r="CN88" s="238"/>
      <c r="CO88" s="309">
        <f t="shared" si="130"/>
        <v>1.03</v>
      </c>
      <c r="CP88" s="310">
        <f t="shared" si="130"/>
        <v>1.03</v>
      </c>
      <c r="CQ88" s="310">
        <f t="shared" si="130"/>
        <v>1.03</v>
      </c>
      <c r="CR88" s="310">
        <f t="shared" si="130"/>
        <v>1.03</v>
      </c>
      <c r="CS88" s="311">
        <f t="shared" si="130"/>
        <v>1.03</v>
      </c>
      <c r="CT88" s="238"/>
      <c r="CU88" s="309">
        <f t="shared" si="131"/>
        <v>1.03</v>
      </c>
      <c r="CV88" s="310">
        <f t="shared" si="131"/>
        <v>1.03</v>
      </c>
      <c r="CW88" s="310">
        <f t="shared" si="131"/>
        <v>1.03</v>
      </c>
      <c r="CX88" s="310">
        <f t="shared" si="131"/>
        <v>1.03</v>
      </c>
      <c r="CY88" s="311">
        <f t="shared" si="131"/>
        <v>1.03</v>
      </c>
      <c r="CZ88" s="264"/>
      <c r="DA88" s="264"/>
      <c r="DB88" s="264"/>
    </row>
    <row r="89" spans="1:112" s="33" customFormat="1" ht="11.25" customHeight="1" x14ac:dyDescent="0.2">
      <c r="A89" s="39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0"/>
      <c r="AM89" s="190"/>
      <c r="AN89" s="190"/>
      <c r="AO89" s="190"/>
      <c r="AP89" s="190"/>
      <c r="AQ89" s="289"/>
      <c r="AR89" s="190"/>
      <c r="AS89" s="290"/>
      <c r="AT89" s="291"/>
      <c r="AU89" s="291"/>
      <c r="AV89" s="291"/>
      <c r="AW89" s="291"/>
      <c r="AY89" s="290"/>
      <c r="BD89" s="190"/>
      <c r="BE89" s="190"/>
      <c r="BG89" s="190"/>
      <c r="BH89" s="190"/>
      <c r="BO89" s="190"/>
      <c r="BU89" s="190"/>
      <c r="CA89" s="190"/>
      <c r="CG89" s="190"/>
      <c r="CM89" s="190"/>
      <c r="CS89" s="190"/>
      <c r="CY89" s="190"/>
      <c r="CZ89" s="190"/>
      <c r="DA89" s="190"/>
      <c r="DB89" s="190"/>
      <c r="DC89"/>
      <c r="DD89"/>
      <c r="DE89"/>
      <c r="DF89"/>
      <c r="DG89"/>
      <c r="DH89"/>
    </row>
    <row r="90" spans="1:112" s="33" customFormat="1" ht="11.25" customHeight="1" x14ac:dyDescent="0.2">
      <c r="A90" s="378"/>
      <c r="B90" s="240"/>
      <c r="C90" s="240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40"/>
      <c r="S90" s="240"/>
      <c r="T90" s="240"/>
      <c r="U90" s="379"/>
      <c r="V90" s="379"/>
      <c r="W90" s="379"/>
      <c r="X90" s="379"/>
      <c r="Y90" s="379"/>
      <c r="Z90" s="379"/>
      <c r="AA90" s="379"/>
      <c r="AB90" s="379"/>
      <c r="AC90" s="379"/>
      <c r="AD90" s="379"/>
      <c r="AE90" s="379"/>
      <c r="AF90" s="379"/>
      <c r="AG90" s="379"/>
      <c r="AH90" s="379"/>
      <c r="AI90" s="379"/>
      <c r="AJ90" s="379"/>
      <c r="AK90" s="379"/>
      <c r="AL90" s="379"/>
      <c r="AM90" s="379"/>
      <c r="AN90" s="379"/>
      <c r="AO90" s="379"/>
      <c r="AP90" s="379"/>
      <c r="AQ90" s="379"/>
      <c r="AR90" s="379"/>
      <c r="AS90" s="379"/>
      <c r="AT90" s="379"/>
      <c r="AU90" s="379"/>
      <c r="AV90" s="379"/>
      <c r="AW90" s="379"/>
      <c r="AX90" s="379"/>
      <c r="AY90" s="379"/>
      <c r="AZ90" s="379"/>
      <c r="BA90" s="379"/>
      <c r="BB90" s="240"/>
      <c r="BC90" s="240"/>
      <c r="BD90" s="240"/>
      <c r="BE90" s="240"/>
      <c r="BF90" s="379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0"/>
      <c r="CA90" s="240"/>
      <c r="CB90" s="240"/>
      <c r="CC90" s="240"/>
      <c r="CD90" s="240"/>
      <c r="CE90" s="240"/>
      <c r="CF90" s="240"/>
      <c r="CG90" s="240"/>
      <c r="CH90" s="240"/>
      <c r="CI90" s="240"/>
      <c r="CJ90" s="240"/>
      <c r="CK90" s="240"/>
      <c r="CL90" s="240"/>
      <c r="CM90" s="240"/>
      <c r="CN90" s="240"/>
      <c r="CO90" s="240"/>
      <c r="CP90" s="240"/>
      <c r="CQ90" s="240"/>
      <c r="CR90" s="240"/>
      <c r="CS90" s="240"/>
      <c r="CT90" s="240"/>
      <c r="CU90" s="240"/>
      <c r="CV90" s="240"/>
      <c r="CW90" s="240"/>
      <c r="CX90" s="240"/>
      <c r="CY90" s="240"/>
      <c r="CZ90" s="39"/>
      <c r="DA90" s="39"/>
      <c r="DB90" s="39"/>
      <c r="DC90"/>
      <c r="DD90"/>
      <c r="DE90"/>
      <c r="DF90"/>
      <c r="DG90"/>
      <c r="DH90"/>
    </row>
    <row r="91" spans="1:112" s="275" customFormat="1" ht="11.25" customHeight="1" x14ac:dyDescent="0.2">
      <c r="A91" s="9" t="s">
        <v>131</v>
      </c>
      <c r="B91" s="387"/>
      <c r="C91" s="388"/>
      <c r="D91" s="387"/>
      <c r="E91" s="387"/>
      <c r="F91" s="387"/>
      <c r="G91" s="389"/>
      <c r="H91" s="387"/>
      <c r="I91" s="388"/>
      <c r="J91" s="387"/>
      <c r="K91" s="387"/>
      <c r="L91" s="387"/>
      <c r="M91" s="389"/>
      <c r="N91" s="387"/>
      <c r="O91" s="388"/>
      <c r="P91" s="387"/>
      <c r="Q91" s="387"/>
      <c r="R91" s="387"/>
      <c r="S91" s="389"/>
      <c r="T91" s="387"/>
      <c r="U91" s="388"/>
      <c r="V91" s="387"/>
      <c r="W91" s="387"/>
      <c r="X91" s="387"/>
      <c r="Y91" s="389"/>
      <c r="Z91" s="387"/>
      <c r="AA91" s="388"/>
      <c r="AB91" s="387"/>
      <c r="AC91" s="387"/>
      <c r="AD91" s="387"/>
      <c r="AE91" s="389"/>
      <c r="AF91" s="387"/>
      <c r="AG91" s="388"/>
      <c r="AH91" s="387"/>
      <c r="AI91" s="387"/>
      <c r="AJ91" s="387"/>
      <c r="AK91" s="389"/>
      <c r="AL91" s="387"/>
      <c r="AM91" s="388"/>
      <c r="AN91" s="387"/>
      <c r="AO91" s="387"/>
      <c r="AP91" s="387"/>
      <c r="AQ91" s="389"/>
      <c r="AR91" s="387"/>
      <c r="AS91" s="388"/>
      <c r="AT91" s="387"/>
      <c r="AU91" s="387"/>
      <c r="AV91" s="387"/>
      <c r="AW91" s="389"/>
      <c r="AX91" s="387"/>
      <c r="AY91" s="388"/>
      <c r="AZ91" s="387"/>
      <c r="BA91" s="387"/>
      <c r="BB91" s="387"/>
      <c r="BC91" s="389"/>
      <c r="BD91" s="387"/>
      <c r="BE91" s="388"/>
      <c r="BF91" s="387"/>
      <c r="BG91" s="387"/>
      <c r="BH91" s="387"/>
      <c r="BI91" s="389"/>
      <c r="BJ91" s="387"/>
      <c r="BK91" s="388"/>
      <c r="BL91" s="387"/>
      <c r="BM91" s="387"/>
      <c r="BN91" s="387"/>
      <c r="BO91" s="389"/>
      <c r="BP91" s="387"/>
      <c r="BQ91" s="388"/>
      <c r="BR91" s="387"/>
      <c r="BS91" s="387"/>
      <c r="BT91" s="387"/>
      <c r="BU91" s="389"/>
      <c r="BV91" s="387"/>
      <c r="BW91" s="388"/>
      <c r="BX91" s="387"/>
      <c r="BY91" s="387"/>
      <c r="BZ91" s="387"/>
      <c r="CA91" s="389"/>
      <c r="CB91" s="387"/>
      <c r="CC91" s="388"/>
      <c r="CD91" s="387"/>
      <c r="CE91" s="387"/>
      <c r="CF91" s="387"/>
      <c r="CG91" s="389"/>
      <c r="CH91" s="387"/>
      <c r="CI91" s="388"/>
      <c r="CJ91" s="387"/>
      <c r="CK91" s="387"/>
      <c r="CL91" s="387"/>
      <c r="CM91" s="389"/>
      <c r="CN91" s="387"/>
      <c r="CO91" s="388"/>
      <c r="CP91" s="387"/>
      <c r="CQ91" s="387"/>
      <c r="CR91" s="387"/>
      <c r="CS91" s="389"/>
      <c r="CT91" s="387"/>
      <c r="CU91" s="388"/>
      <c r="CV91" s="387"/>
      <c r="CW91" s="387"/>
      <c r="CX91" s="387"/>
      <c r="CY91" s="389"/>
      <c r="CZ91" s="39"/>
      <c r="DA91" s="39"/>
      <c r="DB91" s="39"/>
      <c r="DC91"/>
      <c r="DD91"/>
      <c r="DE91"/>
      <c r="DF91"/>
      <c r="DG91"/>
      <c r="DH91"/>
    </row>
    <row r="92" spans="1:112" s="275" customFormat="1" ht="11.25" customHeight="1" x14ac:dyDescent="0.2">
      <c r="A92" s="59" t="s">
        <v>132</v>
      </c>
      <c r="B92" s="39"/>
      <c r="C92" s="210">
        <f>G92</f>
        <v>0.34499999999999997</v>
      </c>
      <c r="D92" s="211">
        <f>C92</f>
        <v>0.34499999999999997</v>
      </c>
      <c r="E92" s="211">
        <f>D92</f>
        <v>0.34499999999999997</v>
      </c>
      <c r="F92" s="211">
        <f>E92</f>
        <v>0.34499999999999997</v>
      </c>
      <c r="G92" s="383">
        <v>0.34499999999999997</v>
      </c>
      <c r="H92" s="39"/>
      <c r="I92" s="210">
        <f>M92</f>
        <v>0.315</v>
      </c>
      <c r="J92" s="211">
        <f>I92</f>
        <v>0.315</v>
      </c>
      <c r="K92" s="211">
        <f>J92</f>
        <v>0.315</v>
      </c>
      <c r="L92" s="211">
        <f>K92</f>
        <v>0.315</v>
      </c>
      <c r="M92" s="383">
        <v>0.315</v>
      </c>
      <c r="N92" s="39"/>
      <c r="O92" s="210">
        <f>S92</f>
        <v>0.29599999999999999</v>
      </c>
      <c r="P92" s="211">
        <f>O92</f>
        <v>0.29599999999999999</v>
      </c>
      <c r="Q92" s="211">
        <f>P92</f>
        <v>0.29599999999999999</v>
      </c>
      <c r="R92" s="211">
        <f>Q92</f>
        <v>0.29599999999999999</v>
      </c>
      <c r="S92" s="383">
        <v>0.29599999999999999</v>
      </c>
      <c r="T92" s="39"/>
      <c r="U92" s="210">
        <f>Y92</f>
        <v>0.255</v>
      </c>
      <c r="V92" s="211">
        <f>U92</f>
        <v>0.255</v>
      </c>
      <c r="W92" s="211">
        <f>V92</f>
        <v>0.255</v>
      </c>
      <c r="X92" s="211">
        <f>W92</f>
        <v>0.255</v>
      </c>
      <c r="Y92" s="383">
        <v>0.255</v>
      </c>
      <c r="Z92" s="39"/>
      <c r="AA92" s="210">
        <f>AE92</f>
        <v>0.255</v>
      </c>
      <c r="AB92" s="211">
        <f>AA92</f>
        <v>0.255</v>
      </c>
      <c r="AC92" s="211">
        <f>AB92</f>
        <v>0.255</v>
      </c>
      <c r="AD92" s="211">
        <f>AC92</f>
        <v>0.255</v>
      </c>
      <c r="AE92" s="383">
        <v>0.255</v>
      </c>
      <c r="AF92" s="39"/>
      <c r="AG92" s="210">
        <f>AK92</f>
        <v>0.255</v>
      </c>
      <c r="AH92" s="211">
        <f>AG92</f>
        <v>0.255</v>
      </c>
      <c r="AI92" s="211">
        <f>AH92</f>
        <v>0.255</v>
      </c>
      <c r="AJ92" s="211">
        <f>AI92</f>
        <v>0.255</v>
      </c>
      <c r="AK92" s="383">
        <v>0.255</v>
      </c>
      <c r="AL92" s="39"/>
      <c r="AM92" s="210">
        <f>AQ92</f>
        <v>0.255</v>
      </c>
      <c r="AN92" s="211">
        <f>AM92</f>
        <v>0.255</v>
      </c>
      <c r="AO92" s="211">
        <f>AN92</f>
        <v>0.255</v>
      </c>
      <c r="AP92" s="211">
        <f>AO92</f>
        <v>0.255</v>
      </c>
      <c r="AQ92" s="383">
        <v>0.255</v>
      </c>
      <c r="AR92" s="39"/>
      <c r="AS92" s="210">
        <f>AW92</f>
        <v>0.25</v>
      </c>
      <c r="AT92" s="211">
        <f>AS92</f>
        <v>0.25</v>
      </c>
      <c r="AU92" s="211">
        <f>AT92</f>
        <v>0.25</v>
      </c>
      <c r="AV92" s="211">
        <f>AU92</f>
        <v>0.25</v>
      </c>
      <c r="AW92" s="383">
        <v>0.25</v>
      </c>
      <c r="AX92" s="39"/>
      <c r="AY92" s="210">
        <f>AW92</f>
        <v>0.25</v>
      </c>
      <c r="AZ92" s="211">
        <f>AY92</f>
        <v>0.25</v>
      </c>
      <c r="BA92" s="211">
        <f>AZ92</f>
        <v>0.25</v>
      </c>
      <c r="BB92" s="384">
        <f>BB50</f>
        <v>0.13644006725918806</v>
      </c>
      <c r="BC92" s="385">
        <f>BC50</f>
        <v>0.21310317771675177</v>
      </c>
      <c r="BD92" s="39"/>
      <c r="BE92" s="386">
        <f>BE50</f>
        <v>0.24010876199988895</v>
      </c>
      <c r="BF92" s="211">
        <f>BE92</f>
        <v>0.24010876199988895</v>
      </c>
      <c r="BG92" s="384">
        <f>BG50</f>
        <v>0.18127249464911349</v>
      </c>
      <c r="BH92" s="384">
        <f>BH50</f>
        <v>0.15926000595220957</v>
      </c>
      <c r="BI92" s="385">
        <f>BI50</f>
        <v>0.19758891355266267</v>
      </c>
      <c r="BJ92" s="39"/>
      <c r="BK92" s="386">
        <f>BK50</f>
        <v>0.22350117129884031</v>
      </c>
      <c r="BL92" s="384">
        <f>BL50</f>
        <v>0.22123780830312009</v>
      </c>
      <c r="BM92" s="384">
        <f>BM50</f>
        <v>0.1953961456102784</v>
      </c>
      <c r="BN92" s="384">
        <f>BN50</f>
        <v>9.2310686005957543E-2</v>
      </c>
      <c r="BO92" s="385">
        <f>BO50</f>
        <v>0.1855507023964113</v>
      </c>
      <c r="BP92" s="39"/>
      <c r="BQ92" s="386">
        <f>BQ50</f>
        <v>0.1903501724871226</v>
      </c>
      <c r="BR92" s="384">
        <f>BR50</f>
        <v>0.19070625555806262</v>
      </c>
      <c r="BS92" s="384">
        <f>BS50</f>
        <v>0.15789473684210531</v>
      </c>
      <c r="BT92" s="384">
        <f>BT50</f>
        <v>0.1521283241120828</v>
      </c>
      <c r="BU92" s="385">
        <f>BU50</f>
        <v>0.17112433365620947</v>
      </c>
      <c r="BV92" s="39"/>
      <c r="BW92" s="386">
        <f>BW50</f>
        <v>0.14963971781038971</v>
      </c>
      <c r="BX92" s="384">
        <f>BX50</f>
        <v>0.16087091115467964</v>
      </c>
      <c r="BY92" s="384">
        <f>BY50</f>
        <v>0.1705239590177898</v>
      </c>
      <c r="BZ92" s="384">
        <f>BZ50</f>
        <v>0.15382805642775058</v>
      </c>
      <c r="CA92" s="385">
        <f>CA50</f>
        <v>0.15901972916254711</v>
      </c>
      <c r="CB92" s="39"/>
      <c r="CC92" s="386">
        <f>CC50</f>
        <v>0.1767730007622321</v>
      </c>
      <c r="CD92" s="384">
        <f>CD50</f>
        <v>0.17038863109048724</v>
      </c>
      <c r="CE92" s="384">
        <f>CE50</f>
        <v>0.19391817609324466</v>
      </c>
      <c r="CF92" s="384">
        <f>CF50</f>
        <v>0.16715732747866874</v>
      </c>
      <c r="CG92" s="385">
        <f>CG50</f>
        <v>0.17655463404288574</v>
      </c>
      <c r="CH92" s="39"/>
      <c r="CI92" s="386">
        <f>CI50</f>
        <v>0.20499999999999999</v>
      </c>
      <c r="CJ92" s="384">
        <f>CJ50</f>
        <v>0.20499999999999999</v>
      </c>
      <c r="CK92" s="384">
        <f>CK50</f>
        <v>0.20499999999999999</v>
      </c>
      <c r="CL92" s="384">
        <f>CL50</f>
        <v>0.20499999999999999</v>
      </c>
      <c r="CM92" s="385">
        <f>CM50</f>
        <v>0.20500000000000007</v>
      </c>
      <c r="CN92" s="39"/>
      <c r="CO92" s="386">
        <f>CO50</f>
        <v>0.20499999999999999</v>
      </c>
      <c r="CP92" s="384">
        <f>CP50</f>
        <v>0.20499999999999999</v>
      </c>
      <c r="CQ92" s="384">
        <f>CQ50</f>
        <v>0.20499999999999999</v>
      </c>
      <c r="CR92" s="384">
        <f>CR50</f>
        <v>0.20499999999999999</v>
      </c>
      <c r="CS92" s="385">
        <f>CS50</f>
        <v>0.20500000000000007</v>
      </c>
      <c r="CT92" s="39"/>
      <c r="CU92" s="386">
        <f>CU50</f>
        <v>0.20499999999999999</v>
      </c>
      <c r="CV92" s="384">
        <f>CV50</f>
        <v>0.20499999999999999</v>
      </c>
      <c r="CW92" s="384">
        <f>CW50</f>
        <v>0.20499999999999999</v>
      </c>
      <c r="CX92" s="384">
        <f>CX50</f>
        <v>0.20499999999999999</v>
      </c>
      <c r="CY92" s="385">
        <f>CY50</f>
        <v>0.20499999999999996</v>
      </c>
      <c r="CZ92" s="211"/>
      <c r="DA92" s="211"/>
      <c r="DB92" s="211"/>
      <c r="DC92"/>
      <c r="DD92"/>
      <c r="DE92"/>
      <c r="DF92"/>
      <c r="DG92"/>
      <c r="DH92"/>
    </row>
    <row r="93" spans="1:112" s="32" customFormat="1" ht="11.25" customHeight="1" x14ac:dyDescent="0.2">
      <c r="A93" s="59" t="s">
        <v>259</v>
      </c>
      <c r="B93" s="590"/>
      <c r="C93" s="1947"/>
      <c r="D93" s="590"/>
      <c r="E93" s="590"/>
      <c r="F93" s="590"/>
      <c r="G93" s="1948">
        <v>0</v>
      </c>
      <c r="H93" s="590"/>
      <c r="I93" s="1949">
        <v>0</v>
      </c>
      <c r="J93" s="1080">
        <v>0</v>
      </c>
      <c r="K93" s="1080">
        <v>0</v>
      </c>
      <c r="L93" s="1080">
        <v>0</v>
      </c>
      <c r="M93" s="1948">
        <v>0</v>
      </c>
      <c r="N93" s="590"/>
      <c r="O93" s="1949">
        <v>0</v>
      </c>
      <c r="P93" s="1080">
        <v>0</v>
      </c>
      <c r="Q93" s="1080">
        <v>0</v>
      </c>
      <c r="R93" s="1080">
        <v>0</v>
      </c>
      <c r="S93" s="1948">
        <v>0</v>
      </c>
      <c r="T93" s="590"/>
      <c r="U93" s="1949">
        <v>0</v>
      </c>
      <c r="V93" s="1080">
        <v>0</v>
      </c>
      <c r="W93" s="1080">
        <v>0</v>
      </c>
      <c r="X93" s="1080">
        <v>0</v>
      </c>
      <c r="Y93" s="1948">
        <v>0</v>
      </c>
      <c r="Z93" s="590"/>
      <c r="AA93" s="1949">
        <v>0</v>
      </c>
      <c r="AB93" s="1080">
        <v>0</v>
      </c>
      <c r="AC93" s="1080">
        <v>0</v>
      </c>
      <c r="AD93" s="1080">
        <v>0</v>
      </c>
      <c r="AE93" s="1948">
        <v>0</v>
      </c>
      <c r="AF93" s="590"/>
      <c r="AG93" s="1949">
        <v>0</v>
      </c>
      <c r="AH93" s="1080">
        <v>0</v>
      </c>
      <c r="AI93" s="1080">
        <v>0</v>
      </c>
      <c r="AJ93" s="1080">
        <v>0</v>
      </c>
      <c r="AK93" s="1948">
        <v>0</v>
      </c>
      <c r="AL93" s="590"/>
      <c r="AM93" s="1949">
        <v>0</v>
      </c>
      <c r="AN93" s="1080">
        <v>0</v>
      </c>
      <c r="AO93" s="1080">
        <v>0</v>
      </c>
      <c r="AP93" s="1080">
        <v>0</v>
      </c>
      <c r="AQ93" s="1948">
        <v>0</v>
      </c>
      <c r="AR93" s="590"/>
      <c r="AS93" s="1949">
        <v>0</v>
      </c>
      <c r="AT93" s="1080">
        <v>0</v>
      </c>
      <c r="AU93" s="1080">
        <v>0</v>
      </c>
      <c r="AV93" s="1080">
        <v>0</v>
      </c>
      <c r="AW93" s="1948">
        <v>0</v>
      </c>
      <c r="AX93" s="590"/>
      <c r="AY93" s="1949">
        <v>0</v>
      </c>
      <c r="AZ93" s="1080">
        <v>0</v>
      </c>
      <c r="BA93" s="1080">
        <v>0</v>
      </c>
      <c r="BB93" s="1080">
        <v>0</v>
      </c>
      <c r="BC93" s="1948">
        <v>0</v>
      </c>
      <c r="BD93" s="590"/>
      <c r="BE93" s="1949">
        <v>0</v>
      </c>
      <c r="BF93" s="1080">
        <v>0</v>
      </c>
      <c r="BG93" s="1080">
        <v>0</v>
      </c>
      <c r="BH93" s="1080">
        <v>0</v>
      </c>
      <c r="BI93" s="1948">
        <v>0</v>
      </c>
      <c r="BJ93" s="590"/>
      <c r="BK93" s="1949">
        <v>0</v>
      </c>
      <c r="BL93" s="1080">
        <v>0</v>
      </c>
      <c r="BM93" s="1080">
        <v>0</v>
      </c>
      <c r="BN93" s="1080">
        <v>0</v>
      </c>
      <c r="BO93" s="1948">
        <v>0</v>
      </c>
      <c r="BP93" s="590"/>
      <c r="BQ93" s="1949">
        <v>0</v>
      </c>
      <c r="BR93" s="1080">
        <v>0</v>
      </c>
      <c r="BS93" s="1080">
        <v>0</v>
      </c>
      <c r="BT93" s="1080">
        <v>0</v>
      </c>
      <c r="BU93" s="1948">
        <v>0</v>
      </c>
      <c r="BV93" s="590"/>
      <c r="BW93" s="1949">
        <v>0</v>
      </c>
      <c r="BX93" s="1080">
        <v>0</v>
      </c>
      <c r="BY93" s="1080">
        <v>0</v>
      </c>
      <c r="BZ93" s="1080">
        <v>0</v>
      </c>
      <c r="CA93" s="1948">
        <v>0</v>
      </c>
      <c r="CB93" s="590"/>
      <c r="CC93" s="1949">
        <v>0</v>
      </c>
      <c r="CD93" s="1080">
        <v>0</v>
      </c>
      <c r="CE93" s="1080">
        <v>0</v>
      </c>
      <c r="CF93" s="1080">
        <v>0</v>
      </c>
      <c r="CG93" s="1948">
        <v>0</v>
      </c>
      <c r="CH93" s="590"/>
      <c r="CI93" s="1949">
        <v>0</v>
      </c>
      <c r="CJ93" s="1080">
        <v>0</v>
      </c>
      <c r="CK93" s="1080">
        <v>0</v>
      </c>
      <c r="CL93" s="1080">
        <v>0</v>
      </c>
      <c r="CM93" s="1948">
        <v>0</v>
      </c>
      <c r="CN93" s="590"/>
      <c r="CO93" s="1949">
        <v>0</v>
      </c>
      <c r="CP93" s="1080">
        <v>0</v>
      </c>
      <c r="CQ93" s="1080">
        <v>0</v>
      </c>
      <c r="CR93" s="1080">
        <v>0</v>
      </c>
      <c r="CS93" s="1948">
        <v>0</v>
      </c>
      <c r="CT93" s="590"/>
      <c r="CU93" s="1949">
        <v>0</v>
      </c>
      <c r="CV93" s="1080">
        <v>0</v>
      </c>
      <c r="CW93" s="1080">
        <v>0</v>
      </c>
      <c r="CX93" s="1080">
        <v>0</v>
      </c>
      <c r="CY93" s="1948">
        <v>0</v>
      </c>
      <c r="CZ93" s="266"/>
      <c r="DA93" s="266"/>
      <c r="DB93" s="266"/>
      <c r="DC93"/>
      <c r="DD93"/>
      <c r="DE93"/>
      <c r="DF93"/>
      <c r="DG93"/>
      <c r="DH93"/>
    </row>
    <row r="94" spans="1:112" s="276" customFormat="1" ht="11.25" customHeight="1" x14ac:dyDescent="0.2">
      <c r="A94" s="209" t="s">
        <v>133</v>
      </c>
      <c r="B94" s="1950"/>
      <c r="C94" s="1951"/>
      <c r="D94" s="1950"/>
      <c r="E94" s="1950"/>
      <c r="F94" s="1950"/>
      <c r="G94" s="1952">
        <v>147.020207</v>
      </c>
      <c r="H94" s="1950"/>
      <c r="I94" s="1953">
        <v>147.59270799999999</v>
      </c>
      <c r="J94" s="1954">
        <v>147.755664</v>
      </c>
      <c r="K94" s="1954">
        <v>148.12187299999999</v>
      </c>
      <c r="L94" s="1954">
        <v>148.45586399999999</v>
      </c>
      <c r="M94" s="1955">
        <f>L94</f>
        <v>148.45586399999999</v>
      </c>
      <c r="N94" s="1950"/>
      <c r="O94" s="1953">
        <v>149.27536900000001</v>
      </c>
      <c r="P94" s="1954">
        <v>149.47743399999999</v>
      </c>
      <c r="Q94" s="1954">
        <v>149.769769</v>
      </c>
      <c r="R94" s="1954">
        <v>150.16754</v>
      </c>
      <c r="S94" s="1955">
        <f>R94</f>
        <v>150.16754</v>
      </c>
      <c r="T94" s="1950"/>
      <c r="U94" s="1953">
        <v>150.50975099999999</v>
      </c>
      <c r="V94" s="1954">
        <v>150.73105000000001</v>
      </c>
      <c r="W94" s="1954">
        <v>192.694524</v>
      </c>
      <c r="X94" s="1954">
        <v>195.33507599999999</v>
      </c>
      <c r="Y94" s="1955">
        <f>X94</f>
        <v>195.33507599999999</v>
      </c>
      <c r="Z94" s="1950"/>
      <c r="AA94" s="1953">
        <v>196.29642899999999</v>
      </c>
      <c r="AB94" s="1954">
        <v>196.518609</v>
      </c>
      <c r="AC94" s="1954">
        <v>197.28348600000001</v>
      </c>
      <c r="AD94" s="1954">
        <v>197.839</v>
      </c>
      <c r="AE94" s="1955">
        <f>AD94</f>
        <v>197.839</v>
      </c>
      <c r="AF94" s="1950"/>
      <c r="AG94" s="1953">
        <v>198.276028</v>
      </c>
      <c r="AH94" s="1954">
        <v>198.997637</v>
      </c>
      <c r="AI94" s="1954">
        <v>231.12951100000001</v>
      </c>
      <c r="AJ94" s="1954">
        <v>232.07400000000001</v>
      </c>
      <c r="AK94" s="1955">
        <f>AJ94</f>
        <v>232.07400000000001</v>
      </c>
      <c r="AL94" s="1950"/>
      <c r="AM94" s="1953">
        <v>232.38399999999999</v>
      </c>
      <c r="AN94" s="1954">
        <v>232.703</v>
      </c>
      <c r="AO94" s="1954">
        <v>232.83199999999999</v>
      </c>
      <c r="AP94" s="1954">
        <v>233.11500000000001</v>
      </c>
      <c r="AQ94" s="1955">
        <f>AP94</f>
        <v>233.11500000000001</v>
      </c>
      <c r="AR94" s="1950"/>
      <c r="AS94" s="1953">
        <v>233.68299999999999</v>
      </c>
      <c r="AT94" s="1954">
        <v>233.916</v>
      </c>
      <c r="AU94" s="1954">
        <v>234.11799999999999</v>
      </c>
      <c r="AV94" s="1954">
        <v>234.221</v>
      </c>
      <c r="AW94" s="1955">
        <f>AV94</f>
        <v>234.221</v>
      </c>
      <c r="AX94" s="1950"/>
      <c r="AY94" s="1953">
        <v>235.50200000000001</v>
      </c>
      <c r="AZ94" s="1954">
        <v>235.92400000000001</v>
      </c>
      <c r="BA94" s="1954">
        <v>235.92400000000001</v>
      </c>
      <c r="BB94" s="1954">
        <v>236.48699999999999</v>
      </c>
      <c r="BC94" s="1955">
        <f>BB94</f>
        <v>236.48699999999999</v>
      </c>
      <c r="BD94" s="1950"/>
      <c r="BE94" s="1953">
        <v>238.98400000000001</v>
      </c>
      <c r="BF94" s="1956">
        <v>239.411</v>
      </c>
      <c r="BG94" s="1956">
        <v>239.68700000000001</v>
      </c>
      <c r="BH94" s="1954">
        <v>239.70699999999999</v>
      </c>
      <c r="BI94" s="1955">
        <f>BH94</f>
        <v>239.70699999999999</v>
      </c>
      <c r="BJ94" s="1950"/>
      <c r="BK94" s="1953">
        <v>239.70699999999999</v>
      </c>
      <c r="BL94" s="1060">
        <v>239.70699999999999</v>
      </c>
      <c r="BM94" s="1060">
        <v>239.70699999999999</v>
      </c>
      <c r="BN94" s="1060">
        <v>239.70699999999999</v>
      </c>
      <c r="BO94" s="1955">
        <f>BN94</f>
        <v>239.70699999999999</v>
      </c>
      <c r="BP94" s="1950"/>
      <c r="BQ94" s="1953">
        <v>239.70699999999999</v>
      </c>
      <c r="BR94" s="1060">
        <v>239.70699999999999</v>
      </c>
      <c r="BS94" s="1060">
        <v>239.70699999999999</v>
      </c>
      <c r="BT94" s="1060">
        <v>239.70699999999999</v>
      </c>
      <c r="BU94" s="1955">
        <f>BT94</f>
        <v>239.70699999999999</v>
      </c>
      <c r="BV94" s="1950"/>
      <c r="BW94" s="1953">
        <v>239.70699999999999</v>
      </c>
      <c r="BX94" s="1060">
        <v>239.70699999999999</v>
      </c>
      <c r="BY94" s="1060">
        <v>239.70699999999999</v>
      </c>
      <c r="BZ94" s="1060">
        <v>239.70699999999999</v>
      </c>
      <c r="CA94" s="1955">
        <f>BZ94</f>
        <v>239.70699999999999</v>
      </c>
      <c r="CB94" s="1950"/>
      <c r="CC94" s="1953">
        <v>239.70699999999999</v>
      </c>
      <c r="CD94" s="1060">
        <v>233.78100000000001</v>
      </c>
      <c r="CE94" s="1060">
        <v>230.82900000000001</v>
      </c>
      <c r="CF94" s="1060">
        <v>203.82900000000001</v>
      </c>
      <c r="CG94" s="1955">
        <f>CF94</f>
        <v>203.82900000000001</v>
      </c>
      <c r="CH94" s="1950"/>
      <c r="CI94" s="1957">
        <f>CG94</f>
        <v>203.82900000000001</v>
      </c>
      <c r="CJ94" s="995">
        <f>CI94</f>
        <v>203.82900000000001</v>
      </c>
      <c r="CK94" s="995">
        <f>CJ94</f>
        <v>203.82900000000001</v>
      </c>
      <c r="CL94" s="995">
        <f>CK94</f>
        <v>203.82900000000001</v>
      </c>
      <c r="CM94" s="1955">
        <f>CL94</f>
        <v>203.82900000000001</v>
      </c>
      <c r="CN94" s="1950"/>
      <c r="CO94" s="1957">
        <f>CM94</f>
        <v>203.82900000000001</v>
      </c>
      <c r="CP94" s="995">
        <f>CO94</f>
        <v>203.82900000000001</v>
      </c>
      <c r="CQ94" s="995">
        <f>CP94</f>
        <v>203.82900000000001</v>
      </c>
      <c r="CR94" s="995">
        <f>CQ94</f>
        <v>203.82900000000001</v>
      </c>
      <c r="CS94" s="1955">
        <f>CR94</f>
        <v>203.82900000000001</v>
      </c>
      <c r="CT94" s="1950"/>
      <c r="CU94" s="1957">
        <f>CS94</f>
        <v>203.82900000000001</v>
      </c>
      <c r="CV94" s="995">
        <f>CU94</f>
        <v>203.82900000000001</v>
      </c>
      <c r="CW94" s="995">
        <f>CV94</f>
        <v>203.82900000000001</v>
      </c>
      <c r="CX94" s="995">
        <f>CW94</f>
        <v>203.82900000000001</v>
      </c>
      <c r="CY94" s="1955">
        <f>CX94</f>
        <v>203.82900000000001</v>
      </c>
      <c r="CZ94" s="267"/>
      <c r="DA94" s="267"/>
      <c r="DB94" s="267"/>
      <c r="DC94"/>
      <c r="DD94"/>
      <c r="DE94"/>
      <c r="DF94"/>
      <c r="DG94"/>
      <c r="DH94"/>
    </row>
    <row r="95" spans="1:112" s="277" customFormat="1" ht="11.25" customHeight="1" x14ac:dyDescent="0.2">
      <c r="A95" s="442" t="s">
        <v>307</v>
      </c>
      <c r="B95" s="350"/>
      <c r="C95" s="442">
        <f>C30+C27</f>
        <v>11.420999999999996</v>
      </c>
      <c r="D95" s="350">
        <f>D30+D27</f>
        <v>8.8020000000000067</v>
      </c>
      <c r="E95" s="350">
        <f>E30+E27</f>
        <v>12.639999999999969</v>
      </c>
      <c r="F95" s="350">
        <f>F30+F27</f>
        <v>15.842000000000059</v>
      </c>
      <c r="G95" s="443">
        <f>G30+G27</f>
        <v>48.705000000000005</v>
      </c>
      <c r="H95" s="350"/>
      <c r="I95" s="442">
        <f>I30+I27</f>
        <v>13.948</v>
      </c>
      <c r="J95" s="350">
        <f>J30+J27</f>
        <v>13.777000000000008</v>
      </c>
      <c r="K95" s="350">
        <f>K30+K27</f>
        <v>17.639999999999983</v>
      </c>
      <c r="L95" s="350">
        <f>L30+L27</f>
        <v>16.860000000000007</v>
      </c>
      <c r="M95" s="443">
        <f>M30+M27</f>
        <v>62.225000000000001</v>
      </c>
      <c r="N95" s="350"/>
      <c r="O95" s="442">
        <f>O30+O27</f>
        <v>17.580000000000005</v>
      </c>
      <c r="P95" s="350">
        <f>P30+P27</f>
        <v>14.154000000000007</v>
      </c>
      <c r="Q95" s="350">
        <f>Q30+Q27</f>
        <v>19.358000000000011</v>
      </c>
      <c r="R95" s="350">
        <f>R30+R27</f>
        <v>19.446999999999999</v>
      </c>
      <c r="S95" s="443">
        <f>S30+S27</f>
        <v>70.538999999999987</v>
      </c>
      <c r="T95" s="350"/>
      <c r="U95" s="442">
        <f>U30+U27</f>
        <v>19.866999999999976</v>
      </c>
      <c r="V95" s="350">
        <f>V30+V27</f>
        <v>22.582999999999991</v>
      </c>
      <c r="W95" s="350">
        <f>W30+W27</f>
        <v>-7.3350000000000133</v>
      </c>
      <c r="X95" s="350">
        <f>X30+X27</f>
        <v>15.05600000000007</v>
      </c>
      <c r="Y95" s="443">
        <f>Y30+Y27</f>
        <v>50.171000000000014</v>
      </c>
      <c r="Z95" s="350"/>
      <c r="AA95" s="442">
        <f>AA30+AA27</f>
        <v>20.392999999999954</v>
      </c>
      <c r="AB95" s="350">
        <f>AB30+AB27</f>
        <v>23.281000000000013</v>
      </c>
      <c r="AC95" s="350">
        <f>AC30+AC27</f>
        <v>21.166999999999998</v>
      </c>
      <c r="AD95" s="350">
        <f>AD30+AD27</f>
        <v>24.68300000000001</v>
      </c>
      <c r="AE95" s="443">
        <f>AE30+AE27</f>
        <v>89.523999999999873</v>
      </c>
      <c r="AF95" s="350"/>
      <c r="AG95" s="442">
        <f>AG30+AG27</f>
        <v>24.684000000000026</v>
      </c>
      <c r="AH95" s="350">
        <f>AH30+AH27</f>
        <v>30.928999999999981</v>
      </c>
      <c r="AI95" s="350">
        <f>AI30+AI27</f>
        <v>37.690000000000005</v>
      </c>
      <c r="AJ95" s="350">
        <f>AJ30+AJ27</f>
        <v>44.464000000000084</v>
      </c>
      <c r="AK95" s="443">
        <f>AK30+AK27</f>
        <v>137.76700000000011</v>
      </c>
      <c r="AL95" s="350"/>
      <c r="AM95" s="442">
        <f>AM30+AM27</f>
        <v>33.013999999999953</v>
      </c>
      <c r="AN95" s="350">
        <f>AN30+AN27</f>
        <v>38.519999999999996</v>
      </c>
      <c r="AO95" s="350">
        <f>AO30+AO27</f>
        <v>36.487999999999985</v>
      </c>
      <c r="AP95" s="350">
        <f>AP30+AP27</f>
        <v>36.29000000000002</v>
      </c>
      <c r="AQ95" s="443">
        <f>AQ30+AQ27</f>
        <v>144.31200000000007</v>
      </c>
      <c r="AR95" s="350"/>
      <c r="AS95" s="442">
        <f>AS30+AS27</f>
        <v>27.980999999999966</v>
      </c>
      <c r="AT95" s="350">
        <f>AT30+AT27</f>
        <v>33.288000000000025</v>
      </c>
      <c r="AU95" s="350">
        <f>AU30+AU27</f>
        <v>34.466999999999999</v>
      </c>
      <c r="AV95" s="350">
        <f>AV30+AV27</f>
        <v>-0.78899999999987214</v>
      </c>
      <c r="AW95" s="443">
        <f>AW30+AW27</f>
        <v>94.947000000000031</v>
      </c>
      <c r="AX95" s="350"/>
      <c r="AY95" s="442">
        <f>AY30+AY27</f>
        <v>28.489999999999995</v>
      </c>
      <c r="AZ95" s="350">
        <f>AZ30+AZ27</f>
        <v>33.683000000000028</v>
      </c>
      <c r="BA95" s="350">
        <f>BA30+BA27</f>
        <v>29.080999999999982</v>
      </c>
      <c r="BB95" s="350">
        <f>BB30+BB27</f>
        <v>38.283999999999999</v>
      </c>
      <c r="BC95" s="443">
        <f>BC30+BC27</f>
        <v>129.53799999999987</v>
      </c>
      <c r="BD95" s="350"/>
      <c r="BE95" s="442">
        <f>BE30+BE27</f>
        <v>20.073000000000011</v>
      </c>
      <c r="BF95" s="350">
        <f>BF30+BF27</f>
        <v>-51.725000000000051</v>
      </c>
      <c r="BG95" s="350">
        <f>BG30+BG27</f>
        <v>40.770999999999951</v>
      </c>
      <c r="BH95" s="350">
        <f>BH30+BH27</f>
        <v>60.373999999999945</v>
      </c>
      <c r="BI95" s="443">
        <f>BI30+BI27</f>
        <v>69.492999999999967</v>
      </c>
      <c r="BJ95" s="350"/>
      <c r="BK95" s="442">
        <f>BK30+BK27</f>
        <v>23.297999999999981</v>
      </c>
      <c r="BL95" s="350">
        <f>BL30+BL27</f>
        <v>32.90199999999998</v>
      </c>
      <c r="BM95" s="350">
        <f>BM30+BM27</f>
        <v>34.831999999999987</v>
      </c>
      <c r="BN95" s="350">
        <f>BN30+BN27</f>
        <v>26.039999999999946</v>
      </c>
      <c r="BO95" s="443">
        <f>BO30+BO27</f>
        <v>117.07199999999999</v>
      </c>
      <c r="BP95" s="350"/>
      <c r="BQ95" s="442">
        <f>BQ30+BQ27</f>
        <v>19.298999999999975</v>
      </c>
      <c r="BR95" s="350">
        <f>BR30+BR27</f>
        <v>25.073000000000032</v>
      </c>
      <c r="BS95" s="350">
        <f>BS30+BS27</f>
        <v>33.999999999999986</v>
      </c>
      <c r="BT95" s="350">
        <f>BT30+BT27</f>
        <v>50.71</v>
      </c>
      <c r="BU95" s="443">
        <f>BU30+BU27</f>
        <v>129.08199999999999</v>
      </c>
      <c r="BV95" s="350"/>
      <c r="BW95" s="442">
        <f>BW30+BW27</f>
        <v>15.935999999999989</v>
      </c>
      <c r="BX95" s="350">
        <f>BX30+BX27</f>
        <v>21.012999999999991</v>
      </c>
      <c r="BY95" s="350">
        <f>BY30+BY27</f>
        <v>33.767999999999994</v>
      </c>
      <c r="BZ95" s="350">
        <f>BZ30+BZ27</f>
        <v>8.613000000000028</v>
      </c>
      <c r="CA95" s="443">
        <f>CA30+CA27</f>
        <v>79.330000000000013</v>
      </c>
      <c r="CB95" s="350"/>
      <c r="CC95" s="442">
        <f>CC30+CC27</f>
        <v>17.66100000000003</v>
      </c>
      <c r="CD95" s="350">
        <f>CD30+CD27</f>
        <v>13.952000000000005</v>
      </c>
      <c r="CE95" s="350">
        <f>CE30+CE27</f>
        <v>48.521000000000008</v>
      </c>
      <c r="CF95" s="350">
        <f>CF30+CF27</f>
        <v>-39.653999999999996</v>
      </c>
      <c r="CG95" s="443">
        <f>CG30+CG27</f>
        <v>40.479999999999905</v>
      </c>
      <c r="CH95" s="350"/>
      <c r="CI95" s="442">
        <f>CI30+CI27</f>
        <v>-3.4374540413930106</v>
      </c>
      <c r="CJ95" s="350">
        <f>CJ30+CJ27</f>
        <v>16.999924978567108</v>
      </c>
      <c r="CK95" s="350">
        <f>CK30+CK27</f>
        <v>19.095683584062144</v>
      </c>
      <c r="CL95" s="350">
        <f>CL30+CL27</f>
        <v>36.113919467058246</v>
      </c>
      <c r="CM95" s="443">
        <f>CM30+CM27</f>
        <v>68.772073988294323</v>
      </c>
      <c r="CN95" s="350"/>
      <c r="CO95" s="442">
        <f>CO30+CO27</f>
        <v>13.056895901787733</v>
      </c>
      <c r="CP95" s="350">
        <f>CP30+CP27</f>
        <v>27.090684993430919</v>
      </c>
      <c r="CQ95" s="350">
        <f>CQ30+CQ27</f>
        <v>32.221286792940518</v>
      </c>
      <c r="CR95" s="350">
        <f>CR30+CR27</f>
        <v>50.642507013887865</v>
      </c>
      <c r="CS95" s="443">
        <f>CS30+CS27</f>
        <v>123.01137470204688</v>
      </c>
      <c r="CT95" s="350"/>
      <c r="CU95" s="442">
        <f>CU30+CU27</f>
        <v>38.490429394646739</v>
      </c>
      <c r="CV95" s="350">
        <f>CV30+CV27</f>
        <v>55.497215306517631</v>
      </c>
      <c r="CW95" s="350">
        <f>CW30+CW27</f>
        <v>61.572220469068732</v>
      </c>
      <c r="CX95" s="350">
        <f>CX30+CX27</f>
        <v>81.867221229251939</v>
      </c>
      <c r="CY95" s="443">
        <f>CY30+CY27</f>
        <v>237.42708639948512</v>
      </c>
      <c r="CZ95" s="91"/>
      <c r="DA95" s="91"/>
      <c r="DB95" s="91"/>
      <c r="DC95"/>
      <c r="DD95"/>
      <c r="DE95"/>
      <c r="DF95"/>
      <c r="DG95"/>
      <c r="DH95"/>
    </row>
    <row r="96" spans="1:112" s="33" customFormat="1" ht="11.25" customHeight="1" x14ac:dyDescent="0.2">
      <c r="A96" s="162"/>
      <c r="B96" s="440"/>
      <c r="C96" s="441"/>
      <c r="D96" s="441"/>
      <c r="E96" s="441"/>
      <c r="F96" s="441"/>
      <c r="G96" s="441"/>
      <c r="H96" s="440"/>
      <c r="I96" s="441"/>
      <c r="J96" s="441"/>
      <c r="K96" s="441"/>
      <c r="L96" s="441"/>
      <c r="M96" s="441"/>
      <c r="N96" s="440"/>
      <c r="O96" s="441"/>
      <c r="P96" s="441"/>
      <c r="Q96" s="441"/>
      <c r="R96" s="441"/>
      <c r="S96" s="441"/>
      <c r="T96" s="440"/>
      <c r="U96" s="441"/>
      <c r="V96" s="441"/>
      <c r="W96" s="441"/>
      <c r="X96" s="441"/>
      <c r="Y96" s="441"/>
      <c r="Z96" s="440"/>
      <c r="AA96" s="441"/>
      <c r="AB96" s="441"/>
      <c r="AC96" s="441"/>
      <c r="AD96" s="441"/>
      <c r="AE96" s="441"/>
      <c r="AF96" s="440"/>
      <c r="AG96" s="441"/>
      <c r="AH96" s="441"/>
      <c r="AI96" s="441"/>
      <c r="AJ96" s="441"/>
      <c r="AK96" s="441"/>
      <c r="AL96" s="440"/>
      <c r="AM96" s="441"/>
      <c r="AN96" s="441"/>
      <c r="AO96" s="441"/>
      <c r="AP96" s="441"/>
      <c r="AQ96" s="441"/>
      <c r="AR96" s="440"/>
      <c r="AS96" s="441"/>
      <c r="AT96" s="441"/>
      <c r="AU96" s="441"/>
      <c r="AV96" s="441"/>
      <c r="AW96" s="441"/>
      <c r="AX96" s="440"/>
      <c r="AY96" s="441"/>
      <c r="AZ96" s="441"/>
      <c r="BA96" s="441"/>
      <c r="BB96" s="441"/>
      <c r="BC96" s="441"/>
      <c r="BD96" s="440"/>
      <c r="BE96" s="441"/>
      <c r="BF96" s="441"/>
      <c r="BG96" s="441"/>
      <c r="BH96" s="441"/>
      <c r="BI96" s="441"/>
      <c r="BJ96" s="440"/>
      <c r="BK96" s="441"/>
      <c r="BL96" s="441"/>
      <c r="BM96" s="441"/>
      <c r="BN96" s="441"/>
      <c r="BO96" s="20"/>
      <c r="BP96" s="440"/>
      <c r="BQ96" s="441"/>
      <c r="BR96" s="441"/>
      <c r="BS96" s="441"/>
      <c r="BT96" s="441"/>
      <c r="BU96" s="20"/>
      <c r="BV96" s="440"/>
      <c r="BW96" s="441"/>
      <c r="BX96" s="441"/>
      <c r="BY96" s="441"/>
      <c r="BZ96" s="441"/>
      <c r="CA96" s="20"/>
      <c r="CB96" s="440"/>
      <c r="CC96" s="441"/>
      <c r="CD96" s="441"/>
      <c r="CE96" s="441"/>
      <c r="CF96" s="441"/>
      <c r="CG96" s="20"/>
      <c r="CH96" s="440"/>
      <c r="CI96" s="441"/>
      <c r="CJ96" s="441"/>
      <c r="CK96" s="441"/>
      <c r="CL96" s="441"/>
      <c r="CM96" s="20"/>
      <c r="CN96" s="440"/>
      <c r="CO96" s="441"/>
      <c r="CP96" s="441"/>
      <c r="CQ96" s="441"/>
      <c r="CR96" s="441"/>
      <c r="CS96" s="20"/>
      <c r="CT96" s="440"/>
      <c r="CU96" s="441"/>
      <c r="CV96" s="441"/>
      <c r="CW96" s="441"/>
      <c r="CX96" s="441"/>
      <c r="CY96" s="20"/>
      <c r="CZ96" s="20"/>
      <c r="DA96" s="20"/>
      <c r="DB96" s="20"/>
      <c r="DC96"/>
      <c r="DD96"/>
      <c r="DE96"/>
      <c r="DF96"/>
      <c r="DG96"/>
      <c r="DH96"/>
    </row>
    <row r="97" spans="1:112" s="33" customFormat="1" ht="11.25" customHeight="1" x14ac:dyDescent="0.2">
      <c r="A97" s="282"/>
      <c r="B97" s="240"/>
      <c r="C97" s="237"/>
      <c r="D97" s="237"/>
      <c r="E97" s="237"/>
      <c r="F97" s="237"/>
      <c r="G97" s="237"/>
      <c r="H97" s="240"/>
      <c r="I97" s="237"/>
      <c r="J97" s="237"/>
      <c r="K97" s="237"/>
      <c r="L97" s="237"/>
      <c r="M97" s="237"/>
      <c r="N97" s="240"/>
      <c r="O97" s="237"/>
      <c r="P97" s="237"/>
      <c r="Q97" s="237"/>
      <c r="R97" s="237"/>
      <c r="S97" s="237"/>
      <c r="T97" s="240"/>
      <c r="U97" s="212"/>
      <c r="V97" s="212"/>
      <c r="W97" s="212"/>
      <c r="X97" s="212"/>
      <c r="Y97" s="212"/>
      <c r="Z97" s="240"/>
      <c r="AA97" s="212"/>
      <c r="AB97" s="212"/>
      <c r="AC97" s="212"/>
      <c r="AD97" s="212"/>
      <c r="AE97" s="212"/>
      <c r="AF97" s="240"/>
      <c r="AG97" s="283"/>
      <c r="AH97" s="283"/>
      <c r="AI97" s="283"/>
      <c r="AJ97" s="283"/>
      <c r="AK97" s="283"/>
      <c r="AL97" s="240"/>
      <c r="AM97" s="284"/>
      <c r="AN97" s="284"/>
      <c r="AO97" s="284"/>
      <c r="AP97" s="284"/>
      <c r="AQ97" s="285"/>
      <c r="AR97" s="240"/>
      <c r="AS97" s="284"/>
      <c r="AT97" s="284"/>
      <c r="AU97" s="286"/>
      <c r="AV97" s="286"/>
      <c r="AW97" s="284"/>
      <c r="AX97" s="278"/>
      <c r="AY97" s="284"/>
      <c r="AZ97" s="285"/>
      <c r="BA97" s="285"/>
      <c r="BB97" s="285"/>
      <c r="BC97" s="287"/>
      <c r="BD97" s="278"/>
      <c r="BE97" s="288"/>
      <c r="BF97" s="285"/>
      <c r="BG97" s="288"/>
      <c r="BH97" s="288"/>
      <c r="BI97" s="284"/>
      <c r="BJ97" s="278"/>
      <c r="BK97" s="288"/>
      <c r="BL97" s="288"/>
      <c r="BM97" s="288"/>
      <c r="BN97" s="288"/>
      <c r="BO97" s="284"/>
      <c r="BP97" s="278"/>
      <c r="BQ97" s="288"/>
      <c r="BR97" s="288"/>
      <c r="BS97" s="288"/>
      <c r="BT97" s="288"/>
      <c r="BU97" s="284"/>
      <c r="BV97" s="278"/>
      <c r="BW97" s="288"/>
      <c r="BX97" s="288"/>
      <c r="BY97" s="288"/>
      <c r="BZ97" s="288"/>
      <c r="CA97" s="284"/>
      <c r="CB97" s="278"/>
      <c r="CC97" s="288"/>
      <c r="CD97" s="288"/>
      <c r="CE97" s="288"/>
      <c r="CF97" s="288"/>
      <c r="CG97" s="284"/>
      <c r="CH97" s="278"/>
      <c r="CI97" s="288"/>
      <c r="CJ97" s="288"/>
      <c r="CK97" s="288"/>
      <c r="CL97" s="288"/>
      <c r="CM97" s="284"/>
      <c r="CN97" s="278"/>
      <c r="CO97" s="288"/>
      <c r="CP97" s="288"/>
      <c r="CQ97" s="288"/>
      <c r="CR97" s="288"/>
      <c r="CS97" s="284"/>
      <c r="CT97" s="278"/>
      <c r="CU97" s="288"/>
      <c r="CV97" s="288"/>
      <c r="CW97" s="288"/>
      <c r="CX97" s="288"/>
      <c r="CY97" s="284"/>
      <c r="CZ97" s="39"/>
      <c r="DA97" s="39"/>
      <c r="DB97" s="39"/>
      <c r="DC97"/>
      <c r="DD97"/>
      <c r="DE97"/>
      <c r="DF97"/>
      <c r="DG97"/>
      <c r="DH97"/>
    </row>
    <row r="98" spans="1:112" ht="11.25" customHeight="1" x14ac:dyDescent="0.2">
      <c r="A98" s="390" t="s">
        <v>123</v>
      </c>
      <c r="B98" s="12"/>
      <c r="C98" s="13"/>
      <c r="D98" s="14"/>
      <c r="E98" s="14"/>
      <c r="F98" s="14"/>
      <c r="G98" s="15"/>
      <c r="H98" s="12"/>
      <c r="I98" s="13"/>
      <c r="J98" s="14"/>
      <c r="K98" s="14"/>
      <c r="L98" s="14"/>
      <c r="M98" s="15"/>
      <c r="N98" s="12"/>
      <c r="O98" s="13"/>
      <c r="P98" s="14"/>
      <c r="Q98" s="14"/>
      <c r="R98" s="14"/>
      <c r="S98" s="15"/>
      <c r="T98" s="12"/>
      <c r="U98" s="13"/>
      <c r="V98" s="14"/>
      <c r="W98" s="14"/>
      <c r="X98" s="14"/>
      <c r="Y98" s="15"/>
      <c r="Z98" s="12"/>
      <c r="AA98" s="13"/>
      <c r="AB98" s="14"/>
      <c r="AC98" s="14"/>
      <c r="AD98" s="14"/>
      <c r="AE98" s="15"/>
      <c r="AF98" s="12"/>
      <c r="AG98" s="13"/>
      <c r="AH98" s="14"/>
      <c r="AI98" s="14"/>
      <c r="AJ98" s="14"/>
      <c r="AK98" s="15"/>
      <c r="AL98" s="12"/>
      <c r="AM98" s="14"/>
      <c r="AN98" s="14"/>
      <c r="AO98" s="14"/>
      <c r="AP98" s="14"/>
      <c r="AQ98" s="15"/>
      <c r="AR98" s="12"/>
      <c r="AS98" s="13"/>
      <c r="AT98" s="14"/>
      <c r="AU98" s="14"/>
      <c r="AV98" s="14"/>
      <c r="AW98" s="15"/>
      <c r="AX98" s="12"/>
      <c r="AY98" s="13"/>
      <c r="AZ98" s="14"/>
      <c r="BA98" s="14"/>
      <c r="BB98" s="14"/>
      <c r="BC98" s="15"/>
      <c r="BD98" s="12"/>
      <c r="BE98" s="13"/>
      <c r="BF98" s="14"/>
      <c r="BG98" s="14"/>
      <c r="BH98" s="14"/>
      <c r="BI98" s="15"/>
      <c r="BJ98" s="12"/>
      <c r="BK98" s="13"/>
      <c r="BL98" s="14"/>
      <c r="BM98" s="14"/>
      <c r="BN98" s="14"/>
      <c r="BO98" s="46"/>
      <c r="BP98" s="12"/>
      <c r="BQ98" s="14"/>
      <c r="BR98" s="14"/>
      <c r="BS98" s="14"/>
      <c r="BT98" s="14"/>
      <c r="BU98" s="46"/>
      <c r="BV98" s="12"/>
      <c r="BW98" s="14"/>
      <c r="BX98" s="14"/>
      <c r="BY98" s="14"/>
      <c r="BZ98" s="14"/>
      <c r="CA98" s="46"/>
      <c r="CB98" s="12"/>
      <c r="CC98" s="14"/>
      <c r="CD98" s="14"/>
      <c r="CE98" s="14"/>
      <c r="CF98" s="14"/>
      <c r="CG98" s="46"/>
      <c r="CH98" s="12"/>
      <c r="CI98" s="14"/>
      <c r="CJ98" s="14"/>
      <c r="CK98" s="14"/>
      <c r="CL98" s="14"/>
      <c r="CM98" s="46"/>
      <c r="CN98" s="12"/>
      <c r="CO98" s="14"/>
      <c r="CP98" s="14"/>
      <c r="CQ98" s="14"/>
      <c r="CR98" s="14"/>
      <c r="CS98" s="46"/>
      <c r="CT98" s="12"/>
      <c r="CU98" s="14"/>
      <c r="CV98" s="14"/>
      <c r="CW98" s="14"/>
      <c r="CX98" s="14"/>
      <c r="CY98" s="46"/>
      <c r="CZ98" s="162"/>
      <c r="DA98" s="162"/>
      <c r="DB98" s="162"/>
    </row>
    <row r="99" spans="1:112" ht="11.25" customHeight="1" x14ac:dyDescent="0.2">
      <c r="A99" s="39" t="s">
        <v>57</v>
      </c>
      <c r="B99" s="39"/>
      <c r="C99" s="716"/>
      <c r="D99" s="717"/>
      <c r="E99" s="717"/>
      <c r="F99" s="717"/>
      <c r="G99" s="718"/>
      <c r="H99" s="717"/>
      <c r="I99" s="716"/>
      <c r="J99" s="717"/>
      <c r="K99" s="717"/>
      <c r="L99" s="717"/>
      <c r="M99" s="718"/>
      <c r="N99" s="717"/>
      <c r="O99" s="716"/>
      <c r="P99" s="717"/>
      <c r="Q99" s="717"/>
      <c r="R99" s="717"/>
      <c r="S99" s="718"/>
      <c r="T99" s="717"/>
      <c r="U99" s="716"/>
      <c r="V99" s="717"/>
      <c r="W99" s="717"/>
      <c r="X99" s="717"/>
      <c r="Y99" s="718"/>
      <c r="Z99" s="717"/>
      <c r="AA99" s="716"/>
      <c r="AB99" s="717"/>
      <c r="AC99" s="717"/>
      <c r="AD99" s="717"/>
      <c r="AE99" s="718"/>
      <c r="AF99" s="717"/>
      <c r="AG99" s="719">
        <f>AG28</f>
        <v>40.375000000000028</v>
      </c>
      <c r="AH99" s="720">
        <f>AH28</f>
        <v>48.258999999999979</v>
      </c>
      <c r="AI99" s="720">
        <f>AI28</f>
        <v>53.507000000000005</v>
      </c>
      <c r="AJ99" s="721">
        <f>AJ28</f>
        <v>57.447000000000074</v>
      </c>
      <c r="AK99" s="722">
        <f>AK28</f>
        <v>199.58800000000008</v>
      </c>
      <c r="AL99" s="717"/>
      <c r="AM99" s="723">
        <f>AM28</f>
        <v>49.371999999999957</v>
      </c>
      <c r="AN99" s="724">
        <f>AN28</f>
        <v>52.559999999999995</v>
      </c>
      <c r="AO99" s="724">
        <f>AO28</f>
        <v>58.767999999999986</v>
      </c>
      <c r="AP99" s="725">
        <f>AP28</f>
        <v>62.003000000000021</v>
      </c>
      <c r="AQ99" s="726">
        <f>AQ28</f>
        <v>222.70300000000006</v>
      </c>
      <c r="AR99" s="717"/>
      <c r="AS99" s="723">
        <f>AS28</f>
        <v>49.505999999999965</v>
      </c>
      <c r="AT99" s="724">
        <f>AT28</f>
        <v>54.964000000000027</v>
      </c>
      <c r="AU99" s="724">
        <f>AU28</f>
        <v>56.385999999999996</v>
      </c>
      <c r="AV99" s="725">
        <f>AV28</f>
        <v>73.628000000000128</v>
      </c>
      <c r="AW99" s="726">
        <f>AW28</f>
        <v>234.48400000000004</v>
      </c>
      <c r="AX99" s="717"/>
      <c r="AY99" s="723">
        <f>AY28</f>
        <v>54.755000000000003</v>
      </c>
      <c r="AZ99" s="724">
        <f>AZ28</f>
        <v>60.823000000000029</v>
      </c>
      <c r="BA99" s="724">
        <f>BA28</f>
        <v>62.324999999999982</v>
      </c>
      <c r="BB99" s="725">
        <f>BB28</f>
        <v>82.819999999999979</v>
      </c>
      <c r="BC99" s="726">
        <f>BC28</f>
        <v>260.72299999999984</v>
      </c>
      <c r="BD99" s="717"/>
      <c r="BE99" s="723">
        <f>BE28</f>
        <v>54.686000000000014</v>
      </c>
      <c r="BF99" s="724">
        <f>BF28</f>
        <v>64.247999999999962</v>
      </c>
      <c r="BG99" s="724">
        <f>BG28</f>
        <v>68.395999999999944</v>
      </c>
      <c r="BH99" s="725">
        <f>BH28</f>
        <v>87.410999999999959</v>
      </c>
      <c r="BI99" s="726">
        <f>BI28</f>
        <v>274.74099999999999</v>
      </c>
      <c r="BJ99" s="717"/>
      <c r="BK99" s="723">
        <f>BK28</f>
        <v>53.681999999999981</v>
      </c>
      <c r="BL99" s="724">
        <f>BL28</f>
        <v>60.780999999999985</v>
      </c>
      <c r="BM99" s="724">
        <f>BM28</f>
        <v>66.006999999999991</v>
      </c>
      <c r="BN99" s="724">
        <f>BN28</f>
        <v>60.433999999999941</v>
      </c>
      <c r="BO99" s="726">
        <f>BO28</f>
        <v>240.904</v>
      </c>
      <c r="BP99" s="717"/>
      <c r="BQ99" s="723">
        <f>BQ28</f>
        <v>51.524999999999977</v>
      </c>
      <c r="BR99" s="724">
        <f>BR28</f>
        <v>60.977000000000032</v>
      </c>
      <c r="BS99" s="724">
        <f>BS28</f>
        <v>63.115999999999978</v>
      </c>
      <c r="BT99" s="725">
        <f>BT28</f>
        <v>76.210000000000008</v>
      </c>
      <c r="BU99" s="726">
        <f>BU28</f>
        <v>251.828</v>
      </c>
      <c r="BV99" s="717"/>
      <c r="BW99" s="723">
        <f>BW28</f>
        <v>45.127999999999993</v>
      </c>
      <c r="BX99" s="724">
        <f>BX28</f>
        <v>56.923999999999992</v>
      </c>
      <c r="BY99" s="724">
        <f>BY28</f>
        <v>68.220999999999989</v>
      </c>
      <c r="BZ99" s="725">
        <f>BZ28</f>
        <v>93.513000000000005</v>
      </c>
      <c r="CA99" s="726">
        <f>CA28</f>
        <v>263.786</v>
      </c>
      <c r="CB99" s="717"/>
      <c r="CC99" s="723">
        <f>CC28</f>
        <v>50.761000000000038</v>
      </c>
      <c r="CD99" s="724">
        <f>CD28</f>
        <v>68.652000000000001</v>
      </c>
      <c r="CE99" s="724">
        <f>CE28</f>
        <v>75.521000000000015</v>
      </c>
      <c r="CF99" s="725">
        <f>CF28</f>
        <v>100.14600000000002</v>
      </c>
      <c r="CG99" s="726">
        <f>CG28</f>
        <v>295.07999999999993</v>
      </c>
      <c r="CH99" s="717"/>
      <c r="CI99" s="723">
        <f>CI28</f>
        <v>54.319295958606993</v>
      </c>
      <c r="CJ99" s="724">
        <f>CJ28</f>
        <v>75.010677478567104</v>
      </c>
      <c r="CK99" s="724">
        <f>CK28</f>
        <v>77.362978609062154</v>
      </c>
      <c r="CL99" s="725">
        <f>CL28</f>
        <v>94.640322442308261</v>
      </c>
      <c r="CM99" s="726">
        <f>CM28</f>
        <v>301.33327448854436</v>
      </c>
      <c r="CN99" s="717"/>
      <c r="CO99" s="723">
        <f>CO28</f>
        <v>68.966308579512742</v>
      </c>
      <c r="CP99" s="724">
        <f>CP28</f>
        <v>83.235626797933179</v>
      </c>
      <c r="CQ99" s="724">
        <f>CQ28</f>
        <v>88.604113015487798</v>
      </c>
      <c r="CR99" s="725">
        <f>CR28</f>
        <v>107.26559649866061</v>
      </c>
      <c r="CS99" s="726">
        <f>CS28</f>
        <v>348.07164489159419</v>
      </c>
      <c r="CT99" s="717"/>
      <c r="CU99" s="723">
        <f>CU28</f>
        <v>92.686859930942219</v>
      </c>
      <c r="CV99" s="724">
        <f>CV28</f>
        <v>109.91204514817606</v>
      </c>
      <c r="CW99" s="724">
        <f>CW28</f>
        <v>116.20763360914376</v>
      </c>
      <c r="CX99" s="725">
        <f>CX28</f>
        <v>136.72542350072771</v>
      </c>
      <c r="CY99" s="726">
        <f>CY28</f>
        <v>455.53196218898984</v>
      </c>
      <c r="CZ99" s="39"/>
      <c r="DA99" s="39"/>
      <c r="DB99" s="39"/>
    </row>
    <row r="100" spans="1:112" ht="11.25" customHeight="1" x14ac:dyDescent="0.2">
      <c r="A100" s="39" t="s">
        <v>124</v>
      </c>
      <c r="B100" s="39"/>
      <c r="C100" s="716"/>
      <c r="D100" s="717"/>
      <c r="E100" s="717"/>
      <c r="F100" s="717"/>
      <c r="G100" s="718"/>
      <c r="H100" s="717"/>
      <c r="I100" s="716"/>
      <c r="J100" s="717"/>
      <c r="K100" s="717"/>
      <c r="L100" s="717"/>
      <c r="M100" s="718"/>
      <c r="N100" s="717"/>
      <c r="O100" s="716"/>
      <c r="P100" s="717"/>
      <c r="Q100" s="717"/>
      <c r="R100" s="717"/>
      <c r="S100" s="718"/>
      <c r="T100" s="717"/>
      <c r="U100" s="716"/>
      <c r="V100" s="717"/>
      <c r="W100" s="717"/>
      <c r="X100" s="717"/>
      <c r="Y100" s="718"/>
      <c r="Z100" s="717"/>
      <c r="AA100" s="716"/>
      <c r="AB100" s="717"/>
      <c r="AC100" s="717"/>
      <c r="AD100" s="717"/>
      <c r="AE100" s="718"/>
      <c r="AF100" s="717"/>
      <c r="AG100" s="1958">
        <f>Debt!AG27+Debt!AG31</f>
        <v>0</v>
      </c>
      <c r="AH100" s="1959">
        <f>Debt!AH27+Debt!AH31</f>
        <v>0</v>
      </c>
      <c r="AI100" s="1959">
        <f>Debt!AI27+Debt!AI31</f>
        <v>0</v>
      </c>
      <c r="AJ100" s="1960">
        <f>Debt!AJ27+Debt!AJ31</f>
        <v>0</v>
      </c>
      <c r="AK100" s="1961">
        <f>Debt!AK27+Debt!AK31</f>
        <v>0</v>
      </c>
      <c r="AL100" s="717"/>
      <c r="AM100" s="1958">
        <f>Debt!AM27+Debt!AM31</f>
        <v>0</v>
      </c>
      <c r="AN100" s="1959">
        <f>Debt!AN27+Debt!AN31</f>
        <v>0</v>
      </c>
      <c r="AO100" s="1959">
        <f>Debt!AO27+Debt!AO31</f>
        <v>0</v>
      </c>
      <c r="AP100" s="1960">
        <f>Debt!AP27+Debt!AP31</f>
        <v>0</v>
      </c>
      <c r="AQ100" s="1961">
        <f>Debt!AQ27+Debt!AQ31</f>
        <v>0</v>
      </c>
      <c r="AR100" s="717"/>
      <c r="AS100" s="1958">
        <f>Debt!AS27+Debt!AS31</f>
        <v>0</v>
      </c>
      <c r="AT100" s="1959">
        <f>Debt!AT27+Debt!AT31</f>
        <v>0</v>
      </c>
      <c r="AU100" s="1959">
        <f>Debt!AU27+Debt!AU31</f>
        <v>0</v>
      </c>
      <c r="AV100" s="1960">
        <f>Debt!AV27+Debt!AV31</f>
        <v>0</v>
      </c>
      <c r="AW100" s="1961">
        <f>Debt!AW27+Debt!AW31</f>
        <v>0</v>
      </c>
      <c r="AX100" s="717"/>
      <c r="AY100" s="1958">
        <f>Debt!AY27+Debt!AY31</f>
        <v>3.6444999999999999</v>
      </c>
      <c r="AZ100" s="1959">
        <f>Debt!AZ27+Debt!AZ31</f>
        <v>3.7713749999999999</v>
      </c>
      <c r="BA100" s="1959">
        <f>Debt!BA27+Debt!BA31</f>
        <v>3.6444999999999999</v>
      </c>
      <c r="BB100" s="1960">
        <f>Debt!BB27+Debt!BB31</f>
        <v>3.4274999999999998</v>
      </c>
      <c r="BC100" s="1961">
        <f>Debt!BC27+Debt!BC31</f>
        <v>14.487875000000003</v>
      </c>
      <c r="BD100" s="717"/>
      <c r="BE100" s="1958">
        <f>Debt!BE27+Debt!BE31</f>
        <v>3.4274999999999998</v>
      </c>
      <c r="BF100" s="1959">
        <f>Debt!BF27+Debt!BF31</f>
        <v>3.4274999999999998</v>
      </c>
      <c r="BG100" s="1959">
        <f>Debt!BG27+Debt!BG31</f>
        <v>3.4274999999999998</v>
      </c>
      <c r="BH100" s="1960">
        <f>Debt!BH27+Debt!BH31</f>
        <v>3.4274999999999998</v>
      </c>
      <c r="BI100" s="1961">
        <f>Debt!BI27+Debt!BI31</f>
        <v>13.709999999999999</v>
      </c>
      <c r="BJ100" s="717"/>
      <c r="BK100" s="1958">
        <f>Debt!BK27+Debt!BK31</f>
        <v>0.65249999999999997</v>
      </c>
      <c r="BL100" s="1959">
        <f>Debt!BL27+Debt!BL31</f>
        <v>0.65249999999999997</v>
      </c>
      <c r="BM100" s="1959">
        <f>Debt!BM27+Debt!BM31</f>
        <v>0.58702949999999987</v>
      </c>
      <c r="BN100" s="1959">
        <f>Debt!BN27+Debt!BN31</f>
        <v>0.58702949999999987</v>
      </c>
      <c r="BO100" s="1961">
        <f>Debt!BO27+Debt!BO31</f>
        <v>2.4790589999999995</v>
      </c>
      <c r="BP100" s="717"/>
      <c r="BQ100" s="1958">
        <f>Debt!BQ27+Debt!BQ31</f>
        <v>0</v>
      </c>
      <c r="BR100" s="1959">
        <f>Debt!BR27+Debt!BR31</f>
        <v>0</v>
      </c>
      <c r="BS100" s="1959">
        <f>Debt!BS27+Debt!BS31</f>
        <v>0</v>
      </c>
      <c r="BT100" s="1960">
        <f>Debt!BT27+Debt!BT31</f>
        <v>0</v>
      </c>
      <c r="BU100" s="1961">
        <f>Debt!BU27+Debt!BU31</f>
        <v>0</v>
      </c>
      <c r="BV100" s="717"/>
      <c r="BW100" s="1958">
        <f>Debt!BW27+Debt!BW31</f>
        <v>0</v>
      </c>
      <c r="BX100" s="1959">
        <f>Debt!BX27+Debt!BX31</f>
        <v>0</v>
      </c>
      <c r="BY100" s="1959">
        <f>Debt!BY27+Debt!BY31</f>
        <v>0</v>
      </c>
      <c r="BZ100" s="1960">
        <f>Debt!BZ27+Debt!BZ31</f>
        <v>0</v>
      </c>
      <c r="CA100" s="1961">
        <f>Debt!CA27+Debt!CA31</f>
        <v>0</v>
      </c>
      <c r="CB100" s="717"/>
      <c r="CC100" s="1958">
        <f>Debt!CC27+Debt!CC31</f>
        <v>0</v>
      </c>
      <c r="CD100" s="1959">
        <f>Debt!CD27+Debt!CD31</f>
        <v>0</v>
      </c>
      <c r="CE100" s="1959">
        <f>Debt!CE27+Debt!CE31</f>
        <v>0</v>
      </c>
      <c r="CF100" s="1960">
        <f>Debt!CF27+Debt!CF31</f>
        <v>0</v>
      </c>
      <c r="CG100" s="1961">
        <f>Debt!CG27+Debt!CG31</f>
        <v>0</v>
      </c>
      <c r="CH100" s="717"/>
      <c r="CI100" s="1958">
        <f>Debt!CI27+Debt!CI31</f>
        <v>0</v>
      </c>
      <c r="CJ100" s="1959">
        <f>Debt!CJ27+Debt!CJ31</f>
        <v>0</v>
      </c>
      <c r="CK100" s="1959">
        <f>Debt!CK27+Debt!CK31</f>
        <v>0</v>
      </c>
      <c r="CL100" s="1960">
        <f>Debt!CL27+Debt!CL31</f>
        <v>0</v>
      </c>
      <c r="CM100" s="1961">
        <f>Debt!CM27+Debt!CM31</f>
        <v>0</v>
      </c>
      <c r="CN100" s="717"/>
      <c r="CO100" s="1958">
        <f>Debt!CO27+Debt!CO31</f>
        <v>0</v>
      </c>
      <c r="CP100" s="1959">
        <f>Debt!CP27+Debt!CP31</f>
        <v>0</v>
      </c>
      <c r="CQ100" s="1959">
        <f>Debt!CQ27+Debt!CQ31</f>
        <v>0</v>
      </c>
      <c r="CR100" s="1960">
        <f>Debt!CR27+Debt!CR31</f>
        <v>0</v>
      </c>
      <c r="CS100" s="1961">
        <f>Debt!CS27+Debt!CS31</f>
        <v>0</v>
      </c>
      <c r="CT100" s="717"/>
      <c r="CU100" s="1958">
        <f>Debt!CU27+Debt!CU31</f>
        <v>0</v>
      </c>
      <c r="CV100" s="1959">
        <f>Debt!CV27+Debt!CV31</f>
        <v>0</v>
      </c>
      <c r="CW100" s="1959">
        <f>Debt!CW27+Debt!CW31</f>
        <v>0</v>
      </c>
      <c r="CX100" s="1960">
        <f>Debt!CX27+Debt!CX31</f>
        <v>0</v>
      </c>
      <c r="CY100" s="1961">
        <f>Debt!CY27+Debt!CY31</f>
        <v>0</v>
      </c>
      <c r="CZ100" s="39"/>
      <c r="DA100" s="39"/>
      <c r="DB100" s="39"/>
    </row>
    <row r="101" spans="1:112" ht="11.25" customHeight="1" x14ac:dyDescent="0.2">
      <c r="A101" s="39" t="s">
        <v>125</v>
      </c>
      <c r="B101" s="39"/>
      <c r="C101" s="716"/>
      <c r="D101" s="717"/>
      <c r="E101" s="717"/>
      <c r="F101" s="717"/>
      <c r="G101" s="718"/>
      <c r="H101" s="717"/>
      <c r="I101" s="716"/>
      <c r="J101" s="717"/>
      <c r="K101" s="717"/>
      <c r="L101" s="717"/>
      <c r="M101" s="718"/>
      <c r="N101" s="717"/>
      <c r="O101" s="716"/>
      <c r="P101" s="717"/>
      <c r="Q101" s="717"/>
      <c r="R101" s="717"/>
      <c r="S101" s="718"/>
      <c r="T101" s="717"/>
      <c r="U101" s="716"/>
      <c r="V101" s="717"/>
      <c r="W101" s="717"/>
      <c r="X101" s="717"/>
      <c r="Y101" s="718"/>
      <c r="Z101" s="717"/>
      <c r="AA101" s="716"/>
      <c r="AB101" s="717"/>
      <c r="AC101" s="717"/>
      <c r="AD101" s="717"/>
      <c r="AE101" s="718"/>
      <c r="AF101" s="717"/>
      <c r="AG101" s="731">
        <f>AG35+(11.5-0.395417+15)</f>
        <v>229.272583</v>
      </c>
      <c r="AH101" s="732">
        <f>AH35+(11.5-0.395417+15)</f>
        <v>229.88958299999999</v>
      </c>
      <c r="AI101" s="732">
        <f>AI35+(11.5-0.395417+15)</f>
        <v>234.42058299999999</v>
      </c>
      <c r="AJ101" s="732">
        <f>AJ35+(11.5-0.395417+15)</f>
        <v>267.12258300000002</v>
      </c>
      <c r="AK101" s="733">
        <f>AK35+(11.5-0.395417+15)</f>
        <v>239.71658299999999</v>
      </c>
      <c r="AL101" s="717"/>
      <c r="AM101" s="716">
        <f>AM35+(11.5-(0.6268-0.5999)+15)</f>
        <v>268.39710000000002</v>
      </c>
      <c r="AN101" s="717">
        <f>AN35+(11.5-0.5999+15)</f>
        <v>267.53609999999998</v>
      </c>
      <c r="AO101" s="717">
        <f>AO35+(11.5-0.5999+15)</f>
        <v>264.87709999999998</v>
      </c>
      <c r="AP101" s="717">
        <f>AP35+(11.5-0.5999+15)</f>
        <v>266.38310000000001</v>
      </c>
      <c r="AQ101" s="718">
        <f>AQ35+(11.5-0.5999+15)</f>
        <v>266.38310000000001</v>
      </c>
      <c r="AR101" s="717"/>
      <c r="AS101" s="716">
        <f>AS35+(11.5+15)</f>
        <v>266.88200000000001</v>
      </c>
      <c r="AT101" s="717">
        <f>AT35+(11.5+15)</f>
        <v>267.483</v>
      </c>
      <c r="AU101" s="717">
        <f>AU35+(11.5+15)</f>
        <v>264.72699999999998</v>
      </c>
      <c r="AV101" s="717">
        <f>AV35+(11.5+15)</f>
        <v>263.16899999999998</v>
      </c>
      <c r="AW101" s="718">
        <f>AW35+(11.5+15)</f>
        <v>265.56399999999996</v>
      </c>
      <c r="AX101" s="717"/>
      <c r="AY101" s="716">
        <f>AY35+(11.5+15)</f>
        <v>265.38499999999999</v>
      </c>
      <c r="AZ101" s="717">
        <f>AZ35+(11.5+15)</f>
        <v>266.73099999999999</v>
      </c>
      <c r="BA101" s="717">
        <f>BA35+(11.5+15)</f>
        <v>268.59800000000001</v>
      </c>
      <c r="BB101" s="717">
        <f>BB35+(11.5+15)</f>
        <v>268.25900000000001</v>
      </c>
      <c r="BC101" s="718">
        <f>BC35+(11.5+15)</f>
        <v>267.24599999999998</v>
      </c>
      <c r="BD101" s="717"/>
      <c r="BE101" s="716">
        <f>BE35+(11.5+15)</f>
        <v>267.95</v>
      </c>
      <c r="BF101" s="717">
        <f>BF35+(11.5+15)</f>
        <v>266.96100000000001</v>
      </c>
      <c r="BG101" s="717">
        <f>BG35+(11.5+15)</f>
        <v>268.90499999999997</v>
      </c>
      <c r="BH101" s="717">
        <f>BH35+(11.5+15)</f>
        <v>270.88200000000001</v>
      </c>
      <c r="BI101" s="718">
        <f>BI35+(11.5+15)</f>
        <v>268.67500000000001</v>
      </c>
      <c r="BJ101" s="717"/>
      <c r="BK101" s="716">
        <f>BK35+(11.5+15)</f>
        <v>269.44600000000003</v>
      </c>
      <c r="BL101" s="717">
        <f>BL35+(11.5+15)</f>
        <v>267.14</v>
      </c>
      <c r="BM101" s="717">
        <f>BM35+(11.5+15)</f>
        <v>267.92700000000002</v>
      </c>
      <c r="BN101" s="717">
        <f>BN35+(11.5+15)</f>
        <v>267.63800000000003</v>
      </c>
      <c r="BO101" s="718">
        <f>BO35+(11.5+15)</f>
        <v>268.03800000000001</v>
      </c>
      <c r="BP101" s="717"/>
      <c r="BQ101" s="716">
        <f>BQ35+(11.5+15)</f>
        <v>265.428</v>
      </c>
      <c r="BR101" s="717">
        <f>BR35+(11.5+15)</f>
        <v>265.03300000000002</v>
      </c>
      <c r="BS101" s="717">
        <f>BS35+(11.5+15)</f>
        <v>265.05899999999997</v>
      </c>
      <c r="BT101" s="717">
        <f>BT35+(11.5+15)</f>
        <v>265.08100000000002</v>
      </c>
      <c r="BU101" s="718">
        <f>BU35+(11.5+15)</f>
        <v>265.14699999999999</v>
      </c>
      <c r="BV101" s="717"/>
      <c r="BW101" s="716">
        <f>BW35+(11.5+15)</f>
        <v>264.863</v>
      </c>
      <c r="BX101" s="717">
        <f>BX35+(11.5+15)</f>
        <v>265.16700000000003</v>
      </c>
      <c r="BY101" s="717">
        <f>BY35+(11.5+15)</f>
        <v>265.79700000000003</v>
      </c>
      <c r="BZ101" s="717">
        <f>BZ35+(11.5+15)</f>
        <v>266.14800000000002</v>
      </c>
      <c r="CA101" s="718">
        <f>CA35+(11.5+15)</f>
        <v>265.62464916528018</v>
      </c>
      <c r="CB101" s="717"/>
      <c r="CC101" s="716">
        <f>CC35+(11.5+15)</f>
        <v>261.38099999999997</v>
      </c>
      <c r="CD101" s="717">
        <f>CD35+(11.5+15)</f>
        <v>259.2</v>
      </c>
      <c r="CE101" s="717">
        <f>CE35+(11.5+15)</f>
        <v>259.221</v>
      </c>
      <c r="CF101" s="717">
        <f>CF35+(11.5+15)</f>
        <v>258.25099999999998</v>
      </c>
      <c r="CG101" s="718">
        <f>CG35+(11.5+15)</f>
        <v>259.2536920969809</v>
      </c>
      <c r="CH101" s="717"/>
      <c r="CI101" s="716">
        <f>CI35+(11.5+15)</f>
        <v>258.19456762330731</v>
      </c>
      <c r="CJ101" s="717">
        <f>CJ35+(11.5+15)</f>
        <v>256.65454190023274</v>
      </c>
      <c r="CK101" s="717">
        <f>CK35+(11.5+15)</f>
        <v>255.14508220572245</v>
      </c>
      <c r="CL101" s="717">
        <f>CL35+(11.5+15)</f>
        <v>253.63589889782256</v>
      </c>
      <c r="CM101" s="718">
        <f>CM35+(11.5+15)</f>
        <v>255.58454298392306</v>
      </c>
      <c r="CN101" s="717"/>
      <c r="CO101" s="716">
        <f>CO35+(11.5+15)</f>
        <v>252.01358234859146</v>
      </c>
      <c r="CP101" s="717">
        <f>CP35+(11.5+15)</f>
        <v>250.5468911837585</v>
      </c>
      <c r="CQ101" s="717">
        <f>CQ35+(11.5+15)</f>
        <v>249.10931052232013</v>
      </c>
      <c r="CR101" s="717">
        <f>CR35+(11.5+15)</f>
        <v>247.67199308622503</v>
      </c>
      <c r="CS101" s="718">
        <f>CS35+(11.5+15)</f>
        <v>249.57406521155772</v>
      </c>
      <c r="CT101" s="717"/>
      <c r="CU101" s="716">
        <f>CU35+(11.5+15)</f>
        <v>246.12692970600492</v>
      </c>
      <c r="CV101" s="717">
        <f>CV35+(11.5+15)</f>
        <v>244.73008097759262</v>
      </c>
      <c r="CW101" s="717">
        <f>CW35+(11.5+15)</f>
        <v>243.36095653812748</v>
      </c>
      <c r="CX101" s="717">
        <f>CX35+(11.5+15)</f>
        <v>241.99208278946548</v>
      </c>
      <c r="CY101" s="718">
        <f>CY35+(11.5+15)</f>
        <v>243.8324868320999</v>
      </c>
      <c r="CZ101" s="39"/>
      <c r="DA101" s="39"/>
      <c r="DB101" s="39"/>
    </row>
    <row r="102" spans="1:112" ht="11.25" customHeight="1" x14ac:dyDescent="0.2">
      <c r="A102" s="440" t="s">
        <v>126</v>
      </c>
      <c r="B102" s="39"/>
      <c r="C102" s="716"/>
      <c r="D102" s="717"/>
      <c r="E102" s="717"/>
      <c r="F102" s="717"/>
      <c r="G102" s="718"/>
      <c r="H102" s="717"/>
      <c r="I102" s="716"/>
      <c r="J102" s="717"/>
      <c r="K102" s="717"/>
      <c r="L102" s="717"/>
      <c r="M102" s="718"/>
      <c r="N102" s="717"/>
      <c r="O102" s="716"/>
      <c r="P102" s="717"/>
      <c r="Q102" s="717"/>
      <c r="R102" s="717"/>
      <c r="S102" s="718"/>
      <c r="T102" s="717"/>
      <c r="U102" s="716"/>
      <c r="V102" s="717"/>
      <c r="W102" s="717"/>
      <c r="X102" s="717"/>
      <c r="Y102" s="718"/>
      <c r="Z102" s="717"/>
      <c r="AA102" s="716"/>
      <c r="AB102" s="717"/>
      <c r="AC102" s="717"/>
      <c r="AD102" s="717"/>
      <c r="AE102" s="718"/>
      <c r="AF102" s="717"/>
      <c r="AG102" s="727">
        <f>(AG99+AG100)/AG101</f>
        <v>0.1761004280219586</v>
      </c>
      <c r="AH102" s="728">
        <f>(AH99+AH100)/AH101</f>
        <v>0.20992251745482518</v>
      </c>
      <c r="AI102" s="728">
        <f>(AI99+AI100)/AI101</f>
        <v>0.22825214115263934</v>
      </c>
      <c r="AJ102" s="729">
        <f>(AJ99+AJ100)/AJ101</f>
        <v>0.21505856732450085</v>
      </c>
      <c r="AK102" s="730">
        <f>AK99/AK101</f>
        <v>0.83259988734279633</v>
      </c>
      <c r="AL102" s="717"/>
      <c r="AM102" s="734">
        <f>(AM99+AM100)/AM101</f>
        <v>0.183951316910652</v>
      </c>
      <c r="AN102" s="735">
        <f>(AN99+AN100)/AN101</f>
        <v>0.19645946846051804</v>
      </c>
      <c r="AO102" s="735">
        <f>(AO99+AO100)/AO101</f>
        <v>0.22186893468706803</v>
      </c>
      <c r="AP102" s="736">
        <f>(AP99+AP100)/AP101</f>
        <v>0.23275875984625158</v>
      </c>
      <c r="AQ102" s="737">
        <f>AQ99/AQ101</f>
        <v>0.83602525835910779</v>
      </c>
      <c r="AR102" s="717"/>
      <c r="AS102" s="734">
        <f>(AS99+AS100)/AS101</f>
        <v>0.18549771059869141</v>
      </c>
      <c r="AT102" s="735">
        <f>(AT99+AT100)/AT101</f>
        <v>0.20548595611683743</v>
      </c>
      <c r="AU102" s="735">
        <f>(AU99+AU100)/AU101</f>
        <v>0.21299678536756736</v>
      </c>
      <c r="AV102" s="736">
        <f>(AV99+AV100)/AV101</f>
        <v>0.27977459351215428</v>
      </c>
      <c r="AW102" s="737">
        <f>AW99/AW101</f>
        <v>0.88296606467744143</v>
      </c>
      <c r="AX102" s="717"/>
      <c r="AY102" s="734">
        <f>(AY99+AY100)/AY101</f>
        <v>0.22005576803511881</v>
      </c>
      <c r="AZ102" s="735">
        <f>(AZ99+AZ100)/AZ101</f>
        <v>0.24217048262106777</v>
      </c>
      <c r="BA102" s="735">
        <f>(BA99+BA100)/BA101</f>
        <v>0.24560681762336273</v>
      </c>
      <c r="BB102" s="736">
        <f>(BB99+BB100)/BB101</f>
        <v>0.3215083184534348</v>
      </c>
      <c r="BC102" s="737">
        <f>BC99/BC101</f>
        <v>0.97559177686476084</v>
      </c>
      <c r="BD102" s="717"/>
      <c r="BE102" s="734">
        <f>(BE99+BE100)/BE101</f>
        <v>0.21688188094793812</v>
      </c>
      <c r="BF102" s="735">
        <f>(BF99+BF100)/BF101</f>
        <v>0.25350332070976644</v>
      </c>
      <c r="BG102" s="735">
        <f>(BG99+BG100)/BG101</f>
        <v>0.26709618638552629</v>
      </c>
      <c r="BH102" s="736">
        <f>(BH99+BH100)/BH101</f>
        <v>0.33534343367222613</v>
      </c>
      <c r="BI102" s="737">
        <f>BI99/BI101</f>
        <v>1.0225774634781799</v>
      </c>
      <c r="BJ102" s="717"/>
      <c r="BK102" s="734">
        <f>(BK99+BK100)/BK101</f>
        <v>0.20165265025274073</v>
      </c>
      <c r="BL102" s="735">
        <f>(BL99+BL100)/BL101</f>
        <v>0.22996743280676796</v>
      </c>
      <c r="BM102" s="735">
        <f>(BM99+BM100)/BM101</f>
        <v>0.24855288754026278</v>
      </c>
      <c r="BN102" s="735">
        <f>(BN99+BN100)/BN101</f>
        <v>0.22799837653845842</v>
      </c>
      <c r="BO102" s="737">
        <f>BO99/BO101</f>
        <v>0.8987680851222587</v>
      </c>
      <c r="BP102" s="717"/>
      <c r="BQ102" s="734">
        <f>(BQ99+BQ100)/BQ101</f>
        <v>0.1941204394412043</v>
      </c>
      <c r="BR102" s="735">
        <f>(BR99+BR100)/BR101</f>
        <v>0.23007323616304395</v>
      </c>
      <c r="BS102" s="735">
        <f>(BS99+BS100)/BS101</f>
        <v>0.23812056938266568</v>
      </c>
      <c r="BT102" s="736">
        <f>(BT99+BT100)/BT101</f>
        <v>0.28749702920993964</v>
      </c>
      <c r="BU102" s="737">
        <f>BU99/BU101</f>
        <v>0.94976748746921524</v>
      </c>
      <c r="BV102" s="717"/>
      <c r="BW102" s="734">
        <f>(BW99+BW100)/BW101</f>
        <v>0.1703824241211494</v>
      </c>
      <c r="BX102" s="735">
        <f>(BX99+BX100)/BX101</f>
        <v>0.21467226313983259</v>
      </c>
      <c r="BY102" s="735">
        <f>(BY99+BY100)/BY101</f>
        <v>0.25666580134463512</v>
      </c>
      <c r="BZ102" s="736">
        <f>(BZ99+BZ100)/BZ101</f>
        <v>0.35135713963659315</v>
      </c>
      <c r="CA102" s="737">
        <f>CA99/CA101</f>
        <v>0.99307801752940439</v>
      </c>
      <c r="CB102" s="717"/>
      <c r="CC102" s="734">
        <f>(CC99+CC100)/CC101</f>
        <v>0.19420309815939202</v>
      </c>
      <c r="CD102" s="735">
        <f>(CD99+CD100)/CD101</f>
        <v>0.2648611111111111</v>
      </c>
      <c r="CE102" s="735">
        <f>(CE99+CE100)/CE101</f>
        <v>0.29133827892030356</v>
      </c>
      <c r="CF102" s="736">
        <f>(CF99+CF100)/CF101</f>
        <v>0.38778552648392467</v>
      </c>
      <c r="CG102" s="737">
        <f>CG99/CG101</f>
        <v>1.1381901550301441</v>
      </c>
      <c r="CH102" s="717"/>
      <c r="CI102" s="734">
        <f>(CI99+CI100)/CI101</f>
        <v>0.21038125030521973</v>
      </c>
      <c r="CJ102" s="735">
        <f>(CJ99+CJ100)/CJ101</f>
        <v>0.29226319909711707</v>
      </c>
      <c r="CK102" s="735">
        <f>(CK99+CK100)/CK101</f>
        <v>0.30321171758538812</v>
      </c>
      <c r="CL102" s="736">
        <f>(CL99+CL100)/CL101</f>
        <v>0.37313457146077811</v>
      </c>
      <c r="CM102" s="737">
        <f>CM99/CM101</f>
        <v>1.1789964720499511</v>
      </c>
      <c r="CN102" s="717"/>
      <c r="CO102" s="734">
        <f>(CO99+CO100)/CO101</f>
        <v>0.27366107785459287</v>
      </c>
      <c r="CP102" s="735">
        <f>(CP99+CP100)/CP101</f>
        <v>0.33221576370263445</v>
      </c>
      <c r="CQ102" s="735">
        <f>(CQ99+CQ100)/CQ101</f>
        <v>0.35568366685976954</v>
      </c>
      <c r="CR102" s="736">
        <f>(CR99+CR100)/CR101</f>
        <v>0.4330953821707122</v>
      </c>
      <c r="CS102" s="737">
        <f>CS99/CS101</f>
        <v>1.3946627210505327</v>
      </c>
      <c r="CT102" s="717"/>
      <c r="CU102" s="734">
        <f>(CU99+CU100)/CU101</f>
        <v>0.3765815469345648</v>
      </c>
      <c r="CV102" s="735">
        <f>(CV99+CV100)/CV101</f>
        <v>0.44911538748781588</v>
      </c>
      <c r="CW102" s="735">
        <f>(CW99+CW100)/CW101</f>
        <v>0.4775114104670995</v>
      </c>
      <c r="CX102" s="736">
        <f>(CX99+CX100)/CX101</f>
        <v>0.56499957322851602</v>
      </c>
      <c r="CY102" s="737">
        <f>CY99/CY101</f>
        <v>1.8682168570206301</v>
      </c>
      <c r="CZ102" s="39"/>
      <c r="DA102" s="39"/>
      <c r="DB102" s="39"/>
    </row>
    <row r="103" spans="1:112" ht="11.25" customHeight="1" x14ac:dyDescent="0.2">
      <c r="A103" s="240" t="s">
        <v>127</v>
      </c>
      <c r="B103" s="240"/>
      <c r="C103" s="738"/>
      <c r="D103" s="739"/>
      <c r="E103" s="739"/>
      <c r="F103" s="739"/>
      <c r="G103" s="740"/>
      <c r="H103" s="739"/>
      <c r="I103" s="738"/>
      <c r="J103" s="739"/>
      <c r="K103" s="739"/>
      <c r="L103" s="739"/>
      <c r="M103" s="740"/>
      <c r="N103" s="739"/>
      <c r="O103" s="738"/>
      <c r="P103" s="739"/>
      <c r="Q103" s="739"/>
      <c r="R103" s="739"/>
      <c r="S103" s="740"/>
      <c r="T103" s="739"/>
      <c r="U103" s="738"/>
      <c r="V103" s="739"/>
      <c r="W103" s="739"/>
      <c r="X103" s="739"/>
      <c r="Y103" s="740"/>
      <c r="Z103" s="739"/>
      <c r="AA103" s="738"/>
      <c r="AB103" s="739"/>
      <c r="AC103" s="739"/>
      <c r="AD103" s="739"/>
      <c r="AE103" s="740"/>
      <c r="AF103" s="739"/>
      <c r="AG103" s="741">
        <f>AG32</f>
        <v>0.19872716175775726</v>
      </c>
      <c r="AH103" s="742">
        <f>AH32</f>
        <v>0.2368133081433863</v>
      </c>
      <c r="AI103" s="742">
        <f>AI32</f>
        <v>0.25685497033353177</v>
      </c>
      <c r="AJ103" s="743">
        <f>AJ32</f>
        <v>0.23835149241965362</v>
      </c>
      <c r="AK103" s="744">
        <f>AK32</f>
        <v>0.93434825758852535</v>
      </c>
      <c r="AL103" s="739"/>
      <c r="AM103" s="745">
        <f>AM32</f>
        <v>0.2040806203601129</v>
      </c>
      <c r="AN103" s="746">
        <f>AN32</f>
        <v>0.21751725736231356</v>
      </c>
      <c r="AO103" s="746">
        <f>AO32</f>
        <v>0.24591487883771235</v>
      </c>
      <c r="AP103" s="747">
        <f>AP32</f>
        <v>0.2578269565832097</v>
      </c>
      <c r="AQ103" s="748">
        <f>AQ32</f>
        <v>0.92606545992856071</v>
      </c>
      <c r="AR103" s="739"/>
      <c r="AS103" s="745">
        <f>AS32</f>
        <v>0.20594720070554354</v>
      </c>
      <c r="AT103" s="746">
        <f>AT32</f>
        <v>0.22808247884705571</v>
      </c>
      <c r="AU103" s="746">
        <f>AU32</f>
        <v>0.23669021563466774</v>
      </c>
      <c r="AV103" s="747">
        <f>AV32</f>
        <v>0.31110115815759615</v>
      </c>
      <c r="AW103" s="748">
        <f>AW32</f>
        <v>0.98084195027273047</v>
      </c>
      <c r="AX103" s="739"/>
      <c r="AY103" s="745">
        <f>AY32</f>
        <v>0.22921070808129437</v>
      </c>
      <c r="AZ103" s="746">
        <f>AZ32</f>
        <v>0.25318547564635718</v>
      </c>
      <c r="BA103" s="746">
        <f>BA32</f>
        <v>0.257437070938215</v>
      </c>
      <c r="BB103" s="747">
        <f>BB32</f>
        <v>0.34257256193151026</v>
      </c>
      <c r="BC103" s="748">
        <f>BC32</f>
        <v>1.0829795718308917</v>
      </c>
      <c r="BD103" s="739"/>
      <c r="BE103" s="745">
        <f>BE32</f>
        <v>0.22648995651273562</v>
      </c>
      <c r="BF103" s="746">
        <f>BF32</f>
        <v>0.26718677872919083</v>
      </c>
      <c r="BG103" s="746">
        <f>BG32</f>
        <v>0.28215589612425462</v>
      </c>
      <c r="BH103" s="747">
        <f>BH32</f>
        <v>0.35768182599373094</v>
      </c>
      <c r="BI103" s="748">
        <f>BI32</f>
        <v>1.1344730050583254</v>
      </c>
      <c r="BJ103" s="739"/>
      <c r="BK103" s="745">
        <f>BK32</f>
        <v>0.22096268306537248</v>
      </c>
      <c r="BL103" s="746">
        <f>BL32</f>
        <v>0.25258061835106377</v>
      </c>
      <c r="BM103" s="746">
        <f>BM32</f>
        <v>0.27340355469769329</v>
      </c>
      <c r="BN103" s="746">
        <f>BN32</f>
        <v>0.2506199769426633</v>
      </c>
      <c r="BO103" s="748">
        <f>BO32</f>
        <v>0.99737515422003986</v>
      </c>
      <c r="BP103" s="739"/>
      <c r="BQ103" s="745">
        <f>BQ32</f>
        <v>0.21565073997187428</v>
      </c>
      <c r="BR103" s="746">
        <f>BR32</f>
        <v>0.25563339244465139</v>
      </c>
      <c r="BS103" s="746">
        <f>BS32</f>
        <v>0.26457186691761775</v>
      </c>
      <c r="BT103" s="747">
        <f>BT32</f>
        <v>0.31943029830539738</v>
      </c>
      <c r="BU103" s="748">
        <f>BU32</f>
        <v>1.0552322048883918</v>
      </c>
      <c r="BV103" s="739"/>
      <c r="BW103" s="745">
        <f>BW32</f>
        <v>0.18932468545873307</v>
      </c>
      <c r="BX103" s="746">
        <f>BX32</f>
        <v>0.23850804677647094</v>
      </c>
      <c r="BY103" s="746">
        <f>BY32</f>
        <v>0.28508924056716128</v>
      </c>
      <c r="BZ103" s="747">
        <f>BZ32</f>
        <v>0.39020980771798641</v>
      </c>
      <c r="CA103" s="748">
        <f>CA32</f>
        <v>1.1031317805203518</v>
      </c>
      <c r="CB103" s="739"/>
      <c r="CC103" s="745">
        <f>CC32</f>
        <v>0.21611369161405153</v>
      </c>
      <c r="CD103" s="746">
        <f>CD32</f>
        <v>0.29502363558229483</v>
      </c>
      <c r="CE103" s="746">
        <f>CE32</f>
        <v>0.32451304351562604</v>
      </c>
      <c r="CF103" s="747">
        <f>CF32</f>
        <v>0.43212758520998834</v>
      </c>
      <c r="CG103" s="748">
        <f>CG32</f>
        <v>1.2677779559219609</v>
      </c>
      <c r="CH103" s="739"/>
      <c r="CI103" s="745">
        <f>CI32</f>
        <v>0.23444354572404202</v>
      </c>
      <c r="CJ103" s="746">
        <f>CJ32</f>
        <v>0.32591439151821167</v>
      </c>
      <c r="CK103" s="746">
        <f>CK32</f>
        <v>0.33835400203121424</v>
      </c>
      <c r="CL103" s="747">
        <f>CL32</f>
        <v>0.41666827173313697</v>
      </c>
      <c r="CM103" s="748">
        <f>CM32</f>
        <v>1.3153802110066048</v>
      </c>
      <c r="CN103" s="739"/>
      <c r="CO103" s="745">
        <f>CO32</f>
        <v>0.30581886847465756</v>
      </c>
      <c r="CP103" s="746">
        <f>CP32</f>
        <v>0.37150984938088288</v>
      </c>
      <c r="CQ103" s="746">
        <f>CQ32</f>
        <v>0.39802518954661525</v>
      </c>
      <c r="CR103" s="747">
        <f>CR32</f>
        <v>0.48498724907200425</v>
      </c>
      <c r="CS103" s="748">
        <f>CS32</f>
        <v>1.5603411564741601</v>
      </c>
      <c r="CT103" s="739"/>
      <c r="CU103" s="745">
        <f>CU32</f>
        <v>0.42201955859881979</v>
      </c>
      <c r="CV103" s="746">
        <f>CV32</f>
        <v>0.50365213015460319</v>
      </c>
      <c r="CW103" s="746">
        <f>CW32</f>
        <v>0.53586240448364286</v>
      </c>
      <c r="CX103" s="747">
        <f>CX32</f>
        <v>0.63448003161354039</v>
      </c>
      <c r="CY103" s="748">
        <f>CY32</f>
        <v>2.0960141248506066</v>
      </c>
      <c r="CZ103" s="39"/>
      <c r="DA103" s="39"/>
      <c r="DB103" s="39"/>
    </row>
    <row r="104" spans="1:112" s="33" customFormat="1" ht="12" customHeight="1" x14ac:dyDescent="0.2">
      <c r="A104" s="439"/>
      <c r="B104" s="8"/>
      <c r="C104" s="441"/>
      <c r="D104" s="441"/>
      <c r="E104" s="441"/>
      <c r="F104" s="441"/>
      <c r="G104" s="441"/>
      <c r="H104" s="8"/>
      <c r="I104" s="441"/>
      <c r="J104" s="441"/>
      <c r="K104" s="441"/>
      <c r="L104" s="441"/>
      <c r="M104" s="441"/>
      <c r="N104" s="8"/>
      <c r="O104" s="441"/>
      <c r="P104" s="441"/>
      <c r="Q104" s="441"/>
      <c r="R104" s="441"/>
      <c r="S104" s="441"/>
      <c r="T104" s="8"/>
      <c r="U104" s="441"/>
      <c r="V104" s="441"/>
      <c r="W104" s="441"/>
      <c r="X104" s="441"/>
      <c r="Y104" s="441"/>
      <c r="Z104" s="8"/>
      <c r="AA104" s="255"/>
      <c r="AB104" s="255"/>
      <c r="AC104" s="255"/>
      <c r="AD104" s="255"/>
      <c r="AE104" s="255"/>
      <c r="AF104" s="8"/>
      <c r="AG104" s="255"/>
      <c r="AH104" s="255"/>
      <c r="AI104" s="255"/>
      <c r="AJ104" s="255"/>
      <c r="AK104" s="255"/>
      <c r="AL104" s="8"/>
      <c r="AM104" s="255"/>
      <c r="AN104" s="255"/>
      <c r="AO104" s="255"/>
      <c r="AP104" s="255"/>
      <c r="AQ104" s="255"/>
      <c r="AR104" s="8"/>
      <c r="AS104" s="255"/>
      <c r="AT104" s="255"/>
      <c r="AU104" s="255"/>
      <c r="AV104" s="255"/>
      <c r="AW104" s="255"/>
      <c r="AX104" s="8"/>
      <c r="AY104" s="255"/>
      <c r="AZ104" s="255"/>
      <c r="BA104" s="255"/>
      <c r="BB104" s="255"/>
      <c r="BC104" s="255"/>
      <c r="BD104" s="8"/>
      <c r="BE104" s="255"/>
      <c r="BF104" s="255"/>
      <c r="BG104" s="255"/>
      <c r="BH104" s="255"/>
      <c r="BI104" s="255"/>
      <c r="BJ104" s="8"/>
      <c r="BK104" s="255"/>
      <c r="BL104" s="255"/>
      <c r="BM104" s="255"/>
      <c r="BN104" s="255"/>
      <c r="BO104" s="20"/>
      <c r="BP104" s="8"/>
      <c r="BQ104" s="255"/>
      <c r="BR104" s="255"/>
      <c r="BS104" s="255"/>
      <c r="BT104" s="255"/>
      <c r="BU104" s="20"/>
      <c r="BV104" s="8"/>
      <c r="BW104" s="255"/>
      <c r="BX104" s="255"/>
      <c r="BY104" s="255"/>
      <c r="BZ104" s="255"/>
      <c r="CA104" s="20"/>
      <c r="CB104" s="8"/>
      <c r="CC104" s="255"/>
      <c r="CD104" s="255"/>
      <c r="CE104" s="255"/>
      <c r="CF104" s="255"/>
      <c r="CG104" s="20"/>
      <c r="CH104" s="8"/>
      <c r="CI104" s="255"/>
      <c r="CJ104" s="255"/>
      <c r="CK104" s="255"/>
      <c r="CL104" s="255"/>
      <c r="CM104" s="20"/>
      <c r="CN104" s="8"/>
      <c r="CO104" s="255"/>
      <c r="CP104" s="255"/>
      <c r="CQ104" s="255"/>
      <c r="CR104" s="255"/>
      <c r="CS104" s="20"/>
      <c r="CT104" s="8"/>
      <c r="CU104" s="255"/>
      <c r="CV104" s="255"/>
      <c r="CW104" s="255"/>
      <c r="CX104" s="255"/>
      <c r="CY104" s="20"/>
      <c r="CZ104" s="8"/>
      <c r="DA104" s="8"/>
      <c r="DB104" s="8"/>
      <c r="DC104"/>
      <c r="DD104"/>
      <c r="DE104"/>
      <c r="DF104"/>
      <c r="DG104"/>
      <c r="DH104"/>
    </row>
    <row r="105" spans="1:112" s="33" customFormat="1" x14ac:dyDescent="0.2">
      <c r="BP105"/>
      <c r="BQ105"/>
      <c r="DC105"/>
      <c r="DD105"/>
      <c r="DE105"/>
      <c r="DF105"/>
      <c r="DG105"/>
      <c r="DH105"/>
    </row>
  </sheetData>
  <phoneticPr fontId="4" type="noConversion"/>
  <pageMargins left="0.25" right="0.25" top="0.75" bottom="0.75" header="0.3" footer="0.3"/>
  <pageSetup scale="58" orientation="portrait" r:id="rId1"/>
  <headerFooter alignWithMargins="0"/>
  <rowBreaks count="1" manualBreakCount="1">
    <brk id="68" max="90" man="1"/>
  </rowBreaks>
  <ignoredErrors>
    <ignoredError sqref="S11 Y11 AJ11 AX80 AE11:AF11 S13 AH11 CI41 BC71 AR11:AV11 AD79 AW17 M11:R11 BC73 Z11:AD11 AN13 AO13 AN11 AQ13 AO11 AE13:AF13 AQ11 T11:X11 AP11 S12 AH13 AG13 AI13 S10 AE10:AF10 AK13:AL13 Y13 S14 Y14 Y21:Y26 BG80:BH80 Y10 Y12 M14 AQ10 AW13 AK12:AL12 M13 AM13 AW14 AI11 AE71:AQ71 AW10 AK10:AL10 AI12 AH12 AE12:AF12 AQ12 AG12 AO12 AN12 AM12 AW12 BO11 AM11 AG11 Y16:Y18 AK11:AL11 AZ85 AW11 CG21:CG28 AZ80 AX11:AZ11 BB11:BD11 BD77 BD80 BF92 E43:BE43 BG77:BH77 BI43:BJ43 CA43:CB43 BU43:BV43 BO43:BP43 CL71:CM74 CJ41:CM41 BG11 BI11 CM42:CM43 CL77:CM78 BU28:BU32 CM32 CG32 CM75 CA11:CA18 CS32:CY32 CM28:CY28 CG11:CG18 CH11:CY18 CA21:CA32 CH19:CY19 CG19 CA19 BC20:CD20 BC19:BZ19 CB19:CD19 CG20:CY20 CG40:CG49 CG51 CG5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B484"/>
  <sheetViews>
    <sheetView zoomScaleNormal="100" workbookViewId="0">
      <pane xSplit="2" ySplit="7" topLeftCell="BC44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RowHeight="11.25" outlineLevelRow="1" outlineLevelCol="1" x14ac:dyDescent="0.2"/>
  <cols>
    <col min="1" max="1" width="38.140625" style="48" customWidth="1"/>
    <col min="2" max="2" width="0.85546875" style="48" customWidth="1"/>
    <col min="3" max="7" width="6.5703125" style="48" hidden="1" customWidth="1" outlineLevel="1"/>
    <col min="8" max="8" width="0.85546875" style="48" hidden="1" customWidth="1" outlineLevel="1"/>
    <col min="9" max="13" width="6.5703125" style="48" hidden="1" customWidth="1" outlineLevel="1"/>
    <col min="14" max="14" width="0.85546875" style="48" hidden="1" customWidth="1" outlineLevel="1"/>
    <col min="15" max="19" width="6.5703125" style="48" hidden="1" customWidth="1" outlineLevel="1"/>
    <col min="20" max="20" width="0.85546875" style="48" hidden="1" customWidth="1" outlineLevel="1"/>
    <col min="21" max="25" width="6.5703125" style="48" hidden="1" customWidth="1" outlineLevel="1"/>
    <col min="26" max="26" width="0.85546875" style="48" hidden="1" customWidth="1" outlineLevel="1"/>
    <col min="27" max="31" width="6.5703125" style="48" hidden="1" customWidth="1" outlineLevel="1"/>
    <col min="32" max="32" width="0.85546875" style="48" hidden="1" customWidth="1" outlineLevel="1"/>
    <col min="33" max="37" width="6.5703125" style="48" hidden="1" customWidth="1" outlineLevel="1"/>
    <col min="38" max="38" width="0.85546875" style="48" hidden="1" customWidth="1" outlineLevel="1"/>
    <col min="39" max="42" width="6.5703125" style="48" hidden="1" customWidth="1" outlineLevel="1"/>
    <col min="43" max="43" width="6.5703125" style="48" hidden="1" customWidth="1" outlineLevel="1" collapsed="1"/>
    <col min="44" max="44" width="0.85546875" style="48" hidden="1" customWidth="1" outlineLevel="1"/>
    <col min="45" max="48" width="6.5703125" style="48" hidden="1" customWidth="1" outlineLevel="1"/>
    <col min="49" max="49" width="6.5703125" style="48" hidden="1" customWidth="1" outlineLevel="1" collapsed="1"/>
    <col min="50" max="50" width="0.85546875" style="48" hidden="1" customWidth="1" outlineLevel="1"/>
    <col min="51" max="54" width="6.5703125" style="48" hidden="1" customWidth="1" outlineLevel="1"/>
    <col min="55" max="55" width="6.5703125" style="48" customWidth="1" collapsed="1"/>
    <col min="56" max="56" width="0.85546875" style="48" customWidth="1"/>
    <col min="57" max="60" width="6.5703125" style="48" hidden="1" customWidth="1" outlineLevel="1"/>
    <col min="61" max="61" width="6.5703125" style="48" customWidth="1" collapsed="1"/>
    <col min="62" max="62" width="0.85546875" style="48" customWidth="1"/>
    <col min="63" max="66" width="6.5703125" style="48" hidden="1" customWidth="1" outlineLevel="1"/>
    <col min="67" max="67" width="6.5703125" style="48" customWidth="1" collapsed="1"/>
    <col min="68" max="68" width="0.85546875" style="48" customWidth="1"/>
    <col min="69" max="72" width="6.5703125" style="48" hidden="1" customWidth="1" outlineLevel="1"/>
    <col min="73" max="73" width="6.5703125" style="48" customWidth="1" collapsed="1"/>
    <col min="74" max="74" width="0.85546875" style="48" customWidth="1"/>
    <col min="75" max="78" width="6.7109375" style="48" hidden="1" customWidth="1" outlineLevel="1"/>
    <col min="79" max="79" width="6.7109375" style="48" customWidth="1" collapsed="1"/>
    <col min="80" max="80" width="0.85546875" style="48" customWidth="1"/>
    <col min="81" max="84" width="6.7109375" style="48" customWidth="1" outlineLevel="1"/>
    <col min="85" max="85" width="6.7109375" style="48" customWidth="1"/>
    <col min="86" max="86" width="0.85546875" style="48" customWidth="1"/>
    <col min="87" max="90" width="6.7109375" style="48" customWidth="1" outlineLevel="1"/>
    <col min="91" max="91" width="6.7109375" style="48" customWidth="1"/>
    <col min="92" max="92" width="0.85546875" style="48" customWidth="1"/>
    <col min="93" max="96" width="6.5703125" style="48" hidden="1" customWidth="1" outlineLevel="1"/>
    <col min="97" max="97" width="6.7109375" style="48" customWidth="1" collapsed="1"/>
    <col min="98" max="98" width="0.85546875" style="48" customWidth="1"/>
    <col min="99" max="102" width="6.5703125" style="48" hidden="1" customWidth="1" outlineLevel="1"/>
    <col min="103" max="103" width="6.7109375" style="48" customWidth="1" collapsed="1"/>
    <col min="104" max="104" width="9.140625" style="48"/>
    <col min="105" max="105" width="17.7109375" style="48" bestFit="1" customWidth="1"/>
    <col min="106" max="16384" width="9.140625" style="48"/>
  </cols>
  <sheetData>
    <row r="1" spans="1:105" ht="11.25" customHeight="1" x14ac:dyDescent="0.2">
      <c r="AA1" s="902"/>
      <c r="AB1" s="902"/>
      <c r="AC1" s="902"/>
      <c r="AD1" s="902"/>
      <c r="AE1" s="902"/>
      <c r="AG1"/>
      <c r="AH1"/>
      <c r="AI1"/>
      <c r="AJ1"/>
      <c r="AK1"/>
      <c r="AL1"/>
      <c r="AM1"/>
      <c r="AN1" s="902"/>
      <c r="AO1" s="902"/>
      <c r="AP1" s="902"/>
      <c r="AQ1" s="902"/>
      <c r="AR1" s="902"/>
      <c r="AS1" s="902"/>
      <c r="AT1" s="902"/>
      <c r="AU1" s="902"/>
      <c r="AV1" s="902"/>
      <c r="BB1" s="902"/>
      <c r="BC1" s="902"/>
      <c r="BD1" s="902"/>
      <c r="BE1" s="902"/>
      <c r="BK1" s="222"/>
      <c r="BL1" s="222"/>
      <c r="BM1" s="222"/>
      <c r="BN1" s="222"/>
      <c r="BO1" s="222"/>
      <c r="BP1" s="222"/>
      <c r="BQ1" s="222"/>
      <c r="BU1" s="1446"/>
      <c r="BV1"/>
      <c r="BW1"/>
      <c r="BX1"/>
      <c r="CA1"/>
      <c r="CB1"/>
      <c r="CC1"/>
      <c r="CD1"/>
      <c r="CE1"/>
      <c r="CF1"/>
    </row>
    <row r="2" spans="1:105" ht="11.25" customHeight="1" x14ac:dyDescent="0.2">
      <c r="A2" s="440" t="s">
        <v>309</v>
      </c>
      <c r="B2" s="39"/>
      <c r="AA2" s="902"/>
      <c r="AB2" s="902"/>
      <c r="AC2" s="902"/>
      <c r="AD2" s="902"/>
      <c r="AE2" s="902"/>
      <c r="AG2"/>
      <c r="AH2"/>
      <c r="AI2"/>
      <c r="AJ2"/>
      <c r="AK2"/>
      <c r="AL2"/>
      <c r="AM2"/>
      <c r="AN2" s="902"/>
      <c r="AO2" s="902"/>
      <c r="AP2" s="902"/>
      <c r="AQ2" s="999"/>
      <c r="AR2" s="902"/>
      <c r="AS2" s="902"/>
      <c r="AT2" s="902"/>
      <c r="AU2" s="902"/>
      <c r="AV2" s="902"/>
      <c r="BB2" s="225"/>
      <c r="BC2" s="902"/>
      <c r="BD2" s="902"/>
      <c r="BE2"/>
      <c r="BF2"/>
      <c r="BG2"/>
      <c r="BH2"/>
      <c r="BI2" s="1437"/>
      <c r="BJ2" s="1437"/>
      <c r="BK2" s="1299"/>
      <c r="BL2" s="1299"/>
      <c r="BM2" s="1299"/>
      <c r="BN2" s="1299"/>
      <c r="BO2" s="1299"/>
      <c r="BP2" s="215"/>
      <c r="BR2" s="1299"/>
      <c r="BS2" s="1299"/>
      <c r="BT2" s="1459"/>
      <c r="BU2" s="1299"/>
      <c r="BV2"/>
      <c r="BW2" s="1299"/>
      <c r="BX2" s="1299"/>
      <c r="BY2" s="1437"/>
      <c r="BZ2" s="1299"/>
      <c r="CA2" s="1299"/>
      <c r="CB2" s="1299"/>
      <c r="CC2" s="1299"/>
      <c r="CD2" s="1299"/>
      <c r="CE2" s="1450"/>
      <c r="CF2" s="1299"/>
      <c r="CG2" s="1299"/>
      <c r="CH2" s="215"/>
      <c r="CI2" s="1299"/>
      <c r="CJ2" s="1299"/>
      <c r="CK2" s="1299"/>
      <c r="CL2" s="1299"/>
      <c r="CM2" s="1299"/>
      <c r="CN2" s="215"/>
      <c r="CO2" s="1299"/>
      <c r="CP2" s="1299"/>
      <c r="CQ2" s="1299"/>
      <c r="CR2" s="1299"/>
      <c r="CS2" s="1299"/>
      <c r="CT2" s="215"/>
      <c r="CU2" s="1299"/>
      <c r="CV2" s="1299"/>
      <c r="CW2" s="1299"/>
      <c r="CX2" s="1299"/>
      <c r="CY2" s="1299"/>
    </row>
    <row r="3" spans="1:105" ht="11.25" customHeight="1" x14ac:dyDescent="0.2">
      <c r="A3" s="234" t="s">
        <v>82</v>
      </c>
      <c r="B3" s="234"/>
      <c r="C3" s="440"/>
      <c r="D3" s="440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902"/>
      <c r="AB3" s="902"/>
      <c r="AC3" s="902"/>
      <c r="AD3" s="902"/>
      <c r="AE3" s="902"/>
      <c r="AF3" s="39"/>
      <c r="AG3"/>
      <c r="AH3"/>
      <c r="AI3"/>
      <c r="AJ3"/>
      <c r="AK3"/>
      <c r="AL3"/>
      <c r="AM3"/>
      <c r="AN3" s="902"/>
      <c r="AO3" s="902"/>
      <c r="AP3" s="902"/>
      <c r="AQ3" s="999"/>
      <c r="AR3" s="902"/>
      <c r="AS3" s="902"/>
      <c r="AT3" s="902"/>
      <c r="AU3" s="902"/>
      <c r="AV3" s="902"/>
      <c r="AW3" s="902"/>
      <c r="AX3" s="902"/>
      <c r="AY3" s="902"/>
      <c r="AZ3" s="902"/>
      <c r="BA3" s="902"/>
      <c r="BB3" s="902"/>
      <c r="BC3" s="902"/>
      <c r="BD3" s="902"/>
      <c r="BE3" s="902"/>
      <c r="BF3" s="216"/>
      <c r="BG3" s="216"/>
      <c r="BH3" s="999"/>
      <c r="BI3" s="551"/>
      <c r="BJ3" s="216"/>
      <c r="BK3" s="614"/>
      <c r="BN3" s="216"/>
      <c r="BO3" s="550"/>
      <c r="BP3" s="216"/>
      <c r="BQ3" s="614"/>
      <c r="BR3" s="614"/>
      <c r="BS3" s="614"/>
      <c r="BT3" s="614"/>
      <c r="BU3" s="551"/>
      <c r="BV3" s="216"/>
      <c r="BW3" s="614"/>
      <c r="BX3" s="614"/>
      <c r="BY3" s="614"/>
      <c r="BZ3" s="614"/>
      <c r="CA3" s="614"/>
      <c r="CB3" s="551"/>
      <c r="CC3" s="614"/>
      <c r="CD3" s="614"/>
      <c r="CE3" s="614"/>
      <c r="CF3" s="614"/>
      <c r="CG3" s="614"/>
      <c r="CH3" s="216"/>
      <c r="CI3" s="614"/>
      <c r="CJ3" s="614"/>
      <c r="CK3" s="614"/>
      <c r="CL3" s="614"/>
      <c r="CM3" s="614"/>
      <c r="CN3" s="216"/>
      <c r="CO3" s="614"/>
      <c r="CP3" s="614"/>
      <c r="CQ3" s="614"/>
      <c r="CR3" s="614"/>
      <c r="CS3" s="614"/>
      <c r="CT3" s="216"/>
      <c r="CU3" s="614"/>
      <c r="CV3" s="614"/>
      <c r="CW3" s="614"/>
      <c r="CX3" s="614"/>
      <c r="CY3" s="614"/>
    </row>
    <row r="4" spans="1:105" ht="11.25" customHeight="1" x14ac:dyDescent="0.2">
      <c r="A4" s="242" t="s">
        <v>6</v>
      </c>
      <c r="B4" s="242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903"/>
      <c r="AB4" s="903"/>
      <c r="AC4" s="903"/>
      <c r="AD4" s="903"/>
      <c r="AE4" s="903"/>
      <c r="AF4" s="40"/>
      <c r="AG4" s="903"/>
      <c r="AH4" s="903"/>
      <c r="AI4" s="903"/>
      <c r="AJ4" s="903"/>
      <c r="AK4" s="903"/>
      <c r="AL4" s="40"/>
      <c r="AM4" s="903"/>
      <c r="AN4" s="903"/>
      <c r="AO4" s="903"/>
      <c r="AP4" s="903"/>
      <c r="AQ4" s="903"/>
      <c r="AR4" s="903"/>
      <c r="AS4" s="903"/>
      <c r="AT4" s="903"/>
      <c r="AU4" s="903"/>
      <c r="AV4" s="903"/>
      <c r="AW4" s="903"/>
      <c r="AX4" s="903"/>
      <c r="AY4" s="903"/>
      <c r="AZ4" s="903"/>
      <c r="BA4" s="903"/>
      <c r="BB4" s="903"/>
      <c r="BC4" s="903"/>
      <c r="BD4" s="903"/>
      <c r="BE4" s="903"/>
      <c r="BF4" s="553"/>
      <c r="BG4" s="553"/>
      <c r="BH4" s="553"/>
      <c r="BI4" s="553"/>
      <c r="BJ4" s="553"/>
      <c r="BK4" s="553"/>
      <c r="BL4" s="553"/>
      <c r="BM4" s="553"/>
      <c r="BN4" s="553"/>
      <c r="BO4" s="553"/>
      <c r="BP4" s="553"/>
      <c r="BQ4" s="553"/>
      <c r="BR4" s="553"/>
      <c r="BS4" s="553"/>
      <c r="BT4" s="553"/>
      <c r="BU4" s="552"/>
      <c r="BV4" s="553"/>
      <c r="BW4" s="553"/>
      <c r="BX4" s="553"/>
      <c r="BY4" s="553"/>
      <c r="BZ4" s="553"/>
      <c r="CA4" s="552"/>
      <c r="CB4" s="552"/>
      <c r="CC4" s="552"/>
      <c r="CD4" s="552"/>
      <c r="CE4" s="552"/>
      <c r="CF4" s="552"/>
      <c r="CG4" s="552"/>
      <c r="CH4" s="553"/>
      <c r="CI4" s="553"/>
      <c r="CJ4" s="553"/>
      <c r="CK4" s="553"/>
      <c r="CL4" s="553"/>
      <c r="CM4" s="552"/>
      <c r="CN4" s="553"/>
      <c r="CO4" s="553"/>
      <c r="CP4" s="553"/>
      <c r="CQ4" s="553"/>
      <c r="CR4" s="553"/>
      <c r="CS4" s="552"/>
      <c r="CT4" s="553"/>
      <c r="CU4" s="553"/>
      <c r="CV4" s="553"/>
      <c r="CW4" s="553"/>
      <c r="CX4" s="553"/>
      <c r="CY4" s="552"/>
    </row>
    <row r="5" spans="1:105" ht="11.25" customHeight="1" x14ac:dyDescent="0.2">
      <c r="A5" s="247" t="s">
        <v>7</v>
      </c>
      <c r="B5" s="247"/>
      <c r="AA5" s="902"/>
      <c r="AB5" s="902"/>
      <c r="AC5" s="902"/>
      <c r="AD5" s="902"/>
      <c r="AE5" s="902"/>
      <c r="AG5" s="902"/>
      <c r="AH5" s="902"/>
      <c r="AI5" s="902"/>
      <c r="AJ5" s="902"/>
      <c r="AK5" s="902"/>
      <c r="AM5" s="902"/>
      <c r="AN5" s="902"/>
      <c r="AO5" s="902"/>
      <c r="AP5" s="902"/>
      <c r="AQ5" s="902"/>
      <c r="AR5" s="215"/>
      <c r="AS5" s="902"/>
      <c r="AT5" s="902"/>
      <c r="AU5" s="902"/>
      <c r="AV5" s="902"/>
      <c r="AW5" s="902"/>
      <c r="AX5" s="216"/>
      <c r="AY5" s="902"/>
      <c r="AZ5" s="902"/>
      <c r="BA5" s="902"/>
      <c r="BB5" s="902"/>
      <c r="BC5" s="902"/>
      <c r="BD5" s="216"/>
      <c r="BE5" s="902"/>
      <c r="BF5" s="216"/>
      <c r="BG5" s="216"/>
      <c r="BH5" s="216"/>
      <c r="BI5" s="549"/>
      <c r="BJ5" s="216"/>
      <c r="BK5" s="216"/>
      <c r="BL5" s="216"/>
      <c r="BM5" s="216"/>
      <c r="BN5" s="216"/>
      <c r="BO5" s="549"/>
      <c r="BP5" s="216"/>
      <c r="BQ5" s="216"/>
      <c r="BR5" s="216"/>
      <c r="BS5" s="216"/>
      <c r="BT5" s="216"/>
      <c r="BU5" s="549"/>
      <c r="BV5" s="216"/>
      <c r="BW5" s="216"/>
      <c r="BX5" s="216"/>
      <c r="BY5" s="216"/>
      <c r="BZ5" s="216"/>
      <c r="CA5" s="549"/>
      <c r="CB5" s="216"/>
      <c r="CC5" s="216"/>
      <c r="CD5" s="216"/>
      <c r="CE5" s="216"/>
      <c r="CF5" s="216"/>
      <c r="CG5" s="549"/>
      <c r="CH5" s="216"/>
      <c r="CI5" s="216"/>
      <c r="CJ5" s="216"/>
      <c r="CK5" s="216"/>
      <c r="CL5" s="216"/>
      <c r="CM5" s="549"/>
      <c r="CN5" s="216"/>
      <c r="CO5" s="216"/>
      <c r="CP5" s="216"/>
      <c r="CQ5" s="216"/>
      <c r="CR5" s="216"/>
      <c r="CS5" s="549"/>
      <c r="CT5" s="216"/>
      <c r="CU5" s="216"/>
      <c r="CV5" s="216"/>
      <c r="CW5" s="216"/>
      <c r="CX5" s="216"/>
      <c r="CY5" s="549"/>
    </row>
    <row r="6" spans="1:105" ht="11.25" customHeight="1" x14ac:dyDescent="0.2">
      <c r="A6" s="39"/>
      <c r="C6" s="343" t="s">
        <v>95</v>
      </c>
      <c r="D6" s="344"/>
      <c r="E6" s="344"/>
      <c r="F6" s="344"/>
      <c r="G6" s="345">
        <v>2004</v>
      </c>
      <c r="H6" s="554"/>
      <c r="I6" s="343" t="s">
        <v>94</v>
      </c>
      <c r="J6" s="344"/>
      <c r="K6" s="344"/>
      <c r="L6" s="344"/>
      <c r="M6" s="345">
        <f>G6+1</f>
        <v>2005</v>
      </c>
      <c r="N6" s="347"/>
      <c r="O6" s="343" t="s">
        <v>93</v>
      </c>
      <c r="P6" s="344"/>
      <c r="Q6" s="344"/>
      <c r="R6" s="344"/>
      <c r="S6" s="345">
        <f>M6+1</f>
        <v>2006</v>
      </c>
      <c r="T6" s="251"/>
      <c r="U6" s="343">
        <v>2007</v>
      </c>
      <c r="V6" s="344"/>
      <c r="W6" s="344"/>
      <c r="X6" s="344"/>
      <c r="Y6" s="345">
        <f>S6+1</f>
        <v>2007</v>
      </c>
      <c r="Z6" s="554"/>
      <c r="AA6" s="343">
        <f>U6+1</f>
        <v>2008</v>
      </c>
      <c r="AB6" s="344"/>
      <c r="AC6" s="344"/>
      <c r="AD6" s="344"/>
      <c r="AE6" s="345">
        <f>Y6+1</f>
        <v>2008</v>
      </c>
      <c r="AF6" s="347"/>
      <c r="AG6" s="343">
        <f>AA6+1</f>
        <v>2009</v>
      </c>
      <c r="AH6" s="344"/>
      <c r="AI6" s="344"/>
      <c r="AJ6" s="344"/>
      <c r="AK6" s="345">
        <f>AE6+1</f>
        <v>2009</v>
      </c>
      <c r="AL6" s="347"/>
      <c r="AM6" s="343">
        <f>AG6+1</f>
        <v>2010</v>
      </c>
      <c r="AN6" s="344"/>
      <c r="AO6" s="344"/>
      <c r="AP6" s="344"/>
      <c r="AQ6" s="345">
        <f>AK6+1</f>
        <v>2010</v>
      </c>
      <c r="AR6" s="347"/>
      <c r="AS6" s="343">
        <f>AM6+1</f>
        <v>2011</v>
      </c>
      <c r="AT6" s="344"/>
      <c r="AU6" s="344"/>
      <c r="AV6" s="344"/>
      <c r="AW6" s="345">
        <f>AQ6+1</f>
        <v>2011</v>
      </c>
      <c r="AX6" s="347"/>
      <c r="AY6" s="343">
        <f>AS6+1</f>
        <v>2012</v>
      </c>
      <c r="AZ6" s="344"/>
      <c r="BA6" s="344"/>
      <c r="BB6" s="344"/>
      <c r="BC6" s="345">
        <f>AW6+1</f>
        <v>2012</v>
      </c>
      <c r="BD6" s="347"/>
      <c r="BE6" s="343">
        <f>AY6+1</f>
        <v>2013</v>
      </c>
      <c r="BF6" s="344"/>
      <c r="BG6" s="344"/>
      <c r="BH6" s="344"/>
      <c r="BI6" s="345">
        <f>BC6+1</f>
        <v>2013</v>
      </c>
      <c r="BJ6" s="347"/>
      <c r="BK6" s="343">
        <f>BE6+1</f>
        <v>2014</v>
      </c>
      <c r="BL6" s="344"/>
      <c r="BM6" s="344"/>
      <c r="BN6" s="344"/>
      <c r="BO6" s="345">
        <f>BI6+1</f>
        <v>2014</v>
      </c>
      <c r="BP6" s="347"/>
      <c r="BQ6" s="343">
        <f>BK6+1</f>
        <v>2015</v>
      </c>
      <c r="BR6" s="344"/>
      <c r="BS6" s="344"/>
      <c r="BT6" s="344"/>
      <c r="BU6" s="345">
        <f>BO6+1</f>
        <v>2015</v>
      </c>
      <c r="BV6" s="347"/>
      <c r="BW6" s="343">
        <f>BQ6+1</f>
        <v>2016</v>
      </c>
      <c r="BX6" s="344"/>
      <c r="BY6" s="344"/>
      <c r="BZ6" s="344"/>
      <c r="CA6" s="345">
        <f>BU6+1</f>
        <v>2016</v>
      </c>
      <c r="CB6" s="347"/>
      <c r="CC6" s="343" t="s">
        <v>714</v>
      </c>
      <c r="CD6" s="344"/>
      <c r="CE6" s="344"/>
      <c r="CF6" s="344"/>
      <c r="CG6" s="345">
        <f>CA6+1</f>
        <v>2017</v>
      </c>
      <c r="CH6" s="347"/>
      <c r="CI6" s="348" t="s">
        <v>282</v>
      </c>
      <c r="CJ6" s="344"/>
      <c r="CK6" s="344"/>
      <c r="CL6" s="344"/>
      <c r="CM6" s="349">
        <f>CG6+1</f>
        <v>2018</v>
      </c>
      <c r="CN6" s="347"/>
      <c r="CO6" s="348" t="s">
        <v>283</v>
      </c>
      <c r="CP6" s="344"/>
      <c r="CQ6" s="344"/>
      <c r="CR6" s="344"/>
      <c r="CS6" s="349">
        <f>CM6+1</f>
        <v>2019</v>
      </c>
      <c r="CT6" s="347"/>
      <c r="CU6" s="348" t="s">
        <v>284</v>
      </c>
      <c r="CV6" s="344"/>
      <c r="CW6" s="344"/>
      <c r="CX6" s="344"/>
      <c r="CY6" s="349">
        <f>CS6+1</f>
        <v>2020</v>
      </c>
    </row>
    <row r="7" spans="1:105" ht="11.25" customHeight="1" x14ac:dyDescent="0.2">
      <c r="A7" s="39"/>
      <c r="C7" s="357">
        <v>38077</v>
      </c>
      <c r="D7" s="358">
        <f>C7+FLOOR(365/4,1)</f>
        <v>38168</v>
      </c>
      <c r="E7" s="358">
        <f>D7+FLOOR(365/4,1)</f>
        <v>38259</v>
      </c>
      <c r="F7" s="358">
        <f>E7+FLOOR(365/4,1)</f>
        <v>38350</v>
      </c>
      <c r="G7" s="359"/>
      <c r="H7" s="555"/>
      <c r="I7" s="357">
        <f>F7+FLOOR(365/4,1)</f>
        <v>38441</v>
      </c>
      <c r="J7" s="358">
        <f>I7+FLOOR(365/4,1)</f>
        <v>38532</v>
      </c>
      <c r="K7" s="358">
        <f>J7+FLOOR(365/4,1)</f>
        <v>38623</v>
      </c>
      <c r="L7" s="358">
        <f>K7+FLOOR(365/4,1)</f>
        <v>38714</v>
      </c>
      <c r="M7" s="359"/>
      <c r="N7" s="364"/>
      <c r="O7" s="357">
        <f>L7+FLOOR(365/4,1)</f>
        <v>38805</v>
      </c>
      <c r="P7" s="358">
        <f>O7+FLOOR(365/4,1)</f>
        <v>38896</v>
      </c>
      <c r="Q7" s="358">
        <f>P7+FLOOR(365/4,1)</f>
        <v>38987</v>
      </c>
      <c r="R7" s="358">
        <f>Q7+FLOOR(365/4,1)</f>
        <v>39078</v>
      </c>
      <c r="S7" s="359"/>
      <c r="T7" s="337"/>
      <c r="U7" s="357">
        <f>R7+FLOOR(365/4,1)</f>
        <v>39169</v>
      </c>
      <c r="V7" s="358">
        <f>U7+FLOOR(365/4,1)</f>
        <v>39260</v>
      </c>
      <c r="W7" s="358">
        <f>V7+FLOOR(365/4,1)</f>
        <v>39351</v>
      </c>
      <c r="X7" s="358">
        <f>W7+FLOOR(365/4,1)</f>
        <v>39442</v>
      </c>
      <c r="Y7" s="359"/>
      <c r="Z7" s="555"/>
      <c r="AA7" s="357">
        <f>X7+FLOOR(365/4,1)</f>
        <v>39533</v>
      </c>
      <c r="AB7" s="358">
        <f>AA7+FLOOR(365/4,1)</f>
        <v>39624</v>
      </c>
      <c r="AC7" s="358">
        <f>AB7+FLOOR(365/4,1)</f>
        <v>39715</v>
      </c>
      <c r="AD7" s="358">
        <f>AC7+FLOOR(365/4,1)</f>
        <v>39806</v>
      </c>
      <c r="AE7" s="359"/>
      <c r="AF7" s="359"/>
      <c r="AG7" s="357">
        <f>AD7+FLOOR(365/4,1)</f>
        <v>39897</v>
      </c>
      <c r="AH7" s="358">
        <f>AG7+FLOOR(365/4,1)</f>
        <v>39988</v>
      </c>
      <c r="AI7" s="358">
        <f>AH7+FLOOR(365/4,1)</f>
        <v>40079</v>
      </c>
      <c r="AJ7" s="358">
        <f>AI7+FLOOR(365/4,1)</f>
        <v>40170</v>
      </c>
      <c r="AK7" s="359"/>
      <c r="AL7" s="359"/>
      <c r="AM7" s="357">
        <f>AJ7+FLOOR(365/4,1)</f>
        <v>40261</v>
      </c>
      <c r="AN7" s="358">
        <f>AM7+FLOOR(365/4,1)</f>
        <v>40352</v>
      </c>
      <c r="AO7" s="358">
        <f>AN7+FLOOR(365/4,1)</f>
        <v>40443</v>
      </c>
      <c r="AP7" s="358">
        <f>AO7+FLOOR(365/4,1)</f>
        <v>40534</v>
      </c>
      <c r="AQ7" s="359"/>
      <c r="AR7" s="359"/>
      <c r="AS7" s="357">
        <f>AP7+FLOOR(365/4,1)</f>
        <v>40625</v>
      </c>
      <c r="AT7" s="358">
        <f>AS7+FLOOR(365/4,1)</f>
        <v>40716</v>
      </c>
      <c r="AU7" s="358">
        <f>AT7+FLOOR(365/4,1)</f>
        <v>40807</v>
      </c>
      <c r="AV7" s="358">
        <f>AU7+FLOOR(365/4,1)</f>
        <v>40898</v>
      </c>
      <c r="AW7" s="359"/>
      <c r="AX7" s="359"/>
      <c r="AY7" s="357">
        <f>AV7+FLOOR(365/4,1)</f>
        <v>40989</v>
      </c>
      <c r="AZ7" s="358">
        <f>AY7+FLOOR(365/4,1)</f>
        <v>41080</v>
      </c>
      <c r="BA7" s="358">
        <f>AZ7+FLOOR(365/4,1)</f>
        <v>41171</v>
      </c>
      <c r="BB7" s="358">
        <f>BA7+FLOOR(365/4,1)</f>
        <v>41262</v>
      </c>
      <c r="BC7" s="359"/>
      <c r="BD7" s="364"/>
      <c r="BE7" s="357">
        <f>BB7+FLOOR(365/4,1)</f>
        <v>41353</v>
      </c>
      <c r="BF7" s="358">
        <f>BE7+FLOOR(365/4,1)</f>
        <v>41444</v>
      </c>
      <c r="BG7" s="358">
        <f>BF7+FLOOR(365/4,1)</f>
        <v>41535</v>
      </c>
      <c r="BH7" s="358">
        <f>BG7+FLOOR(365/4,1)</f>
        <v>41626</v>
      </c>
      <c r="BI7" s="359"/>
      <c r="BJ7" s="359"/>
      <c r="BK7" s="357">
        <f>BH7+FLOOR(365/4,1)</f>
        <v>41717</v>
      </c>
      <c r="BL7" s="358">
        <f>BK7+FLOOR(365/4,1)</f>
        <v>41808</v>
      </c>
      <c r="BM7" s="358">
        <f>BL7+FLOOR(365/4,1)</f>
        <v>41899</v>
      </c>
      <c r="BN7" s="358">
        <f>BM7+FLOOR(365/4,1)</f>
        <v>41990</v>
      </c>
      <c r="BO7" s="359"/>
      <c r="BP7" s="364"/>
      <c r="BQ7" s="357">
        <f>BN7+FLOOR(365/4,1)</f>
        <v>42081</v>
      </c>
      <c r="BR7" s="358">
        <f>BQ7+FLOOR(365/4,1)</f>
        <v>42172</v>
      </c>
      <c r="BS7" s="358">
        <f>BR7+FLOOR(365/4,1)</f>
        <v>42263</v>
      </c>
      <c r="BT7" s="358">
        <f>BS7+FLOOR(365/4,1)</f>
        <v>42354</v>
      </c>
      <c r="BU7" s="359"/>
      <c r="BV7" s="364"/>
      <c r="BW7" s="357">
        <f>BT7+FLOOR(365/4,1)</f>
        <v>42445</v>
      </c>
      <c r="BX7" s="358">
        <f>BW7+FLOOR(365/4,1)</f>
        <v>42536</v>
      </c>
      <c r="BY7" s="358">
        <f>BX7+FLOOR(365/4,1)</f>
        <v>42627</v>
      </c>
      <c r="BZ7" s="358">
        <f>BY7+FLOOR(365/4,1)</f>
        <v>42718</v>
      </c>
      <c r="CA7" s="359"/>
      <c r="CB7" s="364"/>
      <c r="CC7" s="357">
        <f>BZ7+FLOOR(365/4,1)</f>
        <v>42809</v>
      </c>
      <c r="CD7" s="358">
        <f>CC7+FLOOR(365/4,1)</f>
        <v>42900</v>
      </c>
      <c r="CE7" s="358">
        <f>CD7+FLOOR(365/4,1)</f>
        <v>42991</v>
      </c>
      <c r="CF7" s="358">
        <f>CE7+FLOOR(365/4,1)</f>
        <v>43082</v>
      </c>
      <c r="CG7" s="359"/>
      <c r="CH7" s="364"/>
      <c r="CI7" s="362">
        <f>CF7+FLOOR(365/4,1)</f>
        <v>43173</v>
      </c>
      <c r="CJ7" s="360">
        <f>CI7+FLOOR(365/4,1)</f>
        <v>43264</v>
      </c>
      <c r="CK7" s="360">
        <f>CJ7+FLOOR(365/4,1)</f>
        <v>43355</v>
      </c>
      <c r="CL7" s="361">
        <f>CK7+FLOOR(365/4,1)</f>
        <v>43446</v>
      </c>
      <c r="CM7" s="359"/>
      <c r="CN7" s="364"/>
      <c r="CO7" s="362">
        <f>CL7+FLOOR(365/4,1)</f>
        <v>43537</v>
      </c>
      <c r="CP7" s="360">
        <f>CO7+FLOOR(365/4,1)</f>
        <v>43628</v>
      </c>
      <c r="CQ7" s="360">
        <f>CP7+FLOOR(365/4,1)</f>
        <v>43719</v>
      </c>
      <c r="CR7" s="361">
        <f>CQ7+FLOOR(365/4,1)</f>
        <v>43810</v>
      </c>
      <c r="CS7" s="359"/>
      <c r="CT7" s="364"/>
      <c r="CU7" s="362">
        <f>CR7+FLOOR(365/4,1)</f>
        <v>43901</v>
      </c>
      <c r="CV7" s="360">
        <f>CU7+FLOOR(365/4,1)</f>
        <v>43992</v>
      </c>
      <c r="CW7" s="360">
        <f>CV7+FLOOR(365/4,1)</f>
        <v>44083</v>
      </c>
      <c r="CX7" s="361">
        <f>CW7+FLOOR(365/4,1)</f>
        <v>44174</v>
      </c>
      <c r="CY7" s="359"/>
    </row>
    <row r="8" spans="1:105" ht="11.25" customHeight="1" x14ac:dyDescent="0.2">
      <c r="A8" s="662" t="s">
        <v>216</v>
      </c>
      <c r="B8" s="621"/>
      <c r="C8" s="664"/>
      <c r="D8" s="665"/>
      <c r="E8" s="665"/>
      <c r="F8" s="665"/>
      <c r="G8" s="624"/>
      <c r="H8" s="623"/>
      <c r="I8" s="664"/>
      <c r="J8" s="665"/>
      <c r="K8" s="665"/>
      <c r="L8" s="665"/>
      <c r="M8" s="624"/>
      <c r="N8" s="623"/>
      <c r="O8" s="664"/>
      <c r="P8" s="665"/>
      <c r="Q8" s="665"/>
      <c r="R8" s="665"/>
      <c r="S8" s="624"/>
      <c r="T8" s="217"/>
      <c r="U8" s="664"/>
      <c r="V8" s="665"/>
      <c r="W8" s="665"/>
      <c r="X8" s="665"/>
      <c r="Y8" s="624"/>
      <c r="Z8" s="623"/>
      <c r="AA8" s="217"/>
      <c r="AB8" s="217"/>
      <c r="AC8" s="217"/>
      <c r="AD8" s="622"/>
      <c r="AE8" s="622"/>
      <c r="AF8" s="623"/>
      <c r="AG8" s="622"/>
      <c r="AH8" s="622"/>
      <c r="AI8" s="622"/>
      <c r="AJ8" s="622"/>
      <c r="AK8" s="622"/>
      <c r="AL8" s="623"/>
      <c r="AM8" s="622"/>
      <c r="AN8" s="622"/>
      <c r="AO8" s="622"/>
      <c r="AP8" s="622"/>
      <c r="AQ8" s="622"/>
      <c r="AR8" s="623"/>
      <c r="AS8" s="622"/>
      <c r="AT8" s="622"/>
      <c r="AU8" s="622"/>
      <c r="AV8" s="622"/>
      <c r="AW8" s="622"/>
      <c r="AX8" s="623"/>
      <c r="AY8" s="622"/>
      <c r="AZ8" s="622"/>
      <c r="BA8" s="622"/>
      <c r="BB8" s="622"/>
      <c r="BC8" s="642"/>
      <c r="BD8" s="623"/>
      <c r="BE8" s="622"/>
      <c r="BF8" s="622"/>
      <c r="BG8" s="622"/>
      <c r="BH8" s="622"/>
      <c r="BI8" s="642"/>
      <c r="BJ8" s="623"/>
      <c r="BK8" s="622"/>
      <c r="BL8" s="622"/>
      <c r="BM8" s="622"/>
      <c r="BN8" s="622"/>
      <c r="BO8" s="642"/>
      <c r="BP8" s="623"/>
      <c r="BQ8" s="622"/>
      <c r="BR8" s="622"/>
      <c r="BS8" s="622"/>
      <c r="BT8" s="622"/>
      <c r="BU8" s="642"/>
      <c r="BV8" s="623"/>
      <c r="BW8" s="622"/>
      <c r="BX8" s="622"/>
      <c r="BY8" s="622"/>
      <c r="BZ8" s="622"/>
      <c r="CA8" s="642"/>
      <c r="CB8" s="623"/>
      <c r="CC8" s="622"/>
      <c r="CD8" s="622"/>
      <c r="CE8" s="622"/>
      <c r="CF8" s="622"/>
      <c r="CG8" s="642"/>
      <c r="CH8" s="623"/>
      <c r="CI8" s="622"/>
      <c r="CJ8" s="622"/>
      <c r="CK8" s="622"/>
      <c r="CL8" s="622"/>
      <c r="CM8" s="642"/>
      <c r="CN8" s="623"/>
      <c r="CO8" s="622"/>
      <c r="CP8" s="622"/>
      <c r="CQ8" s="622"/>
      <c r="CR8" s="622"/>
      <c r="CS8" s="642"/>
      <c r="CT8" s="623"/>
      <c r="CU8" s="622"/>
      <c r="CV8" s="622"/>
      <c r="CW8" s="622"/>
      <c r="CX8" s="622"/>
      <c r="CY8" s="642"/>
    </row>
    <row r="9" spans="1:105" s="35" customFormat="1" ht="11.25" customHeight="1" x14ac:dyDescent="0.2">
      <c r="A9" s="663" t="s">
        <v>394</v>
      </c>
      <c r="B9" s="663"/>
      <c r="C9" s="659"/>
      <c r="D9" s="659"/>
      <c r="E9" s="659"/>
      <c r="F9" s="659"/>
      <c r="G9" s="671"/>
      <c r="H9" s="660"/>
      <c r="I9" s="666"/>
      <c r="J9" s="659"/>
      <c r="K9" s="659"/>
      <c r="L9" s="659"/>
      <c r="M9" s="671"/>
      <c r="N9" s="660"/>
      <c r="O9" s="666"/>
      <c r="P9" s="659"/>
      <c r="Q9" s="659"/>
      <c r="R9" s="659"/>
      <c r="S9" s="671"/>
      <c r="T9" s="659"/>
      <c r="U9" s="666"/>
      <c r="V9" s="659"/>
      <c r="W9" s="659"/>
      <c r="X9" s="659"/>
      <c r="Y9" s="671"/>
      <c r="Z9" s="660"/>
      <c r="AA9" s="648">
        <f>+'P&amp;L'!AA$9*RevBuild!AA10</f>
        <v>100.06244943820224</v>
      </c>
      <c r="AB9" s="646">
        <f>+'P&amp;L'!AB$9*RevBuild!AB10</f>
        <v>100.70179475655432</v>
      </c>
      <c r="AC9" s="646">
        <f>+'P&amp;L'!AC$9*RevBuild!AC10</f>
        <v>103.86000000000001</v>
      </c>
      <c r="AD9" s="646">
        <f>+'P&amp;L'!AD$9*RevBuild!AD10</f>
        <v>106.99794550561801</v>
      </c>
      <c r="AE9" s="647">
        <f>+SUM(AA9:AD9)</f>
        <v>411.62218970037458</v>
      </c>
      <c r="AF9" s="660"/>
      <c r="AG9" s="648">
        <f>+'P&amp;L'!AG$9*RevBuild!AG10</f>
        <v>101.62918000000001</v>
      </c>
      <c r="AH9" s="646">
        <f>+'P&amp;L'!AH$9*RevBuild!AH10</f>
        <v>115.27487999999998</v>
      </c>
      <c r="AI9" s="646">
        <f>+'P&amp;L'!AI$9*RevBuild!AI10</f>
        <v>129.8295</v>
      </c>
      <c r="AJ9" s="646">
        <f>+'P&amp;L'!AJ$9*RevBuild!AJ10</f>
        <v>135.86619000000005</v>
      </c>
      <c r="AK9" s="647">
        <f>+SUM(AG9:AJ9)</f>
        <v>482.59975000000009</v>
      </c>
      <c r="AL9" s="660"/>
      <c r="AM9" s="648">
        <f>+'P&amp;L'!AM$9*RevBuild!AM10</f>
        <v>118.96379999999999</v>
      </c>
      <c r="AN9" s="646">
        <f>+'P&amp;L'!AN$9*RevBuild!AN10</f>
        <v>123.47746000000001</v>
      </c>
      <c r="AO9" s="646">
        <f>+'P&amp;L'!AO$9*RevBuild!AO10</f>
        <v>137.1585</v>
      </c>
      <c r="AP9" s="646">
        <f>+'P&amp;L'!AP$9*RevBuild!AP10</f>
        <v>137.29536000000002</v>
      </c>
      <c r="AQ9" s="647">
        <f>+SUM(AM9:AP9)</f>
        <v>516.89512000000002</v>
      </c>
      <c r="AR9" s="660"/>
      <c r="AS9" s="648">
        <f>+'P&amp;L'!AS$9*RevBuild!AS10</f>
        <v>116.27659999999999</v>
      </c>
      <c r="AT9" s="646">
        <f>+'P&amp;L'!AT$9*RevBuild!AT10</f>
        <v>129.80142000000001</v>
      </c>
      <c r="AU9" s="646">
        <f>+'P&amp;L'!AU$9*RevBuild!AU10</f>
        <v>132.8871</v>
      </c>
      <c r="AV9" s="646">
        <f>+'P&amp;L'!AV$9*RevBuild!AV10</f>
        <v>167.21000000000004</v>
      </c>
      <c r="AW9" s="647">
        <f>+SUM(AS9:AV9)</f>
        <v>546.17511999999999</v>
      </c>
      <c r="AX9" s="660"/>
      <c r="AY9" s="648">
        <f>+'P&amp;L'!AY$9*RevBuild!AY10</f>
        <v>139.31834000000001</v>
      </c>
      <c r="AZ9" s="646">
        <f>+'P&amp;L'!AZ$9*RevBuild!AZ10</f>
        <v>147.46224000000001</v>
      </c>
      <c r="BA9" s="646">
        <f>+'P&amp;L'!BA$9*RevBuild!BA10</f>
        <v>149.10160999999999</v>
      </c>
      <c r="BB9" s="646">
        <f>+'P&amp;L'!BB$9*RevBuild!BB10</f>
        <v>180.19663999999997</v>
      </c>
      <c r="BC9" s="647">
        <f>+SUM(AY9:BB9)</f>
        <v>616.07882999999993</v>
      </c>
      <c r="BD9" s="660"/>
      <c r="BE9" s="648">
        <f>+'P&amp;L'!BE$9*RevBuild!BE10</f>
        <v>151.78800000000001</v>
      </c>
      <c r="BF9" s="646">
        <f>+'P&amp;L'!BF$9*RevBuild!BF10</f>
        <v>155.04187999999999</v>
      </c>
      <c r="BG9" s="646">
        <f>+'P&amp;L'!BG$9*RevBuild!BG10</f>
        <v>165.14361</v>
      </c>
      <c r="BH9" s="646">
        <f>+'P&amp;L'!BH$9*RevBuild!BH10</f>
        <v>184.91835</v>
      </c>
      <c r="BI9" s="647">
        <f>+SUM(BE9:BH9)</f>
        <v>656.89184</v>
      </c>
      <c r="BJ9" s="660"/>
      <c r="BK9" s="648">
        <f>+'P&amp;L'!BK$9*RevBuild!BK10</f>
        <v>155.51276999999999</v>
      </c>
      <c r="BL9" s="646">
        <f>+'P&amp;L'!BL$9*RevBuild!BL10</f>
        <v>168.93087</v>
      </c>
      <c r="BM9" s="646">
        <f>+'P&amp;L'!BM$9*RevBuild!BM10</f>
        <v>175.11364</v>
      </c>
      <c r="BN9" s="646">
        <f>+'P&amp;L'!BN$9*RevBuild!BN10</f>
        <v>184.01310000000001</v>
      </c>
      <c r="BO9" s="647">
        <f>+SUM(BK9:BN9)</f>
        <v>683.57038</v>
      </c>
      <c r="BP9" s="660"/>
      <c r="BQ9" s="648">
        <f>+'P&amp;L'!BQ$9*RevBuild!BQ10</f>
        <v>143.38991999999999</v>
      </c>
      <c r="BR9" s="646">
        <f>+'P&amp;L'!BR$9*RevBuild!BR10</f>
        <v>159.72800000000001</v>
      </c>
      <c r="BS9" s="646">
        <f>+'P&amp;L'!BS$9*RevBuild!BS10</f>
        <v>154.13488999999998</v>
      </c>
      <c r="BT9" s="646">
        <f>+'P&amp;L'!BT$9*RevBuild!BT10</f>
        <v>170.76499999999999</v>
      </c>
      <c r="BU9" s="647">
        <f>BU32</f>
        <v>628.01781000000005</v>
      </c>
      <c r="BV9" s="660"/>
      <c r="BW9" s="648">
        <f>+'P&amp;L'!BW$9*RevBuild!BW10</f>
        <v>143.22192000000001</v>
      </c>
      <c r="BX9" s="646">
        <f>+'P&amp;L'!BX$9*RevBuild!BX10</f>
        <v>165.80195454675723</v>
      </c>
      <c r="BY9" s="646">
        <f>+'P&amp;L'!BY$9*RevBuild!BY10</f>
        <v>169.3425</v>
      </c>
      <c r="BZ9" s="646">
        <f>+'P&amp;L'!BZ$9*RevBuild!BZ10</f>
        <v>183.25749999999999</v>
      </c>
      <c r="CA9" s="647">
        <f>CA32</f>
        <v>661.62387454675718</v>
      </c>
      <c r="CB9" s="660"/>
      <c r="CC9" s="648">
        <f>+'P&amp;L'!CC$9*RevBuild!CC10</f>
        <v>142.12906600000002</v>
      </c>
      <c r="CD9" s="646">
        <f>+'P&amp;L'!CD$9*RevBuild!CD10</f>
        <v>167.81088</v>
      </c>
      <c r="CE9" s="646">
        <f>+'P&amp;L'!CE$9*RevBuild!CE10</f>
        <v>179.64919999999998</v>
      </c>
      <c r="CF9" s="646">
        <f>+'P&amp;L'!CF$9*RevBuild!CF10</f>
        <v>192.99691799999999</v>
      </c>
      <c r="CG9" s="647">
        <f>CG32</f>
        <v>682.58606400000008</v>
      </c>
      <c r="CH9" s="660"/>
      <c r="CI9" s="648">
        <f>CI32</f>
        <v>161.9088688145581</v>
      </c>
      <c r="CJ9" s="646">
        <f>CJ32</f>
        <v>191.7112303017922</v>
      </c>
      <c r="CK9" s="646">
        <f>CK32</f>
        <v>202.60073391594219</v>
      </c>
      <c r="CL9" s="646">
        <f>CL32</f>
        <v>213.0537099154692</v>
      </c>
      <c r="CM9" s="647">
        <f>CM32</f>
        <v>769.27454294776169</v>
      </c>
      <c r="CN9" s="660"/>
      <c r="CO9" s="648">
        <f>CO32</f>
        <v>190.26131978024364</v>
      </c>
      <c r="CP9" s="646">
        <f>CP32</f>
        <v>210.61493127143908</v>
      </c>
      <c r="CQ9" s="646">
        <f>CQ32</f>
        <v>215.96365599180254</v>
      </c>
      <c r="CR9" s="646">
        <f>CR32</f>
        <v>239.52277062170441</v>
      </c>
      <c r="CS9" s="647">
        <f>CS32</f>
        <v>856.36267766518972</v>
      </c>
      <c r="CT9" s="660"/>
      <c r="CU9" s="648">
        <f>CU32</f>
        <v>221.22584271913695</v>
      </c>
      <c r="CV9" s="646">
        <f>CV32</f>
        <v>242.01908110601394</v>
      </c>
      <c r="CW9" s="646">
        <f>CW32</f>
        <v>246.97511768865181</v>
      </c>
      <c r="CX9" s="646">
        <f>CX32</f>
        <v>273.22760774546396</v>
      </c>
      <c r="CY9" s="647">
        <f>CY32</f>
        <v>983.44764925926665</v>
      </c>
    </row>
    <row r="10" spans="1:105" s="206" customFormat="1" ht="11.25" customHeight="1" x14ac:dyDescent="0.2">
      <c r="A10" s="678" t="s">
        <v>315</v>
      </c>
      <c r="B10" s="988"/>
      <c r="C10" s="159"/>
      <c r="D10" s="159"/>
      <c r="E10" s="159"/>
      <c r="F10" s="159"/>
      <c r="G10" s="672"/>
      <c r="H10" s="657"/>
      <c r="I10" s="667"/>
      <c r="J10" s="159"/>
      <c r="K10" s="159"/>
      <c r="L10" s="159"/>
      <c r="M10" s="672"/>
      <c r="N10" s="657"/>
      <c r="O10" s="667"/>
      <c r="P10" s="159"/>
      <c r="Q10" s="159"/>
      <c r="R10" s="159"/>
      <c r="S10" s="672"/>
      <c r="T10" s="159"/>
      <c r="U10" s="667"/>
      <c r="V10" s="159"/>
      <c r="W10" s="159"/>
      <c r="X10" s="159"/>
      <c r="Y10" s="672"/>
      <c r="Z10" s="657"/>
      <c r="AA10" s="650">
        <f>430/(430+70+150+240)</f>
        <v>0.48314606741573035</v>
      </c>
      <c r="AB10" s="651">
        <f>1-AB12-AB14-AB16</f>
        <v>0.4621722846441948</v>
      </c>
      <c r="AC10" s="651">
        <v>0.45</v>
      </c>
      <c r="AD10" s="651">
        <f>1-AD12-AD14-AD16</f>
        <v>0.45112359550561804</v>
      </c>
      <c r="AE10" s="649">
        <f>AE9/'P&amp;L'!AE$9</f>
        <v>0.46095600627159167</v>
      </c>
      <c r="AF10" s="657"/>
      <c r="AG10" s="650">
        <v>0.46</v>
      </c>
      <c r="AH10" s="651">
        <v>0.48</v>
      </c>
      <c r="AI10" s="651">
        <v>0.5</v>
      </c>
      <c r="AJ10" s="651">
        <v>0.47</v>
      </c>
      <c r="AK10" s="649">
        <f>AK9/AK$17</f>
        <v>0.477904339860867</v>
      </c>
      <c r="AL10" s="657"/>
      <c r="AM10" s="650">
        <v>0.45</v>
      </c>
      <c r="AN10" s="651">
        <v>0.47</v>
      </c>
      <c r="AO10" s="651">
        <v>0.5</v>
      </c>
      <c r="AP10" s="651">
        <v>0.48</v>
      </c>
      <c r="AQ10" s="649">
        <f>AQ9/AQ$17</f>
        <v>0.4753360167219805</v>
      </c>
      <c r="AR10" s="657"/>
      <c r="AS10" s="650">
        <v>0.44</v>
      </c>
      <c r="AT10" s="651">
        <v>0.46</v>
      </c>
      <c r="AU10" s="651">
        <v>0.46</v>
      </c>
      <c r="AV10" s="651">
        <v>0.5</v>
      </c>
      <c r="AW10" s="649">
        <f>AW9/AW$17</f>
        <v>0.46691730775971213</v>
      </c>
      <c r="AX10" s="657"/>
      <c r="AY10" s="650">
        <v>0.47</v>
      </c>
      <c r="AZ10" s="651">
        <f>31%+17%</f>
        <v>0.48</v>
      </c>
      <c r="BA10" s="651">
        <f>48%+1%</f>
        <v>0.49</v>
      </c>
      <c r="BB10" s="651">
        <v>0.52</v>
      </c>
      <c r="BC10" s="649">
        <f>BC9/BC$17</f>
        <v>0.4911123467064607</v>
      </c>
      <c r="BD10" s="657"/>
      <c r="BE10" s="650">
        <f>0.33+0.17</f>
        <v>0.5</v>
      </c>
      <c r="BF10" s="651">
        <v>0.49</v>
      </c>
      <c r="BG10" s="651">
        <v>0.51</v>
      </c>
      <c r="BH10" s="651">
        <v>0.51</v>
      </c>
      <c r="BI10" s="649">
        <f>BI9/BI$17</f>
        <v>0.50283212286739576</v>
      </c>
      <c r="BJ10" s="657"/>
      <c r="BK10" s="650">
        <f>48%+1%</f>
        <v>0.49</v>
      </c>
      <c r="BL10" s="651">
        <v>0.51</v>
      </c>
      <c r="BM10" s="651">
        <v>0.52</v>
      </c>
      <c r="BN10" s="651">
        <v>0.51</v>
      </c>
      <c r="BO10" s="649">
        <f>BO9/BO$17</f>
        <v>0.50778640550239673</v>
      </c>
      <c r="BP10" s="657"/>
      <c r="BQ10" s="650">
        <f>48%</f>
        <v>0.48</v>
      </c>
      <c r="BR10" s="651">
        <v>0.5</v>
      </c>
      <c r="BS10" s="651">
        <v>0.49</v>
      </c>
      <c r="BT10" s="651">
        <v>0.49</v>
      </c>
      <c r="BU10" s="649">
        <f>BU9/BU$17</f>
        <v>0.49016177221236201</v>
      </c>
      <c r="BV10" s="657"/>
      <c r="BW10" s="650">
        <v>0.48</v>
      </c>
      <c r="BX10" s="1102">
        <v>0.49580145014759414</v>
      </c>
      <c r="BY10" s="1102">
        <v>0.5</v>
      </c>
      <c r="BZ10" s="651">
        <v>0.5</v>
      </c>
      <c r="CA10" s="649">
        <f>CA9/CA$17</f>
        <v>0.49449052687705464</v>
      </c>
      <c r="CB10" s="657"/>
      <c r="CC10" s="650">
        <v>0.46100000000000002</v>
      </c>
      <c r="CD10" s="1102">
        <v>0.48</v>
      </c>
      <c r="CE10" s="1102">
        <v>0.49299999999999999</v>
      </c>
      <c r="CF10" s="1102">
        <v>0.48599999999999999</v>
      </c>
      <c r="CG10" s="649">
        <f>CG9/CG$17</f>
        <v>0.48088913750286205</v>
      </c>
      <c r="CH10" s="657"/>
      <c r="CI10" s="652">
        <f>CI9/CI$17</f>
        <v>0.4731452460120833</v>
      </c>
      <c r="CJ10" s="653">
        <f>CJ9/CJ$17</f>
        <v>0.49155748464090787</v>
      </c>
      <c r="CK10" s="653">
        <f>CK9/CK$17</f>
        <v>0.5027577626440537</v>
      </c>
      <c r="CL10" s="653">
        <f>CL9/CL$17</f>
        <v>0.49598158586133428</v>
      </c>
      <c r="CM10" s="649">
        <f>CM9/CM$17</f>
        <v>0.49162987883747133</v>
      </c>
      <c r="CN10" s="657"/>
      <c r="CO10" s="652">
        <f>CO9/CO$17</f>
        <v>0.50078111182075402</v>
      </c>
      <c r="CP10" s="653">
        <f>CP9/CP$17</f>
        <v>0.50209588907449387</v>
      </c>
      <c r="CQ10" s="653">
        <f>CQ9/CQ$17</f>
        <v>0.50571322129048868</v>
      </c>
      <c r="CR10" s="653">
        <f>CR9/CR$17</f>
        <v>0.51223701946553291</v>
      </c>
      <c r="CS10" s="649">
        <f>CS9/CS$17</f>
        <v>0.50551211600184043</v>
      </c>
      <c r="CT10" s="657"/>
      <c r="CU10" s="652">
        <f>CU9/CU$17</f>
        <v>0.52592336890889324</v>
      </c>
      <c r="CV10" s="653">
        <f>CV9/CV$17</f>
        <v>0.52418538721755992</v>
      </c>
      <c r="CW10" s="653">
        <f>CW9/CW$17</f>
        <v>0.52659238388461505</v>
      </c>
      <c r="CX10" s="653">
        <f>CX9/CX$17</f>
        <v>0.53251076046678847</v>
      </c>
      <c r="CY10" s="649">
        <f>CY9/CY$17</f>
        <v>0.52747411402638911</v>
      </c>
    </row>
    <row r="11" spans="1:105" s="35" customFormat="1" ht="11.25" customHeight="1" x14ac:dyDescent="0.2">
      <c r="A11" s="189" t="s">
        <v>190</v>
      </c>
      <c r="B11" s="189"/>
      <c r="C11" s="643"/>
      <c r="D11" s="643"/>
      <c r="E11" s="643"/>
      <c r="F11" s="643"/>
      <c r="G11" s="673"/>
      <c r="H11" s="644"/>
      <c r="I11" s="668"/>
      <c r="J11" s="643"/>
      <c r="K11" s="643"/>
      <c r="L11" s="643"/>
      <c r="M11" s="673"/>
      <c r="N11" s="644"/>
      <c r="O11" s="668"/>
      <c r="P11" s="643"/>
      <c r="Q11" s="643"/>
      <c r="R11" s="643"/>
      <c r="S11" s="673"/>
      <c r="T11" s="643"/>
      <c r="U11" s="668"/>
      <c r="V11" s="643"/>
      <c r="W11" s="643"/>
      <c r="X11" s="643"/>
      <c r="Y11" s="673"/>
      <c r="Z11" s="644"/>
      <c r="AA11" s="656">
        <f>+'P&amp;L'!AA$9*RevBuild!AA12</f>
        <v>16.289235955056178</v>
      </c>
      <c r="AB11" s="654">
        <f>+'P&amp;L'!AB$9*RevBuild!AB12</f>
        <v>17.137258426966291</v>
      </c>
      <c r="AC11" s="654">
        <f>+'P&amp;L'!AC$9*RevBuild!AC12</f>
        <v>16.156000000000002</v>
      </c>
      <c r="AD11" s="654">
        <f>+'P&amp;L'!AD$9*RevBuild!AD12</f>
        <v>17.970680262172287</v>
      </c>
      <c r="AE11" s="655">
        <f>+SUM(AA11:AD11)</f>
        <v>67.553174644194769</v>
      </c>
      <c r="AF11" s="644"/>
      <c r="AG11" s="656">
        <f>+'P&amp;L'!AG$9*RevBuild!AG12</f>
        <v>15.465310000000001</v>
      </c>
      <c r="AH11" s="654">
        <f>+'P&amp;L'!AH$9*RevBuild!AH12</f>
        <v>14.409359999999998</v>
      </c>
      <c r="AI11" s="654">
        <f>+'P&amp;L'!AI$9*RevBuild!AI12</f>
        <v>15.57954</v>
      </c>
      <c r="AJ11" s="654">
        <f>+'P&amp;L'!AJ$9*RevBuild!AJ12</f>
        <v>17.344620000000006</v>
      </c>
      <c r="AK11" s="655">
        <f>+SUM(AG11:AJ11)</f>
        <v>62.798830000000002</v>
      </c>
      <c r="AL11" s="644"/>
      <c r="AM11" s="656">
        <f>+'P&amp;L'!AM$9*RevBuild!AM12</f>
        <v>18.505479999999999</v>
      </c>
      <c r="AN11" s="654">
        <f>+'P&amp;L'!AN$9*RevBuild!AN12</f>
        <v>18.390260000000001</v>
      </c>
      <c r="AO11" s="654">
        <f>+'P&amp;L'!AO$9*RevBuild!AO12</f>
        <v>19.202190000000002</v>
      </c>
      <c r="AP11" s="654">
        <f>+'P&amp;L'!AP$9*RevBuild!AP12</f>
        <v>17.161920000000002</v>
      </c>
      <c r="AQ11" s="655">
        <f>+SUM(AM11:AP11)</f>
        <v>73.25985</v>
      </c>
      <c r="AR11" s="644"/>
      <c r="AS11" s="656">
        <f>+'P&amp;L'!AS$9*RevBuild!AS12</f>
        <v>15.855899999999998</v>
      </c>
      <c r="AT11" s="654">
        <f>+'P&amp;L'!AT$9*RevBuild!AT12</f>
        <v>19.752390000000002</v>
      </c>
      <c r="AU11" s="654">
        <f>+'P&amp;L'!AU$9*RevBuild!AU12</f>
        <v>20.22195</v>
      </c>
      <c r="AV11" s="654">
        <f>+'P&amp;L'!AV$9*RevBuild!AV12</f>
        <v>23.409400000000009</v>
      </c>
      <c r="AW11" s="655">
        <f>+SUM(AS11:AV11)</f>
        <v>79.239640000000009</v>
      </c>
      <c r="AX11" s="644"/>
      <c r="AY11" s="656">
        <f>+'P&amp;L'!$AY$9*RevBuild!AY12</f>
        <v>20.749540000000003</v>
      </c>
      <c r="AZ11" s="654">
        <f>+'P&amp;L'!AZ$9*RevBuild!AZ12</f>
        <v>24.577040000000004</v>
      </c>
      <c r="BA11" s="654">
        <f>+'P&amp;L'!BA$9*RevBuild!BA12</f>
        <v>24.343119999999999</v>
      </c>
      <c r="BB11" s="654">
        <f>+'P&amp;L'!BB$9*RevBuild!BB12</f>
        <v>24.257239999999996</v>
      </c>
      <c r="BC11" s="655">
        <f>+SUM(AY11:BB11)</f>
        <v>93.926940000000002</v>
      </c>
      <c r="BD11" s="644"/>
      <c r="BE11" s="656">
        <f>+'P&amp;L'!BE$9*RevBuild!BE12</f>
        <v>24.286080000000002</v>
      </c>
      <c r="BF11" s="654">
        <f>+'P&amp;L'!BF$9*RevBuild!BF12</f>
        <v>25.31296</v>
      </c>
      <c r="BG11" s="654">
        <f>+'P&amp;L'!BG$9*RevBuild!BG12</f>
        <v>25.904879999999999</v>
      </c>
      <c r="BH11" s="654">
        <f>+'P&amp;L'!BH$9*RevBuild!BH12</f>
        <v>29.006799999999998</v>
      </c>
      <c r="BI11" s="655">
        <f>+SUM(BE11:BH11)</f>
        <v>104.51071999999999</v>
      </c>
      <c r="BJ11" s="644"/>
      <c r="BK11" s="656">
        <f>+'P&amp;L'!BK$9*RevBuild!BK12</f>
        <v>25.38984</v>
      </c>
      <c r="BL11" s="654">
        <f>+'P&amp;L'!BL$9*RevBuild!BL12</f>
        <v>26.498959999999997</v>
      </c>
      <c r="BM11" s="654">
        <f>+'P&amp;L'!BM$9*RevBuild!BM12</f>
        <v>26.940560000000001</v>
      </c>
      <c r="BN11" s="654">
        <f>+'P&amp;L'!BN$9*RevBuild!BN12</f>
        <v>32.472899999999996</v>
      </c>
      <c r="BO11" s="655">
        <f>+SUM(BK11:BN11)</f>
        <v>111.30225999999999</v>
      </c>
      <c r="BP11" s="644"/>
      <c r="BQ11" s="656">
        <f>+'P&amp;L'!BQ$9*RevBuild!BQ12</f>
        <v>26.885609999999996</v>
      </c>
      <c r="BR11" s="654">
        <f>+'P&amp;L'!BR$9*RevBuild!BR12</f>
        <v>28.75104</v>
      </c>
      <c r="BS11" s="654">
        <f>+'P&amp;L'!BS$9*RevBuild!BS12</f>
        <v>28.310489999999998</v>
      </c>
      <c r="BT11" s="654">
        <f>+'P&amp;L'!BT$9*RevBuild!BT12</f>
        <v>31.364999999999998</v>
      </c>
      <c r="BU11" s="655">
        <f>BU39</f>
        <v>115.31213999999999</v>
      </c>
      <c r="BV11" s="644"/>
      <c r="BW11" s="656">
        <f>+'P&amp;L'!BW$9*RevBuild!BW12</f>
        <v>23.870320000000003</v>
      </c>
      <c r="BX11" s="654">
        <f>+'P&amp;L'!BX$9*RevBuild!BX12</f>
        <v>30.074366090619893</v>
      </c>
      <c r="BY11" s="654">
        <f>+'P&amp;L'!BY$9*RevBuild!BY12</f>
        <v>30.481649999999998</v>
      </c>
      <c r="BZ11" s="654">
        <f>+'P&amp;L'!BZ$9*RevBuild!BZ12</f>
        <v>36.651499999999999</v>
      </c>
      <c r="CA11" s="655">
        <f>CA39</f>
        <v>121.0778360906199</v>
      </c>
      <c r="CB11" s="644"/>
      <c r="CC11" s="656">
        <f>+'P&amp;L'!CC$9*RevBuild!CC12</f>
        <v>28.672458000000002</v>
      </c>
      <c r="CD11" s="654">
        <f>+'P&amp;L'!CD$9*RevBuild!CD12</f>
        <v>33.212569999999999</v>
      </c>
      <c r="CE11" s="654">
        <f>+'P&amp;L'!CE$9*RevBuild!CE12</f>
        <v>36.075600000000001</v>
      </c>
      <c r="CF11" s="654">
        <f>+'P&amp;L'!CF$9*RevBuild!CF12</f>
        <v>39.711300000000001</v>
      </c>
      <c r="CG11" s="655">
        <f>CG39</f>
        <v>137.67192800000001</v>
      </c>
      <c r="CH11" s="644"/>
      <c r="CI11" s="656">
        <f>CI39</f>
        <v>31.252979220000004</v>
      </c>
      <c r="CJ11" s="654">
        <f>CJ39</f>
        <v>38.028392650000001</v>
      </c>
      <c r="CK11" s="654">
        <f>CK39</f>
        <v>39.502782000000003</v>
      </c>
      <c r="CL11" s="654">
        <f>CL39</f>
        <v>44.873768999999996</v>
      </c>
      <c r="CM11" s="655">
        <f>CM39</f>
        <v>153.65792286999999</v>
      </c>
      <c r="CN11" s="644"/>
      <c r="CO11" s="656">
        <f>CO39</f>
        <v>34.065747349800006</v>
      </c>
      <c r="CP11" s="654">
        <f>CP39</f>
        <v>41.450947988500005</v>
      </c>
      <c r="CQ11" s="654">
        <f>CQ39</f>
        <v>43.058032380000007</v>
      </c>
      <c r="CR11" s="654">
        <f>CR39</f>
        <v>48.912408210000002</v>
      </c>
      <c r="CS11" s="655">
        <f>CS39</f>
        <v>167.48713592830001</v>
      </c>
      <c r="CT11" s="644"/>
      <c r="CU11" s="656">
        <f>CU39</f>
        <v>36.10969219078801</v>
      </c>
      <c r="CV11" s="654">
        <f>CV39</f>
        <v>43.938004867810008</v>
      </c>
      <c r="CW11" s="654">
        <f>CW39</f>
        <v>45.641514322800013</v>
      </c>
      <c r="CX11" s="654">
        <f>CX39</f>
        <v>51.847152702600006</v>
      </c>
      <c r="CY11" s="655">
        <f>CY39</f>
        <v>177.53636408399802</v>
      </c>
    </row>
    <row r="12" spans="1:105" s="206" customFormat="1" ht="11.25" customHeight="1" x14ac:dyDescent="0.2">
      <c r="A12" s="678" t="s">
        <v>315</v>
      </c>
      <c r="B12" s="988"/>
      <c r="C12" s="159"/>
      <c r="D12" s="159"/>
      <c r="E12" s="159"/>
      <c r="F12" s="159"/>
      <c r="G12" s="672"/>
      <c r="H12" s="657"/>
      <c r="I12" s="667"/>
      <c r="J12" s="159"/>
      <c r="K12" s="159"/>
      <c r="L12" s="159"/>
      <c r="M12" s="672"/>
      <c r="N12" s="657"/>
      <c r="O12" s="667"/>
      <c r="P12" s="159"/>
      <c r="Q12" s="159"/>
      <c r="R12" s="159"/>
      <c r="S12" s="672"/>
      <c r="T12" s="159"/>
      <c r="U12" s="667"/>
      <c r="V12" s="159"/>
      <c r="W12" s="159"/>
      <c r="X12" s="159"/>
      <c r="Y12" s="672"/>
      <c r="Z12" s="657"/>
      <c r="AA12" s="650">
        <f>70/(430+70+150+240)</f>
        <v>7.8651685393258425E-2</v>
      </c>
      <c r="AB12" s="651">
        <f>AA12</f>
        <v>7.8651685393258425E-2</v>
      </c>
      <c r="AC12" s="651">
        <v>7.0000000000000007E-2</v>
      </c>
      <c r="AD12" s="651">
        <f>AVERAGE(AA12:AC12)</f>
        <v>7.5767790262172285E-2</v>
      </c>
      <c r="AE12" s="649">
        <f>AE11/'P&amp;L'!AE$9</f>
        <v>7.5649569858276852E-2</v>
      </c>
      <c r="AF12" s="657"/>
      <c r="AG12" s="650">
        <v>7.0000000000000007E-2</v>
      </c>
      <c r="AH12" s="651">
        <v>0.06</v>
      </c>
      <c r="AI12" s="651">
        <v>0.06</v>
      </c>
      <c r="AJ12" s="651">
        <v>0.06</v>
      </c>
      <c r="AK12" s="649">
        <f>AK11/AK$17</f>
        <v>6.2187834525784164E-2</v>
      </c>
      <c r="AL12" s="657"/>
      <c r="AM12" s="650">
        <v>7.0000000000000007E-2</v>
      </c>
      <c r="AN12" s="651">
        <v>7.0000000000000007E-2</v>
      </c>
      <c r="AO12" s="651">
        <v>7.0000000000000007E-2</v>
      </c>
      <c r="AP12" s="651">
        <v>0.06</v>
      </c>
      <c r="AQ12" s="649">
        <f>AQ11/AQ$17</f>
        <v>6.7369653798723783E-2</v>
      </c>
      <c r="AR12" s="657"/>
      <c r="AS12" s="650">
        <v>0.06</v>
      </c>
      <c r="AT12" s="651">
        <v>7.0000000000000007E-2</v>
      </c>
      <c r="AU12" s="651">
        <v>7.0000000000000007E-2</v>
      </c>
      <c r="AV12" s="651">
        <v>7.0000000000000007E-2</v>
      </c>
      <c r="AW12" s="649">
        <f>AW11/AW$17</f>
        <v>6.7740836266303742E-2</v>
      </c>
      <c r="AX12" s="657"/>
      <c r="AY12" s="650">
        <v>7.0000000000000007E-2</v>
      </c>
      <c r="AZ12" s="651">
        <v>0.08</v>
      </c>
      <c r="BA12" s="651">
        <v>0.08</v>
      </c>
      <c r="BB12" s="651">
        <v>7.0000000000000007E-2</v>
      </c>
      <c r="BC12" s="649">
        <f>BC11/BC$17</f>
        <v>7.4874638887294565E-2</v>
      </c>
      <c r="BD12" s="657"/>
      <c r="BE12" s="650">
        <v>0.08</v>
      </c>
      <c r="BF12" s="651">
        <v>0.08</v>
      </c>
      <c r="BG12" s="651">
        <v>0.08</v>
      </c>
      <c r="BH12" s="651">
        <v>0.08</v>
      </c>
      <c r="BI12" s="649">
        <f>BI11/BI$17</f>
        <v>7.9999999999999988E-2</v>
      </c>
      <c r="BJ12" s="657"/>
      <c r="BK12" s="650">
        <v>0.08</v>
      </c>
      <c r="BL12" s="651">
        <v>0.08</v>
      </c>
      <c r="BM12" s="651">
        <v>0.08</v>
      </c>
      <c r="BN12" s="651">
        <v>0.09</v>
      </c>
      <c r="BO12" s="649">
        <f>BO11/BO$17</f>
        <v>8.2680256756726619E-2</v>
      </c>
      <c r="BP12" s="657"/>
      <c r="BQ12" s="650">
        <v>0.09</v>
      </c>
      <c r="BR12" s="651">
        <v>0.09</v>
      </c>
      <c r="BS12" s="651">
        <v>0.09</v>
      </c>
      <c r="BT12" s="651">
        <v>0.09</v>
      </c>
      <c r="BU12" s="649">
        <f>BU11/BU$17</f>
        <v>8.9999999999999983E-2</v>
      </c>
      <c r="BV12" s="657"/>
      <c r="BW12" s="650">
        <v>0.08</v>
      </c>
      <c r="BX12" s="1102">
        <v>8.993207806723412E-2</v>
      </c>
      <c r="BY12" s="1102">
        <v>0.09</v>
      </c>
      <c r="BZ12" s="651">
        <v>0.1</v>
      </c>
      <c r="CA12" s="649">
        <f>CA11/CA$17</f>
        <v>9.0492264963381586E-2</v>
      </c>
      <c r="CB12" s="657"/>
      <c r="CC12" s="650">
        <v>9.2999999999999999E-2</v>
      </c>
      <c r="CD12" s="1102">
        <v>9.5000000000000001E-2</v>
      </c>
      <c r="CE12" s="1102">
        <v>9.9000000000000005E-2</v>
      </c>
      <c r="CF12" s="1102">
        <v>0.1</v>
      </c>
      <c r="CG12" s="649">
        <f>CG11/CG$17</f>
        <v>9.6991336632791442E-2</v>
      </c>
      <c r="CH12" s="657"/>
      <c r="CI12" s="652">
        <f>CI11/CI$17</f>
        <v>9.1330380169562589E-2</v>
      </c>
      <c r="CJ12" s="653">
        <f>CJ11/CJ$17</f>
        <v>9.750676059271024E-2</v>
      </c>
      <c r="CK12" s="653">
        <f>CK11/CK$17</f>
        <v>9.8026941525175951E-2</v>
      </c>
      <c r="CL12" s="653">
        <f>CL11/CL$17</f>
        <v>0.1044645649260257</v>
      </c>
      <c r="CM12" s="649">
        <f>CM11/CM$17</f>
        <v>9.8200085646309263E-2</v>
      </c>
      <c r="CN12" s="657"/>
      <c r="CO12" s="652">
        <f>CO11/CO$17</f>
        <v>8.9663431603133323E-2</v>
      </c>
      <c r="CP12" s="653">
        <f>CP11/CP$17</f>
        <v>9.8817070839311474E-2</v>
      </c>
      <c r="CQ12" s="653">
        <f>CQ11/CQ$17</f>
        <v>0.1008272255686693</v>
      </c>
      <c r="CR12" s="653">
        <f>CR11/CR$17</f>
        <v>0.10460277380451076</v>
      </c>
      <c r="CS12" s="649">
        <f>CS11/CS$17</f>
        <v>9.8867896388292617E-2</v>
      </c>
      <c r="CT12" s="657"/>
      <c r="CU12" s="652">
        <f>CU11/CU$17</f>
        <v>8.5844089161648332E-2</v>
      </c>
      <c r="CV12" s="653">
        <f>CV11/CV$17</f>
        <v>9.5164645654989666E-2</v>
      </c>
      <c r="CW12" s="653">
        <f>CW11/CW$17</f>
        <v>9.7315365435501178E-2</v>
      </c>
      <c r="CX12" s="653">
        <f>CX11/CX$17</f>
        <v>0.10104823206379515</v>
      </c>
      <c r="CY12" s="649">
        <f>CY11/CY$17</f>
        <v>9.5221984030575899E-2</v>
      </c>
    </row>
    <row r="13" spans="1:105" s="35" customFormat="1" ht="11.25" customHeight="1" x14ac:dyDescent="0.2">
      <c r="A13" s="189" t="s">
        <v>404</v>
      </c>
      <c r="B13" s="189"/>
      <c r="C13" s="643"/>
      <c r="D13" s="643"/>
      <c r="E13" s="643"/>
      <c r="F13" s="643"/>
      <c r="G13" s="673"/>
      <c r="H13" s="644"/>
      <c r="I13" s="668"/>
      <c r="J13" s="643"/>
      <c r="K13" s="643"/>
      <c r="L13" s="643"/>
      <c r="M13" s="673"/>
      <c r="N13" s="644"/>
      <c r="O13" s="668"/>
      <c r="P13" s="643"/>
      <c r="Q13" s="643"/>
      <c r="R13" s="643"/>
      <c r="S13" s="673"/>
      <c r="T13" s="643"/>
      <c r="U13" s="668"/>
      <c r="V13" s="643"/>
      <c r="W13" s="643"/>
      <c r="X13" s="643"/>
      <c r="Y13" s="673"/>
      <c r="Z13" s="644"/>
      <c r="AA13" s="656">
        <f>+'P&amp;L'!AA$9*RevBuild!AA14</f>
        <v>34.905505617977525</v>
      </c>
      <c r="AB13" s="654">
        <f>+'P&amp;L'!AB$9*RevBuild!AB14</f>
        <v>41.292632209737832</v>
      </c>
      <c r="AC13" s="654">
        <f>+'P&amp;L'!AC$9*RevBuild!AC14</f>
        <v>46.160000000000004</v>
      </c>
      <c r="AD13" s="654">
        <f>+'P&amp;L'!AD$9*RevBuild!AD14</f>
        <v>47.436200000000014</v>
      </c>
      <c r="AE13" s="655">
        <f>+SUM(AA13:AD13)</f>
        <v>169.79433782771537</v>
      </c>
      <c r="AF13" s="644"/>
      <c r="AG13" s="656">
        <f>+'P&amp;L'!AG$9*RevBuild!AG14</f>
        <v>44.186599999999999</v>
      </c>
      <c r="AH13" s="654">
        <f>+'P&amp;L'!AH$9*RevBuild!AH14</f>
        <v>49.632239999999996</v>
      </c>
      <c r="AI13" s="654">
        <f>+'P&amp;L'!AI$9*RevBuild!AI14</f>
        <v>54.528389999999995</v>
      </c>
      <c r="AJ13" s="654">
        <f>+'P&amp;L'!AJ$9*RevBuild!AJ14</f>
        <v>60.706170000000022</v>
      </c>
      <c r="AK13" s="655">
        <f>+SUM(AG13:AJ13)</f>
        <v>209.05340000000001</v>
      </c>
      <c r="AL13" s="644"/>
      <c r="AM13" s="656">
        <f>+'P&amp;L'!AM$9*RevBuild!AM14</f>
        <v>55.516439999999996</v>
      </c>
      <c r="AN13" s="654">
        <f>+'P&amp;L'!AN$9*RevBuild!AN14</f>
        <v>57.797960000000003</v>
      </c>
      <c r="AO13" s="654">
        <f>+'P&amp;L'!AO$9*RevBuild!AO14</f>
        <v>54.863400000000006</v>
      </c>
      <c r="AP13" s="654">
        <f>+'P&amp;L'!AP$9*RevBuild!AP14</f>
        <v>60.066720000000004</v>
      </c>
      <c r="AQ13" s="655">
        <f>+SUM(AM13:AP13)</f>
        <v>228.24452000000002</v>
      </c>
      <c r="AR13" s="644"/>
      <c r="AS13" s="656">
        <f>+'P&amp;L'!AS$9*RevBuild!AS14</f>
        <v>55.495649999999998</v>
      </c>
      <c r="AT13" s="654">
        <f>+'P&amp;L'!AT$9*RevBuild!AT14</f>
        <v>59.257170000000002</v>
      </c>
      <c r="AU13" s="654">
        <f>+'P&amp;L'!AU$9*RevBuild!AU14</f>
        <v>60.665849999999999</v>
      </c>
      <c r="AV13" s="654">
        <f>+'P&amp;L'!AV$9*RevBuild!AV14</f>
        <v>63.539800000000014</v>
      </c>
      <c r="AW13" s="655">
        <f>+SUM(AS13:AV13)</f>
        <v>238.95847000000001</v>
      </c>
      <c r="AX13" s="644"/>
      <c r="AY13" s="656">
        <f>+'P&amp;L'!$AY$9*RevBuild!AY14</f>
        <v>59.284400000000005</v>
      </c>
      <c r="AZ13" s="654">
        <f>+'P&amp;L'!AZ$9*RevBuild!AZ14</f>
        <v>61.442600000000006</v>
      </c>
      <c r="BA13" s="654">
        <f>+'P&amp;L'!BA$9*RevBuild!BA14</f>
        <v>57.814909999999998</v>
      </c>
      <c r="BB13" s="654">
        <f>+'P&amp;L'!BB$9*RevBuild!BB14</f>
        <v>62.375759999999985</v>
      </c>
      <c r="BC13" s="655">
        <f>+SUM(AY13:BB13)</f>
        <v>240.91766999999999</v>
      </c>
      <c r="BD13" s="644"/>
      <c r="BE13" s="656">
        <f>+'P&amp;L'!BE$9*RevBuild!BE14</f>
        <v>54.643680000000003</v>
      </c>
      <c r="BF13" s="654">
        <f>+'P&amp;L'!BF$9*RevBuild!BF14</f>
        <v>63.282399999999996</v>
      </c>
      <c r="BG13" s="654">
        <f>+'P&amp;L'!BG$9*RevBuild!BG14</f>
        <v>61.524089999999994</v>
      </c>
      <c r="BH13" s="654">
        <f>+'P&amp;L'!BH$9*RevBuild!BH14</f>
        <v>65.265299999999996</v>
      </c>
      <c r="BI13" s="655">
        <f>+SUM(BE13:BH13)</f>
        <v>244.71546999999998</v>
      </c>
      <c r="BJ13" s="644"/>
      <c r="BK13" s="656">
        <f>+'P&amp;L'!BK$9*RevBuild!BK14</f>
        <v>60.300869999999996</v>
      </c>
      <c r="BL13" s="654">
        <f>+'P&amp;L'!BL$9*RevBuild!BL14</f>
        <v>62.935029999999998</v>
      </c>
      <c r="BM13" s="654">
        <f>+'P&amp;L'!BM$9*RevBuild!BM14</f>
        <v>63.983830000000005</v>
      </c>
      <c r="BN13" s="654">
        <f>+'P&amp;L'!BN$9*RevBuild!BN14</f>
        <v>64.945799999999991</v>
      </c>
      <c r="BO13" s="655">
        <f>+SUM(BK13:BN13)</f>
        <v>252.16552999999999</v>
      </c>
      <c r="BP13" s="644"/>
      <c r="BQ13" s="656">
        <f>+'P&amp;L'!BQ$9*RevBuild!BQ14</f>
        <v>59.745800000000003</v>
      </c>
      <c r="BR13" s="654">
        <f>+'P&amp;L'!BR$9*RevBuild!BR14</f>
        <v>63.891200000000005</v>
      </c>
      <c r="BS13" s="654">
        <f>+'P&amp;L'!BS$9*RevBuild!BS14</f>
        <v>62.912199999999999</v>
      </c>
      <c r="BT13" s="654">
        <f>+'P&amp;L'!BT$9*RevBuild!BT14</f>
        <v>66.215000000000003</v>
      </c>
      <c r="BU13" s="655">
        <f>BU45</f>
        <v>252.76419999999999</v>
      </c>
      <c r="BV13" s="644"/>
      <c r="BW13" s="656">
        <f>+'P&amp;L'!BW$9*RevBuild!BW14</f>
        <v>62.659590000000001</v>
      </c>
      <c r="BX13" s="654">
        <f>+'P&amp;L'!BX$9*RevBuild!BX14</f>
        <v>68.429245980569164</v>
      </c>
      <c r="BY13" s="654">
        <f>+'P&amp;L'!BY$9*RevBuild!BY14</f>
        <v>67.737000000000009</v>
      </c>
      <c r="BZ13" s="654">
        <f>+'P&amp;L'!BZ$9*RevBuild!BZ14</f>
        <v>65.972699999999989</v>
      </c>
      <c r="CA13" s="655">
        <f>CA45</f>
        <v>264.79853598056917</v>
      </c>
      <c r="CB13" s="644"/>
      <c r="CC13" s="656">
        <f>+'P&amp;L'!CC$9*RevBuild!CC14</f>
        <v>63.511036000000004</v>
      </c>
      <c r="CD13" s="654">
        <f>+'P&amp;L'!CD$9*RevBuild!CD14</f>
        <v>70.270806000000007</v>
      </c>
      <c r="CE13" s="654">
        <f>+'P&amp;L'!CE$9*RevBuild!CE14</f>
        <v>68.871600000000001</v>
      </c>
      <c r="CF13" s="654">
        <f>+'P&amp;L'!CF$9*RevBuild!CF14</f>
        <v>72.274565999999993</v>
      </c>
      <c r="CG13" s="655">
        <f>CG45</f>
        <v>274.92800799999998</v>
      </c>
      <c r="CH13" s="644"/>
      <c r="CI13" s="656">
        <f>CI45</f>
        <v>69.862139600000006</v>
      </c>
      <c r="CJ13" s="654">
        <f>CJ45</f>
        <v>77.649240630000008</v>
      </c>
      <c r="CK13" s="654">
        <f>CK45</f>
        <v>77.480549999999994</v>
      </c>
      <c r="CL13" s="654">
        <f>CL45</f>
        <v>79.502022600000004</v>
      </c>
      <c r="CM13" s="655">
        <f>CM45</f>
        <v>304.49395283000001</v>
      </c>
      <c r="CN13" s="644"/>
      <c r="CO13" s="656">
        <f>CO45</f>
        <v>74.053867976000006</v>
      </c>
      <c r="CP13" s="654">
        <f>CP45</f>
        <v>82.308195067800014</v>
      </c>
      <c r="CQ13" s="654">
        <f>CQ45</f>
        <v>82.129383000000004</v>
      </c>
      <c r="CR13" s="654">
        <f>CR45</f>
        <v>84.272143956000008</v>
      </c>
      <c r="CS13" s="655">
        <f>CS45</f>
        <v>322.76358999980005</v>
      </c>
      <c r="CT13" s="644"/>
      <c r="CU13" s="656">
        <f>CU45</f>
        <v>78.497100054560008</v>
      </c>
      <c r="CV13" s="654">
        <f>CV45</f>
        <v>87.246686771868013</v>
      </c>
      <c r="CW13" s="654">
        <f>CW45</f>
        <v>87.057145980000016</v>
      </c>
      <c r="CX13" s="654">
        <f>CX45</f>
        <v>89.328472593360019</v>
      </c>
      <c r="CY13" s="655">
        <f>CY45</f>
        <v>342.12940539978803</v>
      </c>
    </row>
    <row r="14" spans="1:105" s="206" customFormat="1" ht="11.25" customHeight="1" x14ac:dyDescent="0.2">
      <c r="A14" s="678" t="s">
        <v>315</v>
      </c>
      <c r="B14" s="988"/>
      <c r="C14" s="159"/>
      <c r="D14" s="159"/>
      <c r="E14" s="159"/>
      <c r="F14" s="159"/>
      <c r="G14" s="672"/>
      <c r="H14" s="657"/>
      <c r="I14" s="667"/>
      <c r="J14" s="159"/>
      <c r="K14" s="159"/>
      <c r="L14" s="159"/>
      <c r="M14" s="672"/>
      <c r="N14" s="657"/>
      <c r="O14" s="667"/>
      <c r="P14" s="159"/>
      <c r="Q14" s="159"/>
      <c r="R14" s="159"/>
      <c r="S14" s="672"/>
      <c r="T14" s="159"/>
      <c r="U14" s="667"/>
      <c r="V14" s="159"/>
      <c r="W14" s="159"/>
      <c r="X14" s="159"/>
      <c r="Y14" s="672"/>
      <c r="Z14" s="657"/>
      <c r="AA14" s="650">
        <f>150/(430+70+150+240)</f>
        <v>0.16853932584269662</v>
      </c>
      <c r="AB14" s="651">
        <f>AVERAGE(AA14,AC14:AD14)</f>
        <v>0.18951310861423223</v>
      </c>
      <c r="AC14" s="651">
        <v>0.2</v>
      </c>
      <c r="AD14" s="651">
        <v>0.2</v>
      </c>
      <c r="AE14" s="649">
        <f>AE13/'P&amp;L'!AE$9</f>
        <v>0.19014455928521556</v>
      </c>
      <c r="AF14" s="657"/>
      <c r="AG14" s="650">
        <v>0.2</v>
      </c>
      <c r="AH14" s="651">
        <f>AVERAGE(AG14,AI14:AJ14)</f>
        <v>0.20666666666666667</v>
      </c>
      <c r="AI14" s="651">
        <v>0.21</v>
      </c>
      <c r="AJ14" s="651">
        <v>0.21</v>
      </c>
      <c r="AK14" s="649">
        <f>AK13/AK$17</f>
        <v>0.20701943406035697</v>
      </c>
      <c r="AL14" s="657"/>
      <c r="AM14" s="650">
        <v>0.21</v>
      </c>
      <c r="AN14" s="651">
        <v>0.22</v>
      </c>
      <c r="AO14" s="651">
        <v>0.2</v>
      </c>
      <c r="AP14" s="651">
        <v>0.21</v>
      </c>
      <c r="AQ14" s="649">
        <f>AQ13/AQ$17</f>
        <v>0.20989333576107358</v>
      </c>
      <c r="AR14" s="657"/>
      <c r="AS14" s="650">
        <v>0.21</v>
      </c>
      <c r="AT14" s="651">
        <v>0.21</v>
      </c>
      <c r="AU14" s="651">
        <v>0.21</v>
      </c>
      <c r="AV14" s="651">
        <v>0.19</v>
      </c>
      <c r="AW14" s="649">
        <f>AW13/AW$17</f>
        <v>0.20428218238644766</v>
      </c>
      <c r="AX14" s="657"/>
      <c r="AY14" s="650">
        <v>0.2</v>
      </c>
      <c r="AZ14" s="651">
        <v>0.2</v>
      </c>
      <c r="BA14" s="651">
        <v>0.19</v>
      </c>
      <c r="BB14" s="651">
        <v>0.18</v>
      </c>
      <c r="BC14" s="649">
        <f>BC13/BC$17</f>
        <v>0.19204951787866609</v>
      </c>
      <c r="BD14" s="657"/>
      <c r="BE14" s="650">
        <v>0.18</v>
      </c>
      <c r="BF14" s="651">
        <v>0.2</v>
      </c>
      <c r="BG14" s="651">
        <v>0.19</v>
      </c>
      <c r="BH14" s="651">
        <v>0.18</v>
      </c>
      <c r="BI14" s="649">
        <f>BI13/BI$17</f>
        <v>0.18732277033399061</v>
      </c>
      <c r="BJ14" s="657"/>
      <c r="BK14" s="650">
        <v>0.19</v>
      </c>
      <c r="BL14" s="651">
        <v>0.19</v>
      </c>
      <c r="BM14" s="651">
        <v>0.19</v>
      </c>
      <c r="BN14" s="651">
        <v>0.18</v>
      </c>
      <c r="BO14" s="649">
        <f>BO13/BO$17</f>
        <v>0.18731974324327333</v>
      </c>
      <c r="BP14" s="657"/>
      <c r="BQ14" s="650">
        <v>0.2</v>
      </c>
      <c r="BR14" s="651">
        <v>0.2</v>
      </c>
      <c r="BS14" s="651">
        <v>0.2</v>
      </c>
      <c r="BT14" s="651">
        <v>0.19</v>
      </c>
      <c r="BU14" s="649">
        <f>BU13/BU$17</f>
        <v>0.19727999150826614</v>
      </c>
      <c r="BV14" s="657"/>
      <c r="BW14" s="650">
        <v>0.21</v>
      </c>
      <c r="BX14" s="1102">
        <v>0.2046255695984868</v>
      </c>
      <c r="BY14" s="1102">
        <v>0.2</v>
      </c>
      <c r="BZ14" s="651">
        <v>0.18</v>
      </c>
      <c r="CA14" s="649">
        <f>CA13/CA$17</f>
        <v>0.19790756139657828</v>
      </c>
      <c r="CB14" s="657"/>
      <c r="CC14" s="650">
        <v>0.20599999999999999</v>
      </c>
      <c r="CD14" s="1102">
        <v>0.20100000000000001</v>
      </c>
      <c r="CE14" s="1102">
        <v>0.189</v>
      </c>
      <c r="CF14" s="1102">
        <v>0.182</v>
      </c>
      <c r="CG14" s="649">
        <f>CG13/CG$17</f>
        <v>0.19368970392940799</v>
      </c>
      <c r="CH14" s="657"/>
      <c r="CI14" s="652">
        <f>CI13/CI$17</f>
        <v>0.20415768123135922</v>
      </c>
      <c r="CJ14" s="653">
        <f>CJ13/CJ$17</f>
        <v>0.19909665880435679</v>
      </c>
      <c r="CK14" s="653">
        <f>CK13/CK$17</f>
        <v>0.19226953038873237</v>
      </c>
      <c r="CL14" s="653">
        <f>CL13/CL$17</f>
        <v>0.18507792830256944</v>
      </c>
      <c r="CM14" s="649">
        <f>CM13/CM$17</f>
        <v>0.1945967489875991</v>
      </c>
      <c r="CN14" s="657"/>
      <c r="CO14" s="652">
        <f>CO13/CO$17</f>
        <v>0.19491496423173357</v>
      </c>
      <c r="CP14" s="653">
        <f>CP13/CP$17</f>
        <v>0.19621878720185545</v>
      </c>
      <c r="CQ14" s="653">
        <f>CQ13/CQ$17</f>
        <v>0.19231900223575968</v>
      </c>
      <c r="CR14" s="653">
        <f>CR13/CR$17</f>
        <v>0.18022216314526945</v>
      </c>
      <c r="CS14" s="649">
        <f>CS13/CS$17</f>
        <v>0.19052780977563813</v>
      </c>
      <c r="CT14" s="657"/>
      <c r="CU14" s="652">
        <f>CU13/CU$17</f>
        <v>0.1866122818331182</v>
      </c>
      <c r="CV14" s="653">
        <f>CV13/CV$17</f>
        <v>0.18896625042935244</v>
      </c>
      <c r="CW14" s="653">
        <f>CW13/CW$17</f>
        <v>0.18562044008656667</v>
      </c>
      <c r="CX14" s="653">
        <f>CX13/CX$17</f>
        <v>0.17409797371699356</v>
      </c>
      <c r="CY14" s="649">
        <f>CY13/CY$17</f>
        <v>0.18350179100184374</v>
      </c>
      <c r="DA14" s="1473"/>
    </row>
    <row r="15" spans="1:105" s="35" customFormat="1" ht="11.25" customHeight="1" x14ac:dyDescent="0.2">
      <c r="A15" s="189" t="s">
        <v>235</v>
      </c>
      <c r="B15" s="189"/>
      <c r="C15" s="643"/>
      <c r="D15" s="643"/>
      <c r="E15" s="643"/>
      <c r="F15" s="643"/>
      <c r="G15" s="673"/>
      <c r="H15" s="644"/>
      <c r="I15" s="668"/>
      <c r="J15" s="643"/>
      <c r="K15" s="643"/>
      <c r="L15" s="643"/>
      <c r="M15" s="673"/>
      <c r="N15" s="644"/>
      <c r="O15" s="668"/>
      <c r="P15" s="643"/>
      <c r="Q15" s="643"/>
      <c r="R15" s="643"/>
      <c r="S15" s="673"/>
      <c r="T15" s="643"/>
      <c r="U15" s="668"/>
      <c r="V15" s="643"/>
      <c r="W15" s="643"/>
      <c r="X15" s="643"/>
      <c r="Y15" s="673"/>
      <c r="Z15" s="644"/>
      <c r="AA15" s="656">
        <f>+'P&amp;L'!AA$9*RevBuild!AA16</f>
        <v>55.848808988764034</v>
      </c>
      <c r="AB15" s="654">
        <f>+'P&amp;L'!AB$9*RevBuild!AB16</f>
        <v>58.756314606741576</v>
      </c>
      <c r="AC15" s="654">
        <f>+'P&amp;L'!AC$9*RevBuild!AC16</f>
        <v>64.624000000000009</v>
      </c>
      <c r="AD15" s="654">
        <f>+'P&amp;L'!AD$9*RevBuild!AD16</f>
        <v>64.77617423220974</v>
      </c>
      <c r="AE15" s="655">
        <f>+SUM(AA15:AD15)</f>
        <v>244.00529782771534</v>
      </c>
      <c r="AF15" s="644"/>
      <c r="AG15" s="656">
        <f>+'P&amp;L'!AG$9*RevBuild!AG16</f>
        <v>59.651910000000001</v>
      </c>
      <c r="AH15" s="654">
        <f>+'P&amp;L'!AH$9*RevBuild!AH16</f>
        <v>60.83952</v>
      </c>
      <c r="AI15" s="654">
        <f>+'P&amp;L'!AI$9*RevBuild!AI16</f>
        <v>59.72157</v>
      </c>
      <c r="AJ15" s="654">
        <f>+'P&amp;L'!AJ$9*RevBuild!AJ16</f>
        <v>75.160020000000031</v>
      </c>
      <c r="AK15" s="655">
        <f>+SUM(AG15:AJ15)</f>
        <v>255.37302000000005</v>
      </c>
      <c r="AL15" s="644"/>
      <c r="AM15" s="656">
        <f>+'P&amp;L'!AM$9*RevBuild!AM16</f>
        <v>71.378280000000004</v>
      </c>
      <c r="AN15" s="654">
        <f>+'P&amp;L'!AN$9*RevBuild!AN16</f>
        <v>63.052320000000002</v>
      </c>
      <c r="AO15" s="654">
        <f>+'P&amp;L'!AO$9*RevBuild!AO16</f>
        <v>63.092910000000003</v>
      </c>
      <c r="AP15" s="654">
        <f>+'P&amp;L'!AP$9*RevBuild!AP16</f>
        <v>71.50800000000001</v>
      </c>
      <c r="AQ15" s="655">
        <f>+SUM(AM15:AP15)</f>
        <v>269.03151000000003</v>
      </c>
      <c r="AR15" s="644"/>
      <c r="AS15" s="656">
        <f>+'P&amp;L'!AS$9*RevBuild!AS16</f>
        <v>76.636849999999995</v>
      </c>
      <c r="AT15" s="654">
        <f>+'P&amp;L'!AT$9*RevBuild!AT16</f>
        <v>73.366020000000006</v>
      </c>
      <c r="AU15" s="654">
        <f>+'P&amp;L'!AU$9*RevBuild!AU16</f>
        <v>75.110100000000003</v>
      </c>
      <c r="AV15" s="654">
        <f>+'P&amp;L'!AV$9*RevBuild!AV16</f>
        <v>80.260800000000017</v>
      </c>
      <c r="AW15" s="655">
        <f>+SUM(AS15:AV15)</f>
        <v>305.37377000000004</v>
      </c>
      <c r="AX15" s="644"/>
      <c r="AY15" s="656">
        <f>+'P&amp;L'!$AY$9*RevBuild!AY16</f>
        <v>77.069720000000004</v>
      </c>
      <c r="AZ15" s="654">
        <f>+'P&amp;L'!AZ$9*RevBuild!AZ16</f>
        <v>73.731120000000004</v>
      </c>
      <c r="BA15" s="654">
        <f>+'P&amp;L'!BA$9*RevBuild!BA16</f>
        <v>73.029359999999997</v>
      </c>
      <c r="BB15" s="654">
        <f>+'P&amp;L'!BB$9*RevBuild!BB16</f>
        <v>79.702359999999985</v>
      </c>
      <c r="BC15" s="655">
        <f>+SUM(AY15:BB15)</f>
        <v>303.53255999999999</v>
      </c>
      <c r="BD15" s="644"/>
      <c r="BE15" s="656">
        <f>+'P&amp;L'!BE$9*RevBuild!BE16</f>
        <v>72.858240000000009</v>
      </c>
      <c r="BF15" s="654">
        <f>+'P&amp;L'!BF$9*RevBuild!BF16</f>
        <v>72.774760000000001</v>
      </c>
      <c r="BG15" s="654">
        <f>+'P&amp;L'!BG$9*RevBuild!BG16</f>
        <v>71.238419999999991</v>
      </c>
      <c r="BH15" s="654">
        <f>+'P&amp;L'!BH$9*RevBuild!BH16</f>
        <v>83.394549999999995</v>
      </c>
      <c r="BI15" s="655">
        <f>+SUM(BE15:BH15)</f>
        <v>300.26596999999998</v>
      </c>
      <c r="BJ15" s="644"/>
      <c r="BK15" s="656">
        <f>+'P&amp;L'!BK$9*RevBuild!BK16</f>
        <v>76.169519999999991</v>
      </c>
      <c r="BL15" s="654">
        <f>+'P&amp;L'!BL$9*RevBuild!BL16</f>
        <v>72.872139999999987</v>
      </c>
      <c r="BM15" s="654">
        <f>+'P&amp;L'!BM$9*RevBuild!BM16</f>
        <v>70.718969999999999</v>
      </c>
      <c r="BN15" s="654">
        <f>+'P&amp;L'!BN$9*RevBuild!BN16</f>
        <v>79.378200000000007</v>
      </c>
      <c r="BO15" s="655">
        <f>+SUM(BK15:BN15)</f>
        <v>299.13882999999998</v>
      </c>
      <c r="BP15" s="644"/>
      <c r="BQ15" s="656">
        <f>+'P&amp;L'!BQ$9*RevBuild!BQ16</f>
        <v>68.707669999999993</v>
      </c>
      <c r="BR15" s="654">
        <f>+'P&amp;L'!BR$9*RevBuild!BR16</f>
        <v>67.085760000000008</v>
      </c>
      <c r="BS15" s="654">
        <f>+'P&amp;L'!BS$9*RevBuild!BS16</f>
        <v>69.203419999999994</v>
      </c>
      <c r="BT15" s="654">
        <f>+'P&amp;L'!BT$9*RevBuild!BT16</f>
        <v>80.155000000000001</v>
      </c>
      <c r="BU15" s="655">
        <f>SUM(BQ15:BT15)</f>
        <v>285.15184999999997</v>
      </c>
      <c r="BV15" s="644"/>
      <c r="BW15" s="656">
        <f>+'P&amp;L'!BW$9*RevBuild!BW16</f>
        <v>68.627170000000007</v>
      </c>
      <c r="BX15" s="654">
        <f>+'P&amp;L'!BX$9*RevBuild!BX16</f>
        <v>70.106433382053694</v>
      </c>
      <c r="BY15" s="654">
        <f>+'P&amp;L'!BY$9*RevBuild!BY16</f>
        <v>71.123850000000004</v>
      </c>
      <c r="BZ15" s="654">
        <f>+'P&amp;L'!BZ$9*RevBuild!BZ16</f>
        <v>80.633299999999991</v>
      </c>
      <c r="CA15" s="655">
        <f>SUM(BW15:BZ15)</f>
        <v>290.4907533820537</v>
      </c>
      <c r="CB15" s="644"/>
      <c r="CC15" s="656">
        <f>+'P&amp;L'!CC$9*RevBuild!CC16</f>
        <v>73.993440000000021</v>
      </c>
      <c r="CD15" s="654">
        <f>+'P&amp;L'!CD$9*RevBuild!CD16</f>
        <v>78.31174399999999</v>
      </c>
      <c r="CE15" s="654">
        <f>+'P&amp;L'!CE$9*RevBuild!CE16</f>
        <v>79.803599999999989</v>
      </c>
      <c r="CF15" s="654">
        <f>+'P&amp;L'!CF$9*RevBuild!CF16</f>
        <v>92.130216000000033</v>
      </c>
      <c r="CG15" s="655">
        <f>SUM(CC15:CF15)</f>
        <v>324.23900000000003</v>
      </c>
      <c r="CH15" s="644"/>
      <c r="CI15" s="656">
        <f>CI51</f>
        <v>79.172980800000033</v>
      </c>
      <c r="CJ15" s="654">
        <f>CJ51</f>
        <v>82.618889919999987</v>
      </c>
      <c r="CK15" s="654">
        <f>CK51</f>
        <v>83.394761999999986</v>
      </c>
      <c r="CL15" s="654">
        <f>CL51</f>
        <v>92.130216000000033</v>
      </c>
      <c r="CM15" s="655">
        <f>SUM(CI15:CL15)</f>
        <v>337.31684872000005</v>
      </c>
      <c r="CN15" s="644"/>
      <c r="CO15" s="656">
        <f>CO51</f>
        <v>81.548170224000032</v>
      </c>
      <c r="CP15" s="654">
        <f>CP51</f>
        <v>85.097456617599988</v>
      </c>
      <c r="CQ15" s="654">
        <f>CQ51</f>
        <v>85.896604859999982</v>
      </c>
      <c r="CR15" s="654">
        <f>CR51</f>
        <v>94.894122480000036</v>
      </c>
      <c r="CS15" s="655">
        <f>SUM(CO15:CR15)</f>
        <v>347.4363541816</v>
      </c>
      <c r="CT15" s="644"/>
      <c r="CU15" s="656">
        <f>CU51</f>
        <v>84.81009703296003</v>
      </c>
      <c r="CV15" s="654">
        <f>CV51</f>
        <v>88.501354882303986</v>
      </c>
      <c r="CW15" s="654">
        <f>CW51</f>
        <v>89.332469054399979</v>
      </c>
      <c r="CX15" s="654">
        <f>CX51</f>
        <v>98.689887379200044</v>
      </c>
      <c r="CY15" s="655">
        <f>SUM(CU15:CX15)</f>
        <v>361.33380834886407</v>
      </c>
      <c r="DA15" s="1460"/>
    </row>
    <row r="16" spans="1:105" s="206" customFormat="1" ht="11.25" customHeight="1" x14ac:dyDescent="0.2">
      <c r="A16" s="678" t="s">
        <v>315</v>
      </c>
      <c r="B16" s="988"/>
      <c r="C16" s="159"/>
      <c r="D16" s="159"/>
      <c r="E16" s="159"/>
      <c r="F16" s="159"/>
      <c r="G16" s="672"/>
      <c r="H16" s="657"/>
      <c r="I16" s="667"/>
      <c r="J16" s="159"/>
      <c r="K16" s="159"/>
      <c r="L16" s="159"/>
      <c r="M16" s="672"/>
      <c r="N16" s="657"/>
      <c r="O16" s="667"/>
      <c r="P16" s="159"/>
      <c r="Q16" s="159"/>
      <c r="R16" s="159"/>
      <c r="S16" s="672"/>
      <c r="T16" s="159"/>
      <c r="U16" s="667"/>
      <c r="V16" s="159"/>
      <c r="W16" s="159"/>
      <c r="X16" s="159"/>
      <c r="Y16" s="672"/>
      <c r="Z16" s="657"/>
      <c r="AA16" s="650">
        <f>240/(430+70+150+240)</f>
        <v>0.2696629213483146</v>
      </c>
      <c r="AB16" s="651">
        <f>AA16</f>
        <v>0.2696629213483146</v>
      </c>
      <c r="AC16" s="651">
        <v>0.28000000000000003</v>
      </c>
      <c r="AD16" s="651">
        <f>AVERAGE(AA16:AC16)</f>
        <v>0.27310861423220972</v>
      </c>
      <c r="AE16" s="649">
        <f>AE15/'P&amp;L'!AE$9</f>
        <v>0.27324986458491596</v>
      </c>
      <c r="AF16" s="657"/>
      <c r="AG16" s="650">
        <v>0.27</v>
      </c>
      <c r="AH16" s="651">
        <f>AVERAGE(AG16,AI16:AJ16)</f>
        <v>0.25333333333333335</v>
      </c>
      <c r="AI16" s="651">
        <v>0.23</v>
      </c>
      <c r="AJ16" s="651">
        <v>0.26</v>
      </c>
      <c r="AK16" s="649">
        <f>AK15/AK$17</f>
        <v>0.25288839155299186</v>
      </c>
      <c r="AL16" s="657"/>
      <c r="AM16" s="650">
        <v>0.27</v>
      </c>
      <c r="AN16" s="651">
        <v>0.24</v>
      </c>
      <c r="AO16" s="651">
        <v>0.23</v>
      </c>
      <c r="AP16" s="651">
        <v>0.25</v>
      </c>
      <c r="AQ16" s="649">
        <f>AQ15/AQ$17</f>
        <v>0.24740099371822213</v>
      </c>
      <c r="AR16" s="657"/>
      <c r="AS16" s="650">
        <v>0.28999999999999998</v>
      </c>
      <c r="AT16" s="651">
        <v>0.26</v>
      </c>
      <c r="AU16" s="651">
        <v>0.26</v>
      </c>
      <c r="AV16" s="651">
        <v>0.24</v>
      </c>
      <c r="AW16" s="649">
        <f>AW15/AW$17</f>
        <v>0.26105967358753646</v>
      </c>
      <c r="AX16" s="657"/>
      <c r="AY16" s="650">
        <v>0.26</v>
      </c>
      <c r="AZ16" s="651">
        <v>0.24</v>
      </c>
      <c r="BA16" s="651">
        <v>0.24</v>
      </c>
      <c r="BB16" s="651">
        <v>0.23</v>
      </c>
      <c r="BC16" s="649">
        <f>BC15/BC$17</f>
        <v>0.24196349652757845</v>
      </c>
      <c r="BD16" s="657"/>
      <c r="BE16" s="650">
        <v>0.24</v>
      </c>
      <c r="BF16" s="651">
        <v>0.23</v>
      </c>
      <c r="BG16" s="651">
        <v>0.22</v>
      </c>
      <c r="BH16" s="651">
        <v>0.23</v>
      </c>
      <c r="BI16" s="649">
        <f>BI15/BI$17</f>
        <v>0.22984510679861356</v>
      </c>
      <c r="BJ16" s="657"/>
      <c r="BK16" s="650">
        <v>0.24</v>
      </c>
      <c r="BL16" s="651">
        <v>0.22</v>
      </c>
      <c r="BM16" s="651">
        <v>0.21</v>
      </c>
      <c r="BN16" s="651">
        <v>0.22</v>
      </c>
      <c r="BO16" s="649">
        <f>BO15/BO$17</f>
        <v>0.22221359449760317</v>
      </c>
      <c r="BP16" s="657"/>
      <c r="BQ16" s="650">
        <v>0.23</v>
      </c>
      <c r="BR16" s="651">
        <v>0.21</v>
      </c>
      <c r="BS16" s="651">
        <v>0.22</v>
      </c>
      <c r="BT16" s="651">
        <v>0.23</v>
      </c>
      <c r="BU16" s="649">
        <f>BU15/BU$17</f>
        <v>0.22255823627937177</v>
      </c>
      <c r="BV16" s="657"/>
      <c r="BW16" s="650">
        <v>0.23</v>
      </c>
      <c r="BX16" s="1102">
        <v>0.20964090218668499</v>
      </c>
      <c r="BY16" s="1102">
        <v>0.21</v>
      </c>
      <c r="BZ16" s="651">
        <v>0.22</v>
      </c>
      <c r="CA16" s="649">
        <f>CA15/CA$17</f>
        <v>0.21710964676298547</v>
      </c>
      <c r="CB16" s="657"/>
      <c r="CC16" s="650">
        <f>100%-CC14-CC12-CC10</f>
        <v>0.24000000000000005</v>
      </c>
      <c r="CD16" s="1102">
        <f>100%-CD14-CD12-CD10</f>
        <v>0.22399999999999998</v>
      </c>
      <c r="CE16" s="1102">
        <f>100%-CE14-CE12-CE10</f>
        <v>0.21899999999999997</v>
      </c>
      <c r="CF16" s="1102">
        <f>100%-CF14-CF12-CF10</f>
        <v>0.2320000000000001</v>
      </c>
      <c r="CG16" s="649">
        <f>CG15/CG$17</f>
        <v>0.22842982193493844</v>
      </c>
      <c r="CH16" s="657"/>
      <c r="CI16" s="652">
        <f>CI15/CI$17</f>
        <v>0.23136669258699497</v>
      </c>
      <c r="CJ16" s="653">
        <f>CJ15/CJ$17</f>
        <v>0.2118390959620251</v>
      </c>
      <c r="CK16" s="653">
        <f>CK15/CK$17</f>
        <v>0.20694576544203808</v>
      </c>
      <c r="CL16" s="653">
        <f>CL15/CL$17</f>
        <v>0.21447592091007056</v>
      </c>
      <c r="CM16" s="649">
        <f>CM15/CM$17</f>
        <v>0.21557328652862032</v>
      </c>
      <c r="CN16" s="657"/>
      <c r="CO16" s="652">
        <f>CO15/CO$17</f>
        <v>0.21464049234437907</v>
      </c>
      <c r="CP16" s="653">
        <f>CP15/CP$17</f>
        <v>0.20286825288433927</v>
      </c>
      <c r="CQ16" s="653">
        <f>CQ15/CQ$17</f>
        <v>0.20114055090508229</v>
      </c>
      <c r="CR16" s="653">
        <f>CR15/CR$17</f>
        <v>0.20293804358468701</v>
      </c>
      <c r="CS16" s="649">
        <f>CS15/CS$17</f>
        <v>0.20509217783422887</v>
      </c>
      <c r="CT16" s="657"/>
      <c r="CU16" s="652">
        <f>CU15/CU$17</f>
        <v>0.20162026009634032</v>
      </c>
      <c r="CV16" s="653">
        <f>CV15/CV$17</f>
        <v>0.19168371669809808</v>
      </c>
      <c r="CW16" s="653">
        <f>CW15/CW$17</f>
        <v>0.19047181059331711</v>
      </c>
      <c r="CX16" s="653">
        <f>CX15/CX$17</f>
        <v>0.19234303375242284</v>
      </c>
      <c r="CY16" s="649">
        <f>CY15/CY$17</f>
        <v>0.19380211094119126</v>
      </c>
      <c r="DA16" s="1473"/>
    </row>
    <row r="17" spans="1:106" ht="11.25" customHeight="1" x14ac:dyDescent="0.2">
      <c r="A17" s="675" t="s">
        <v>84</v>
      </c>
      <c r="B17" s="989"/>
      <c r="C17" s="670"/>
      <c r="D17" s="670"/>
      <c r="E17" s="670"/>
      <c r="F17" s="670"/>
      <c r="G17" s="674"/>
      <c r="H17" s="676"/>
      <c r="I17" s="669"/>
      <c r="J17" s="670"/>
      <c r="K17" s="670"/>
      <c r="L17" s="670"/>
      <c r="M17" s="674"/>
      <c r="N17" s="676"/>
      <c r="O17" s="669"/>
      <c r="P17" s="670"/>
      <c r="Q17" s="670"/>
      <c r="R17" s="670"/>
      <c r="S17" s="674"/>
      <c r="T17" s="670"/>
      <c r="U17" s="669"/>
      <c r="V17" s="670"/>
      <c r="W17" s="670"/>
      <c r="X17" s="670"/>
      <c r="Y17" s="674"/>
      <c r="Z17" s="676"/>
      <c r="AA17" s="572">
        <f>AA15+AA13+AA11+AA9</f>
        <v>207.10599999999997</v>
      </c>
      <c r="AB17" s="570">
        <f>AB15+AB13+AB11+AB9</f>
        <v>217.88800000000003</v>
      </c>
      <c r="AC17" s="570">
        <f>AC15+AC13+AC11+AC9</f>
        <v>230.80000000000004</v>
      </c>
      <c r="AD17" s="570">
        <f>AD15+AD13+AD11+AD9</f>
        <v>237.18100000000004</v>
      </c>
      <c r="AE17" s="571">
        <f>AE15+AE13+AE11+AE9</f>
        <v>892.97500000000014</v>
      </c>
      <c r="AF17" s="676"/>
      <c r="AG17" s="572">
        <f>AG15+AG13+AG11+AG9</f>
        <v>220.93299999999999</v>
      </c>
      <c r="AH17" s="570">
        <f>AH15+AH13+AH11+AH9</f>
        <v>240.15599999999995</v>
      </c>
      <c r="AI17" s="570">
        <f>AI15+AI13+AI11+AI9</f>
        <v>259.65899999999999</v>
      </c>
      <c r="AJ17" s="570">
        <f>AJ15+AJ13+AJ11+AJ9</f>
        <v>289.07700000000011</v>
      </c>
      <c r="AK17" s="571">
        <f>AK15+AK13+AK11+AK9</f>
        <v>1009.8250000000002</v>
      </c>
      <c r="AL17" s="676"/>
      <c r="AM17" s="572">
        <f>+SUM(AM9,AM11,AM13,AM15)</f>
        <v>264.36399999999998</v>
      </c>
      <c r="AN17" s="570">
        <f>+SUM(AN9,AN11,AN13,AN15)</f>
        <v>262.71800000000002</v>
      </c>
      <c r="AO17" s="570">
        <f>+SUM(AO9,AO11,AO13,AO15)</f>
        <v>274.31700000000001</v>
      </c>
      <c r="AP17" s="570">
        <f>+SUM(AP9,AP11,AP13,AP15)</f>
        <v>286.03200000000004</v>
      </c>
      <c r="AQ17" s="571">
        <f>+SUM(AQ9,AQ11,AQ13,AQ15)</f>
        <v>1087.431</v>
      </c>
      <c r="AR17" s="676"/>
      <c r="AS17" s="572">
        <f>+SUM(AS9,AS11,AS13,AS15)</f>
        <v>264.26499999999999</v>
      </c>
      <c r="AT17" s="570">
        <f>+SUM(AT9,AT11,AT13,AT15)</f>
        <v>282.17700000000002</v>
      </c>
      <c r="AU17" s="570">
        <f>+SUM(AU9,AU11,AU13,AU15)</f>
        <v>288.88499999999999</v>
      </c>
      <c r="AV17" s="570">
        <f>+SUM(AV9,AV11,AV13,AV15)</f>
        <v>334.42000000000007</v>
      </c>
      <c r="AW17" s="571">
        <f>+SUM(AW9,AW11,AW13,AW15)</f>
        <v>1169.7470000000001</v>
      </c>
      <c r="AX17" s="676"/>
      <c r="AY17" s="572">
        <f>+SUM(AY9,AY11,AY13,AY15)</f>
        <v>296.42200000000003</v>
      </c>
      <c r="AZ17" s="570">
        <f>+SUM(AZ9,AZ11,AZ13,AZ15)</f>
        <v>307.21300000000002</v>
      </c>
      <c r="BA17" s="570">
        <f>+SUM(BA9,BA11,BA13,BA15)</f>
        <v>304.28899999999999</v>
      </c>
      <c r="BB17" s="570">
        <f>BB15+BB13+BB11+BB9</f>
        <v>346.53199999999993</v>
      </c>
      <c r="BC17" s="571">
        <f>+SUM(BC9,BC11,BC13,BC15)</f>
        <v>1254.4560000000001</v>
      </c>
      <c r="BD17" s="676"/>
      <c r="BE17" s="572">
        <f>+SUM(BE9,BE11,BE13,BE15)</f>
        <v>303.57600000000002</v>
      </c>
      <c r="BF17" s="570">
        <f>+SUM(BF9,BF11,BF13,BF15)</f>
        <v>316.41199999999998</v>
      </c>
      <c r="BG17" s="570">
        <f>+SUM(BG9,BG11,BG13,BG15)</f>
        <v>323.81099999999998</v>
      </c>
      <c r="BH17" s="570">
        <f>+SUM(BH9,BH11,BH13,BH15)</f>
        <v>362.58499999999998</v>
      </c>
      <c r="BI17" s="571">
        <f>BI15+BI13+BI11+BI9</f>
        <v>1306.384</v>
      </c>
      <c r="BJ17" s="676"/>
      <c r="BK17" s="572">
        <f>+SUM(BK9,BK11,BK13,BK15)</f>
        <v>317.37299999999999</v>
      </c>
      <c r="BL17" s="570">
        <f>+SUM(BL9,BL11,BL13,BL15)</f>
        <v>331.23699999999997</v>
      </c>
      <c r="BM17" s="570">
        <f>BM15+BM13+BM11+BM9</f>
        <v>336.75700000000001</v>
      </c>
      <c r="BN17" s="570">
        <f>+SUM(BN9,BN11,BN13,BN15)</f>
        <v>360.80999999999995</v>
      </c>
      <c r="BO17" s="571">
        <f>BO15+BO13+BO11+BO9</f>
        <v>1346.1770000000001</v>
      </c>
      <c r="BP17" s="676"/>
      <c r="BQ17" s="572">
        <f>BQ15+BQ13+BQ11+BQ9</f>
        <v>298.72899999999993</v>
      </c>
      <c r="BR17" s="570">
        <f>BR15+BR13+BR11+BR9</f>
        <v>319.45600000000002</v>
      </c>
      <c r="BS17" s="570">
        <f>BS15+BS13+BS11+BS9</f>
        <v>314.56099999999992</v>
      </c>
      <c r="BT17" s="570">
        <f>BT15+BT13+BT11+BT9</f>
        <v>348.5</v>
      </c>
      <c r="BU17" s="571">
        <f>BU15+BU13+BU11+BU9</f>
        <v>1281.2460000000001</v>
      </c>
      <c r="BV17" s="676"/>
      <c r="BW17" s="572">
        <f>BW15+BW13+BW11+BW9</f>
        <v>298.37900000000002</v>
      </c>
      <c r="BX17" s="570">
        <f>BX15+BX13+BX11+BX9</f>
        <v>334.41199999999998</v>
      </c>
      <c r="BY17" s="570">
        <f>BY15+BY13+BY11+BY9</f>
        <v>338.68500000000006</v>
      </c>
      <c r="BZ17" s="570">
        <f>BZ15+BZ13+BZ11+BZ9</f>
        <v>366.51499999999999</v>
      </c>
      <c r="CA17" s="571">
        <f>CA15+CA13+CA11+CA9</f>
        <v>1337.991</v>
      </c>
      <c r="CB17" s="676"/>
      <c r="CC17" s="572">
        <f>CC15+CC13+CC11+CC9</f>
        <v>308.30600000000004</v>
      </c>
      <c r="CD17" s="570">
        <f>CD15+CD13+CD11+CD9</f>
        <v>349.60599999999999</v>
      </c>
      <c r="CE17" s="570">
        <f>CE15+CE13+CE11+CE9</f>
        <v>364.4</v>
      </c>
      <c r="CF17" s="570">
        <f>CF15+CF13+CF11+CF9</f>
        <v>397.113</v>
      </c>
      <c r="CG17" s="571">
        <f>CG15+CG13+CG11+CG9</f>
        <v>1419.4250000000002</v>
      </c>
      <c r="CH17" s="676"/>
      <c r="CI17" s="572">
        <f>CI15+CI13+CI11+CI9</f>
        <v>342.19696843455813</v>
      </c>
      <c r="CJ17" s="570">
        <f>CJ15+CJ13+CJ11+CJ9</f>
        <v>390.00775350179219</v>
      </c>
      <c r="CK17" s="570">
        <f>CK15+CK13+CK11+CK9</f>
        <v>402.97882791594213</v>
      </c>
      <c r="CL17" s="570">
        <f>CL15+CL13+CL11+CL9</f>
        <v>429.55971751546923</v>
      </c>
      <c r="CM17" s="571">
        <f>CM15+CM13+CM11+CM9</f>
        <v>1564.7432673677617</v>
      </c>
      <c r="CN17" s="676"/>
      <c r="CO17" s="572">
        <f>CO15+CO13+CO11+CO9</f>
        <v>379.92910533004368</v>
      </c>
      <c r="CP17" s="570">
        <f>CP15+CP13+CP11+CP9</f>
        <v>419.47153094533905</v>
      </c>
      <c r="CQ17" s="570">
        <f>CQ15+CQ13+CQ11+CQ9</f>
        <v>427.04767623180254</v>
      </c>
      <c r="CR17" s="570">
        <f>CR15+CR13+CR11+CR9</f>
        <v>467.60144526770443</v>
      </c>
      <c r="CS17" s="571">
        <f>CS15+CS13+CS11+CS9</f>
        <v>1694.0497577748897</v>
      </c>
      <c r="CT17" s="676"/>
      <c r="CU17" s="572">
        <f>CU15+CU13+CU11+CU9</f>
        <v>420.64273199744497</v>
      </c>
      <c r="CV17" s="570">
        <f>CV15+CV13+CV11+CV9</f>
        <v>461.70512762799592</v>
      </c>
      <c r="CW17" s="570">
        <f>CW15+CW13+CW11+CW9</f>
        <v>469.00624704585181</v>
      </c>
      <c r="CX17" s="570">
        <f>CX15+CX13+CX11+CX9</f>
        <v>513.09312042062402</v>
      </c>
      <c r="CY17" s="571">
        <f>CY15+CY13+CY11+CY9</f>
        <v>1864.4472270919168</v>
      </c>
      <c r="DA17" s="248"/>
    </row>
    <row r="18" spans="1:106" ht="11.25" customHeight="1" x14ac:dyDescent="0.2">
      <c r="A18" s="208"/>
      <c r="B18" s="58"/>
      <c r="C18" s="556"/>
      <c r="D18" s="556"/>
      <c r="E18" s="556"/>
      <c r="F18" s="556"/>
      <c r="G18" s="557"/>
      <c r="H18" s="337"/>
      <c r="I18" s="556"/>
      <c r="J18" s="556"/>
      <c r="K18" s="556"/>
      <c r="L18" s="556"/>
      <c r="M18" s="557"/>
      <c r="N18" s="337"/>
      <c r="O18" s="556"/>
      <c r="P18" s="556"/>
      <c r="Q18" s="556"/>
      <c r="R18" s="556"/>
      <c r="S18" s="556"/>
      <c r="T18" s="556"/>
      <c r="U18" s="556"/>
      <c r="V18" s="556"/>
      <c r="W18" s="556"/>
      <c r="X18" s="556"/>
      <c r="Y18" s="557"/>
      <c r="Z18" s="337"/>
      <c r="AA18" s="567"/>
      <c r="AB18" s="567"/>
      <c r="AC18" s="567"/>
      <c r="AD18" s="567"/>
      <c r="AE18" s="567"/>
      <c r="AF18" s="557"/>
      <c r="AG18" s="567"/>
      <c r="AH18" s="567"/>
      <c r="AI18" s="567"/>
      <c r="AJ18" s="567"/>
      <c r="AK18" s="567"/>
      <c r="AL18" s="337"/>
      <c r="AM18" s="567"/>
      <c r="AN18" s="567"/>
      <c r="AO18" s="567"/>
      <c r="AP18" s="567"/>
      <c r="AQ18" s="567"/>
      <c r="AR18" s="337"/>
      <c r="AS18" s="567"/>
      <c r="AT18" s="567"/>
      <c r="AU18" s="567"/>
      <c r="AV18" s="567"/>
      <c r="AW18" s="567"/>
      <c r="AX18" s="337"/>
      <c r="AY18" s="567"/>
      <c r="AZ18" s="567"/>
      <c r="BA18" s="567"/>
      <c r="BB18" s="567"/>
      <c r="BC18" s="972"/>
      <c r="BD18" s="337"/>
      <c r="BE18" s="567"/>
      <c r="BF18" s="567"/>
      <c r="BG18" s="567"/>
      <c r="BH18" s="567"/>
      <c r="BI18" s="567"/>
      <c r="BJ18" s="337"/>
      <c r="BK18" s="567"/>
      <c r="BL18" s="567"/>
      <c r="BM18" s="567"/>
      <c r="BN18" s="567"/>
      <c r="BO18" s="567"/>
      <c r="BP18" s="337"/>
      <c r="BQ18" s="567"/>
      <c r="BR18" s="567"/>
      <c r="BS18" s="567"/>
      <c r="BT18" s="567"/>
      <c r="BU18" s="567"/>
      <c r="BV18" s="337"/>
      <c r="BW18" s="567"/>
      <c r="BX18" s="567"/>
      <c r="BY18" s="567"/>
      <c r="BZ18" s="567"/>
      <c r="CA18" s="567"/>
      <c r="CB18" s="337"/>
      <c r="CC18" s="567"/>
      <c r="CD18" s="567"/>
      <c r="CE18" s="567"/>
      <c r="CF18" s="567"/>
      <c r="CG18" s="2069"/>
      <c r="CH18" s="337"/>
      <c r="CI18" s="567"/>
      <c r="CJ18" s="567"/>
      <c r="CK18" s="567"/>
      <c r="CL18" s="567"/>
      <c r="CM18" s="2069"/>
      <c r="CN18" s="337"/>
      <c r="CO18" s="567"/>
      <c r="CP18" s="567"/>
      <c r="CQ18" s="567"/>
      <c r="CR18" s="567"/>
      <c r="CS18" s="2069"/>
      <c r="CT18" s="337"/>
      <c r="CU18" s="567"/>
      <c r="CV18" s="567"/>
      <c r="CW18" s="567"/>
      <c r="CX18" s="567"/>
      <c r="CY18" s="567"/>
    </row>
    <row r="19" spans="1:106" ht="11.25" customHeight="1" x14ac:dyDescent="0.2">
      <c r="A19" s="993" t="s">
        <v>205</v>
      </c>
      <c r="B19" s="990"/>
      <c r="C19" s="217"/>
      <c r="D19" s="217"/>
      <c r="E19" s="217"/>
      <c r="F19" s="217"/>
      <c r="G19" s="622"/>
      <c r="H19" s="623"/>
      <c r="I19" s="217"/>
      <c r="J19" s="217"/>
      <c r="K19" s="217"/>
      <c r="L19" s="217"/>
      <c r="M19" s="622"/>
      <c r="N19" s="623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622"/>
      <c r="Z19" s="623"/>
      <c r="AA19" s="217"/>
      <c r="AB19" s="217"/>
      <c r="AC19" s="217"/>
      <c r="AD19" s="622"/>
      <c r="AE19" s="622"/>
      <c r="AF19" s="623"/>
      <c r="AG19" s="622"/>
      <c r="AH19" s="622"/>
      <c r="AI19" s="622"/>
      <c r="AJ19" s="622"/>
      <c r="AK19" s="622"/>
      <c r="AL19" s="623"/>
      <c r="AM19" s="622"/>
      <c r="AN19" s="622"/>
      <c r="AO19" s="622"/>
      <c r="AP19" s="622"/>
      <c r="AQ19" s="622"/>
      <c r="AR19" s="623"/>
      <c r="AS19" s="622"/>
      <c r="AT19" s="622"/>
      <c r="AU19" s="622"/>
      <c r="AV19" s="622"/>
      <c r="AW19" s="622"/>
      <c r="AX19" s="623"/>
      <c r="AY19" s="622"/>
      <c r="AZ19" s="622"/>
      <c r="BA19" s="622"/>
      <c r="BB19" s="622"/>
      <c r="BC19" s="642"/>
      <c r="BD19" s="623"/>
      <c r="BE19" s="622"/>
      <c r="BF19" s="622"/>
      <c r="BG19" s="622"/>
      <c r="BH19" s="622"/>
      <c r="BI19" s="642"/>
      <c r="BJ19" s="623"/>
      <c r="BK19" s="622"/>
      <c r="BL19" s="622"/>
      <c r="BM19" s="622"/>
      <c r="BN19" s="622"/>
      <c r="BO19" s="642"/>
      <c r="BP19" s="623"/>
      <c r="BQ19" s="622"/>
      <c r="BR19" s="622"/>
      <c r="BS19" s="622"/>
      <c r="BT19" s="622"/>
      <c r="BU19" s="642"/>
      <c r="BV19" s="623"/>
      <c r="BW19" s="622"/>
      <c r="BX19" s="622"/>
      <c r="BY19" s="622"/>
      <c r="BZ19" s="622"/>
      <c r="CA19" s="642"/>
      <c r="CB19" s="623"/>
      <c r="CC19" s="622"/>
      <c r="CD19" s="622"/>
      <c r="CE19" s="622"/>
      <c r="CF19" s="622"/>
      <c r="CG19" s="642"/>
      <c r="CH19" s="623"/>
      <c r="CI19" s="622"/>
      <c r="CJ19" s="622"/>
      <c r="CK19" s="622"/>
      <c r="CL19" s="622"/>
      <c r="CM19" s="642"/>
      <c r="CN19" s="623"/>
      <c r="CO19" s="622"/>
      <c r="CP19" s="622"/>
      <c r="CQ19" s="622"/>
      <c r="CR19" s="622"/>
      <c r="CS19" s="642"/>
      <c r="CT19" s="623"/>
      <c r="CU19" s="622"/>
      <c r="CV19" s="622"/>
      <c r="CW19" s="622"/>
      <c r="CX19" s="622"/>
      <c r="CY19" s="642"/>
    </row>
    <row r="20" spans="1:106" s="35" customFormat="1" ht="11.25" customHeight="1" x14ac:dyDescent="0.2">
      <c r="A20" s="663" t="s">
        <v>405</v>
      </c>
      <c r="B20" s="189"/>
      <c r="C20" s="659"/>
      <c r="D20" s="659"/>
      <c r="E20" s="659"/>
      <c r="F20" s="659"/>
      <c r="G20" s="671"/>
      <c r="H20" s="645"/>
      <c r="I20" s="666"/>
      <c r="J20" s="659"/>
      <c r="K20" s="659"/>
      <c r="L20" s="659"/>
      <c r="M20" s="671"/>
      <c r="N20" s="645"/>
      <c r="O20" s="666"/>
      <c r="P20" s="659"/>
      <c r="Q20" s="659"/>
      <c r="R20" s="659"/>
      <c r="S20" s="671"/>
      <c r="T20" s="643"/>
      <c r="U20" s="666"/>
      <c r="V20" s="659"/>
      <c r="W20" s="659"/>
      <c r="X20" s="659"/>
      <c r="Y20" s="671"/>
      <c r="Z20" s="645"/>
      <c r="AA20" s="648">
        <f>+'P&amp;L'!AA$9*RevBuild!AA22</f>
        <v>190.53751999999997</v>
      </c>
      <c r="AB20" s="646">
        <f>+'P&amp;L'!AB$9*RevBuild!AB22</f>
        <v>196.0992</v>
      </c>
      <c r="AC20" s="646">
        <f>+'P&amp;L'!AC$9*RevBuild!AC22</f>
        <v>198.488</v>
      </c>
      <c r="AD20" s="646">
        <f>+'P&amp;L'!AD$9*RevBuild!AD22</f>
        <v>208.71928000000003</v>
      </c>
      <c r="AE20" s="647">
        <f>+SUM(AA20:AD20)</f>
        <v>793.84400000000005</v>
      </c>
      <c r="AF20" s="645"/>
      <c r="AG20" s="648">
        <f>+'P&amp;L'!AG$9*RevBuild!AG22</f>
        <v>196.63037</v>
      </c>
      <c r="AH20" s="646">
        <f>+'P&amp;L'!AH$9*RevBuild!AH22</f>
        <v>206.53415999999999</v>
      </c>
      <c r="AI20" s="646">
        <f>+'P&amp;L'!AI$9*RevBuild!AI22</f>
        <v>223.30673999999999</v>
      </c>
      <c r="AJ20" s="646">
        <f>+'P&amp;L'!AJ$9*RevBuild!AJ22</f>
        <v>248.60622000000009</v>
      </c>
      <c r="AK20" s="647">
        <f>+SUM(AG20:AJ20)</f>
        <v>875.07749000000013</v>
      </c>
      <c r="AL20" s="645"/>
      <c r="AM20" s="648">
        <f>+'P&amp;L'!AM$9*RevBuild!AM22</f>
        <v>227.35303999999996</v>
      </c>
      <c r="AN20" s="646">
        <f>+'P&amp;L'!AN$9*RevBuild!AN22</f>
        <v>223.31030000000001</v>
      </c>
      <c r="AO20" s="646">
        <f>+'P&amp;L'!AO$9*RevBuild!AO22</f>
        <v>241.39896000000002</v>
      </c>
      <c r="AP20" s="646">
        <f>+'P&amp;L'!AP$9*RevBuild!AP22</f>
        <v>243.12720000000002</v>
      </c>
      <c r="AQ20" s="647">
        <f>+SUM(AM20:AP20)</f>
        <v>935.18949999999995</v>
      </c>
      <c r="AR20" s="645"/>
      <c r="AS20" s="648">
        <f>+'P&amp;L'!AS$9*RevBuild!AS22</f>
        <v>232.55319999999998</v>
      </c>
      <c r="AT20" s="646">
        <f>+'P&amp;L'!AT$9*RevBuild!AT22</f>
        <v>248.31576000000001</v>
      </c>
      <c r="AU20" s="646">
        <f>+'P&amp;L'!AU$9*RevBuild!AU22</f>
        <v>251.32995</v>
      </c>
      <c r="AV20" s="646">
        <f>+'P&amp;L'!AV$9*RevBuild!AV22</f>
        <v>284.25700000000006</v>
      </c>
      <c r="AW20" s="647">
        <f>+SUM(AS20:AV20)</f>
        <v>1016.4559100000001</v>
      </c>
      <c r="AX20" s="645"/>
      <c r="AY20" s="648">
        <f>+'P&amp;L'!AY$9*RevBuild!AY22</f>
        <v>260.85136</v>
      </c>
      <c r="AZ20" s="646">
        <f>+'P&amp;L'!AZ$9*RevBuild!AZ22</f>
        <v>264.20318000000003</v>
      </c>
      <c r="BA20" s="646">
        <f>+'P&amp;L'!BA$9*RevBuild!BA22</f>
        <v>264.73142999999999</v>
      </c>
      <c r="BB20" s="646">
        <f>+'P&amp;L'!BB$9*RevBuild!BB22</f>
        <v>298.01751999999993</v>
      </c>
      <c r="BC20" s="647">
        <f>+SUM(AY20:BB20)</f>
        <v>1087.80349</v>
      </c>
      <c r="BD20" s="645"/>
      <c r="BE20" s="648">
        <f>+'P&amp;L'!BE$9*RevBuild!BE22</f>
        <v>270.18264000000005</v>
      </c>
      <c r="BF20" s="646">
        <f>+'P&amp;L'!BF$9*RevBuild!BF22</f>
        <v>275.27843999999999</v>
      </c>
      <c r="BG20" s="646">
        <f>+'P&amp;L'!BG$9*RevBuild!BG22</f>
        <v>284.95367999999996</v>
      </c>
      <c r="BH20" s="646">
        <f>+'P&amp;L'!BH$9*RevBuild!BH22</f>
        <v>311.82309999999995</v>
      </c>
      <c r="BI20" s="647">
        <f>+SUM(BE20:BH20)</f>
        <v>1142.23786</v>
      </c>
      <c r="BJ20" s="645"/>
      <c r="BK20" s="648">
        <f>+'P&amp;L'!BK$9*RevBuild!BK22</f>
        <v>282.46197000000001</v>
      </c>
      <c r="BL20" s="646">
        <f>+'P&amp;L'!BL$9*RevBuild!BL22</f>
        <v>291.48855999999995</v>
      </c>
      <c r="BM20" s="646">
        <f>+'P&amp;L'!BM$9*RevBuild!BM22</f>
        <v>292.97859</v>
      </c>
      <c r="BN20" s="646">
        <f>+'P&amp;L'!BN$9*RevBuild!BN22</f>
        <v>303.0804</v>
      </c>
      <c r="BO20" s="647">
        <f>+SUM(BK20:BN20)</f>
        <v>1170.0095200000001</v>
      </c>
      <c r="BP20" s="645"/>
      <c r="BQ20" s="648">
        <f>+'P&amp;L'!BQ$9*RevBuild!BQ22</f>
        <v>262.88151999999997</v>
      </c>
      <c r="BR20" s="646">
        <f>+'P&amp;L'!BR$9*RevBuild!BR22</f>
        <v>281.12128000000001</v>
      </c>
      <c r="BS20" s="646">
        <f>+'P&amp;L'!BS$9*RevBuild!BS22</f>
        <v>273.66807</v>
      </c>
      <c r="BT20" s="646">
        <f>+'P&amp;L'!BT$9*RevBuild!BT22</f>
        <v>298.66449999999998</v>
      </c>
      <c r="BU20" s="647">
        <f>+SUM(BQ20:BT20)</f>
        <v>1116.3353699999998</v>
      </c>
      <c r="BV20" s="645"/>
      <c r="BW20" s="648">
        <f>+'P&amp;L'!BW$9*RevBuild!BW22</f>
        <v>262.57352000000003</v>
      </c>
      <c r="BX20" s="646">
        <f>+'P&amp;L'!BX$9*RevBuild!BX22</f>
        <v>291.77447000000001</v>
      </c>
      <c r="BY20" s="646">
        <f>+'P&amp;L'!BY$9*RevBuild!BY22</f>
        <v>298.0428</v>
      </c>
      <c r="BZ20" s="646">
        <f>+'P&amp;L'!BZ$9*RevBuild!BZ22</f>
        <v>318.86804999999998</v>
      </c>
      <c r="CA20" s="655">
        <f>+SUM(BW20:BZ20)</f>
        <v>1171.25884</v>
      </c>
      <c r="CB20" s="645"/>
      <c r="CC20" s="648">
        <f>+'P&amp;L'!CC$9*RevBuild!CC22</f>
        <v>273.62157500000001</v>
      </c>
      <c r="CD20" s="646">
        <f>+'P&amp;L'!CD$9*RevBuild!CD22</f>
        <v>309.40131000000002</v>
      </c>
      <c r="CE20" s="646">
        <f>+'P&amp;L'!CE$9*RevBuild!CE22</f>
        <v>321.76519999999999</v>
      </c>
      <c r="CF20" s="646">
        <f>+'P&amp;L'!CF$9*RevBuild!CF22</f>
        <v>339.92872799999998</v>
      </c>
      <c r="CG20" s="655">
        <f>+SUM(CC20:CF20)</f>
        <v>1244.716813</v>
      </c>
      <c r="CH20" s="645"/>
      <c r="CI20" s="1671">
        <f>+(1+CI21)*CC20</f>
        <v>305.32287146652806</v>
      </c>
      <c r="CJ20" s="1670">
        <f>+(1+CJ21)*CD20</f>
        <v>347.54376736480867</v>
      </c>
      <c r="CK20" s="1670">
        <f>+(1+CK21)*CE20</f>
        <v>357.43291039376157</v>
      </c>
      <c r="CL20" s="1670">
        <f>+(1+CL21)*CF20</f>
        <v>368.98908970026633</v>
      </c>
      <c r="CM20" s="655">
        <f>+SUM(CI20:CL20)</f>
        <v>1379.2886389253647</v>
      </c>
      <c r="CN20" s="645"/>
      <c r="CO20" s="1671">
        <f>+(1+CO21)*CI20</f>
        <v>340.87897520363367</v>
      </c>
      <c r="CP20" s="1670">
        <f>+(1+CP21)*CJ20</f>
        <v>374.71257390463467</v>
      </c>
      <c r="CQ20" s="1670">
        <f>+(1+CQ21)*CK20</f>
        <v>380.5213541279457</v>
      </c>
      <c r="CR20" s="1670">
        <f>+(1+CR21)*CL20</f>
        <v>405.98628792401155</v>
      </c>
      <c r="CS20" s="655">
        <f>+SUM(CO20:CR20)</f>
        <v>1502.0991911602255</v>
      </c>
      <c r="CT20" s="645"/>
      <c r="CU20" s="1671">
        <f>+(1+CU21)*CO20</f>
        <v>380.66475308335379</v>
      </c>
      <c r="CV20" s="1670">
        <f>+(1+CV21)*CP20</f>
        <v>415.89923641769718</v>
      </c>
      <c r="CW20" s="1670">
        <f>+(1+CW21)*CQ20</f>
        <v>421.39833818425581</v>
      </c>
      <c r="CX20" s="1670">
        <f>+(1+CX21)*CR20</f>
        <v>450.0963921421976</v>
      </c>
      <c r="CY20" s="655">
        <f>+SUM(CU20:CX20)</f>
        <v>1668.0587198275043</v>
      </c>
    </row>
    <row r="21" spans="1:106" s="35" customFormat="1" ht="11.25" customHeight="1" x14ac:dyDescent="0.2">
      <c r="A21" s="189" t="s">
        <v>212</v>
      </c>
      <c r="B21" s="189"/>
      <c r="C21" s="643"/>
      <c r="D21" s="643"/>
      <c r="E21" s="643"/>
      <c r="F21" s="643"/>
      <c r="G21" s="673"/>
      <c r="H21" s="645"/>
      <c r="I21" s="668"/>
      <c r="J21" s="643"/>
      <c r="K21" s="643"/>
      <c r="L21" s="643"/>
      <c r="M21" s="673"/>
      <c r="N21" s="645"/>
      <c r="O21" s="668"/>
      <c r="P21" s="643"/>
      <c r="Q21" s="643"/>
      <c r="R21" s="643"/>
      <c r="S21" s="673"/>
      <c r="T21" s="643"/>
      <c r="U21" s="668"/>
      <c r="V21" s="643"/>
      <c r="W21" s="643"/>
      <c r="X21" s="643"/>
      <c r="Y21" s="673"/>
      <c r="Z21" s="645"/>
      <c r="AA21" s="656"/>
      <c r="AB21" s="654"/>
      <c r="AC21" s="654"/>
      <c r="AD21" s="654"/>
      <c r="AE21" s="655"/>
      <c r="AF21" s="645"/>
      <c r="AG21" s="899">
        <f>+AG20/AA20-1</f>
        <v>3.1977166491933051E-2</v>
      </c>
      <c r="AH21" s="900">
        <f>+AH20/AB20-1</f>
        <v>5.3212659715082822E-2</v>
      </c>
      <c r="AI21" s="900">
        <f>+AI20/AC20-1</f>
        <v>0.12503899480069314</v>
      </c>
      <c r="AJ21" s="900">
        <f>+AJ20/AD20-1</f>
        <v>0.19110328475644445</v>
      </c>
      <c r="AK21" s="901">
        <f>+AK20/AE20-1</f>
        <v>0.102329286358529</v>
      </c>
      <c r="AL21" s="645"/>
      <c r="AM21" s="899">
        <f>+AM20/AG20-1</f>
        <v>0.15624580272111555</v>
      </c>
      <c r="AN21" s="900">
        <f>+AN20/AH20-1</f>
        <v>8.1226950544161847E-2</v>
      </c>
      <c r="AO21" s="900">
        <f>+AO20/AI20-1</f>
        <v>8.1019587675678961E-2</v>
      </c>
      <c r="AP21" s="900">
        <f>+AP20/AJ20-1</f>
        <v>-2.2038949789752182E-2</v>
      </c>
      <c r="AQ21" s="901">
        <f>+AQ20/AK20-1</f>
        <v>6.8693356516346782E-2</v>
      </c>
      <c r="AR21" s="645"/>
      <c r="AS21" s="899">
        <f>+AS20/AM20-1</f>
        <v>2.2872621364552703E-2</v>
      </c>
      <c r="AT21" s="900">
        <f>+AT20/AN20-1</f>
        <v>0.11197629486862004</v>
      </c>
      <c r="AU21" s="900">
        <f>+AU20/AO20-1</f>
        <v>4.113932388109709E-2</v>
      </c>
      <c r="AV21" s="900">
        <f>+AV20/AP20-1</f>
        <v>0.16916988309000414</v>
      </c>
      <c r="AW21" s="901">
        <f>+AW20/AQ20-1</f>
        <v>8.6898334508674679E-2</v>
      </c>
      <c r="AX21" s="645"/>
      <c r="AY21" s="899">
        <f>+AY20/AS20-1</f>
        <v>0.12168467258244586</v>
      </c>
      <c r="AZ21" s="900">
        <f>+AZ20/AT20-1</f>
        <v>6.3980715521237963E-2</v>
      </c>
      <c r="BA21" s="900">
        <f>+BA20/AU20-1</f>
        <v>5.3322256261141954E-2</v>
      </c>
      <c r="BB21" s="900">
        <f>+BB20/AV20-1</f>
        <v>4.8408728720840122E-2</v>
      </c>
      <c r="BC21" s="901">
        <f>+BC20/AW20-1</f>
        <v>7.0192498561004735E-2</v>
      </c>
      <c r="BD21" s="645"/>
      <c r="BE21" s="899">
        <f>+BE20/AY20-1</f>
        <v>3.57724031034381E-2</v>
      </c>
      <c r="BF21" s="900">
        <f>+BF20/AZ20-1</f>
        <v>4.1919480303000078E-2</v>
      </c>
      <c r="BG21" s="900">
        <f>+BG20/BA20-1</f>
        <v>7.6387794226019823E-2</v>
      </c>
      <c r="BH21" s="900">
        <f>+BH20/BB20-1</f>
        <v>4.632472614361749E-2</v>
      </c>
      <c r="BI21" s="901">
        <f>+BI20/BC20-1</f>
        <v>5.0040628202066006E-2</v>
      </c>
      <c r="BJ21" s="645"/>
      <c r="BK21" s="899">
        <f>+BK20/BE20-1</f>
        <v>4.5448256779191842E-2</v>
      </c>
      <c r="BL21" s="900">
        <f>+BL20/BF20-1</f>
        <v>5.8886268027383393E-2</v>
      </c>
      <c r="BM21" s="900">
        <f>+BM20/BG20-1</f>
        <v>2.8162156038834318E-2</v>
      </c>
      <c r="BN21" s="900">
        <f>+BN20/BH20-1</f>
        <v>-2.8037371188984861E-2</v>
      </c>
      <c r="BO21" s="901">
        <f>+BO20/BI20-1</f>
        <v>2.431337725051419E-2</v>
      </c>
      <c r="BP21" s="645"/>
      <c r="BQ21" s="899">
        <f>+BQ20/BK20-1</f>
        <v>-6.9320659343981905E-2</v>
      </c>
      <c r="BR21" s="900">
        <f>+BR20/BL20-1</f>
        <v>-3.5566678843244937E-2</v>
      </c>
      <c r="BS21" s="900">
        <f>+BS20/BM20-1</f>
        <v>-6.5911027833125968E-2</v>
      </c>
      <c r="BT21" s="900">
        <f>+BT20/BN20-1</f>
        <v>-1.4570061277469626E-2</v>
      </c>
      <c r="BU21" s="901">
        <f>+BU20/BO20-1</f>
        <v>-4.5874968607093281E-2</v>
      </c>
      <c r="BV21" s="645"/>
      <c r="BW21" s="899">
        <f>+BW20/BQ20-1</f>
        <v>-1.1716304744431305E-3</v>
      </c>
      <c r="BX21" s="900">
        <f>+BX20/BR20-1</f>
        <v>3.7895352496972068E-2</v>
      </c>
      <c r="BY21" s="900">
        <f>+BY20/BS20-1</f>
        <v>8.9066766174073608E-2</v>
      </c>
      <c r="BZ21" s="900">
        <f>+BZ20/BT20-1</f>
        <v>6.7646305469849954E-2</v>
      </c>
      <c r="CA21" s="901">
        <f>+CA20/BU20-1</f>
        <v>4.9199793785984047E-2</v>
      </c>
      <c r="CB21" s="645"/>
      <c r="CC21" s="899">
        <f>+CC20/BW20-1</f>
        <v>4.2076044073294128E-2</v>
      </c>
      <c r="CD21" s="900">
        <f>+CD20/BX20-1</f>
        <v>6.0412550830783784E-2</v>
      </c>
      <c r="CE21" s="900">
        <f>+CE20/BY20-1</f>
        <v>7.9593937515014535E-2</v>
      </c>
      <c r="CF21" s="900">
        <f>+CF20/BZ20-1</f>
        <v>6.6048254128941331E-2</v>
      </c>
      <c r="CG21" s="901">
        <f>+CG20/CA20-1</f>
        <v>6.2717112982472845E-2</v>
      </c>
      <c r="CH21" s="645"/>
      <c r="CI21" s="1676">
        <f>+Growth_Drivers!CI331/RevBuild!CC20-1</f>
        <v>0.11585817553505429</v>
      </c>
      <c r="CJ21" s="1675">
        <f>+Growth_Drivers!CJ331/RevBuild!CD20-1</f>
        <v>0.12327826719547064</v>
      </c>
      <c r="CK21" s="1675">
        <f>+Growth_Drivers!CK331/RevBuild!CE20-1</f>
        <v>0.11085011801699363</v>
      </c>
      <c r="CL21" s="1675">
        <f>+Growth_Drivers!CL331/RevBuild!CF20-1</f>
        <v>8.5489572685561122E-2</v>
      </c>
      <c r="CM21" s="901">
        <f>+CM20/CG20-1</f>
        <v>0.10811441166366298</v>
      </c>
      <c r="CN21" s="645"/>
      <c r="CO21" s="1676">
        <f>+Growth_Drivers!CO331/RevBuild!CI20-1</f>
        <v>0.11645411156498819</v>
      </c>
      <c r="CP21" s="1675">
        <f>+Growth_Drivers!CP331/RevBuild!CJ20-1</f>
        <v>7.8173770014144717E-2</v>
      </c>
      <c r="CQ21" s="1675">
        <f>+Growth_Drivers!CQ331/RevBuild!CK20-1</f>
        <v>6.4595181537002277E-2</v>
      </c>
      <c r="CR21" s="1675">
        <f>+Growth_Drivers!CR331/RevBuild!CL20-1</f>
        <v>0.10026637441719055</v>
      </c>
      <c r="CS21" s="901">
        <f>+CS20/CM20-1</f>
        <v>8.903905155816072E-2</v>
      </c>
      <c r="CT21" s="645"/>
      <c r="CU21" s="1676">
        <f>+Growth_Drivers!CU331/RevBuild!CO20-1</f>
        <v>0.11671525900344237</v>
      </c>
      <c r="CV21" s="1675">
        <f>+Growth_Drivers!CV331/RevBuild!CP20-1</f>
        <v>0.10991534680537463</v>
      </c>
      <c r="CW21" s="1675">
        <f>+Growth_Drivers!CW331/RevBuild!CQ20-1</f>
        <v>0.10742362711808728</v>
      </c>
      <c r="CX21" s="1675">
        <f>+Growth_Drivers!CX331/RevBuild!CR20-1</f>
        <v>0.1086492463667692</v>
      </c>
      <c r="CY21" s="901">
        <f>+CY20/CS20-1</f>
        <v>0.11048506626189658</v>
      </c>
    </row>
    <row r="22" spans="1:106" s="35" customFormat="1" ht="11.25" customHeight="1" x14ac:dyDescent="0.2">
      <c r="A22" s="678" t="s">
        <v>315</v>
      </c>
      <c r="B22" s="189"/>
      <c r="C22" s="643"/>
      <c r="D22" s="643"/>
      <c r="E22" s="643"/>
      <c r="F22" s="643"/>
      <c r="G22" s="673"/>
      <c r="H22" s="645"/>
      <c r="I22" s="668"/>
      <c r="J22" s="643"/>
      <c r="K22" s="643"/>
      <c r="L22" s="643"/>
      <c r="M22" s="673"/>
      <c r="N22" s="645"/>
      <c r="O22" s="668"/>
      <c r="P22" s="643"/>
      <c r="Q22" s="643"/>
      <c r="R22" s="643"/>
      <c r="S22" s="673"/>
      <c r="T22" s="643"/>
      <c r="U22" s="668"/>
      <c r="V22" s="643"/>
      <c r="W22" s="643"/>
      <c r="X22" s="643"/>
      <c r="Y22" s="673"/>
      <c r="Z22" s="645"/>
      <c r="AA22" s="650">
        <v>0.92</v>
      </c>
      <c r="AB22" s="651">
        <v>0.9</v>
      </c>
      <c r="AC22" s="651">
        <v>0.86</v>
      </c>
      <c r="AD22" s="651">
        <v>0.88</v>
      </c>
      <c r="AE22" s="649">
        <f>AE20/'P&amp;L'!AE$9</f>
        <v>0.88898793359276584</v>
      </c>
      <c r="AF22" s="645"/>
      <c r="AG22" s="650">
        <v>0.89</v>
      </c>
      <c r="AH22" s="651">
        <v>0.86</v>
      </c>
      <c r="AI22" s="651">
        <v>0.86</v>
      </c>
      <c r="AJ22" s="651">
        <v>0.86</v>
      </c>
      <c r="AK22" s="649">
        <f>AK20/'P&amp;L'!AK$9</f>
        <v>0.86656350357735257</v>
      </c>
      <c r="AL22" s="645"/>
      <c r="AM22" s="650">
        <v>0.86</v>
      </c>
      <c r="AN22" s="651">
        <v>0.85</v>
      </c>
      <c r="AO22" s="651">
        <v>0.88</v>
      </c>
      <c r="AP22" s="651">
        <v>0.85</v>
      </c>
      <c r="AQ22" s="649">
        <f>AQ20/'P&amp;L'!AQ$9</f>
        <v>0.8599989332656508</v>
      </c>
      <c r="AR22" s="645"/>
      <c r="AS22" s="650">
        <v>0.88</v>
      </c>
      <c r="AT22" s="651">
        <v>0.88</v>
      </c>
      <c r="AU22" s="651">
        <v>0.87</v>
      </c>
      <c r="AV22" s="651">
        <v>0.85</v>
      </c>
      <c r="AW22" s="649">
        <f>AW20/'P&amp;L'!AW$9</f>
        <v>0.86895363698303996</v>
      </c>
      <c r="AX22" s="645"/>
      <c r="AY22" s="650">
        <v>0.88</v>
      </c>
      <c r="AZ22" s="651">
        <v>0.86</v>
      </c>
      <c r="BA22" s="651">
        <v>0.87</v>
      </c>
      <c r="BB22" s="850">
        <v>0.86</v>
      </c>
      <c r="BC22" s="649">
        <f>BC20/'P&amp;L'!BC$9</f>
        <v>0.86715157008296828</v>
      </c>
      <c r="BD22" s="645"/>
      <c r="BE22" s="650">
        <v>0.89</v>
      </c>
      <c r="BF22" s="651">
        <v>0.87</v>
      </c>
      <c r="BG22" s="651">
        <v>0.88</v>
      </c>
      <c r="BH22" s="850">
        <v>0.86</v>
      </c>
      <c r="BI22" s="649">
        <f>BI20/'P&amp;L'!BI$9</f>
        <v>0.87435077282024265</v>
      </c>
      <c r="BJ22" s="645"/>
      <c r="BK22" s="650">
        <v>0.89</v>
      </c>
      <c r="BL22" s="651">
        <v>0.88</v>
      </c>
      <c r="BM22" s="651">
        <v>0.87</v>
      </c>
      <c r="BN22" s="651">
        <v>0.84</v>
      </c>
      <c r="BO22" s="649">
        <f>BO20/'P&amp;L'!BO$9</f>
        <v>0.86913498002120093</v>
      </c>
      <c r="BP22" s="645"/>
      <c r="BQ22" s="650">
        <v>0.88</v>
      </c>
      <c r="BR22" s="651">
        <v>0.88</v>
      </c>
      <c r="BS22" s="651">
        <v>0.87</v>
      </c>
      <c r="BT22" s="651">
        <v>0.85699999999999998</v>
      </c>
      <c r="BU22" s="649">
        <f>BU20/'P&amp;L'!BU$9</f>
        <v>0.87128886256035132</v>
      </c>
      <c r="BV22" s="645"/>
      <c r="BW22" s="650">
        <v>0.88</v>
      </c>
      <c r="BX22" s="1102">
        <v>0.87250000000000005</v>
      </c>
      <c r="BY22" s="1102">
        <v>0.88</v>
      </c>
      <c r="BZ22" s="651">
        <v>0.87</v>
      </c>
      <c r="CA22" s="649">
        <f>CA20/'P&amp;L'!CA$9</f>
        <v>0.87538618720155814</v>
      </c>
      <c r="CB22" s="645"/>
      <c r="CC22" s="650">
        <v>0.88749999999999996</v>
      </c>
      <c r="CD22" s="1102">
        <v>0.88500000000000001</v>
      </c>
      <c r="CE22" s="1102">
        <v>0.88300000000000001</v>
      </c>
      <c r="CF22" s="1102">
        <v>0.85599999999999998</v>
      </c>
      <c r="CG22" s="649">
        <f>CG20/'P&amp;L'!CG$9</f>
        <v>0.87691622523204826</v>
      </c>
      <c r="CH22" s="645"/>
      <c r="CI22" s="652">
        <f>+CI20/CI29</f>
        <v>0.8922430635878591</v>
      </c>
      <c r="CJ22" s="653">
        <f>+CJ20/CJ29</f>
        <v>0.89112014887983915</v>
      </c>
      <c r="CK22" s="653">
        <f>+CK20/CK29</f>
        <v>0.88697689712949113</v>
      </c>
      <c r="CL22" s="653">
        <f>+CL20/CL29</f>
        <v>0.85899369669591608</v>
      </c>
      <c r="CM22" s="649">
        <f>CM20/'P&amp;L'!CM$9</f>
        <v>0.88147919706063227</v>
      </c>
      <c r="CN22" s="645"/>
      <c r="CO22" s="652">
        <f>+CO20/CO29</f>
        <v>0.89721732402552512</v>
      </c>
      <c r="CP22" s="653">
        <f>+CP20/CP29</f>
        <v>0.89329679432634279</v>
      </c>
      <c r="CQ22" s="653">
        <f>+CQ20/CQ29</f>
        <v>0.89105122286486305</v>
      </c>
      <c r="CR22" s="653">
        <f>+CR20/CR29</f>
        <v>0.8682314651349764</v>
      </c>
      <c r="CS22" s="649">
        <f>CS20/'P&amp;L'!CS$9</f>
        <v>0.88669130541549823</v>
      </c>
      <c r="CT22" s="645"/>
      <c r="CU22" s="652">
        <f>+CU20/CU29</f>
        <v>0.90495977732872368</v>
      </c>
      <c r="CV22" s="653">
        <f>+CV20/CV29</f>
        <v>0.90078972818511693</v>
      </c>
      <c r="CW22" s="653">
        <f>+CW20/CW29</f>
        <v>0.89849195152204087</v>
      </c>
      <c r="CX22" s="653">
        <f>+CX20/CX29</f>
        <v>0.87722164696579275</v>
      </c>
      <c r="CY22" s="649">
        <f>CY20/'P&amp;L'!CY$9</f>
        <v>0.89466663126167922</v>
      </c>
    </row>
    <row r="23" spans="1:106" s="35" customFormat="1" ht="11.25" customHeight="1" x14ac:dyDescent="0.2">
      <c r="A23" s="189" t="s">
        <v>406</v>
      </c>
      <c r="B23" s="189"/>
      <c r="C23" s="643"/>
      <c r="D23" s="643"/>
      <c r="E23" s="643"/>
      <c r="F23" s="643"/>
      <c r="G23" s="673"/>
      <c r="H23" s="645"/>
      <c r="I23" s="668"/>
      <c r="J23" s="643"/>
      <c r="K23" s="643"/>
      <c r="L23" s="643"/>
      <c r="M23" s="673"/>
      <c r="N23" s="645"/>
      <c r="O23" s="668"/>
      <c r="P23" s="643"/>
      <c r="Q23" s="643"/>
      <c r="R23" s="643"/>
      <c r="S23" s="673"/>
      <c r="T23" s="643"/>
      <c r="U23" s="668"/>
      <c r="V23" s="643"/>
      <c r="W23" s="643"/>
      <c r="X23" s="643"/>
      <c r="Y23" s="673"/>
      <c r="Z23" s="645"/>
      <c r="AA23" s="656">
        <f>+'P&amp;L'!AA$9*RevBuild!AA25</f>
        <v>14.497419999999998</v>
      </c>
      <c r="AB23" s="654">
        <f>+'P&amp;L'!AB$9*RevBuild!AB25</f>
        <v>19.609919999999999</v>
      </c>
      <c r="AC23" s="654">
        <f>+'P&amp;L'!AC$9*RevBuild!AC25</f>
        <v>30.004000000000001</v>
      </c>
      <c r="AD23" s="654">
        <f>+'P&amp;L'!AD$9*RevBuild!AD25</f>
        <v>26.089910000000003</v>
      </c>
      <c r="AE23" s="655">
        <f>+SUM(AA23:AD23)</f>
        <v>90.201250000000002</v>
      </c>
      <c r="AF23" s="645"/>
      <c r="AG23" s="656">
        <f>+'P&amp;L'!AG$9*RevBuild!AG25</f>
        <v>24.302630000000001</v>
      </c>
      <c r="AH23" s="654">
        <f>+'P&amp;L'!AH$9*RevBuild!AH25</f>
        <v>33.621839999999999</v>
      </c>
      <c r="AI23" s="654">
        <f>+'P&amp;L'!AI$9*RevBuild!AI25</f>
        <v>36.352260000000001</v>
      </c>
      <c r="AJ23" s="654">
        <f>+'P&amp;L'!AJ$9*RevBuild!AJ25</f>
        <v>40.470780000000019</v>
      </c>
      <c r="AK23" s="655">
        <f>+SUM(AG23:AJ23)</f>
        <v>134.74751000000003</v>
      </c>
      <c r="AL23" s="645"/>
      <c r="AM23" s="656">
        <f>+'P&amp;L'!AM$9*RevBuild!AM25</f>
        <v>37.010959999999997</v>
      </c>
      <c r="AN23" s="654">
        <f>+'P&amp;L'!AN$9*RevBuild!AN25</f>
        <v>36.780520000000003</v>
      </c>
      <c r="AO23" s="654">
        <f>+'P&amp;L'!AO$9*RevBuild!AO25</f>
        <v>32.918039999999998</v>
      </c>
      <c r="AP23" s="654">
        <f>+'P&amp;L'!AP$9*RevBuild!AP25</f>
        <v>42.904800000000002</v>
      </c>
      <c r="AQ23" s="655">
        <f>+SUM(AM23:AP23)</f>
        <v>149.61431999999999</v>
      </c>
      <c r="AR23" s="645"/>
      <c r="AS23" s="656">
        <f>+'P&amp;L'!AS$9*RevBuild!AS25</f>
        <v>31.711799999999997</v>
      </c>
      <c r="AT23" s="654">
        <f>+'P&amp;L'!AT$9*RevBuild!AT25</f>
        <v>33.861240000000002</v>
      </c>
      <c r="AU23" s="654">
        <f>+'P&amp;L'!AU$9*RevBuild!AU25</f>
        <v>37.555050000000001</v>
      </c>
      <c r="AV23" s="654">
        <f>+'P&amp;L'!AV$9*RevBuild!AV25</f>
        <v>50.163000000000011</v>
      </c>
      <c r="AW23" s="655">
        <f>+SUM(AS23:AV23)</f>
        <v>153.29109</v>
      </c>
      <c r="AX23" s="645"/>
      <c r="AY23" s="656">
        <f>+'P&amp;L'!AY$9*RevBuild!AY25</f>
        <v>35.570640000000004</v>
      </c>
      <c r="AZ23" s="654">
        <f>+'P&amp;L'!AZ$9*RevBuild!AZ25</f>
        <v>43.009820000000005</v>
      </c>
      <c r="BA23" s="654">
        <f>+'P&amp;L'!BA$9*RevBuild!BA25</f>
        <v>39.557569999999998</v>
      </c>
      <c r="BB23" s="654">
        <f>+'P&amp;L'!BB$9*RevBuild!BB25</f>
        <v>48.514479999999992</v>
      </c>
      <c r="BC23" s="655">
        <f>+SUM(AY23:BB23)</f>
        <v>166.65251000000001</v>
      </c>
      <c r="BD23" s="645"/>
      <c r="BE23" s="656">
        <f>+'P&amp;L'!BE$9*RevBuild!BE25</f>
        <v>33.393360000000001</v>
      </c>
      <c r="BF23" s="654">
        <f>+'P&amp;L'!BF$9*RevBuild!BF25</f>
        <v>41.133559999999996</v>
      </c>
      <c r="BG23" s="654">
        <f>+'P&amp;L'!BG$9*RevBuild!BG25</f>
        <v>38.857319999999994</v>
      </c>
      <c r="BH23" s="654">
        <f>+'P&amp;L'!BH$9*RevBuild!BH25</f>
        <v>50.761900000000004</v>
      </c>
      <c r="BI23" s="655">
        <f>+SUM(BE23:BH23)</f>
        <v>164.14613999999997</v>
      </c>
      <c r="BJ23" s="645"/>
      <c r="BK23" s="656">
        <f>+'P&amp;L'!BK$9*RevBuild!BK25</f>
        <v>34.911029999999997</v>
      </c>
      <c r="BL23" s="654">
        <f>+'P&amp;L'!BL$9*RevBuild!BL25</f>
        <v>39.748439999999995</v>
      </c>
      <c r="BM23" s="654">
        <f>+'P&amp;L'!BM$9*RevBuild!BM25</f>
        <v>43.778410000000001</v>
      </c>
      <c r="BN23" s="654">
        <f>+'P&amp;L'!BN$9*RevBuild!BN25</f>
        <v>57.729600000000005</v>
      </c>
      <c r="BO23" s="655">
        <f>+SUM(BK23:BN23)</f>
        <v>176.16748000000001</v>
      </c>
      <c r="BP23" s="645"/>
      <c r="BQ23" s="656">
        <f>+'P&amp;L'!BQ$9*RevBuild!BQ25</f>
        <v>35.847479999999997</v>
      </c>
      <c r="BR23" s="654">
        <f>+'P&amp;L'!BR$9*RevBuild!BR25</f>
        <v>38.334719999999997</v>
      </c>
      <c r="BS23" s="654">
        <f>+'P&amp;L'!BS$9*RevBuild!BS25</f>
        <v>40.89293</v>
      </c>
      <c r="BT23" s="654">
        <f>+'P&amp;L'!BT$9*RevBuild!BT25</f>
        <v>49.835500000000003</v>
      </c>
      <c r="BU23" s="655">
        <f>+SUM(BQ23:BT23)</f>
        <v>164.91063</v>
      </c>
      <c r="BV23" s="645"/>
      <c r="BW23" s="656">
        <f>+'P&amp;L'!BW$9*RevBuild!BW25</f>
        <v>35.805480000000003</v>
      </c>
      <c r="BX23" s="654">
        <f>+'P&amp;L'!BX$9*RevBuild!BX25</f>
        <v>42.637529999999977</v>
      </c>
      <c r="BY23" s="654">
        <f>+'P&amp;L'!BY$9*RevBuild!BY25</f>
        <v>40.642199999999995</v>
      </c>
      <c r="BZ23" s="654">
        <f>+'P&amp;L'!BZ$9*RevBuild!BZ25</f>
        <v>47.646949999999997</v>
      </c>
      <c r="CA23" s="655">
        <f>+SUM(BW23:BZ23)</f>
        <v>166.73215999999999</v>
      </c>
      <c r="CB23" s="645"/>
      <c r="CC23" s="656">
        <f>+'P&amp;L'!CC$9*RevBuild!CC25</f>
        <v>34.684425000000019</v>
      </c>
      <c r="CD23" s="654">
        <f>+'P&amp;L'!CD$9*RevBuild!CD25</f>
        <v>40.204689999999999</v>
      </c>
      <c r="CE23" s="654">
        <f>+'P&amp;L'!CE$9*RevBuild!CE25</f>
        <v>42.634799999999991</v>
      </c>
      <c r="CF23" s="654">
        <f>+'P&amp;L'!CF$9*RevBuild!CF25</f>
        <v>57.184272000000007</v>
      </c>
      <c r="CG23" s="655">
        <f>+SUM(CC23:CF23)</f>
        <v>174.70818700000001</v>
      </c>
      <c r="CH23" s="645"/>
      <c r="CI23" s="1671">
        <f>+(1+CI24)*CC23</f>
        <v>36.874096968030067</v>
      </c>
      <c r="CJ23" s="1670">
        <f>+(1+CJ24)*CD23</f>
        <v>42.463986136983522</v>
      </c>
      <c r="CK23" s="1670">
        <f>+(1+CK24)*CE23</f>
        <v>45.545917522180638</v>
      </c>
      <c r="CL23" s="1670">
        <f>+(1+CL24)*CF23</f>
        <v>60.570627815202812</v>
      </c>
      <c r="CM23" s="655">
        <f>+SUM(CI23:CL23)</f>
        <v>185.45462844239705</v>
      </c>
      <c r="CN23" s="645"/>
      <c r="CO23" s="1671">
        <f>+(1+CO24)*CI23</f>
        <v>39.050130126410004</v>
      </c>
      <c r="CP23" s="1670">
        <f>+(1+CP24)*CJ23</f>
        <v>44.758957040704367</v>
      </c>
      <c r="CQ23" s="1670">
        <f>+(1+CQ24)*CK23</f>
        <v>46.526322103856756</v>
      </c>
      <c r="CR23" s="1670">
        <f>+(1+CR24)*CL23</f>
        <v>61.615157343692943</v>
      </c>
      <c r="CS23" s="655">
        <f>+SUM(CO23:CR23)</f>
        <v>191.95056661466407</v>
      </c>
      <c r="CT23" s="645"/>
      <c r="CU23" s="1671">
        <f>+(1+CU24)*CO23</f>
        <v>39.977978914091175</v>
      </c>
      <c r="CV23" s="1670">
        <f>+(1+CV24)*CP23</f>
        <v>45.805891210298718</v>
      </c>
      <c r="CW23" s="1670">
        <f>+(1+CW24)*CQ23</f>
        <v>47.607908861596009</v>
      </c>
      <c r="CX23" s="1670">
        <f>+(1+CX24)*CR23</f>
        <v>62.996728278426424</v>
      </c>
      <c r="CY23" s="655">
        <f>+SUM(CU23:CX23)</f>
        <v>196.38850726441231</v>
      </c>
    </row>
    <row r="24" spans="1:106" s="35" customFormat="1" ht="11.25" customHeight="1" x14ac:dyDescent="0.2">
      <c r="A24" s="189" t="s">
        <v>212</v>
      </c>
      <c r="B24" s="189"/>
      <c r="C24" s="643"/>
      <c r="D24" s="643"/>
      <c r="E24" s="643"/>
      <c r="F24" s="643"/>
      <c r="G24" s="673"/>
      <c r="H24" s="645"/>
      <c r="I24" s="668"/>
      <c r="J24" s="643"/>
      <c r="K24" s="643"/>
      <c r="L24" s="643"/>
      <c r="M24" s="673"/>
      <c r="N24" s="645"/>
      <c r="O24" s="668"/>
      <c r="P24" s="643"/>
      <c r="Q24" s="643"/>
      <c r="R24" s="643"/>
      <c r="S24" s="673"/>
      <c r="T24" s="643"/>
      <c r="U24" s="668"/>
      <c r="V24" s="643"/>
      <c r="W24" s="643"/>
      <c r="X24" s="643"/>
      <c r="Y24" s="673"/>
      <c r="Z24" s="645"/>
      <c r="AA24" s="656"/>
      <c r="AB24" s="654"/>
      <c r="AC24" s="654"/>
      <c r="AD24" s="654"/>
      <c r="AE24" s="655"/>
      <c r="AF24" s="645"/>
      <c r="AG24" s="899">
        <f>+AG23/AA23-1</f>
        <v>0.67634172149251404</v>
      </c>
      <c r="AH24" s="900">
        <f>+AH23/AB23-1</f>
        <v>0.71453223674548405</v>
      </c>
      <c r="AI24" s="900">
        <f>+AI23/AC23-1</f>
        <v>0.21158045593920805</v>
      </c>
      <c r="AJ24" s="900">
        <f>+AJ23/AD23-1</f>
        <v>0.55120427782234649</v>
      </c>
      <c r="AK24" s="901">
        <f>+AK23/AE23-1</f>
        <v>0.49385413173320813</v>
      </c>
      <c r="AL24" s="645"/>
      <c r="AM24" s="899">
        <f>+AM23/AG23-1</f>
        <v>0.52291994734726233</v>
      </c>
      <c r="AN24" s="900">
        <f>+AN23/AH23-1</f>
        <v>9.3947267609387319E-2</v>
      </c>
      <c r="AO24" s="900">
        <f>+AO23/AI23-1</f>
        <v>-9.4470605128814666E-2</v>
      </c>
      <c r="AP24" s="900">
        <f>+AP23/AJ23-1</f>
        <v>6.0142651068251674E-2</v>
      </c>
      <c r="AQ24" s="901">
        <f>+AQ23/AK23-1</f>
        <v>0.11033086993592645</v>
      </c>
      <c r="AR24" s="645"/>
      <c r="AS24" s="899">
        <f>+AS23/AM23-1</f>
        <v>-0.14317812885696568</v>
      </c>
      <c r="AT24" s="900">
        <f>+AT23/AN23-1</f>
        <v>-7.9370275352278918E-2</v>
      </c>
      <c r="AU24" s="900">
        <f>+AU23/AO23-1</f>
        <v>0.14086531275859682</v>
      </c>
      <c r="AV24" s="900">
        <f>+AV23/AP23-1</f>
        <v>0.16916988309000414</v>
      </c>
      <c r="AW24" s="901">
        <f>+AW23/AQ23-1</f>
        <v>2.4574987207107046E-2</v>
      </c>
      <c r="AX24" s="645"/>
      <c r="AY24" s="899">
        <f>+AY23/AS23-1</f>
        <v>0.12168467258244586</v>
      </c>
      <c r="AZ24" s="900">
        <f>+AZ23/AT23-1</f>
        <v>0.27017852860674929</v>
      </c>
      <c r="BA24" s="900">
        <f>+BA23/AU23-1</f>
        <v>5.3322256261141954E-2</v>
      </c>
      <c r="BB24" s="900">
        <f>+BB23/AV23-1</f>
        <v>-3.2863265753643511E-2</v>
      </c>
      <c r="BC24" s="901">
        <f>+BC23/AW23-1</f>
        <v>8.7163709254073574E-2</v>
      </c>
      <c r="BD24" s="645"/>
      <c r="BE24" s="899">
        <f>+BE23/AY23-1</f>
        <v>-6.1210031644075125E-2</v>
      </c>
      <c r="BF24" s="900">
        <f>+BF23/AZ23-1</f>
        <v>-4.3623990986244698E-2</v>
      </c>
      <c r="BG24" s="900">
        <f>+BG23/BA23-1</f>
        <v>-1.7702047926604236E-2</v>
      </c>
      <c r="BH24" s="900">
        <f>+BH23/BB23-1</f>
        <v>4.632472614361749E-2</v>
      </c>
      <c r="BI24" s="901">
        <f>+BI23/BC23-1</f>
        <v>-1.5039497454914064E-2</v>
      </c>
      <c r="BJ24" s="645"/>
      <c r="BK24" s="899">
        <f>+BK23/BE23-1</f>
        <v>4.5448256779191842E-2</v>
      </c>
      <c r="BL24" s="900">
        <f>+BL23/BF23-1</f>
        <v>-3.3673720436548704E-2</v>
      </c>
      <c r="BM24" s="900">
        <f>+BM23/BG23-1</f>
        <v>0.12664512117665372</v>
      </c>
      <c r="BN24" s="900">
        <f>+BN23/BH23-1</f>
        <v>0.13726239561560938</v>
      </c>
      <c r="BO24" s="901">
        <f>+BO23/BI23-1</f>
        <v>7.3235593599703552E-2</v>
      </c>
      <c r="BP24" s="645"/>
      <c r="BQ24" s="899">
        <f>+BQ23/BK23-1</f>
        <v>2.6823900641144149E-2</v>
      </c>
      <c r="BR24" s="900">
        <f>+BR23/BL23-1</f>
        <v>-3.5566678843245159E-2</v>
      </c>
      <c r="BS24" s="900">
        <f>+BS23/BM23-1</f>
        <v>-6.5911027833125968E-2</v>
      </c>
      <c r="BT24" s="900">
        <f>+BT23/BN23-1</f>
        <v>-0.13674267620077052</v>
      </c>
      <c r="BU24" s="901">
        <f>+BU23/BO23-1</f>
        <v>-6.3898569701967722E-2</v>
      </c>
      <c r="BV24" s="645"/>
      <c r="BW24" s="899">
        <f>+BW23/BQ23-1</f>
        <v>-1.1716304744432415E-3</v>
      </c>
      <c r="BX24" s="900">
        <f>+BX23/BR23-1</f>
        <v>0.11224315711709854</v>
      </c>
      <c r="BY24" s="900">
        <f>+BY23/BS23-1</f>
        <v>-6.1313777222615773E-3</v>
      </c>
      <c r="BZ24" s="900">
        <f>+BZ23/BT23-1</f>
        <v>-4.3915481935568157E-2</v>
      </c>
      <c r="CA24" s="901">
        <f>+CA23/BU23-1</f>
        <v>1.1045558433680158E-2</v>
      </c>
      <c r="CB24" s="645"/>
      <c r="CC24" s="899">
        <f>+CC23/BW23-1</f>
        <v>-3.130959283327539E-2</v>
      </c>
      <c r="CD24" s="900">
        <f>+CD23/BX23-1</f>
        <v>-5.7058652318743075E-2</v>
      </c>
      <c r="CE24" s="900">
        <f>+CE23/BY23-1</f>
        <v>4.9027857743921155E-2</v>
      </c>
      <c r="CF24" s="900">
        <f>+CF23/BZ23-1</f>
        <v>0.2001664744542937</v>
      </c>
      <c r="CG24" s="901">
        <f>+CG23/CA23-1</f>
        <v>4.783736382950976E-2</v>
      </c>
      <c r="CH24" s="645"/>
      <c r="CI24" s="1676">
        <f>+Growth_Drivers!CI354/RevBuild!CC23-1</f>
        <v>6.3131274859826725E-2</v>
      </c>
      <c r="CJ24" s="1675">
        <f>+Growth_Drivers!CJ354/RevBuild!CD23-1</f>
        <v>5.6194840377665534E-2</v>
      </c>
      <c r="CK24" s="1675">
        <f>+Growth_Drivers!CK354/RevBuild!CE23-1</f>
        <v>6.8280313785467506E-2</v>
      </c>
      <c r="CL24" s="1675">
        <f>+Growth_Drivers!CL354/RevBuild!CF23-1</f>
        <v>5.9218307705356521E-2</v>
      </c>
      <c r="CM24" s="901">
        <f>+CM23/CG23-1</f>
        <v>6.1510806258879169E-2</v>
      </c>
      <c r="CN24" s="645"/>
      <c r="CO24" s="1676">
        <f>+Growth_Drivers!CO354/RevBuild!CI23-1</f>
        <v>5.9012513859432625E-2</v>
      </c>
      <c r="CP24" s="1675">
        <f>+Growth_Drivers!CP354/RevBuild!CJ23-1</f>
        <v>5.4045112399894624E-2</v>
      </c>
      <c r="CQ24" s="1675">
        <f>+Growth_Drivers!CQ354/RevBuild!CK23-1</f>
        <v>2.152563028725174E-2</v>
      </c>
      <c r="CR24" s="1675">
        <f>+Growth_Drivers!CR354/RevBuild!CL23-1</f>
        <v>1.7244819249305543E-2</v>
      </c>
      <c r="CS24" s="901">
        <f>+CS23/CM23-1</f>
        <v>3.5027101921506709E-2</v>
      </c>
      <c r="CT24" s="645"/>
      <c r="CU24" s="1676">
        <f>+Growth_Drivers!CU354/RevBuild!CO23-1</f>
        <v>2.3760453157969375E-2</v>
      </c>
      <c r="CV24" s="1675">
        <f>+Growth_Drivers!CV354/RevBuild!CP23-1</f>
        <v>2.3390495195012129E-2</v>
      </c>
      <c r="CW24" s="1675">
        <f>+Growth_Drivers!CW354/RevBuild!CQ23-1</f>
        <v>2.3246771049835413E-2</v>
      </c>
      <c r="CX24" s="1675">
        <f>+Growth_Drivers!CX354/RevBuild!CR23-1</f>
        <v>2.2422582271875102E-2</v>
      </c>
      <c r="CY24" s="901">
        <f>+CY23/CS23-1</f>
        <v>2.3120226879336681E-2</v>
      </c>
    </row>
    <row r="25" spans="1:106" s="35" customFormat="1" ht="11.25" customHeight="1" x14ac:dyDescent="0.2">
      <c r="A25" s="678" t="s">
        <v>315</v>
      </c>
      <c r="B25" s="189"/>
      <c r="C25" s="643"/>
      <c r="D25" s="643"/>
      <c r="E25" s="643"/>
      <c r="F25" s="643"/>
      <c r="G25" s="673"/>
      <c r="H25" s="645"/>
      <c r="I25" s="668"/>
      <c r="J25" s="643"/>
      <c r="K25" s="643"/>
      <c r="L25" s="643"/>
      <c r="M25" s="673"/>
      <c r="N25" s="645"/>
      <c r="O25" s="668"/>
      <c r="P25" s="643"/>
      <c r="Q25" s="643"/>
      <c r="R25" s="643"/>
      <c r="S25" s="673"/>
      <c r="T25" s="643"/>
      <c r="U25" s="668"/>
      <c r="V25" s="643"/>
      <c r="W25" s="643"/>
      <c r="X25" s="643"/>
      <c r="Y25" s="673"/>
      <c r="Z25" s="645"/>
      <c r="AA25" s="650">
        <v>7.0000000000000007E-2</v>
      </c>
      <c r="AB25" s="651">
        <v>0.09</v>
      </c>
      <c r="AC25" s="651">
        <v>0.13</v>
      </c>
      <c r="AD25" s="651">
        <v>0.11</v>
      </c>
      <c r="AE25" s="649">
        <f>AE23/'P&amp;L'!AE$9</f>
        <v>0.10101206640723424</v>
      </c>
      <c r="AF25" s="645"/>
      <c r="AG25" s="650">
        <v>0.11</v>
      </c>
      <c r="AH25" s="651">
        <v>0.14000000000000001</v>
      </c>
      <c r="AI25" s="651">
        <v>0.14000000000000001</v>
      </c>
      <c r="AJ25" s="651">
        <v>0.14000000000000001</v>
      </c>
      <c r="AK25" s="649">
        <f>AK23/'P&amp;L'!AK$9</f>
        <v>0.13343649642264752</v>
      </c>
      <c r="AL25" s="645"/>
      <c r="AM25" s="650">
        <v>0.14000000000000001</v>
      </c>
      <c r="AN25" s="651">
        <v>0.14000000000000001</v>
      </c>
      <c r="AO25" s="651">
        <v>0.12</v>
      </c>
      <c r="AP25" s="651">
        <v>0.15</v>
      </c>
      <c r="AQ25" s="649">
        <f>AQ23/'P&amp;L'!AQ$9</f>
        <v>0.13758511574527485</v>
      </c>
      <c r="AR25" s="645"/>
      <c r="AS25" s="650">
        <v>0.12</v>
      </c>
      <c r="AT25" s="651">
        <v>0.12</v>
      </c>
      <c r="AU25" s="651">
        <v>0.13</v>
      </c>
      <c r="AV25" s="651">
        <v>0.15</v>
      </c>
      <c r="AW25" s="649">
        <f>AW23/'P&amp;L'!AW$9</f>
        <v>0.13104636301696007</v>
      </c>
      <c r="AX25" s="645"/>
      <c r="AY25" s="650">
        <v>0.12</v>
      </c>
      <c r="AZ25" s="651">
        <v>0.14000000000000001</v>
      </c>
      <c r="BA25" s="651">
        <v>0.13</v>
      </c>
      <c r="BB25" s="850">
        <v>0.14000000000000001</v>
      </c>
      <c r="BC25" s="649">
        <f>BC23/'P&amp;L'!BC$9</f>
        <v>0.13284842991703177</v>
      </c>
      <c r="BD25" s="645"/>
      <c r="BE25" s="650">
        <v>0.11</v>
      </c>
      <c r="BF25" s="651">
        <v>0.13</v>
      </c>
      <c r="BG25" s="651">
        <v>0.12</v>
      </c>
      <c r="BH25" s="850">
        <v>0.14000000000000001</v>
      </c>
      <c r="BI25" s="649">
        <f>BI23/'P&amp;L'!BI$9</f>
        <v>0.12564922717975724</v>
      </c>
      <c r="BJ25" s="645"/>
      <c r="BK25" s="650">
        <v>0.11</v>
      </c>
      <c r="BL25" s="651">
        <v>0.12</v>
      </c>
      <c r="BM25" s="651">
        <v>0.13</v>
      </c>
      <c r="BN25" s="651">
        <v>0.16</v>
      </c>
      <c r="BO25" s="649">
        <f>BO23/'P&amp;L'!BO$9</f>
        <v>0.13086501997879924</v>
      </c>
      <c r="BP25" s="645"/>
      <c r="BQ25" s="650">
        <v>0.12</v>
      </c>
      <c r="BR25" s="651">
        <v>0.12</v>
      </c>
      <c r="BS25" s="651">
        <v>0.13</v>
      </c>
      <c r="BT25" s="651">
        <f>1-BT22</f>
        <v>0.14300000000000002</v>
      </c>
      <c r="BU25" s="649">
        <f>BU23/'P&amp;L'!BU$9</f>
        <v>0.1287111374396486</v>
      </c>
      <c r="BV25" s="645"/>
      <c r="BW25" s="650">
        <v>0.12</v>
      </c>
      <c r="BX25" s="651">
        <f>1-BX22</f>
        <v>0.12749999999999995</v>
      </c>
      <c r="BY25" s="651">
        <f>1-BY22</f>
        <v>0.12</v>
      </c>
      <c r="BZ25" s="651">
        <f>1-BZ22</f>
        <v>0.13</v>
      </c>
      <c r="CA25" s="649">
        <f>CA23/'P&amp;L'!CA$9</f>
        <v>0.12461381279844184</v>
      </c>
      <c r="CB25" s="645"/>
      <c r="CC25" s="650">
        <f>100%-CC22</f>
        <v>0.11250000000000004</v>
      </c>
      <c r="CD25" s="651">
        <f>1-CD22</f>
        <v>0.11499999999999999</v>
      </c>
      <c r="CE25" s="651">
        <f>1-CE22</f>
        <v>0.11699999999999999</v>
      </c>
      <c r="CF25" s="651">
        <f>1-CF22</f>
        <v>0.14400000000000002</v>
      </c>
      <c r="CG25" s="649">
        <f>CG23/'P&amp;L'!CG$9</f>
        <v>0.12308377476795182</v>
      </c>
      <c r="CH25" s="645"/>
      <c r="CI25" s="652">
        <f>+CI23/CI29</f>
        <v>0.1077569364121409</v>
      </c>
      <c r="CJ25" s="653">
        <f>+CJ23/CJ29</f>
        <v>0.10887985112016084</v>
      </c>
      <c r="CK25" s="653">
        <f>+CK23/CK29</f>
        <v>0.1130231028705089</v>
      </c>
      <c r="CL25" s="653">
        <f>+CL23/CL29</f>
        <v>0.14100630330408381</v>
      </c>
      <c r="CM25" s="649">
        <f>CM23/'P&amp;L'!CM$9</f>
        <v>0.11852080293936786</v>
      </c>
      <c r="CN25" s="645"/>
      <c r="CO25" s="652">
        <f>+CO23/CO29</f>
        <v>0.10278267597447484</v>
      </c>
      <c r="CP25" s="653">
        <f>+CP23/CP29</f>
        <v>0.10670320567365718</v>
      </c>
      <c r="CQ25" s="653">
        <f>+CQ23/CQ29</f>
        <v>0.10894877713513693</v>
      </c>
      <c r="CR25" s="653">
        <f>+CR23/CR29</f>
        <v>0.1317685348650236</v>
      </c>
      <c r="CS25" s="649">
        <f>CS23/'P&amp;L'!CS$9</f>
        <v>0.1133086945845017</v>
      </c>
      <c r="CT25" s="645"/>
      <c r="CU25" s="652">
        <f>+CU23/CU29</f>
        <v>9.5040222671276306E-2</v>
      </c>
      <c r="CV25" s="653">
        <f>+CV23/CV29</f>
        <v>9.9210271814882997E-2</v>
      </c>
      <c r="CW25" s="653">
        <f>+CW23/CW29</f>
        <v>0.10150804847795915</v>
      </c>
      <c r="CX25" s="653">
        <f>+CX23/CX29</f>
        <v>0.12277835303420732</v>
      </c>
      <c r="CY25" s="649">
        <f>CY23/'P&amp;L'!CY$9</f>
        <v>0.10533336873832064</v>
      </c>
    </row>
    <row r="26" spans="1:106" s="35" customFormat="1" ht="11.25" customHeight="1" x14ac:dyDescent="0.2">
      <c r="A26" s="189" t="s">
        <v>195</v>
      </c>
      <c r="B26" s="189"/>
      <c r="C26" s="643"/>
      <c r="D26" s="643"/>
      <c r="E26" s="643"/>
      <c r="F26" s="643"/>
      <c r="G26" s="673"/>
      <c r="H26" s="645"/>
      <c r="I26" s="668"/>
      <c r="J26" s="643"/>
      <c r="K26" s="643"/>
      <c r="L26" s="643"/>
      <c r="M26" s="673"/>
      <c r="N26" s="645"/>
      <c r="O26" s="668"/>
      <c r="P26" s="643"/>
      <c r="Q26" s="643"/>
      <c r="R26" s="643"/>
      <c r="S26" s="673"/>
      <c r="T26" s="643"/>
      <c r="U26" s="668"/>
      <c r="V26" s="643"/>
      <c r="W26" s="643"/>
      <c r="X26" s="643"/>
      <c r="Y26" s="673"/>
      <c r="Z26" s="645"/>
      <c r="AA26" s="656">
        <f>+'P&amp;L'!AA$9*RevBuild!AA28</f>
        <v>2.0710599999999997</v>
      </c>
      <c r="AB26" s="654">
        <f>+'P&amp;L'!AB$9*RevBuild!AB28</f>
        <v>2.1788799999999999</v>
      </c>
      <c r="AC26" s="654">
        <f>+'P&amp;L'!AC$9*RevBuild!AC28</f>
        <v>2.3080000000000003</v>
      </c>
      <c r="AD26" s="654">
        <f>+'P&amp;L'!AD$9*RevBuild!AD28</f>
        <v>2.3718100000000004</v>
      </c>
      <c r="AE26" s="655">
        <f>+SUM(AA26:AD26)</f>
        <v>8.9297500000000003</v>
      </c>
      <c r="AF26" s="645"/>
      <c r="AG26" s="656">
        <f>+'P&amp;L'!AG$9*RevBuild!AG28</f>
        <v>0</v>
      </c>
      <c r="AH26" s="654">
        <f>+'P&amp;L'!AH$9*RevBuild!AH28</f>
        <v>0</v>
      </c>
      <c r="AI26" s="654">
        <f>+'P&amp;L'!AI$9*RevBuild!AI28</f>
        <v>0</v>
      </c>
      <c r="AJ26" s="654">
        <f>+'P&amp;L'!AJ$9*RevBuild!AJ28</f>
        <v>0</v>
      </c>
      <c r="AK26" s="655">
        <f>+SUM(AG26:AJ26)</f>
        <v>0</v>
      </c>
      <c r="AL26" s="645"/>
      <c r="AM26" s="656">
        <f>+'P&amp;L'!AM$9*RevBuild!AM28</f>
        <v>0</v>
      </c>
      <c r="AN26" s="654">
        <f>+'P&amp;L'!AN$9*RevBuild!AN28</f>
        <v>2.6271800000000001</v>
      </c>
      <c r="AO26" s="654">
        <f>+'P&amp;L'!AO$9*RevBuild!AO28</f>
        <v>0</v>
      </c>
      <c r="AP26" s="654">
        <f>+'P&amp;L'!AP$9*RevBuild!AP28</f>
        <v>0</v>
      </c>
      <c r="AQ26" s="655">
        <f>+SUM(AM26:AP26)</f>
        <v>2.6271800000000001</v>
      </c>
      <c r="AR26" s="645"/>
      <c r="AS26" s="656">
        <f>+'P&amp;L'!AS$9*RevBuild!AS28</f>
        <v>0</v>
      </c>
      <c r="AT26" s="654">
        <f>+'P&amp;L'!AT$9*RevBuild!AT28</f>
        <v>0</v>
      </c>
      <c r="AU26" s="654">
        <f>+'P&amp;L'!AU$9*RevBuild!AU28</f>
        <v>0</v>
      </c>
      <c r="AV26" s="654">
        <f>+'P&amp;L'!AV$9*RevBuild!AV28</f>
        <v>0</v>
      </c>
      <c r="AW26" s="655">
        <f>+SUM(AS26:AV26)</f>
        <v>0</v>
      </c>
      <c r="AX26" s="645"/>
      <c r="AY26" s="656">
        <f>+'P&amp;L'!AY$9*RevBuild!AY28</f>
        <v>0</v>
      </c>
      <c r="AZ26" s="654">
        <f>+'P&amp;L'!AZ$9*RevBuild!AZ28</f>
        <v>0</v>
      </c>
      <c r="BA26" s="654">
        <f>+'P&amp;L'!BA$9*RevBuild!BA28</f>
        <v>0</v>
      </c>
      <c r="BB26" s="654">
        <f>+'P&amp;L'!BB$9*RevBuild!BB28</f>
        <v>0</v>
      </c>
      <c r="BC26" s="655">
        <f>+SUM(AY26:BB26)</f>
        <v>0</v>
      </c>
      <c r="BD26" s="645"/>
      <c r="BE26" s="656">
        <f>+'P&amp;L'!BE$9*RevBuild!BE28</f>
        <v>0</v>
      </c>
      <c r="BF26" s="654">
        <f>+'P&amp;L'!BF$9*RevBuild!BF28</f>
        <v>0</v>
      </c>
      <c r="BG26" s="654">
        <f>+'P&amp;L'!BG$9*RevBuild!BG28</f>
        <v>0</v>
      </c>
      <c r="BH26" s="654">
        <f>+'P&amp;L'!BH$9*RevBuild!BH28</f>
        <v>0</v>
      </c>
      <c r="BI26" s="655">
        <f>+SUM(BE26:BH26)</f>
        <v>0</v>
      </c>
      <c r="BJ26" s="645"/>
      <c r="BK26" s="656">
        <f>+'P&amp;L'!BK$9*RevBuild!BK28</f>
        <v>0</v>
      </c>
      <c r="BL26" s="654">
        <f>+'P&amp;L'!BL$9*RevBuild!BL28</f>
        <v>0</v>
      </c>
      <c r="BM26" s="654">
        <f>+'P&amp;L'!BM$9*RevBuild!BM28</f>
        <v>0</v>
      </c>
      <c r="BN26" s="654">
        <f>+'P&amp;L'!BN$9*RevBuild!BN28</f>
        <v>0</v>
      </c>
      <c r="BO26" s="655">
        <f>+SUM(BK26:BN26)</f>
        <v>0</v>
      </c>
      <c r="BP26" s="645"/>
      <c r="BQ26" s="656">
        <f>+'P&amp;L'!BQ$9*RevBuild!BQ28</f>
        <v>0</v>
      </c>
      <c r="BR26" s="654">
        <f>+'P&amp;L'!BR$9*RevBuild!BR28</f>
        <v>0</v>
      </c>
      <c r="BS26" s="654">
        <f>+'P&amp;L'!BS$9*RevBuild!BS28</f>
        <v>0</v>
      </c>
      <c r="BT26" s="654">
        <f>+'P&amp;L'!BT$9*RevBuild!BT28</f>
        <v>0</v>
      </c>
      <c r="BU26" s="655">
        <f>+SUM(BQ26:BT26)</f>
        <v>0</v>
      </c>
      <c r="BV26" s="645"/>
      <c r="BW26" s="656">
        <f>+'P&amp;L'!BW$9*RevBuild!BW28</f>
        <v>0</v>
      </c>
      <c r="BX26" s="654">
        <f>+'P&amp;L'!BX$9*RevBuild!BX28</f>
        <v>0</v>
      </c>
      <c r="BY26" s="654">
        <f>+'P&amp;L'!BY$9*RevBuild!BY28</f>
        <v>0</v>
      </c>
      <c r="BZ26" s="654">
        <f>+'P&amp;L'!BZ$9*RevBuild!BZ28</f>
        <v>0</v>
      </c>
      <c r="CA26" s="655">
        <f>+SUM(BW26:BZ26)</f>
        <v>0</v>
      </c>
      <c r="CB26" s="645"/>
      <c r="CC26" s="656">
        <f>+'P&amp;L'!CC$9*RevBuild!CC28</f>
        <v>0</v>
      </c>
      <c r="CD26" s="654">
        <f>+'P&amp;L'!CD$9*RevBuild!CD28</f>
        <v>0</v>
      </c>
      <c r="CE26" s="654">
        <f>+'P&amp;L'!CE$9*RevBuild!CE28</f>
        <v>0</v>
      </c>
      <c r="CF26" s="654">
        <f>+'P&amp;L'!CF$9*RevBuild!CF28</f>
        <v>0</v>
      </c>
      <c r="CG26" s="655">
        <f>+SUM(CC26:CF26)</f>
        <v>0</v>
      </c>
      <c r="CH26" s="645"/>
      <c r="CI26" s="656">
        <v>0</v>
      </c>
      <c r="CJ26" s="654">
        <v>0</v>
      </c>
      <c r="CK26" s="654">
        <v>0</v>
      </c>
      <c r="CL26" s="654">
        <v>0</v>
      </c>
      <c r="CM26" s="655">
        <f>+SUM(CI26:CL26)</f>
        <v>0</v>
      </c>
      <c r="CN26" s="645"/>
      <c r="CO26" s="656">
        <v>0</v>
      </c>
      <c r="CP26" s="654">
        <v>0</v>
      </c>
      <c r="CQ26" s="654">
        <v>0</v>
      </c>
      <c r="CR26" s="654">
        <v>0</v>
      </c>
      <c r="CS26" s="655">
        <f>+SUM(CO26:CR26)</f>
        <v>0</v>
      </c>
      <c r="CT26" s="645"/>
      <c r="CU26" s="656">
        <v>0</v>
      </c>
      <c r="CV26" s="654">
        <v>0</v>
      </c>
      <c r="CW26" s="654">
        <v>0</v>
      </c>
      <c r="CX26" s="654">
        <v>0</v>
      </c>
      <c r="CY26" s="655">
        <f>+SUM(CU26:CX26)</f>
        <v>0</v>
      </c>
    </row>
    <row r="27" spans="1:106" s="35" customFormat="1" ht="11.25" customHeight="1" x14ac:dyDescent="0.2">
      <c r="A27" s="189" t="s">
        <v>212</v>
      </c>
      <c r="B27" s="189"/>
      <c r="C27" s="643"/>
      <c r="D27" s="643"/>
      <c r="E27" s="643"/>
      <c r="F27" s="643"/>
      <c r="G27" s="673"/>
      <c r="H27" s="645"/>
      <c r="I27" s="668"/>
      <c r="J27" s="643"/>
      <c r="K27" s="643"/>
      <c r="L27" s="643"/>
      <c r="M27" s="673"/>
      <c r="N27" s="645"/>
      <c r="O27" s="668"/>
      <c r="P27" s="643"/>
      <c r="Q27" s="643"/>
      <c r="R27" s="643"/>
      <c r="S27" s="673"/>
      <c r="T27" s="643"/>
      <c r="U27" s="668"/>
      <c r="V27" s="643"/>
      <c r="W27" s="643"/>
      <c r="X27" s="643"/>
      <c r="Y27" s="673"/>
      <c r="Z27" s="645"/>
      <c r="AA27" s="656"/>
      <c r="AB27" s="654"/>
      <c r="AC27" s="654"/>
      <c r="AD27" s="654"/>
      <c r="AE27" s="655"/>
      <c r="AF27" s="645"/>
      <c r="AG27" s="899"/>
      <c r="AH27" s="900"/>
      <c r="AI27" s="900"/>
      <c r="AJ27" s="900"/>
      <c r="AK27" s="901"/>
      <c r="AL27" s="645"/>
      <c r="AM27" s="899"/>
      <c r="AN27" s="900"/>
      <c r="AO27" s="900"/>
      <c r="AP27" s="900"/>
      <c r="AQ27" s="901"/>
      <c r="AR27" s="645"/>
      <c r="AS27" s="899"/>
      <c r="AT27" s="900"/>
      <c r="AU27" s="900"/>
      <c r="AV27" s="900"/>
      <c r="AW27" s="901"/>
      <c r="AX27" s="645"/>
      <c r="AY27" s="899"/>
      <c r="AZ27" s="900"/>
      <c r="BA27" s="900"/>
      <c r="BB27" s="900"/>
      <c r="BC27" s="901"/>
      <c r="BD27" s="645"/>
      <c r="BE27" s="899"/>
      <c r="BF27" s="900"/>
      <c r="BG27" s="900"/>
      <c r="BH27" s="900"/>
      <c r="BI27" s="901"/>
      <c r="BJ27" s="645"/>
      <c r="BK27" s="899"/>
      <c r="BL27" s="900"/>
      <c r="BM27" s="900"/>
      <c r="BN27" s="900"/>
      <c r="BO27" s="901"/>
      <c r="BP27" s="645"/>
      <c r="BQ27" s="899"/>
      <c r="BR27" s="900"/>
      <c r="BS27" s="900"/>
      <c r="BT27" s="900"/>
      <c r="BU27" s="901"/>
      <c r="BV27" s="645"/>
      <c r="BW27" s="899"/>
      <c r="BX27" s="900"/>
      <c r="BY27" s="900"/>
      <c r="BZ27" s="900"/>
      <c r="CA27" s="901"/>
      <c r="CB27" s="645"/>
      <c r="CC27" s="899"/>
      <c r="CD27" s="900"/>
      <c r="CE27" s="900"/>
      <c r="CF27" s="900"/>
      <c r="CG27" s="901"/>
      <c r="CH27" s="645"/>
      <c r="CI27" s="899"/>
      <c r="CJ27" s="900"/>
      <c r="CK27" s="900"/>
      <c r="CL27" s="900"/>
      <c r="CM27" s="901"/>
      <c r="CN27" s="645"/>
      <c r="CO27" s="899"/>
      <c r="CP27" s="900"/>
      <c r="CQ27" s="900"/>
      <c r="CR27" s="900"/>
      <c r="CS27" s="901"/>
      <c r="CT27" s="645"/>
      <c r="CU27" s="899"/>
      <c r="CV27" s="900"/>
      <c r="CW27" s="900"/>
      <c r="CX27" s="900"/>
      <c r="CY27" s="901"/>
    </row>
    <row r="28" spans="1:106" s="35" customFormat="1" ht="11.25" customHeight="1" x14ac:dyDescent="0.2">
      <c r="A28" s="678" t="s">
        <v>315</v>
      </c>
      <c r="B28" s="189"/>
      <c r="C28" s="643"/>
      <c r="D28" s="643"/>
      <c r="E28" s="643"/>
      <c r="F28" s="643"/>
      <c r="G28" s="673"/>
      <c r="H28" s="645"/>
      <c r="I28" s="668"/>
      <c r="J28" s="643"/>
      <c r="K28" s="643"/>
      <c r="L28" s="643"/>
      <c r="M28" s="673"/>
      <c r="N28" s="645"/>
      <c r="O28" s="668"/>
      <c r="P28" s="643"/>
      <c r="Q28" s="643"/>
      <c r="R28" s="643"/>
      <c r="S28" s="673"/>
      <c r="T28" s="643"/>
      <c r="U28" s="668"/>
      <c r="V28" s="643"/>
      <c r="W28" s="643"/>
      <c r="X28" s="643"/>
      <c r="Y28" s="673"/>
      <c r="Z28" s="645"/>
      <c r="AA28" s="650">
        <v>0.01</v>
      </c>
      <c r="AB28" s="651">
        <v>0.01</v>
      </c>
      <c r="AC28" s="651">
        <v>0.01</v>
      </c>
      <c r="AD28" s="651">
        <v>0.01</v>
      </c>
      <c r="AE28" s="849">
        <v>0</v>
      </c>
      <c r="AF28" s="645"/>
      <c r="AG28" s="650">
        <v>0</v>
      </c>
      <c r="AH28" s="651">
        <v>0</v>
      </c>
      <c r="AI28" s="651">
        <v>0</v>
      </c>
      <c r="AJ28" s="651">
        <v>0</v>
      </c>
      <c r="AK28" s="849">
        <v>0</v>
      </c>
      <c r="AL28" s="645"/>
      <c r="AM28" s="650">
        <v>0</v>
      </c>
      <c r="AN28" s="651">
        <v>0.01</v>
      </c>
      <c r="AO28" s="651">
        <v>0</v>
      </c>
      <c r="AP28" s="651">
        <v>0</v>
      </c>
      <c r="AQ28" s="849">
        <v>0</v>
      </c>
      <c r="AR28" s="645"/>
      <c r="AS28" s="650">
        <v>0</v>
      </c>
      <c r="AT28" s="651">
        <v>0</v>
      </c>
      <c r="AU28" s="651">
        <v>0</v>
      </c>
      <c r="AV28" s="651">
        <v>0</v>
      </c>
      <c r="AW28" s="649">
        <f>AW26/'P&amp;L'!AW$9</f>
        <v>0</v>
      </c>
      <c r="AX28" s="645"/>
      <c r="AY28" s="650">
        <v>0</v>
      </c>
      <c r="AZ28" s="651">
        <v>0</v>
      </c>
      <c r="BA28" s="651">
        <v>0</v>
      </c>
      <c r="BB28" s="651">
        <v>0</v>
      </c>
      <c r="BC28" s="649">
        <f>BC26/'P&amp;L'!BC$9</f>
        <v>0</v>
      </c>
      <c r="BD28" s="645"/>
      <c r="BE28" s="650">
        <v>0</v>
      </c>
      <c r="BF28" s="651">
        <v>0</v>
      </c>
      <c r="BG28" s="651">
        <v>0</v>
      </c>
      <c r="BH28" s="651">
        <v>0</v>
      </c>
      <c r="BI28" s="649">
        <f>BI26/'P&amp;L'!BI$9</f>
        <v>0</v>
      </c>
      <c r="BJ28" s="645"/>
      <c r="BK28" s="650">
        <v>0</v>
      </c>
      <c r="BL28" s="651">
        <v>0</v>
      </c>
      <c r="BM28" s="651">
        <v>0</v>
      </c>
      <c r="BN28" s="651">
        <v>0</v>
      </c>
      <c r="BO28" s="649">
        <f>BO26/'P&amp;L'!BO$9</f>
        <v>0</v>
      </c>
      <c r="BP28" s="645"/>
      <c r="BQ28" s="650">
        <v>0</v>
      </c>
      <c r="BR28" s="651">
        <v>0</v>
      </c>
      <c r="BS28" s="651">
        <v>0</v>
      </c>
      <c r="BT28" s="651">
        <v>0</v>
      </c>
      <c r="BU28" s="649">
        <f>BU26/'P&amp;L'!BU$9</f>
        <v>0</v>
      </c>
      <c r="BV28" s="645"/>
      <c r="BW28" s="650">
        <v>0</v>
      </c>
      <c r="BX28" s="651">
        <v>0</v>
      </c>
      <c r="BY28" s="651">
        <v>0</v>
      </c>
      <c r="BZ28" s="651">
        <v>0</v>
      </c>
      <c r="CA28" s="649">
        <f>CA26/'P&amp;L'!CA$9</f>
        <v>0</v>
      </c>
      <c r="CB28" s="645"/>
      <c r="CC28" s="650">
        <v>0</v>
      </c>
      <c r="CD28" s="651">
        <v>0</v>
      </c>
      <c r="CE28" s="651">
        <v>0</v>
      </c>
      <c r="CF28" s="651">
        <v>0</v>
      </c>
      <c r="CG28" s="649">
        <f>CG26/'P&amp;L'!CG$9</f>
        <v>0</v>
      </c>
      <c r="CH28" s="645"/>
      <c r="CI28" s="650">
        <v>0</v>
      </c>
      <c r="CJ28" s="651">
        <v>0</v>
      </c>
      <c r="CK28" s="651">
        <v>0</v>
      </c>
      <c r="CL28" s="651">
        <v>0</v>
      </c>
      <c r="CM28" s="649">
        <f>CM26/'P&amp;L'!CM$9</f>
        <v>0</v>
      </c>
      <c r="CN28" s="645"/>
      <c r="CO28" s="650">
        <v>0</v>
      </c>
      <c r="CP28" s="651">
        <v>0</v>
      </c>
      <c r="CQ28" s="651">
        <v>0</v>
      </c>
      <c r="CR28" s="651">
        <v>0</v>
      </c>
      <c r="CS28" s="649">
        <f>CS26/'P&amp;L'!CS$9</f>
        <v>0</v>
      </c>
      <c r="CT28" s="645"/>
      <c r="CU28" s="650">
        <v>0</v>
      </c>
      <c r="CV28" s="651">
        <v>0</v>
      </c>
      <c r="CW28" s="651">
        <v>0</v>
      </c>
      <c r="CX28" s="651">
        <v>0</v>
      </c>
      <c r="CY28" s="649">
        <f>CY26/'P&amp;L'!CY$9</f>
        <v>0</v>
      </c>
    </row>
    <row r="29" spans="1:106" ht="11.25" customHeight="1" x14ac:dyDescent="0.2">
      <c r="A29" s="675" t="s">
        <v>84</v>
      </c>
      <c r="B29" s="989"/>
      <c r="C29" s="670"/>
      <c r="D29" s="670"/>
      <c r="E29" s="670"/>
      <c r="F29" s="670"/>
      <c r="G29" s="674"/>
      <c r="H29" s="676"/>
      <c r="I29" s="669"/>
      <c r="J29" s="670"/>
      <c r="K29" s="670"/>
      <c r="L29" s="670"/>
      <c r="M29" s="674"/>
      <c r="N29" s="676"/>
      <c r="O29" s="669"/>
      <c r="P29" s="670"/>
      <c r="Q29" s="670"/>
      <c r="R29" s="670"/>
      <c r="S29" s="674"/>
      <c r="T29" s="670"/>
      <c r="U29" s="669"/>
      <c r="V29" s="670"/>
      <c r="W29" s="670"/>
      <c r="X29" s="670"/>
      <c r="Y29" s="674"/>
      <c r="Z29" s="676"/>
      <c r="AA29" s="572">
        <f>+AA20+AA23+AA26</f>
        <v>207.10599999999997</v>
      </c>
      <c r="AB29" s="570">
        <f>+AB20+AB23+AB26</f>
        <v>217.88799999999998</v>
      </c>
      <c r="AC29" s="570">
        <f>+AC20+AC23+AC26</f>
        <v>230.79999999999998</v>
      </c>
      <c r="AD29" s="570">
        <f>+AD20+AD23+AD26</f>
        <v>237.18100000000004</v>
      </c>
      <c r="AE29" s="571">
        <f>+AE20+AE23+AE26</f>
        <v>892.97500000000002</v>
      </c>
      <c r="AF29" s="676"/>
      <c r="AG29" s="572">
        <f>+AG20+AG23+AG26</f>
        <v>220.93299999999999</v>
      </c>
      <c r="AH29" s="570">
        <f>+AH20+AH23+AH26</f>
        <v>240.15599999999998</v>
      </c>
      <c r="AI29" s="570">
        <f>+AI20+AI23+AI26</f>
        <v>259.65899999999999</v>
      </c>
      <c r="AJ29" s="570">
        <f>+AJ20+AJ23+AJ26</f>
        <v>289.07700000000011</v>
      </c>
      <c r="AK29" s="571">
        <f>+AK20+AK23+AK26</f>
        <v>1009.8250000000002</v>
      </c>
      <c r="AL29" s="676"/>
      <c r="AM29" s="572">
        <f>+AM20+AM23+AM26</f>
        <v>264.36399999999998</v>
      </c>
      <c r="AN29" s="570">
        <f>+AN20+AN23+AN26</f>
        <v>262.71800000000002</v>
      </c>
      <c r="AO29" s="570">
        <f>+AO20+AO23+AO26</f>
        <v>274.31700000000001</v>
      </c>
      <c r="AP29" s="570">
        <f>+AP20+AP23+AP26</f>
        <v>286.03200000000004</v>
      </c>
      <c r="AQ29" s="571">
        <f>+AQ20+AQ23+AQ26</f>
        <v>1087.4309999999998</v>
      </c>
      <c r="AR29" s="676"/>
      <c r="AS29" s="572">
        <f>+AS20+AS23+AS26</f>
        <v>264.26499999999999</v>
      </c>
      <c r="AT29" s="570">
        <f>+AT20+AT23+AT26</f>
        <v>282.17700000000002</v>
      </c>
      <c r="AU29" s="570">
        <f>+AU20+AU23+AU26</f>
        <v>288.88499999999999</v>
      </c>
      <c r="AV29" s="570">
        <f>+AV20+AV23+AV26</f>
        <v>334.42000000000007</v>
      </c>
      <c r="AW29" s="571">
        <f>+AW20+AW23+AW26</f>
        <v>1169.7470000000001</v>
      </c>
      <c r="AX29" s="676"/>
      <c r="AY29" s="572">
        <f>+AY20+AY23+AY26</f>
        <v>296.42200000000003</v>
      </c>
      <c r="AZ29" s="570">
        <f>+AZ20+AZ23+AZ26</f>
        <v>307.21300000000002</v>
      </c>
      <c r="BA29" s="570">
        <f>+BA20+BA23+BA26</f>
        <v>304.28899999999999</v>
      </c>
      <c r="BB29" s="570">
        <f>+BB20+BB23+BB26</f>
        <v>346.53199999999993</v>
      </c>
      <c r="BC29" s="571">
        <f>+BC20+BC23+BC26</f>
        <v>1254.4560000000001</v>
      </c>
      <c r="BD29" s="676"/>
      <c r="BE29" s="572">
        <f>+BE20+BE23+BE26</f>
        <v>303.57600000000002</v>
      </c>
      <c r="BF29" s="570">
        <f>+BF20+BF23+BF26</f>
        <v>316.41199999999998</v>
      </c>
      <c r="BG29" s="570">
        <f>+BG20+BG23+BG26</f>
        <v>323.81099999999998</v>
      </c>
      <c r="BH29" s="570">
        <f>+BH20+BH23+BH26</f>
        <v>362.58499999999998</v>
      </c>
      <c r="BI29" s="571">
        <f>+BI20+BI23+BI26</f>
        <v>1306.384</v>
      </c>
      <c r="BJ29" s="676"/>
      <c r="BK29" s="572">
        <f>+BK20+BK23+BK26</f>
        <v>317.37299999999999</v>
      </c>
      <c r="BL29" s="570">
        <f>+BL20+BL23+BL26</f>
        <v>331.23699999999997</v>
      </c>
      <c r="BM29" s="570">
        <f>+BM20+BM23+BM26</f>
        <v>336.75700000000001</v>
      </c>
      <c r="BN29" s="570">
        <f>+BN20+BN23+BN26</f>
        <v>360.81</v>
      </c>
      <c r="BO29" s="571">
        <f>+BO20+BO23+BO26</f>
        <v>1346.1770000000001</v>
      </c>
      <c r="BP29" s="676"/>
      <c r="BQ29" s="570">
        <f>+BQ20+BQ23+BQ26</f>
        <v>298.72899999999998</v>
      </c>
      <c r="BR29" s="570">
        <f>+BR20+BR23+BR26</f>
        <v>319.45600000000002</v>
      </c>
      <c r="BS29" s="570">
        <f>+BS23+BS26+BS20</f>
        <v>314.56099999999998</v>
      </c>
      <c r="BT29" s="570">
        <f>+BT23+BT26+BT20</f>
        <v>348.5</v>
      </c>
      <c r="BU29" s="571">
        <f>+BU20+BU23+BU26</f>
        <v>1281.2459999999999</v>
      </c>
      <c r="BV29" s="1272"/>
      <c r="BW29" s="570">
        <f>+BW20+BW23+BW26</f>
        <v>298.37900000000002</v>
      </c>
      <c r="BX29" s="570">
        <f>+BX23+BX26+BX20</f>
        <v>334.41199999999998</v>
      </c>
      <c r="BY29" s="570">
        <f>+BY23+BY26+BY20</f>
        <v>338.685</v>
      </c>
      <c r="BZ29" s="570">
        <f>+BZ23+BZ26+BZ20</f>
        <v>366.51499999999999</v>
      </c>
      <c r="CA29" s="571">
        <f>+CA20+CA23+CA26</f>
        <v>1337.991</v>
      </c>
      <c r="CB29" s="1272"/>
      <c r="CC29" s="570">
        <f>+CC20+CC23+CC26</f>
        <v>308.30600000000004</v>
      </c>
      <c r="CD29" s="570">
        <f>+CD23+CD26+CD20</f>
        <v>349.60599999999999</v>
      </c>
      <c r="CE29" s="570">
        <f>+CE23+CE26+CE20</f>
        <v>364.4</v>
      </c>
      <c r="CF29" s="570">
        <f>+CF23+CF26+CF20</f>
        <v>397.113</v>
      </c>
      <c r="CG29" s="571">
        <f>+CG20+CG23+CG26</f>
        <v>1419.425</v>
      </c>
      <c r="CH29" s="1272"/>
      <c r="CI29" s="572">
        <f>+CI23+CI26+CI20</f>
        <v>342.19696843455813</v>
      </c>
      <c r="CJ29" s="570">
        <f>+CJ23+CJ26+CJ20</f>
        <v>390.00775350179219</v>
      </c>
      <c r="CK29" s="570">
        <f>+CK23+CK26+CK20</f>
        <v>402.97882791594219</v>
      </c>
      <c r="CL29" s="570">
        <f>+CL23+CL26+CL20</f>
        <v>429.55971751546917</v>
      </c>
      <c r="CM29" s="571">
        <f>+CM20+CM23+CM26</f>
        <v>1564.7432673677617</v>
      </c>
      <c r="CN29" s="1272"/>
      <c r="CO29" s="572">
        <f>+CO23+CO26+CO20</f>
        <v>379.92910533004368</v>
      </c>
      <c r="CP29" s="570">
        <f>+CP23+CP26+CP20</f>
        <v>419.47153094533905</v>
      </c>
      <c r="CQ29" s="570">
        <f>+CQ23+CQ26+CQ20</f>
        <v>427.04767623180248</v>
      </c>
      <c r="CR29" s="570">
        <f>+CR23+CR26+CR20</f>
        <v>467.60144526770449</v>
      </c>
      <c r="CS29" s="571">
        <f>+CS20+CS23+CS26</f>
        <v>1694.0497577748895</v>
      </c>
      <c r="CT29" s="1272"/>
      <c r="CU29" s="572">
        <f>+CU23+CU26+CU20</f>
        <v>420.64273199744497</v>
      </c>
      <c r="CV29" s="570">
        <f>+CV23+CV26+CV20</f>
        <v>461.70512762799592</v>
      </c>
      <c r="CW29" s="570">
        <f>+CW23+CW26+CW20</f>
        <v>469.00624704585181</v>
      </c>
      <c r="CX29" s="570">
        <f>+CX23+CX26+CX20</f>
        <v>513.09312042062402</v>
      </c>
      <c r="CY29" s="571">
        <f>+CY20+CY23+CY26</f>
        <v>1864.4472270919166</v>
      </c>
    </row>
    <row r="30" spans="1:106" x14ac:dyDescent="0.2">
      <c r="BU30" s="192"/>
      <c r="CG30" s="2047"/>
      <c r="DB30" s="222"/>
    </row>
    <row r="31" spans="1:106" ht="11.25" customHeight="1" x14ac:dyDescent="0.2">
      <c r="A31" s="1119" t="s">
        <v>432</v>
      </c>
      <c r="B31" s="577"/>
      <c r="C31" s="188"/>
      <c r="D31" s="188"/>
      <c r="E31" s="188"/>
      <c r="F31" s="188"/>
      <c r="G31" s="576"/>
      <c r="H31" s="575"/>
      <c r="I31" s="187"/>
      <c r="J31" s="188"/>
      <c r="K31" s="188"/>
      <c r="L31" s="188"/>
      <c r="M31" s="576"/>
      <c r="N31" s="575"/>
      <c r="O31" s="187"/>
      <c r="P31" s="188"/>
      <c r="Q31" s="188"/>
      <c r="R31" s="188"/>
      <c r="S31" s="576"/>
      <c r="T31" s="188"/>
      <c r="U31" s="187"/>
      <c r="V31" s="188"/>
      <c r="W31" s="188"/>
      <c r="X31" s="188"/>
      <c r="Y31" s="576"/>
      <c r="Z31" s="575"/>
      <c r="AA31" s="187"/>
      <c r="AB31" s="188"/>
      <c r="AC31" s="188"/>
      <c r="AD31" s="575"/>
      <c r="AE31" s="576"/>
      <c r="AF31" s="575"/>
      <c r="AG31" s="686"/>
      <c r="AH31" s="575"/>
      <c r="AI31" s="575"/>
      <c r="AJ31" s="679"/>
      <c r="AK31" s="576"/>
      <c r="AL31" s="575"/>
      <c r="AM31" s="686"/>
      <c r="AN31" s="575"/>
      <c r="AO31" s="575"/>
      <c r="AP31" s="575"/>
      <c r="AQ31" s="576"/>
      <c r="AR31" s="575"/>
      <c r="AS31" s="686"/>
      <c r="AT31" s="575"/>
      <c r="AU31" s="575"/>
      <c r="AV31" s="575"/>
      <c r="AW31" s="576"/>
      <c r="AX31" s="575"/>
      <c r="AY31" s="686"/>
      <c r="AZ31" s="575"/>
      <c r="BA31" s="575"/>
      <c r="BB31" s="575"/>
      <c r="BC31" s="577"/>
      <c r="BD31" s="575"/>
      <c r="BE31" s="686"/>
      <c r="BF31" s="575"/>
      <c r="BG31" s="575"/>
      <c r="BH31" s="575"/>
      <c r="BI31" s="577"/>
      <c r="BJ31" s="575"/>
      <c r="BK31" s="686"/>
      <c r="BL31" s="575"/>
      <c r="BM31" s="575"/>
      <c r="BN31" s="575"/>
      <c r="BO31" s="577"/>
      <c r="BP31" s="575"/>
      <c r="BQ31" s="686"/>
      <c r="BR31" s="575"/>
      <c r="BS31" s="575"/>
      <c r="BT31" s="575"/>
      <c r="BU31" s="577"/>
      <c r="BV31" s="575"/>
      <c r="BW31" s="686"/>
      <c r="BX31" s="577"/>
      <c r="BY31" s="577"/>
      <c r="BZ31" s="577"/>
      <c r="CA31" s="577"/>
      <c r="CB31" s="575"/>
      <c r="CC31" s="686"/>
      <c r="CD31" s="577"/>
      <c r="CE31" s="577"/>
      <c r="CF31" s="575"/>
      <c r="CG31" s="577"/>
      <c r="CH31" s="575"/>
      <c r="CI31" s="686"/>
      <c r="CJ31" s="575"/>
      <c r="CK31" s="575"/>
      <c r="CL31" s="575"/>
      <c r="CM31" s="577"/>
      <c r="CN31" s="575"/>
      <c r="CO31" s="686"/>
      <c r="CP31" s="575"/>
      <c r="CQ31" s="575"/>
      <c r="CR31" s="575"/>
      <c r="CS31" s="577"/>
      <c r="CT31" s="575"/>
      <c r="CU31" s="686"/>
      <c r="CV31" s="575"/>
      <c r="CW31" s="575"/>
      <c r="CX31" s="575"/>
      <c r="CY31" s="577"/>
      <c r="DB31" s="222"/>
    </row>
    <row r="32" spans="1:106" ht="11.25" customHeight="1" x14ac:dyDescent="0.2">
      <c r="A32" s="208" t="s">
        <v>189</v>
      </c>
      <c r="B32" s="58"/>
      <c r="C32" s="556"/>
      <c r="D32" s="556"/>
      <c r="E32" s="556"/>
      <c r="F32" s="556"/>
      <c r="G32" s="629"/>
      <c r="H32" s="557"/>
      <c r="I32" s="677"/>
      <c r="J32" s="556"/>
      <c r="K32" s="556"/>
      <c r="L32" s="556"/>
      <c r="M32" s="629"/>
      <c r="N32" s="557"/>
      <c r="O32" s="677"/>
      <c r="P32" s="556"/>
      <c r="Q32" s="556"/>
      <c r="R32" s="556"/>
      <c r="S32" s="629"/>
      <c r="T32" s="556"/>
      <c r="U32" s="677"/>
      <c r="V32" s="556"/>
      <c r="W32" s="556"/>
      <c r="X32" s="556"/>
      <c r="Y32" s="629"/>
      <c r="Z32" s="696"/>
      <c r="AA32" s="699">
        <f>+AA9</f>
        <v>100.06244943820224</v>
      </c>
      <c r="AB32" s="700">
        <f>+AB9</f>
        <v>100.70179475655432</v>
      </c>
      <c r="AC32" s="700">
        <f>+AC9</f>
        <v>103.86000000000001</v>
      </c>
      <c r="AD32" s="701">
        <f>+AD9</f>
        <v>106.99794550561801</v>
      </c>
      <c r="AE32" s="697">
        <f>+AE9</f>
        <v>411.62218970037458</v>
      </c>
      <c r="AF32" s="698"/>
      <c r="AG32" s="699">
        <f>+AG9</f>
        <v>101.62918000000001</v>
      </c>
      <c r="AH32" s="700">
        <f>+AH9</f>
        <v>115.27487999999998</v>
      </c>
      <c r="AI32" s="700">
        <f>+AI9</f>
        <v>129.8295</v>
      </c>
      <c r="AJ32" s="701">
        <f>+AJ9</f>
        <v>135.86619000000005</v>
      </c>
      <c r="AK32" s="697">
        <f>+AK9</f>
        <v>482.59975000000009</v>
      </c>
      <c r="AL32" s="698"/>
      <c r="AM32" s="699">
        <f>+AM9</f>
        <v>118.96379999999999</v>
      </c>
      <c r="AN32" s="700">
        <f>+AN9</f>
        <v>123.47746000000001</v>
      </c>
      <c r="AO32" s="700">
        <f>+AO9</f>
        <v>137.1585</v>
      </c>
      <c r="AP32" s="701">
        <f>+AP9</f>
        <v>137.29536000000002</v>
      </c>
      <c r="AQ32" s="697">
        <f>+AQ9</f>
        <v>516.89512000000002</v>
      </c>
      <c r="AR32" s="698"/>
      <c r="AS32" s="699">
        <f>+AS9</f>
        <v>116.27659999999999</v>
      </c>
      <c r="AT32" s="700">
        <f>+AT9</f>
        <v>129.80142000000001</v>
      </c>
      <c r="AU32" s="700">
        <f>+AU9</f>
        <v>132.8871</v>
      </c>
      <c r="AV32" s="701">
        <f>+AV9</f>
        <v>167.21000000000004</v>
      </c>
      <c r="AW32" s="697">
        <f>+AW9</f>
        <v>546.17511999999999</v>
      </c>
      <c r="AX32" s="698"/>
      <c r="AY32" s="699">
        <f>+AY9</f>
        <v>139.31834000000001</v>
      </c>
      <c r="AZ32" s="700">
        <f>+AZ9</f>
        <v>147.46224000000001</v>
      </c>
      <c r="BA32" s="700">
        <f>+BA9</f>
        <v>149.10160999999999</v>
      </c>
      <c r="BB32" s="701">
        <f>+BB9</f>
        <v>180.19663999999997</v>
      </c>
      <c r="BC32" s="697">
        <f>+BC9</f>
        <v>616.07882999999993</v>
      </c>
      <c r="BD32" s="697"/>
      <c r="BE32" s="699">
        <f>+BE9</f>
        <v>151.78800000000001</v>
      </c>
      <c r="BF32" s="700">
        <f>+BF9</f>
        <v>155.04187999999999</v>
      </c>
      <c r="BG32" s="700">
        <f>+BG9</f>
        <v>165.14361</v>
      </c>
      <c r="BH32" s="701">
        <f>+BH9</f>
        <v>184.91835</v>
      </c>
      <c r="BI32" s="697">
        <f>+BI9</f>
        <v>656.89184</v>
      </c>
      <c r="BJ32" s="697"/>
      <c r="BK32" s="699">
        <f>+BK9</f>
        <v>155.51276999999999</v>
      </c>
      <c r="BL32" s="700">
        <f>+BL9</f>
        <v>168.93087</v>
      </c>
      <c r="BM32" s="700">
        <f>+BM9</f>
        <v>175.11364</v>
      </c>
      <c r="BN32" s="701">
        <f>+BN9</f>
        <v>184.01310000000001</v>
      </c>
      <c r="BO32" s="697">
        <f>+BO9</f>
        <v>683.57038</v>
      </c>
      <c r="BP32" s="698"/>
      <c r="BQ32" s="699">
        <f>+BQ9</f>
        <v>143.38991999999999</v>
      </c>
      <c r="BR32" s="700">
        <f>+BR9</f>
        <v>159.72800000000001</v>
      </c>
      <c r="BS32" s="700">
        <f>+BS9</f>
        <v>154.13488999999998</v>
      </c>
      <c r="BT32" s="700">
        <f>+BT9</f>
        <v>170.76499999999999</v>
      </c>
      <c r="BU32" s="984">
        <f>SUM(BQ32:BT32)</f>
        <v>628.01781000000005</v>
      </c>
      <c r="BV32" s="985"/>
      <c r="BW32" s="981">
        <f>+BW9</f>
        <v>143.22192000000001</v>
      </c>
      <c r="BX32" s="700">
        <f>+BX9</f>
        <v>165.80195454675723</v>
      </c>
      <c r="BY32" s="700">
        <f>+BY9</f>
        <v>169.3425</v>
      </c>
      <c r="BZ32" s="700">
        <f>+BZ9</f>
        <v>183.25749999999999</v>
      </c>
      <c r="CA32" s="984">
        <f>SUM(BW32:BZ32)</f>
        <v>661.62387454675718</v>
      </c>
      <c r="CB32" s="985"/>
      <c r="CC32" s="981">
        <f>+CC9</f>
        <v>142.12906600000002</v>
      </c>
      <c r="CD32" s="700">
        <f>+CD9</f>
        <v>167.81088</v>
      </c>
      <c r="CE32" s="700">
        <f>+CE9</f>
        <v>179.64919999999998</v>
      </c>
      <c r="CF32" s="700">
        <f>+CF9</f>
        <v>192.99691799999999</v>
      </c>
      <c r="CG32" s="984">
        <f>SUM(CC32:CF32)</f>
        <v>682.58606400000008</v>
      </c>
      <c r="CH32" s="985"/>
      <c r="CI32" s="981">
        <f>CC32*(1+CI33)</f>
        <v>161.9088688145581</v>
      </c>
      <c r="CJ32" s="982">
        <f>CD32*(1+CJ33)</f>
        <v>191.7112303017922</v>
      </c>
      <c r="CK32" s="982">
        <f>CE32*(1+CK33)</f>
        <v>202.60073391594219</v>
      </c>
      <c r="CL32" s="982">
        <f>CF32*(1+CL33)</f>
        <v>213.0537099154692</v>
      </c>
      <c r="CM32" s="984">
        <f>SUM(CI32:CL32)</f>
        <v>769.27454294776169</v>
      </c>
      <c r="CN32" s="985"/>
      <c r="CO32" s="981">
        <f>CI32*(1+CO33)</f>
        <v>190.26131978024364</v>
      </c>
      <c r="CP32" s="982">
        <f>CJ32*(1+CP33)</f>
        <v>210.61493127143908</v>
      </c>
      <c r="CQ32" s="982">
        <f>CK32*(1+CQ33)</f>
        <v>215.96365599180254</v>
      </c>
      <c r="CR32" s="982">
        <f>CL32*(1+CR33)</f>
        <v>239.52277062170441</v>
      </c>
      <c r="CS32" s="984">
        <f>SUM(CO32:CR32)</f>
        <v>856.36267766518972</v>
      </c>
      <c r="CT32" s="985"/>
      <c r="CU32" s="981">
        <f>CO32*(1+CU33)</f>
        <v>221.22584271913695</v>
      </c>
      <c r="CV32" s="982">
        <f>CP32*(1+CV33)</f>
        <v>242.01908110601394</v>
      </c>
      <c r="CW32" s="982">
        <f>CQ32*(1+CW33)</f>
        <v>246.97511768865181</v>
      </c>
      <c r="CX32" s="982">
        <f>CR32*(1+CX33)</f>
        <v>273.22760774546396</v>
      </c>
      <c r="CY32" s="984">
        <f>SUM(CU32:CX32)</f>
        <v>983.44764925926665</v>
      </c>
      <c r="DB32" s="222"/>
    </row>
    <row r="33" spans="1:105" s="39" customFormat="1" ht="11.25" customHeight="1" x14ac:dyDescent="0.2">
      <c r="A33" s="354" t="s">
        <v>232</v>
      </c>
      <c r="B33" s="58"/>
      <c r="C33" s="558"/>
      <c r="D33" s="558"/>
      <c r="E33" s="558"/>
      <c r="F33" s="558"/>
      <c r="G33" s="629"/>
      <c r="H33" s="557"/>
      <c r="I33" s="704"/>
      <c r="J33" s="558"/>
      <c r="K33" s="558"/>
      <c r="L33" s="558"/>
      <c r="M33" s="629"/>
      <c r="N33" s="557"/>
      <c r="O33" s="704"/>
      <c r="P33" s="558"/>
      <c r="Q33" s="558"/>
      <c r="R33" s="558"/>
      <c r="S33" s="629"/>
      <c r="T33" s="558"/>
      <c r="U33" s="704"/>
      <c r="V33" s="558"/>
      <c r="W33" s="558"/>
      <c r="X33" s="558"/>
      <c r="Y33" s="629"/>
      <c r="Z33" s="557"/>
      <c r="AA33" s="694"/>
      <c r="AB33" s="583"/>
      <c r="AC33" s="583"/>
      <c r="AD33" s="589"/>
      <c r="AE33" s="705"/>
      <c r="AF33" s="706"/>
      <c r="AG33" s="694"/>
      <c r="AH33" s="583"/>
      <c r="AI33" s="583"/>
      <c r="AJ33" s="589"/>
      <c r="AK33" s="707"/>
      <c r="AL33" s="614"/>
      <c r="AM33" s="1107">
        <v>-2.2588384029427422E-2</v>
      </c>
      <c r="AN33" s="1105">
        <v>5.1215501193497159E-2</v>
      </c>
      <c r="AO33" s="1105">
        <v>-3.114207285731474E-2</v>
      </c>
      <c r="AP33" s="1105">
        <v>0.21788529488542085</v>
      </c>
      <c r="AQ33" s="708">
        <v>5.6645920743070732E-2</v>
      </c>
      <c r="AR33" s="614"/>
      <c r="AS33" s="586">
        <f>AS32/AM32-1</f>
        <v>-2.2588384029427422E-2</v>
      </c>
      <c r="AT33" s="587">
        <f>AT32/AN32-1</f>
        <v>5.1215501193497159E-2</v>
      </c>
      <c r="AU33" s="587">
        <f>AU32/AO32-1</f>
        <v>-3.114207285731474E-2</v>
      </c>
      <c r="AV33" s="587">
        <f>AV32/AP32-1</f>
        <v>0.21788529488542085</v>
      </c>
      <c r="AW33" s="708">
        <f>AW32/AQ32-1</f>
        <v>5.664592074307051E-2</v>
      </c>
      <c r="AX33" s="614"/>
      <c r="AY33" s="586">
        <f>AY32/AS32-1</f>
        <v>0.19816317298579444</v>
      </c>
      <c r="AZ33" s="587">
        <f>AZ32/AT32-1</f>
        <v>0.13606029887808613</v>
      </c>
      <c r="BA33" s="587">
        <f>BA32/AU32-1</f>
        <v>0.12201718601730338</v>
      </c>
      <c r="BB33" s="587">
        <f>BB32/AV32-1</f>
        <v>7.7666646731654465E-2</v>
      </c>
      <c r="BC33" s="708">
        <f>BC32/AW32-1</f>
        <v>0.12798772305849448</v>
      </c>
      <c r="BD33" s="614"/>
      <c r="BE33" s="586">
        <f>BE32/AY32-1</f>
        <v>8.9504798865676971E-2</v>
      </c>
      <c r="BF33" s="587">
        <f>BF32/AZ32-1</f>
        <v>5.1400548370891253E-2</v>
      </c>
      <c r="BG33" s="587">
        <f>BG32/BA32-1</f>
        <v>0.10759105820520642</v>
      </c>
      <c r="BH33" s="587">
        <f>BH32/BB32-1</f>
        <v>2.6203096794701786E-2</v>
      </c>
      <c r="BI33" s="708">
        <f>BI32/BC32-1</f>
        <v>6.624640875908705E-2</v>
      </c>
      <c r="BJ33" s="968"/>
      <c r="BK33" s="587">
        <f>BK32/BE32-1</f>
        <v>2.4539291643608019E-2</v>
      </c>
      <c r="BL33" s="587">
        <f>BL32/BF32-1</f>
        <v>8.9582182568993751E-2</v>
      </c>
      <c r="BM33" s="587">
        <f>BM32/BG32-1</f>
        <v>6.0371878754497343E-2</v>
      </c>
      <c r="BN33" s="587">
        <f>BN32/BH32-1</f>
        <v>-4.895403836341794E-3</v>
      </c>
      <c r="BO33" s="708">
        <f>BO32/BI32-1</f>
        <v>4.0613291832031218E-2</v>
      </c>
      <c r="BP33" s="614"/>
      <c r="BQ33" s="586">
        <f>BQ32/BK32-1</f>
        <v>-7.7954048403870657E-2</v>
      </c>
      <c r="BR33" s="587">
        <f>BR32/BL32-1</f>
        <v>-5.4477136120828495E-2</v>
      </c>
      <c r="BS33" s="587">
        <f>BS32/BM32-1</f>
        <v>-0.11980077622736884</v>
      </c>
      <c r="BT33" s="1111">
        <f>BT32/BN32-1</f>
        <v>-7.1995417717543031E-2</v>
      </c>
      <c r="BU33" s="708">
        <f>BU32/BO32-1</f>
        <v>-8.1268252143985475E-2</v>
      </c>
      <c r="BV33" s="614"/>
      <c r="BW33" s="586">
        <f>BW32/BQ32-1</f>
        <v>-1.1716304744432415E-3</v>
      </c>
      <c r="BX33" s="587">
        <f>BX32/BR32-1</f>
        <v>3.8026861581921922E-2</v>
      </c>
      <c r="BY33" s="587">
        <f>BY32/BS32-1</f>
        <v>9.8664293334234765E-2</v>
      </c>
      <c r="BZ33" s="587">
        <f>BZ32/BT32-1</f>
        <v>7.3156091704974724E-2</v>
      </c>
      <c r="CA33" s="708">
        <f>CA32/BU32-1</f>
        <v>5.3511324060629972E-2</v>
      </c>
      <c r="CB33" s="614"/>
      <c r="CC33" s="586">
        <f>CC32/BW32-1</f>
        <v>-7.6304939914224601E-3</v>
      </c>
      <c r="CD33" s="587">
        <f>CD32/BX32-1</f>
        <v>1.2116415989995133E-2</v>
      </c>
      <c r="CE33" s="587">
        <f>CE32/BY32-1</f>
        <v>6.0863043831288488E-2</v>
      </c>
      <c r="CF33" s="587">
        <f>CF32/BZ32-1</f>
        <v>5.3146081333642625E-2</v>
      </c>
      <c r="CG33" s="708">
        <f>CG32/CA32-1</f>
        <v>3.1682939899354334E-2</v>
      </c>
      <c r="CH33" s="614"/>
      <c r="CI33" s="586">
        <f>+CI34+CI35</f>
        <v>0.13916789416288777</v>
      </c>
      <c r="CJ33" s="587">
        <f>+CJ34+CJ35</f>
        <v>0.14242431898213148</v>
      </c>
      <c r="CK33" s="587">
        <f>+CK34+CK35</f>
        <v>0.12775750694098398</v>
      </c>
      <c r="CL33" s="587">
        <f>+CL34+CL35</f>
        <v>0.10392286116957172</v>
      </c>
      <c r="CM33" s="708">
        <f>CM32/CG32-1</f>
        <v>0.12700007152176718</v>
      </c>
      <c r="CN33" s="614"/>
      <c r="CO33" s="586">
        <f>+CO34+CO35</f>
        <v>0.17511363752506326</v>
      </c>
      <c r="CP33" s="587">
        <f>+CP34+CP35</f>
        <v>9.8605078794229417E-2</v>
      </c>
      <c r="CQ33" s="587">
        <f>+CQ34+CQ35</f>
        <v>6.5956928277488558E-2</v>
      </c>
      <c r="CR33" s="587">
        <f>+CR34+CR35</f>
        <v>0.1242365632437803</v>
      </c>
      <c r="CS33" s="708">
        <f>CS32/CM32-1</f>
        <v>0.11320813292965259</v>
      </c>
      <c r="CT33" s="614"/>
      <c r="CU33" s="586">
        <f>+CU34+CU35</f>
        <v>0.16274733600428126</v>
      </c>
      <c r="CV33" s="587">
        <f>+CV34+CV35</f>
        <v>0.1491069490894803</v>
      </c>
      <c r="CW33" s="587">
        <f>+CW34+CW35</f>
        <v>0.14359574324869917</v>
      </c>
      <c r="CX33" s="587">
        <f>+CX34+CX35</f>
        <v>0.14071663014032199</v>
      </c>
      <c r="CY33" s="708">
        <f>CY32/CS32-1</f>
        <v>0.14840087606405827</v>
      </c>
      <c r="DA33" s="48"/>
    </row>
    <row r="34" spans="1:105" ht="11.25" customHeight="1" outlineLevel="1" x14ac:dyDescent="0.2">
      <c r="A34" s="354" t="s">
        <v>230</v>
      </c>
      <c r="B34" s="58"/>
      <c r="C34" s="558"/>
      <c r="D34" s="558"/>
      <c r="E34" s="558"/>
      <c r="F34" s="558"/>
      <c r="G34" s="629"/>
      <c r="H34" s="557"/>
      <c r="I34" s="704"/>
      <c r="J34" s="558"/>
      <c r="K34" s="558"/>
      <c r="L34" s="558"/>
      <c r="M34" s="629"/>
      <c r="N34" s="557"/>
      <c r="O34" s="704"/>
      <c r="P34" s="558"/>
      <c r="Q34" s="558"/>
      <c r="R34" s="558"/>
      <c r="S34" s="629"/>
      <c r="T34" s="558"/>
      <c r="U34" s="704"/>
      <c r="V34" s="558"/>
      <c r="W34" s="558"/>
      <c r="X34" s="558"/>
      <c r="Y34" s="629"/>
      <c r="Z34" s="557"/>
      <c r="AA34" s="694"/>
      <c r="AB34" s="583"/>
      <c r="AC34" s="583"/>
      <c r="AD34" s="589"/>
      <c r="AE34" s="705"/>
      <c r="AF34" s="706"/>
      <c r="AG34" s="694"/>
      <c r="AH34" s="583"/>
      <c r="AI34" s="583"/>
      <c r="AJ34" s="589"/>
      <c r="AK34" s="707"/>
      <c r="AL34" s="614"/>
      <c r="AM34" s="586">
        <v>-2.5883840294274214E-3</v>
      </c>
      <c r="AN34" s="587">
        <v>3.1215501193497159E-2</v>
      </c>
      <c r="AO34" s="587">
        <v>1.8857927142685263E-2</v>
      </c>
      <c r="AP34" s="587">
        <f>AP33-AP35</f>
        <v>0.14788529488542085</v>
      </c>
      <c r="AQ34" s="708">
        <v>-1.3354079256929274E-2</v>
      </c>
      <c r="AR34" s="614"/>
      <c r="AS34" s="586">
        <f>AS33-AS35</f>
        <v>-2.5883840294274214E-3</v>
      </c>
      <c r="AT34" s="587">
        <f>AT33-AT35</f>
        <v>3.1215501193497159E-2</v>
      </c>
      <c r="AU34" s="587">
        <f>AU33-AU35</f>
        <v>1.8857927142685263E-2</v>
      </c>
      <c r="AV34" s="587">
        <f>AV33-AV35</f>
        <v>-8.2114705114579134E-2</v>
      </c>
      <c r="AW34" s="708">
        <f>AW33-AW35</f>
        <v>-1.3354079256929496E-2</v>
      </c>
      <c r="AX34" s="614"/>
      <c r="AY34" s="586">
        <f>AY33-AY35</f>
        <v>-1.1836827014205548E-2</v>
      </c>
      <c r="AZ34" s="587">
        <f>AZ33-AZ35</f>
        <v>-8.3939701121913873E-2</v>
      </c>
      <c r="BA34" s="587">
        <f>BA33-BA35</f>
        <v>-2.7982813982696614E-2</v>
      </c>
      <c r="BB34" s="587">
        <f>BB33-BB35</f>
        <v>1.7666646731654467E-2</v>
      </c>
      <c r="BC34" s="708">
        <f>BC33-BC35</f>
        <v>-2.201227694150551E-2</v>
      </c>
      <c r="BD34" s="614"/>
      <c r="BE34" s="586">
        <f>BE33-BE35</f>
        <v>-2.0495201134323029E-2</v>
      </c>
      <c r="BF34" s="587">
        <f>BF33-BF35</f>
        <v>1.1400548370891252E-2</v>
      </c>
      <c r="BG34" s="587">
        <f>BG33-BG35</f>
        <v>7.5910582052064191E-3</v>
      </c>
      <c r="BH34" s="587">
        <f>BH33-BH35</f>
        <v>-3.7969032052982132E-3</v>
      </c>
      <c r="BI34" s="708">
        <f>BI33-BI35</f>
        <v>-3.7535912409129568E-3</v>
      </c>
      <c r="BJ34" s="968"/>
      <c r="BK34" s="587">
        <f>BK33-BK35</f>
        <v>1.4539291643608019E-2</v>
      </c>
      <c r="BL34" s="587">
        <f>BL33-BL35</f>
        <v>9.5821825689937495E-3</v>
      </c>
      <c r="BM34" s="587">
        <f>BM33-BM35</f>
        <v>3.7187875449734564E-4</v>
      </c>
      <c r="BN34" s="587">
        <f>BN33-BN35</f>
        <v>-3.4895403836341793E-2</v>
      </c>
      <c r="BO34" s="708">
        <f>BO33-BO35</f>
        <v>6.1329183203121668E-4</v>
      </c>
      <c r="BP34" s="614"/>
      <c r="BQ34" s="586">
        <f>BQ33-BQ35</f>
        <v>-8.7954048403870652E-2</v>
      </c>
      <c r="BR34" s="587">
        <f>BR33-BR35</f>
        <v>-8.4477136120828494E-2</v>
      </c>
      <c r="BS34" s="587">
        <f>BS33-BS35</f>
        <v>-8.9800776227368845E-2</v>
      </c>
      <c r="BT34" s="587">
        <f>BT33-BT35</f>
        <v>-7.1995417717543031E-2</v>
      </c>
      <c r="BU34" s="708">
        <f>BU33-BU35</f>
        <v>-8.327191502943701E-2</v>
      </c>
      <c r="BV34" s="614"/>
      <c r="BW34" s="586">
        <f>BW33-BW35</f>
        <v>-2.1171630474443242E-2</v>
      </c>
      <c r="BX34" s="587">
        <f>BX33-BX35</f>
        <v>-5.973138418078075E-3</v>
      </c>
      <c r="BY34" s="587">
        <f>BY33-BY35</f>
        <v>8.6642933342347683E-3</v>
      </c>
      <c r="BZ34" s="587">
        <f>BZ33-BZ35</f>
        <v>-3.6843908295025277E-2</v>
      </c>
      <c r="CA34" s="708">
        <f>CA33-CA35</f>
        <v>-1.4244908043679297E-2</v>
      </c>
      <c r="CB34" s="614"/>
      <c r="CC34" s="586">
        <f>CC33-CC35</f>
        <v>-3.7630493991422459E-2</v>
      </c>
      <c r="CD34" s="587">
        <f>CD33-CD35</f>
        <v>-4.7883584010004865E-2</v>
      </c>
      <c r="CE34" s="587">
        <f>CE33-CE35</f>
        <v>-2.9136956168711509E-2</v>
      </c>
      <c r="CF34" s="587">
        <f>CF33-CF35</f>
        <v>1.3146081333642624E-2</v>
      </c>
      <c r="CG34" s="708">
        <f>CG33-CG35</f>
        <v>-2.3961817324719567E-2</v>
      </c>
      <c r="CH34" s="614"/>
      <c r="CI34" s="586">
        <f t="shared" ref="CI34:CX34" si="0">+CI$59</f>
        <v>0.05</v>
      </c>
      <c r="CJ34" s="587">
        <f t="shared" si="0"/>
        <v>4.4999999999999998E-2</v>
      </c>
      <c r="CK34" s="587">
        <f t="shared" si="0"/>
        <v>2.5000000000000001E-2</v>
      </c>
      <c r="CL34" s="587">
        <f t="shared" si="0"/>
        <v>0.02</v>
      </c>
      <c r="CM34" s="708">
        <f t="shared" ref="CM34" si="1">CM33-CM35</f>
        <v>3.3708732822883766E-2</v>
      </c>
      <c r="CN34" s="614"/>
      <c r="CO34" s="586">
        <f t="shared" ref="CO34" si="2">+CO$59</f>
        <v>0</v>
      </c>
      <c r="CP34" s="587">
        <f t="shared" si="0"/>
        <v>0</v>
      </c>
      <c r="CQ34" s="587">
        <f t="shared" si="0"/>
        <v>0</v>
      </c>
      <c r="CR34" s="587">
        <f t="shared" si="0"/>
        <v>0</v>
      </c>
      <c r="CS34" s="708">
        <f t="shared" ref="CS34" si="3">CS33-CS35</f>
        <v>0</v>
      </c>
      <c r="CT34" s="614"/>
      <c r="CU34" s="586">
        <f t="shared" ref="CU34" si="4">+CU$59</f>
        <v>0</v>
      </c>
      <c r="CV34" s="587">
        <f t="shared" si="0"/>
        <v>0</v>
      </c>
      <c r="CW34" s="587">
        <f t="shared" si="0"/>
        <v>0</v>
      </c>
      <c r="CX34" s="587">
        <f t="shared" si="0"/>
        <v>0</v>
      </c>
      <c r="CY34" s="708">
        <f t="shared" ref="CY34" si="5">CY33-CY35</f>
        <v>0</v>
      </c>
      <c r="DA34" s="551"/>
    </row>
    <row r="35" spans="1:105" ht="11.25" customHeight="1" outlineLevel="1" x14ac:dyDescent="0.2">
      <c r="A35" s="354" t="s">
        <v>233</v>
      </c>
      <c r="B35" s="58"/>
      <c r="C35" s="558"/>
      <c r="D35" s="558"/>
      <c r="E35" s="558"/>
      <c r="F35" s="558"/>
      <c r="G35" s="629"/>
      <c r="H35" s="557"/>
      <c r="I35" s="704"/>
      <c r="J35" s="558"/>
      <c r="K35" s="558"/>
      <c r="L35" s="558"/>
      <c r="M35" s="629"/>
      <c r="N35" s="557"/>
      <c r="O35" s="704"/>
      <c r="P35" s="558"/>
      <c r="Q35" s="558"/>
      <c r="R35" s="558"/>
      <c r="S35" s="629"/>
      <c r="T35" s="558"/>
      <c r="U35" s="704"/>
      <c r="V35" s="558"/>
      <c r="W35" s="558"/>
      <c r="X35" s="558"/>
      <c r="Y35" s="629"/>
      <c r="Z35" s="557"/>
      <c r="AA35" s="694"/>
      <c r="AB35" s="583"/>
      <c r="AC35" s="583"/>
      <c r="AD35" s="589"/>
      <c r="AE35" s="705"/>
      <c r="AF35" s="706"/>
      <c r="AG35" s="694"/>
      <c r="AH35" s="583"/>
      <c r="AI35" s="583"/>
      <c r="AJ35" s="589"/>
      <c r="AK35" s="707"/>
      <c r="AL35" s="614"/>
      <c r="AM35" s="1107">
        <v>0.15</v>
      </c>
      <c r="AN35" s="1105">
        <v>0.12</v>
      </c>
      <c r="AO35" s="1105">
        <v>0.09</v>
      </c>
      <c r="AP35" s="1105">
        <v>7.0000000000000007E-2</v>
      </c>
      <c r="AQ35" s="1710">
        <v>0.08</v>
      </c>
      <c r="AR35" s="1717"/>
      <c r="AS35" s="1107">
        <v>-0.02</v>
      </c>
      <c r="AT35" s="1105">
        <v>0.02</v>
      </c>
      <c r="AU35" s="1105">
        <v>-0.05</v>
      </c>
      <c r="AV35" s="1105">
        <v>0.3</v>
      </c>
      <c r="AW35" s="1710">
        <v>7.0000000000000007E-2</v>
      </c>
      <c r="AX35" s="1717"/>
      <c r="AY35" s="1107">
        <v>0.21</v>
      </c>
      <c r="AZ35" s="1105">
        <v>0.22</v>
      </c>
      <c r="BA35" s="1105">
        <v>0.15</v>
      </c>
      <c r="BB35" s="1105">
        <v>0.06</v>
      </c>
      <c r="BC35" s="1710">
        <v>0.15</v>
      </c>
      <c r="BD35" s="1717"/>
      <c r="BE35" s="1107">
        <v>0.11</v>
      </c>
      <c r="BF35" s="1105">
        <v>0.04</v>
      </c>
      <c r="BG35" s="1105">
        <v>0.1</v>
      </c>
      <c r="BH35" s="1105">
        <v>0.03</v>
      </c>
      <c r="BI35" s="1710">
        <v>7.0000000000000007E-2</v>
      </c>
      <c r="BJ35" s="1718"/>
      <c r="BK35" s="1105">
        <v>0.01</v>
      </c>
      <c r="BL35" s="1105">
        <v>0.08</v>
      </c>
      <c r="BM35" s="1105">
        <v>0.06</v>
      </c>
      <c r="BN35" s="1105">
        <v>0.03</v>
      </c>
      <c r="BO35" s="1710">
        <v>0.04</v>
      </c>
      <c r="BP35" s="1717"/>
      <c r="BQ35" s="1107">
        <v>0.01</v>
      </c>
      <c r="BR35" s="1105">
        <v>0.03</v>
      </c>
      <c r="BS35" s="1105">
        <v>-0.03</v>
      </c>
      <c r="BT35" s="1105">
        <v>0</v>
      </c>
      <c r="BU35" s="1261">
        <f>SUMPRODUCT(BQ35:BT35,BK$32:BN$32)/SUM(BK$32:BN$32)</f>
        <v>2.0036628854515318E-3</v>
      </c>
      <c r="BV35" s="614"/>
      <c r="BW35" s="1107">
        <v>0.02</v>
      </c>
      <c r="BX35" s="1105">
        <v>4.3999999999999997E-2</v>
      </c>
      <c r="BY35" s="1105">
        <v>0.09</v>
      </c>
      <c r="BZ35" s="1105">
        <v>0.11</v>
      </c>
      <c r="CA35" s="1261">
        <f>SUMPRODUCT(BW35:BZ35,BQ$32:BT$32)/SUM(BQ$32:BT$32)</f>
        <v>6.7756232104309269E-2</v>
      </c>
      <c r="CB35" s="614"/>
      <c r="CC35" s="1107">
        <v>0.03</v>
      </c>
      <c r="CD35" s="1105">
        <v>0.06</v>
      </c>
      <c r="CE35" s="1105">
        <v>0.09</v>
      </c>
      <c r="CF35" s="1105">
        <v>0.04</v>
      </c>
      <c r="CG35" s="708">
        <f>SUMPRODUCT(CC35:CF35,BW$32:BZ$32)/SUM(BW$32:BZ$32)</f>
        <v>5.5644757224073901E-2</v>
      </c>
      <c r="CH35" s="614"/>
      <c r="CI35" s="1115">
        <f>+(CI29-CI39-CI45-CI51)/CC32-1-CI34</f>
        <v>8.916789416288777E-2</v>
      </c>
      <c r="CJ35" s="1114">
        <f>+(CJ29-CJ39-CJ45-CJ51)/CD32-1-CJ34</f>
        <v>9.7424318982131483E-2</v>
      </c>
      <c r="CK35" s="1114">
        <f>+(CK29-CK39-CK45-CK51)/CE32-1-CK34</f>
        <v>0.10275750694098398</v>
      </c>
      <c r="CL35" s="1114">
        <f>+(CL29-CL39-CL45-CL51)/CF32-1-CL34</f>
        <v>8.3922861169571719E-2</v>
      </c>
      <c r="CM35" s="708">
        <f>SUMPRODUCT(CI35:CL35,CC$32:CF$32)/SUM(CC$32:CF$32)</f>
        <v>9.3291338698883411E-2</v>
      </c>
      <c r="CN35" s="614"/>
      <c r="CO35" s="1115">
        <f>+(CO29-CO39-CO45-CO51)/CI32-1-CO34</f>
        <v>0.17511363752506326</v>
      </c>
      <c r="CP35" s="1114">
        <f>+(CP29-CP39-CP45-CP51)/CJ32-1-CP34</f>
        <v>9.8605078794229417E-2</v>
      </c>
      <c r="CQ35" s="1114">
        <f>+(CQ29-CQ39-CQ45-CQ51)/CK32-1-CQ34</f>
        <v>6.5956928277488558E-2</v>
      </c>
      <c r="CR35" s="1114">
        <f>+(CR29-CR39-CR45-CR51)/CL32-1-CR34</f>
        <v>0.1242365632437803</v>
      </c>
      <c r="CS35" s="708">
        <f>SUMPRODUCT(CO35:CR35,CI$32:CL$32)/SUM(CI$32:CL$32)</f>
        <v>0.11320813292965264</v>
      </c>
      <c r="CT35" s="614"/>
      <c r="CU35" s="1115">
        <f>+(CU29-CU39-CU45-CU51)/CO32-1-CU34</f>
        <v>0.16274733600428126</v>
      </c>
      <c r="CV35" s="1114">
        <f>+(CV29-CV39-CV45-CV51)/CP32-1-CV34</f>
        <v>0.1491069490894803</v>
      </c>
      <c r="CW35" s="1114">
        <f>+(CW29-CW39-CW45-CW51)/CQ32-1-CW34</f>
        <v>0.14359574324869917</v>
      </c>
      <c r="CX35" s="1114">
        <f>+(CX29-CX39-CX45-CX51)/CR32-1-CX34</f>
        <v>0.14071663014032199</v>
      </c>
      <c r="CY35" s="708">
        <f>SUMPRODUCT(CU35:CX35,CO$32:CR$32)/SUM(CO$32:CR$32)</f>
        <v>0.14840087606405838</v>
      </c>
      <c r="DA35" s="1763"/>
    </row>
    <row r="36" spans="1:105" ht="11.25" customHeight="1" outlineLevel="1" x14ac:dyDescent="0.2">
      <c r="A36" s="354" t="s">
        <v>231</v>
      </c>
      <c r="B36" s="58"/>
      <c r="C36" s="558"/>
      <c r="D36" s="558"/>
      <c r="E36" s="558"/>
      <c r="F36" s="558"/>
      <c r="G36" s="629"/>
      <c r="H36" s="557"/>
      <c r="I36" s="704"/>
      <c r="J36" s="558"/>
      <c r="K36" s="558"/>
      <c r="L36" s="558"/>
      <c r="M36" s="629"/>
      <c r="N36" s="557"/>
      <c r="O36" s="704"/>
      <c r="P36" s="558"/>
      <c r="Q36" s="558"/>
      <c r="R36" s="558"/>
      <c r="S36" s="629"/>
      <c r="T36" s="558"/>
      <c r="U36" s="704"/>
      <c r="V36" s="558"/>
      <c r="W36" s="558"/>
      <c r="X36" s="558"/>
      <c r="Y36" s="629"/>
      <c r="Z36" s="557"/>
      <c r="AA36" s="694"/>
      <c r="AB36" s="583"/>
      <c r="AC36" s="583"/>
      <c r="AD36" s="589"/>
      <c r="AE36" s="705"/>
      <c r="AF36" s="706"/>
      <c r="AG36" s="694"/>
      <c r="AH36" s="583"/>
      <c r="AI36" s="583"/>
      <c r="AJ36" s="589"/>
      <c r="AK36" s="707"/>
      <c r="AL36" s="614"/>
      <c r="AM36" s="586"/>
      <c r="AN36" s="587"/>
      <c r="AO36" s="587"/>
      <c r="AP36" s="587"/>
      <c r="AQ36" s="708"/>
      <c r="AR36" s="614"/>
      <c r="AS36" s="1115">
        <f>+(AS$61*AS$17*(AS10+AS16))/AM32</f>
        <v>0</v>
      </c>
      <c r="AT36" s="1114">
        <f>+(AT61*AT$17*(AT10+AT16))/AN32</f>
        <v>0</v>
      </c>
      <c r="AU36" s="1114">
        <f>+(AU61*AU$17*(AU10+AU16))/AO32</f>
        <v>6.0658931090672476E-2</v>
      </c>
      <c r="AV36" s="1114">
        <f>+(AV61*AV$17*(AV10+AV16))/AP32</f>
        <v>0.10814821418582538</v>
      </c>
      <c r="AW36" s="1261">
        <f>SUMPRODUCT(AS36:AV36,AM32:AP32)/SUM(AM32:AP32)</f>
        <v>4.4821734823110734E-2</v>
      </c>
      <c r="AX36" s="1647"/>
      <c r="AY36" s="1115">
        <f>+(AY61*AY$17*(AY10+AY16))/AS32</f>
        <v>0.13026837902037042</v>
      </c>
      <c r="AZ36" s="1114">
        <f>+(AZ61*AZ$17*(AZ10+AZ16))/AT32</f>
        <v>0.15336814034854163</v>
      </c>
      <c r="BA36" s="1110">
        <f>+(Growth_Drivers!BA315)/AU32</f>
        <v>3.1417647010131153E-2</v>
      </c>
      <c r="BB36" s="1110">
        <f>+(Growth_Drivers!BB315)/AV32</f>
        <v>2.4968602356318394E-2</v>
      </c>
      <c r="BC36" s="1261">
        <f>SUMPRODUCT(AY36:BB36,AS32:AV32)/SUM(AS32:AV32)</f>
        <v>7.9470054586155442E-2</v>
      </c>
      <c r="BD36" s="1647"/>
      <c r="BE36" s="1109">
        <f>+(Growth_Drivers!BE315)/AY32</f>
        <v>2.7659574468085108E-2</v>
      </c>
      <c r="BF36" s="1110">
        <f>+((Growth_Drivers!BF147*Growth_Drivers!BF140)/AZ32)</f>
        <v>0</v>
      </c>
      <c r="BG36" s="1110">
        <f>+((Growth_Drivers!BG147*Growth_Drivers!BG140)/BA32)+((Growth_Drivers!BG144*Growth_Drivers!BG140)/BA32)</f>
        <v>2.431227939121516E-3</v>
      </c>
      <c r="BH36" s="1110">
        <f>+((Growth_Drivers!BH147*Growth_Drivers!BH140)/BB32)+((Growth_Drivers!BH144*Growth_Drivers!BH140)/BB32)</f>
        <v>2.3585345431524143E-3</v>
      </c>
      <c r="BI36" s="1261">
        <f>SUMPRODUCT(BE36:BH36,AY32:BB32)/SUM(AY32:BB32)</f>
        <v>7.5331041646082876E-3</v>
      </c>
      <c r="BJ36" s="1648"/>
      <c r="BK36" s="1110">
        <f>+((Growth_Drivers!BK147*Growth_Drivers!BK140)/BE32)+((Growth_Drivers!BK144*Growth_Drivers!BK140)/BE32)</f>
        <v>3.4587714443829552E-3</v>
      </c>
      <c r="BL36" s="1110">
        <f>+((Growth_Drivers!BL144*Growth_Drivers!BL140)/BF32)</f>
        <v>7.2561039636516271E-4</v>
      </c>
      <c r="BM36" s="910">
        <v>0</v>
      </c>
      <c r="BN36" s="910">
        <v>0</v>
      </c>
      <c r="BO36" s="708">
        <f>SUMPRODUCT(BK36:BN36,BE32:BH32)/SUM(BE32:BH32)</f>
        <v>9.7047940190579923E-4</v>
      </c>
      <c r="BP36" s="614"/>
      <c r="BQ36" s="1109">
        <f>+((Growth_Drivers!BQ238*Growth_Drivers!BQ231)/BK32)</f>
        <v>4.7002818482366438E-3</v>
      </c>
      <c r="BR36" s="1110">
        <f>+((Growth_Drivers!BR238*Growth_Drivers!BR231)/BL32)</f>
        <v>8.077352833736071E-3</v>
      </c>
      <c r="BS36" s="1110">
        <f>+((Growth_Drivers!BS238*Growth_Drivers!BS231)/BM32)</f>
        <v>7.1382217855787819E-3</v>
      </c>
      <c r="BT36" s="1110">
        <f>+((Growth_Drivers!BT238*Growth_Drivers!BT231)/BN32)</f>
        <v>8.445322642790104E-3</v>
      </c>
      <c r="BU36" s="708">
        <f>SUMPRODUCT(BQ36:BT36,BK$32:BN$32)/SUM(BK$32:BN$32)</f>
        <v>7.1675400731962659E-3</v>
      </c>
      <c r="BV36" s="614"/>
      <c r="BW36" s="1109">
        <f>+((Growth_Drivers!BW$318*Growth_Drivers!BW307)/BQ32)</f>
        <v>4.1666666666666666E-3</v>
      </c>
      <c r="BX36" s="1110">
        <f>+((Growth_Drivers!BX307*Growth_Drivers!BX$318)/BR32)</f>
        <v>5.9999999999999993E-3</v>
      </c>
      <c r="BY36" s="1110">
        <f>+((((Growth_Drivers!BY$318+Growth_Drivers!BY$321)*Growth_Drivers!BY307)/BS32))</f>
        <v>7.0483879412377047E-3</v>
      </c>
      <c r="BZ36" s="1110">
        <f>+((((Growth_Drivers!BZ$318*50%+Growth_Drivers!BZ$321)*Growth_Drivers!BZ307)/BT32))</f>
        <v>7.0850291336046634E-3</v>
      </c>
      <c r="CA36" s="708">
        <f>SUMPRODUCT(BW36:BZ36,BQ32:BT32)/SUM(BQ32:BT32)</f>
        <v>6.1337488183655173E-3</v>
      </c>
      <c r="CB36" s="614"/>
      <c r="CC36" s="1109">
        <f>+((Growth_Drivers!CC$321*Growth_Drivers!CC307)+(Growth_Drivers!CC$150*0%))/BW32</f>
        <v>5.5857371553181242E-3</v>
      </c>
      <c r="CD36" s="1110">
        <f>+((Growth_Drivers!CD$321*Growth_Drivers!CD307)+(Growth_Drivers!CD$150*0%))/BX32-1.25%</f>
        <v>-6.4687080123172289E-3</v>
      </c>
      <c r="CE36" s="1110">
        <f>+((Growth_Drivers!CE$150*0%))/BY32</f>
        <v>0</v>
      </c>
      <c r="CF36" s="1110">
        <f>+((Growth_Drivers!CF$150*0%))/BZ32</f>
        <v>0</v>
      </c>
      <c r="CG36" s="708">
        <f>SUMPRODUCT(CC36:CF36,BW32:BZ32)/SUM(BW32:BZ32)</f>
        <v>-4.1190235467418294E-4</v>
      </c>
      <c r="CH36" s="614"/>
      <c r="CI36" s="909">
        <v>0</v>
      </c>
      <c r="CJ36" s="910">
        <v>0</v>
      </c>
      <c r="CK36" s="1110">
        <f>+((Growth_Drivers!CK$69))/CE32</f>
        <v>1.0854487523462394E-2</v>
      </c>
      <c r="CL36" s="1110">
        <f>+((Growth_Drivers!CL$69))/CF32</f>
        <v>1.8264540369499579E-2</v>
      </c>
      <c r="CM36" s="708">
        <f>SUMPRODUCT(CI36:CL36,CC32:CF32)/SUM(CC32:CF32)</f>
        <v>8.020966569279385E-3</v>
      </c>
      <c r="CN36" s="614"/>
      <c r="CO36" s="1109">
        <f>+((Growth_Drivers!CO$69))/CI32</f>
        <v>2.1647980284603449E-2</v>
      </c>
      <c r="CP36" s="1110">
        <f>+((Growth_Drivers!CP$69))/CJ32</f>
        <v>3.6017712625025337E-2</v>
      </c>
      <c r="CQ36" s="910">
        <v>0</v>
      </c>
      <c r="CR36" s="910">
        <v>0</v>
      </c>
      <c r="CS36" s="708">
        <f>SUMPRODUCT(CO36:CR36,CI32:CL32)/SUM(CI32:CL32)</f>
        <v>1.3532229937195389E-2</v>
      </c>
      <c r="CT36" s="614"/>
      <c r="CU36" s="909">
        <v>0</v>
      </c>
      <c r="CV36" s="910">
        <v>0</v>
      </c>
      <c r="CW36" s="910">
        <v>0</v>
      </c>
      <c r="CX36" s="910">
        <v>0</v>
      </c>
      <c r="CY36" s="708">
        <f>SUMPRODUCT(CU36:CX36,CO32:CR32)/SUM(CO32:CR32)</f>
        <v>0</v>
      </c>
    </row>
    <row r="37" spans="1:105" s="39" customFormat="1" ht="11.25" customHeight="1" x14ac:dyDescent="0.2">
      <c r="A37" s="58" t="s">
        <v>234</v>
      </c>
      <c r="B37" s="58"/>
      <c r="C37" s="558"/>
      <c r="D37" s="558"/>
      <c r="E37" s="558"/>
      <c r="F37" s="558"/>
      <c r="G37" s="629"/>
      <c r="H37" s="557"/>
      <c r="I37" s="704"/>
      <c r="J37" s="558"/>
      <c r="K37" s="558"/>
      <c r="L37" s="558"/>
      <c r="M37" s="629"/>
      <c r="N37" s="557"/>
      <c r="O37" s="704"/>
      <c r="P37" s="558"/>
      <c r="Q37" s="558"/>
      <c r="R37" s="558"/>
      <c r="S37" s="629"/>
      <c r="T37" s="558"/>
      <c r="U37" s="704"/>
      <c r="V37" s="558"/>
      <c r="W37" s="558"/>
      <c r="X37" s="558"/>
      <c r="Y37" s="629"/>
      <c r="Z37" s="557"/>
      <c r="AA37" s="694"/>
      <c r="AB37" s="583"/>
      <c r="AC37" s="583"/>
      <c r="AD37" s="589"/>
      <c r="AE37" s="705"/>
      <c r="AF37" s="706"/>
      <c r="AG37" s="694"/>
      <c r="AH37" s="583"/>
      <c r="AI37" s="583"/>
      <c r="AJ37" s="589"/>
      <c r="AK37" s="707"/>
      <c r="AL37" s="614"/>
      <c r="AM37" s="586">
        <f>+AM35-AM36</f>
        <v>0.15</v>
      </c>
      <c r="AN37" s="587">
        <f>+AN35-AN36</f>
        <v>0.12</v>
      </c>
      <c r="AO37" s="587">
        <f>+AO35-AO36</f>
        <v>0.09</v>
      </c>
      <c r="AP37" s="587">
        <f>+AP35-AP36</f>
        <v>7.0000000000000007E-2</v>
      </c>
      <c r="AQ37" s="708">
        <f>+AQ35-AQ36</f>
        <v>0.08</v>
      </c>
      <c r="AR37" s="614"/>
      <c r="AS37" s="586">
        <f>+AS35-AS36</f>
        <v>-0.02</v>
      </c>
      <c r="AT37" s="587">
        <f>+AT35-AT36</f>
        <v>0.02</v>
      </c>
      <c r="AU37" s="587">
        <f>+AU35-AU36</f>
        <v>-0.11065893109067249</v>
      </c>
      <c r="AV37" s="587">
        <f>+AV35-AV36</f>
        <v>0.19185178581417461</v>
      </c>
      <c r="AW37" s="708">
        <f>+AW35-AW36</f>
        <v>2.5178265176889272E-2</v>
      </c>
      <c r="AX37" s="614"/>
      <c r="AY37" s="586">
        <f>+AY35-AY36</f>
        <v>7.9731620979629575E-2</v>
      </c>
      <c r="AZ37" s="587">
        <f>+AZ35-AZ36</f>
        <v>6.6631859651458375E-2</v>
      </c>
      <c r="BA37" s="587">
        <f>+BA35-BA36</f>
        <v>0.11858235298986884</v>
      </c>
      <c r="BB37" s="587">
        <f>+BB35-BB36</f>
        <v>3.50313976436816E-2</v>
      </c>
      <c r="BC37" s="708">
        <f>+BC35-BC36</f>
        <v>7.0529945413844553E-2</v>
      </c>
      <c r="BD37" s="614"/>
      <c r="BE37" s="586">
        <f>+BE35-BE36</f>
        <v>8.2340425531914896E-2</v>
      </c>
      <c r="BF37" s="587">
        <f>+BF35-BF36</f>
        <v>0.04</v>
      </c>
      <c r="BG37" s="587">
        <f>+BG35-BG36</f>
        <v>9.7568772060878495E-2</v>
      </c>
      <c r="BH37" s="587">
        <f>+BH35-BH36</f>
        <v>2.7641465456847585E-2</v>
      </c>
      <c r="BI37" s="708">
        <f>+BI35-BI36</f>
        <v>6.2466895835391723E-2</v>
      </c>
      <c r="BJ37" s="968"/>
      <c r="BK37" s="586">
        <f>+BK35-BK36</f>
        <v>6.5412285556170451E-3</v>
      </c>
      <c r="BL37" s="587">
        <f>+BL35-BL36</f>
        <v>7.9274389603634837E-2</v>
      </c>
      <c r="BM37" s="587">
        <f>+BM35-BM36</f>
        <v>0.06</v>
      </c>
      <c r="BN37" s="587">
        <f>+BN35-BN36</f>
        <v>0.03</v>
      </c>
      <c r="BO37" s="708">
        <f>+BO35-BO36</f>
        <v>3.9029520598094204E-2</v>
      </c>
      <c r="BP37" s="614"/>
      <c r="BQ37" s="586">
        <f>+BQ35-BQ36</f>
        <v>5.2997181517633564E-3</v>
      </c>
      <c r="BR37" s="587">
        <f>+BR35-BR36</f>
        <v>2.192264716626393E-2</v>
      </c>
      <c r="BS37" s="587">
        <f>+BS35-BS36</f>
        <v>-3.7138221785578782E-2</v>
      </c>
      <c r="BT37" s="587">
        <f>+BT35-BT36</f>
        <v>-8.445322642790104E-3</v>
      </c>
      <c r="BU37" s="708">
        <f>+BU35-BU36</f>
        <v>-5.1638771877447337E-3</v>
      </c>
      <c r="BV37" s="614"/>
      <c r="BW37" s="586">
        <f>+BW35-BW36</f>
        <v>1.5833333333333335E-2</v>
      </c>
      <c r="BX37" s="587">
        <f>+BX35-BX36</f>
        <v>3.7999999999999999E-2</v>
      </c>
      <c r="BY37" s="587">
        <f>+BY35-BY36</f>
        <v>8.2951612058762295E-2</v>
      </c>
      <c r="BZ37" s="587">
        <f>+BZ35-BZ36</f>
        <v>0.10291497086639534</v>
      </c>
      <c r="CA37" s="708">
        <f>+CA35-CA36</f>
        <v>6.1622483285943754E-2</v>
      </c>
      <c r="CB37" s="614"/>
      <c r="CC37" s="586">
        <f>+CC35-CC36</f>
        <v>2.4414262844681876E-2</v>
      </c>
      <c r="CD37" s="587">
        <f>+CD35-CD36</f>
        <v>6.6468708012317232E-2</v>
      </c>
      <c r="CE37" s="587">
        <f>+CE35-CE36</f>
        <v>0.09</v>
      </c>
      <c r="CF37" s="587">
        <f>+CF35-CF36</f>
        <v>0.04</v>
      </c>
      <c r="CG37" s="708">
        <f>+CG35-CG36</f>
        <v>5.6056659578748086E-2</v>
      </c>
      <c r="CH37" s="614"/>
      <c r="CI37" s="586">
        <f>+CI35-CI36</f>
        <v>8.916789416288777E-2</v>
      </c>
      <c r="CJ37" s="587">
        <f>+CJ35-CJ36</f>
        <v>9.7424318982131483E-2</v>
      </c>
      <c r="CK37" s="587">
        <f>+CK35-CK36</f>
        <v>9.1903019417521589E-2</v>
      </c>
      <c r="CL37" s="587">
        <f>+CL35-CL36</f>
        <v>6.565832080007214E-2</v>
      </c>
      <c r="CM37" s="708">
        <f>+CM35-CM36</f>
        <v>8.5270372129604033E-2</v>
      </c>
      <c r="CN37" s="614"/>
      <c r="CO37" s="586">
        <f>+CO35-CO36</f>
        <v>0.1534656572404598</v>
      </c>
      <c r="CP37" s="587">
        <f>+CP35-CP36</f>
        <v>6.2587366169204073E-2</v>
      </c>
      <c r="CQ37" s="587">
        <f>+CQ35-CQ36</f>
        <v>6.5956928277488558E-2</v>
      </c>
      <c r="CR37" s="587">
        <f>+CR35-CR36</f>
        <v>0.1242365632437803</v>
      </c>
      <c r="CS37" s="708">
        <f>+CS35-CS36</f>
        <v>9.9675902992457252E-2</v>
      </c>
      <c r="CT37" s="614"/>
      <c r="CU37" s="586">
        <f>+CU35-CU36</f>
        <v>0.16274733600428126</v>
      </c>
      <c r="CV37" s="587">
        <f>+CV35-CV36</f>
        <v>0.1491069490894803</v>
      </c>
      <c r="CW37" s="587">
        <f>+CW35-CW36</f>
        <v>0.14359574324869917</v>
      </c>
      <c r="CX37" s="587">
        <f>+CX35-CX36</f>
        <v>0.14071663014032199</v>
      </c>
      <c r="CY37" s="708">
        <f>+CY35-CY36</f>
        <v>0.14840087606405838</v>
      </c>
      <c r="DA37" s="1461"/>
    </row>
    <row r="38" spans="1:105" s="39" customFormat="1" ht="11.25" customHeight="1" x14ac:dyDescent="0.2">
      <c r="A38" s="58" t="s">
        <v>595</v>
      </c>
      <c r="B38" s="58"/>
      <c r="C38" s="558"/>
      <c r="D38" s="558"/>
      <c r="E38" s="558"/>
      <c r="F38" s="558"/>
      <c r="G38" s="629"/>
      <c r="H38" s="557"/>
      <c r="I38" s="704"/>
      <c r="J38" s="558"/>
      <c r="K38" s="558"/>
      <c r="L38" s="558"/>
      <c r="M38" s="629"/>
      <c r="N38" s="557"/>
      <c r="O38" s="704"/>
      <c r="P38" s="558"/>
      <c r="Q38" s="558"/>
      <c r="R38" s="558"/>
      <c r="S38" s="629"/>
      <c r="T38" s="558"/>
      <c r="U38" s="704"/>
      <c r="V38" s="558"/>
      <c r="W38" s="558"/>
      <c r="X38" s="558"/>
      <c r="Y38" s="629"/>
      <c r="Z38" s="557"/>
      <c r="AA38" s="694"/>
      <c r="AB38" s="583"/>
      <c r="AC38" s="583"/>
      <c r="AD38" s="589"/>
      <c r="AE38" s="705"/>
      <c r="AF38" s="706"/>
      <c r="AG38" s="694"/>
      <c r="AH38" s="583"/>
      <c r="AI38" s="583"/>
      <c r="AJ38" s="589"/>
      <c r="AK38" s="707"/>
      <c r="AL38" s="614"/>
      <c r="AM38" s="1109">
        <f>+AM37-(Growth_Drivers!AM$36*Growth_Drivers!AG$34)/AG32</f>
        <v>0.15</v>
      </c>
      <c r="AN38" s="1110">
        <f>+AN37-(Growth_Drivers!AN$36*Growth_Drivers!AH$34)/AH32</f>
        <v>0.12</v>
      </c>
      <c r="AO38" s="1110">
        <f>+AO37-(Growth_Drivers!AO$36*Growth_Drivers!AI$34)/AI32</f>
        <v>0.09</v>
      </c>
      <c r="AP38" s="1110">
        <f>+AP37-(Growth_Drivers!AP$36*Growth_Drivers!AJ$34)/AJ32</f>
        <v>7.0000000000000007E-2</v>
      </c>
      <c r="AQ38" s="1259">
        <f>+AQ37-(Growth_Drivers!AQ$36*Growth_Drivers!AK$34)/AK32</f>
        <v>0.08</v>
      </c>
      <c r="AR38" s="614"/>
      <c r="AS38" s="1109">
        <f>AS37-(Growth_Drivers!$AW$36*Growth_Drivers!$AQ$34*0.25)/AM32</f>
        <v>4.1986174936282775E-2</v>
      </c>
      <c r="AT38" s="1110">
        <f>AT37-(Growth_Drivers!$AW$36*Growth_Drivers!$AQ$34*0.25)/AN32</f>
        <v>7.9720299703969905E-2</v>
      </c>
      <c r="AU38" s="1110">
        <f>AU37-(Growth_Drivers!$AW$36*Growth_Drivers!$AQ$34*0.25)/AO32</f>
        <v>-5.6895504705250101E-2</v>
      </c>
      <c r="AV38" s="1110">
        <f>AV37-(Growth_Drivers!$AW$36*Growth_Drivers!$AQ$34*0.25)/AP32</f>
        <v>0.24556161925563219</v>
      </c>
      <c r="AW38" s="1259">
        <f>+AW37-(Growth_Drivers!AW$36*Growth_Drivers!AQ$34)/AQ32</f>
        <v>8.2242924002725787E-2</v>
      </c>
      <c r="AX38" s="1647"/>
      <c r="AY38" s="1109">
        <f>+AY37-(Growth_Drivers!AY$36*Growth_Drivers!AS$34)/AS32</f>
        <v>6.8955887871865587E-2</v>
      </c>
      <c r="AZ38" s="1110">
        <f>+AZ37-(Growth_Drivers!AZ$36*Growth_Drivers!AT$34)/AT32</f>
        <v>0.115578716684217</v>
      </c>
      <c r="BA38" s="1110">
        <f>+BA37-(Growth_Drivers!BA$36*Growth_Drivers!AU$34)/AU32</f>
        <v>0.12300597839483884</v>
      </c>
      <c r="BB38" s="1110">
        <f>+BB37-(Growth_Drivers!BB$36*Growth_Drivers!AV$34)/AV32</f>
        <v>5.647412229815009E-2</v>
      </c>
      <c r="BC38" s="1259">
        <f>+BC37-(Growth_Drivers!BC$36*Growth_Drivers!AW$34)/AW32</f>
        <v>8.9171642322726188E-2</v>
      </c>
      <c r="BD38" s="1647"/>
      <c r="BE38" s="1109">
        <f>+BE37-(Growth_Drivers!BE$36*Growth_Drivers!AY$34)/AY32</f>
        <v>9.8855219318179338E-2</v>
      </c>
      <c r="BF38" s="1110">
        <f>+BF37-(Growth_Drivers!BF$36*Growth_Drivers!AZ$34)/AZ32</f>
        <v>0.10269798491012569</v>
      </c>
      <c r="BG38" s="1110">
        <f>+BG37-(Growth_Drivers!BG$36*Growth_Drivers!BA$34)/BA32</f>
        <v>0.13577084222248559</v>
      </c>
      <c r="BH38" s="1110">
        <f>+BH37-(Growth_Drivers!BH$36*Growth_Drivers!BB$34)/BB32</f>
        <v>7.7939161533978812E-2</v>
      </c>
      <c r="BI38" s="1259">
        <f>+BI37-(Growth_Drivers!BI$36*Growth_Drivers!BC$34)/BC32</f>
        <v>0.10426101227326293</v>
      </c>
      <c r="BJ38" s="1648"/>
      <c r="BK38" s="1109">
        <f>+BK37-(Growth_Drivers!BK$36*Growth_Drivers!BE$34)/BE32</f>
        <v>7.5121228555617051E-2</v>
      </c>
      <c r="BL38" s="1110">
        <f>+BL37-(Growth_Drivers!BL$36*Growth_Drivers!BF$34)/BF32</f>
        <v>0.14253969572608383</v>
      </c>
      <c r="BM38" s="1110">
        <f>+BM37-(Growth_Drivers!BM$36*Growth_Drivers!BG$34)/BG32</f>
        <v>0.1592156862745098</v>
      </c>
      <c r="BN38" s="1110">
        <f>+BN37-(Growth_Drivers!BN$36*Growth_Drivers!BH$34)/BH32</f>
        <v>0.12587545346365031</v>
      </c>
      <c r="BO38" s="1259">
        <f>+BO37-(Growth_Drivers!BO$36*Growth_Drivers!BI$34)/BI32</f>
        <v>0.1199345572302461</v>
      </c>
      <c r="BP38" s="1647"/>
      <c r="BQ38" s="1109">
        <f>+BQ37-(Growth_Drivers!BQ$36*Growth_Drivers!BK$34)/BK32</f>
        <v>9.7754869276483955E-2</v>
      </c>
      <c r="BR38" s="1110">
        <f>+BR37-(Growth_Drivers!BR$36*Growth_Drivers!BL$34)/BL32</f>
        <v>7.1852889627251754E-2</v>
      </c>
      <c r="BS38" s="1110">
        <f>+BS37-(Growth_Drivers!BS$36*Growth_Drivers!BM$34)/BM32</f>
        <v>2.1015624368267372E-2</v>
      </c>
      <c r="BT38" s="1110">
        <f>+BT37-(Growth_Drivers!BT$36*Growth_Drivers!BN$34)/BN32</f>
        <v>1.4052042916437638E-2</v>
      </c>
      <c r="BU38" s="1259">
        <f>+BU37-(Growth_Drivers!BU$36*Growth_Drivers!BO$34)/BO32</f>
        <v>4.1058492545459936E-2</v>
      </c>
      <c r="BV38" s="1647"/>
      <c r="BW38" s="1109">
        <f>+BW37-(Growth_Drivers!BW$36*Growth_Drivers!BQ$34)/BQ32</f>
        <v>5.1708333333333342E-2</v>
      </c>
      <c r="BX38" s="1110">
        <f>+BX37-(Growth_Drivers!BX$36*Growth_Drivers!BR$34)/BR32</f>
        <v>6.6700000000000009E-2</v>
      </c>
      <c r="BY38" s="1110">
        <f>+BY37-(Growth_Drivers!BY$36*Growth_Drivers!BS$34)/BS32</f>
        <v>0.1087185059476151</v>
      </c>
      <c r="BZ38" s="1110">
        <f>+BZ37-(Growth_Drivers!BZ$36*Growth_Drivers!BT$34)/BT32</f>
        <v>0.1055367773422408</v>
      </c>
      <c r="CA38" s="1259">
        <f>+CA37-(Growth_Drivers!CA$36*Growth_Drivers!BU$34)/BU32</f>
        <v>8.3577769539822655E-2</v>
      </c>
      <c r="CB38" s="1647"/>
      <c r="CC38" s="1109">
        <f>+CC37-(Growth_Drivers!CC$36*Growth_Drivers!BW$34)/BW32</f>
        <v>4.4254174556520399E-2</v>
      </c>
      <c r="CD38" s="1110">
        <f>+CD37-(Growth_Drivers!CD$36*Growth_Drivers!BX$34)/BX32</f>
        <v>6.2092135335694389E-2</v>
      </c>
      <c r="CE38" s="1110">
        <f>+CE37-(Growth_Drivers!CE$36*Growth_Drivers!BY$34)/BY32</f>
        <v>8.8332236275052031E-2</v>
      </c>
      <c r="CF38" s="1110">
        <f>+CF37-(Growth_Drivers!CF$36*Growth_Drivers!BZ$34)/BZ32</f>
        <v>5.285012167403539E-2</v>
      </c>
      <c r="CG38" s="1259">
        <f>+CG37-(Growth_Drivers!CG$36*Growth_Drivers!CA$34)/CA32</f>
        <v>6.2219449626829341E-2</v>
      </c>
      <c r="CH38" s="1647"/>
      <c r="CI38" s="1109">
        <f>+CI37-(Growth_Drivers!CI$36*Growth_Drivers!CC$34)/CC32</f>
        <v>8.916789416288777E-2</v>
      </c>
      <c r="CJ38" s="1110">
        <f>+CJ37-(Growth_Drivers!CJ$36*Growth_Drivers!CD$34)/CD32</f>
        <v>0.11824945067001874</v>
      </c>
      <c r="CK38" s="1110">
        <f>+CK37-(Growth_Drivers!CK$36*Growth_Drivers!CE$34)/CE32</f>
        <v>0.11172710270936953</v>
      </c>
      <c r="CL38" s="1110">
        <f>+CL37-(Growth_Drivers!CL$36*Growth_Drivers!CF$34)/CF32</f>
        <v>9.046483697530705E-2</v>
      </c>
      <c r="CM38" s="1259">
        <f>+CM37-(Growth_Drivers!CM$36*Growth_Drivers!CG$34)/CG32</f>
        <v>0.10268055942091009</v>
      </c>
      <c r="CN38" s="1647"/>
      <c r="CO38" s="1109">
        <f>+CO37-(Growth_Drivers!CO$36*Growth_Drivers!CI$34)/CI32</f>
        <v>0.15599013639799539</v>
      </c>
      <c r="CP38" s="1110">
        <f>+CP37-(Growth_Drivers!CP$36*Growth_Drivers!CJ$34)/CJ32</f>
        <v>6.4574315603195612E-2</v>
      </c>
      <c r="CQ38" s="1110">
        <f>+CQ37-(Growth_Drivers!CQ$36*Growth_Drivers!CK$34)/CK32</f>
        <v>6.7802651966165334E-2</v>
      </c>
      <c r="CR38" s="1110">
        <f>+CR37-(Growth_Drivers!CR$36*Growth_Drivers!CL$34)/CL32</f>
        <v>0.12580955008312042</v>
      </c>
      <c r="CS38" s="1259">
        <f>+CS37-(Growth_Drivers!CS$36*Growth_Drivers!CM$34)/CM32</f>
        <v>0.10162414338949304</v>
      </c>
      <c r="CT38" s="1647"/>
      <c r="CU38" s="1109">
        <f>+CU37-(Growth_Drivers!CU$36*Growth_Drivers!CO$34)/CO32</f>
        <v>0.16468079262432969</v>
      </c>
      <c r="CV38" s="1110">
        <f>+CV37-(Growth_Drivers!CV$36*Growth_Drivers!CP$34)/CP32</f>
        <v>0.15073469915646076</v>
      </c>
      <c r="CW38" s="1110">
        <f>+CW37-(Growth_Drivers!CW$36*Growth_Drivers!CQ$34)/CQ32</f>
        <v>0.14515410951636198</v>
      </c>
      <c r="CX38" s="1110">
        <f>+CX37-(Growth_Drivers!CX$36*Growth_Drivers!CR$34)/CR32</f>
        <v>0.14197587414793672</v>
      </c>
      <c r="CY38" s="1259">
        <f>+CY37-(Growth_Drivers!CY$36*Growth_Drivers!CS$34)/CS32</f>
        <v>0.14997597806472171</v>
      </c>
      <c r="DA38" s="1760"/>
    </row>
    <row r="39" spans="1:105" s="40" customFormat="1" ht="11.25" customHeight="1" x14ac:dyDescent="0.2">
      <c r="A39" s="978" t="s">
        <v>193</v>
      </c>
      <c r="B39" s="382"/>
      <c r="C39" s="602"/>
      <c r="D39" s="602"/>
      <c r="E39" s="602"/>
      <c r="F39" s="602"/>
      <c r="G39" s="628"/>
      <c r="H39" s="603"/>
      <c r="I39" s="979"/>
      <c r="J39" s="602"/>
      <c r="K39" s="602"/>
      <c r="L39" s="602"/>
      <c r="M39" s="628"/>
      <c r="N39" s="603"/>
      <c r="O39" s="979"/>
      <c r="P39" s="602"/>
      <c r="Q39" s="602"/>
      <c r="R39" s="602"/>
      <c r="S39" s="628"/>
      <c r="T39" s="602"/>
      <c r="U39" s="979"/>
      <c r="V39" s="602"/>
      <c r="W39" s="602"/>
      <c r="X39" s="602"/>
      <c r="Y39" s="628"/>
      <c r="Z39" s="980"/>
      <c r="AA39" s="981">
        <f>+AA11</f>
        <v>16.289235955056178</v>
      </c>
      <c r="AB39" s="982">
        <f>+AB11</f>
        <v>17.137258426966291</v>
      </c>
      <c r="AC39" s="982">
        <f>+AC11</f>
        <v>16.156000000000002</v>
      </c>
      <c r="AD39" s="983">
        <f>+AD11</f>
        <v>17.970680262172287</v>
      </c>
      <c r="AE39" s="984">
        <f>SUM(AA39:AD39)</f>
        <v>67.553174644194769</v>
      </c>
      <c r="AF39" s="985"/>
      <c r="AG39" s="981">
        <f>+AG11</f>
        <v>15.465310000000001</v>
      </c>
      <c r="AH39" s="982">
        <f>+AH11</f>
        <v>14.409359999999998</v>
      </c>
      <c r="AI39" s="982">
        <f>+AI11</f>
        <v>15.57954</v>
      </c>
      <c r="AJ39" s="983">
        <f>+AJ11</f>
        <v>17.344620000000006</v>
      </c>
      <c r="AK39" s="984">
        <f>SUM(AG39:AJ39)</f>
        <v>62.798830000000002</v>
      </c>
      <c r="AL39" s="985"/>
      <c r="AM39" s="981">
        <f>+AM11</f>
        <v>18.505479999999999</v>
      </c>
      <c r="AN39" s="982">
        <f>+AN11</f>
        <v>18.390260000000001</v>
      </c>
      <c r="AO39" s="982">
        <f>+AO11</f>
        <v>19.202190000000002</v>
      </c>
      <c r="AP39" s="982">
        <f>+AP11</f>
        <v>17.161920000000002</v>
      </c>
      <c r="AQ39" s="986">
        <f>SUM(AM39:AP39)</f>
        <v>73.25985</v>
      </c>
      <c r="AR39" s="985"/>
      <c r="AS39" s="981">
        <f>+AS11</f>
        <v>15.855899999999998</v>
      </c>
      <c r="AT39" s="982">
        <f>+AT11</f>
        <v>19.752390000000002</v>
      </c>
      <c r="AU39" s="982">
        <f>+AU11</f>
        <v>20.22195</v>
      </c>
      <c r="AV39" s="982">
        <f>+AV11</f>
        <v>23.409400000000009</v>
      </c>
      <c r="AW39" s="984">
        <f>SUM(AS39:AV39)</f>
        <v>79.239640000000009</v>
      </c>
      <c r="AX39" s="985"/>
      <c r="AY39" s="981">
        <f>+AY11</f>
        <v>20.749540000000003</v>
      </c>
      <c r="AZ39" s="982">
        <f>+AZ11</f>
        <v>24.577040000000004</v>
      </c>
      <c r="BA39" s="982">
        <f>+BA11</f>
        <v>24.343119999999999</v>
      </c>
      <c r="BB39" s="982">
        <f>+BB11</f>
        <v>24.257239999999996</v>
      </c>
      <c r="BC39" s="984">
        <f>SUM(AY39:BB39)</f>
        <v>93.926940000000002</v>
      </c>
      <c r="BD39" s="985"/>
      <c r="BE39" s="981">
        <f>+BE11</f>
        <v>24.286080000000002</v>
      </c>
      <c r="BF39" s="982">
        <f>+BF11</f>
        <v>25.31296</v>
      </c>
      <c r="BG39" s="982">
        <f>+BG11</f>
        <v>25.904879999999999</v>
      </c>
      <c r="BH39" s="982">
        <f>+BH11</f>
        <v>29.006799999999998</v>
      </c>
      <c r="BI39" s="984">
        <f>SUM(BE39:BH39)</f>
        <v>104.51071999999999</v>
      </c>
      <c r="BJ39" s="984"/>
      <c r="BK39" s="982">
        <f>+BK11</f>
        <v>25.38984</v>
      </c>
      <c r="BL39" s="982">
        <f>+BL11</f>
        <v>26.498959999999997</v>
      </c>
      <c r="BM39" s="982">
        <f>+BM11</f>
        <v>26.940560000000001</v>
      </c>
      <c r="BN39" s="982">
        <f>+BN11</f>
        <v>32.472899999999996</v>
      </c>
      <c r="BO39" s="984">
        <f>SUM(BK39:BN39)</f>
        <v>111.30225999999999</v>
      </c>
      <c r="BP39" s="985"/>
      <c r="BQ39" s="981">
        <f>+BQ11</f>
        <v>26.885609999999996</v>
      </c>
      <c r="BR39" s="982">
        <f>+BR11</f>
        <v>28.75104</v>
      </c>
      <c r="BS39" s="982">
        <f>+BS11</f>
        <v>28.310489999999998</v>
      </c>
      <c r="BT39" s="982">
        <f>+BT11</f>
        <v>31.364999999999998</v>
      </c>
      <c r="BU39" s="984">
        <f>SUM(BQ39:BT39)</f>
        <v>115.31213999999999</v>
      </c>
      <c r="BV39" s="985"/>
      <c r="BW39" s="981">
        <f>+BW11</f>
        <v>23.870320000000003</v>
      </c>
      <c r="BX39" s="982">
        <f>+BX11</f>
        <v>30.074366090619893</v>
      </c>
      <c r="BY39" s="982">
        <f>+BY11</f>
        <v>30.481649999999998</v>
      </c>
      <c r="BZ39" s="982">
        <f>+BZ11</f>
        <v>36.651499999999999</v>
      </c>
      <c r="CA39" s="984">
        <f>SUM(BW39:BZ39)</f>
        <v>121.0778360906199</v>
      </c>
      <c r="CB39" s="985"/>
      <c r="CC39" s="981">
        <f>+CC11</f>
        <v>28.672458000000002</v>
      </c>
      <c r="CD39" s="982">
        <f>+CD11</f>
        <v>33.212569999999999</v>
      </c>
      <c r="CE39" s="982">
        <f>+CE11</f>
        <v>36.075600000000001</v>
      </c>
      <c r="CF39" s="982">
        <f>+CF11</f>
        <v>39.711300000000001</v>
      </c>
      <c r="CG39" s="984">
        <f>SUM(CC39:CF39)</f>
        <v>137.67192800000001</v>
      </c>
      <c r="CH39" s="985"/>
      <c r="CI39" s="981">
        <f>CC39*(1+CI40)</f>
        <v>31.252979220000004</v>
      </c>
      <c r="CJ39" s="982">
        <f>CD39*(1+CJ40)</f>
        <v>38.028392650000001</v>
      </c>
      <c r="CK39" s="982">
        <f>CE39*(1+CK40)</f>
        <v>39.502782000000003</v>
      </c>
      <c r="CL39" s="982">
        <f>CF39*(1+CL40)</f>
        <v>44.873768999999996</v>
      </c>
      <c r="CM39" s="984">
        <f>SUM(CI39:CL39)</f>
        <v>153.65792286999999</v>
      </c>
      <c r="CN39" s="985"/>
      <c r="CO39" s="981">
        <f>CI39*(1+CO40)</f>
        <v>34.065747349800006</v>
      </c>
      <c r="CP39" s="982">
        <f>CJ39*(1+CP40)</f>
        <v>41.450947988500005</v>
      </c>
      <c r="CQ39" s="982">
        <f>CK39*(1+CQ40)</f>
        <v>43.058032380000007</v>
      </c>
      <c r="CR39" s="982">
        <f>CL39*(1+CR40)</f>
        <v>48.912408210000002</v>
      </c>
      <c r="CS39" s="984">
        <f>SUM(CO39:CR39)</f>
        <v>167.48713592830001</v>
      </c>
      <c r="CT39" s="985"/>
      <c r="CU39" s="981">
        <f>CO39*(1+CU40)</f>
        <v>36.10969219078801</v>
      </c>
      <c r="CV39" s="982">
        <f>CP39*(1+CV40)</f>
        <v>43.938004867810008</v>
      </c>
      <c r="CW39" s="982">
        <f>CQ39*(1+CW40)</f>
        <v>45.641514322800013</v>
      </c>
      <c r="CX39" s="982">
        <f>CR39*(1+CX40)</f>
        <v>51.847152702600006</v>
      </c>
      <c r="CY39" s="984">
        <f>SUM(CU39:CX39)</f>
        <v>177.53636408399802</v>
      </c>
      <c r="DA39" s="1761"/>
    </row>
    <row r="40" spans="1:105" s="39" customFormat="1" ht="11.25" customHeight="1" x14ac:dyDescent="0.2">
      <c r="A40" s="354" t="s">
        <v>232</v>
      </c>
      <c r="B40" s="58"/>
      <c r="C40" s="558"/>
      <c r="D40" s="558"/>
      <c r="E40" s="558"/>
      <c r="F40" s="558"/>
      <c r="G40" s="629"/>
      <c r="H40" s="557"/>
      <c r="I40" s="704"/>
      <c r="J40" s="558"/>
      <c r="K40" s="558"/>
      <c r="L40" s="558"/>
      <c r="M40" s="629"/>
      <c r="N40" s="557"/>
      <c r="O40" s="704"/>
      <c r="P40" s="558"/>
      <c r="Q40" s="558"/>
      <c r="R40" s="558"/>
      <c r="S40" s="629"/>
      <c r="T40" s="558"/>
      <c r="U40" s="704"/>
      <c r="V40" s="558"/>
      <c r="W40" s="558"/>
      <c r="X40" s="558"/>
      <c r="Y40" s="629"/>
      <c r="Z40" s="557"/>
      <c r="AA40" s="694"/>
      <c r="AB40" s="583"/>
      <c r="AC40" s="583"/>
      <c r="AD40" s="589"/>
      <c r="AE40" s="705"/>
      <c r="AF40" s="706"/>
      <c r="AG40" s="694">
        <f>AG39/AA39-1</f>
        <v>-5.0581006827421504E-2</v>
      </c>
      <c r="AH40" s="583">
        <f>AH39/AB39-1</f>
        <v>-0.15917939491849031</v>
      </c>
      <c r="AI40" s="583">
        <f>AI39/AC39-1</f>
        <v>-3.5680861599405977E-2</v>
      </c>
      <c r="AJ40" s="589">
        <f>AJ39/AD39-1</f>
        <v>-3.48378721917455E-2</v>
      </c>
      <c r="AK40" s="707">
        <f>AK39/AE39-1</f>
        <v>-7.0379292597810394E-2</v>
      </c>
      <c r="AL40" s="614"/>
      <c r="AM40" s="586">
        <f>AM39/AG39-1</f>
        <v>0.19657995862999167</v>
      </c>
      <c r="AN40" s="587">
        <f>AN39/AH39-1</f>
        <v>0.27627181221095198</v>
      </c>
      <c r="AO40" s="587">
        <f>AO39/AI39-1</f>
        <v>0.23252612079689139</v>
      </c>
      <c r="AP40" s="587">
        <f>AP39/AJ39-1</f>
        <v>-1.0533525669631505E-2</v>
      </c>
      <c r="AQ40" s="708">
        <f>AQ39/AK39-1</f>
        <v>0.16657985507054818</v>
      </c>
      <c r="AR40" s="614"/>
      <c r="AS40" s="586">
        <f>AS39/AM39-1</f>
        <v>-0.14317812885696568</v>
      </c>
      <c r="AT40" s="587">
        <f>AT39/AN39-1</f>
        <v>7.406801208900804E-2</v>
      </c>
      <c r="AU40" s="587">
        <f>AU39/AO39-1</f>
        <v>5.3106442546396959E-2</v>
      </c>
      <c r="AV40" s="587">
        <f>AV39/AP39-1</f>
        <v>0.36403153027167168</v>
      </c>
      <c r="AW40" s="708">
        <f>AW39/AQ39-1</f>
        <v>8.1624382250305105E-2</v>
      </c>
      <c r="AX40" s="614"/>
      <c r="AY40" s="586">
        <f>AY39/AS39-1</f>
        <v>0.30863211801285351</v>
      </c>
      <c r="AZ40" s="587">
        <f>AZ39/AT39-1</f>
        <v>0.24425651781885649</v>
      </c>
      <c r="BA40" s="587">
        <f>BA39/AU39-1</f>
        <v>0.20379686429844801</v>
      </c>
      <c r="BB40" s="587">
        <f>BB39/AV39-1</f>
        <v>3.6217929549667627E-2</v>
      </c>
      <c r="BC40" s="708">
        <f>BC39/AW39-1</f>
        <v>0.18535293698961763</v>
      </c>
      <c r="BD40" s="614"/>
      <c r="BE40" s="586">
        <f>BE39/AY39-1</f>
        <v>0.17043944106712727</v>
      </c>
      <c r="BF40" s="587">
        <f>BF39/AZ39-1</f>
        <v>2.9943394322505812E-2</v>
      </c>
      <c r="BG40" s="587">
        <f>BG39/BA39-1</f>
        <v>6.4156114746178883E-2</v>
      </c>
      <c r="BH40" s="587">
        <f>BH39/BB39-1</f>
        <v>0.19579968702127704</v>
      </c>
      <c r="BI40" s="708">
        <f>BI39/BC39-1</f>
        <v>0.11268098375183944</v>
      </c>
      <c r="BJ40" s="968"/>
      <c r="BK40" s="587">
        <f>BK39/BE39-1</f>
        <v>4.5448256779191842E-2</v>
      </c>
      <c r="BL40" s="587">
        <f>BL39/BF39-1</f>
        <v>4.6853469527072145E-2</v>
      </c>
      <c r="BM40" s="587">
        <f>BM39/BG39-1</f>
        <v>3.9980111855372424E-2</v>
      </c>
      <c r="BN40" s="587">
        <f>BN39/BH39-1</f>
        <v>0.11949267068411529</v>
      </c>
      <c r="BO40" s="708">
        <f>BO39/BI39-1</f>
        <v>6.4984147080797028E-2</v>
      </c>
      <c r="BP40" s="614"/>
      <c r="BQ40" s="586">
        <f>BQ39/BK39-1</f>
        <v>5.8912147536179793E-2</v>
      </c>
      <c r="BR40" s="587">
        <f>BR39/BL39-1</f>
        <v>8.4987486301349335E-2</v>
      </c>
      <c r="BS40" s="587">
        <f>BS39/BM39-1</f>
        <v>5.0850093687733189E-2</v>
      </c>
      <c r="BT40" s="587">
        <f>BT39/BN39-1</f>
        <v>-3.4117679665197631E-2</v>
      </c>
      <c r="BU40" s="708">
        <f>BU39/BO39-1</f>
        <v>3.602694141161189E-2</v>
      </c>
      <c r="BV40" s="614"/>
      <c r="BW40" s="586">
        <f>BW39/BQ39-1</f>
        <v>-0.11215256042172717</v>
      </c>
      <c r="BX40" s="587">
        <f>BX39/BR39-1</f>
        <v>4.6027068607601418E-2</v>
      </c>
      <c r="BY40" s="587">
        <f>BY39/BS39-1</f>
        <v>7.6691007467549976E-2</v>
      </c>
      <c r="BZ40" s="587">
        <f>BZ39/BT39-1</f>
        <v>0.16854774430097241</v>
      </c>
      <c r="CA40" s="708">
        <f>CA39/BU39-1</f>
        <v>5.0000772603993937E-2</v>
      </c>
      <c r="CB40" s="614"/>
      <c r="CC40" s="586">
        <f>CC39/BW39-1</f>
        <v>0.20117610488673798</v>
      </c>
      <c r="CD40" s="587">
        <f>CD39/BX39-1</f>
        <v>0.10434813155908551</v>
      </c>
      <c r="CE40" s="587">
        <f>CE39/BY39-1</f>
        <v>0.18351860873673198</v>
      </c>
      <c r="CF40" s="587">
        <f>CF39/BZ39-1</f>
        <v>8.348362277123722E-2</v>
      </c>
      <c r="CG40" s="708">
        <f>CG39/CA39-1</f>
        <v>0.13705309282997402</v>
      </c>
      <c r="CH40" s="614"/>
      <c r="CI40" s="586">
        <f>+CI42+CI41</f>
        <v>0.09</v>
      </c>
      <c r="CJ40" s="587">
        <f>+CJ42+CJ41</f>
        <v>0.14500000000000002</v>
      </c>
      <c r="CK40" s="587">
        <f>+CK42+CK41</f>
        <v>9.5000000000000001E-2</v>
      </c>
      <c r="CL40" s="587">
        <f>+CL42+CL41</f>
        <v>0.13</v>
      </c>
      <c r="CM40" s="708">
        <f>CM39/CG39-1</f>
        <v>0.11611659037708821</v>
      </c>
      <c r="CN40" s="614"/>
      <c r="CO40" s="586">
        <f>+CO42+CO41</f>
        <v>0.09</v>
      </c>
      <c r="CP40" s="587">
        <f>+CP42+CP41</f>
        <v>0.09</v>
      </c>
      <c r="CQ40" s="587">
        <f>+CQ42+CQ41</f>
        <v>0.09</v>
      </c>
      <c r="CR40" s="587">
        <f>+CR42+CR41</f>
        <v>0.09</v>
      </c>
      <c r="CS40" s="708">
        <f>CS39/CM39-1</f>
        <v>9.000000000000008E-2</v>
      </c>
      <c r="CT40" s="614"/>
      <c r="CU40" s="586">
        <f>+CU42+CU41</f>
        <v>0.06</v>
      </c>
      <c r="CV40" s="587">
        <f>+CV42+CV41</f>
        <v>0.06</v>
      </c>
      <c r="CW40" s="587">
        <f>+CW42+CW41</f>
        <v>0.06</v>
      </c>
      <c r="CX40" s="587">
        <f>+CX42+CX41</f>
        <v>0.06</v>
      </c>
      <c r="CY40" s="708">
        <f>CY39/CS39-1</f>
        <v>6.0000000000000053E-2</v>
      </c>
    </row>
    <row r="41" spans="1:105" ht="11.25" customHeight="1" outlineLevel="1" x14ac:dyDescent="0.2">
      <c r="A41" s="354" t="s">
        <v>230</v>
      </c>
      <c r="B41" s="58"/>
      <c r="C41" s="558"/>
      <c r="D41" s="558"/>
      <c r="E41" s="558"/>
      <c r="F41" s="558"/>
      <c r="G41" s="629"/>
      <c r="H41" s="557"/>
      <c r="I41" s="704"/>
      <c r="J41" s="558"/>
      <c r="K41" s="558"/>
      <c r="L41" s="558"/>
      <c r="M41" s="629"/>
      <c r="N41" s="557"/>
      <c r="O41" s="704"/>
      <c r="P41" s="558"/>
      <c r="Q41" s="558"/>
      <c r="R41" s="558"/>
      <c r="S41" s="629"/>
      <c r="T41" s="558"/>
      <c r="U41" s="704"/>
      <c r="V41" s="558"/>
      <c r="W41" s="558"/>
      <c r="X41" s="558"/>
      <c r="Y41" s="629"/>
      <c r="Z41" s="557"/>
      <c r="AA41" s="694"/>
      <c r="AB41" s="583"/>
      <c r="AC41" s="583"/>
      <c r="AD41" s="589"/>
      <c r="AE41" s="705"/>
      <c r="AF41" s="706"/>
      <c r="AG41" s="694"/>
      <c r="AH41" s="583"/>
      <c r="AI41" s="583"/>
      <c r="AJ41" s="589"/>
      <c r="AK41" s="707"/>
      <c r="AL41" s="614"/>
      <c r="AM41" s="586">
        <f>AM40-AM42</f>
        <v>-8.3420041370008358E-2</v>
      </c>
      <c r="AN41" s="587">
        <f>AN40-AN42</f>
        <v>0.12627181221095199</v>
      </c>
      <c r="AO41" s="587">
        <f>AO40-AO42</f>
        <v>3.2526120796891378E-2</v>
      </c>
      <c r="AP41" s="587">
        <f>AP40-AP42</f>
        <v>-6.0533525669631508E-2</v>
      </c>
      <c r="AQ41" s="708">
        <f>AQ40-AQ42</f>
        <v>1.6579855070548183E-2</v>
      </c>
      <c r="AR41" s="614"/>
      <c r="AS41" s="586">
        <f>AS40-AS42</f>
        <v>-1.3178128856965676E-2</v>
      </c>
      <c r="AT41" s="587">
        <f>AT40-AT42</f>
        <v>6.4068012089008045E-2</v>
      </c>
      <c r="AU41" s="587">
        <f>AU40-AU42</f>
        <v>5.3106442546396959E-2</v>
      </c>
      <c r="AV41" s="587">
        <f>AV40-AV42</f>
        <v>0.18403153027167168</v>
      </c>
      <c r="AW41" s="708">
        <f>AW40-AW42</f>
        <v>7.162438225030511E-2</v>
      </c>
      <c r="AX41" s="614"/>
      <c r="AY41" s="586">
        <f>AY40-AY42</f>
        <v>7.8632118012853497E-2</v>
      </c>
      <c r="AZ41" s="587">
        <f>AZ40-AZ42</f>
        <v>-3.5743482181143538E-2</v>
      </c>
      <c r="BA41" s="587">
        <f>BA40-BA42</f>
        <v>-6.2031357015519817E-3</v>
      </c>
      <c r="BB41" s="587">
        <f>BB40-BB42</f>
        <v>-0.12378207045033238</v>
      </c>
      <c r="BC41" s="708">
        <f>BC40-BC42</f>
        <v>-3.4647063010382367E-2</v>
      </c>
      <c r="BD41" s="614"/>
      <c r="BE41" s="586">
        <f>BE40-BE42</f>
        <v>0.12043944106712727</v>
      </c>
      <c r="BF41" s="587">
        <f>BF40-BF42</f>
        <v>6.994339432250582E-2</v>
      </c>
      <c r="BG41" s="587">
        <f>BG40-BG42</f>
        <v>4.156114746178885E-3</v>
      </c>
      <c r="BH41" s="587">
        <f>BH40-BH42</f>
        <v>2.5799687021277024E-2</v>
      </c>
      <c r="BI41" s="708">
        <f>BI40-BI42</f>
        <v>5.2680983751839439E-2</v>
      </c>
      <c r="BJ41" s="968"/>
      <c r="BK41" s="587">
        <f>BK40-BK42</f>
        <v>-9.4551743220808171E-2</v>
      </c>
      <c r="BL41" s="587">
        <f>BL40-BL42</f>
        <v>2.6853469527072144E-2</v>
      </c>
      <c r="BM41" s="587">
        <f>BM40-BM42</f>
        <v>-3.0019888144627582E-2</v>
      </c>
      <c r="BN41" s="587">
        <f>BN40-BN42</f>
        <v>-1.0507329315884717E-2</v>
      </c>
      <c r="BO41" s="708">
        <f>BO40-BO42</f>
        <v>-2.5015852919202969E-2</v>
      </c>
      <c r="BP41" s="614"/>
      <c r="BQ41" s="586">
        <f>BQ40-BQ42</f>
        <v>-1.1087852463820214E-2</v>
      </c>
      <c r="BR41" s="587">
        <f>BR40-BR42</f>
        <v>-2.5012513698650665E-2</v>
      </c>
      <c r="BS41" s="587">
        <f>BS40-BS42</f>
        <v>-9.1499063122668089E-3</v>
      </c>
      <c r="BT41" s="587">
        <f>BT40-BT42</f>
        <v>-0.10411767966519764</v>
      </c>
      <c r="BU41" s="708">
        <f>BU40-BU42</f>
        <v>-4.1075814633054222E-2</v>
      </c>
      <c r="BV41" s="614"/>
      <c r="BW41" s="586">
        <f>BW40-BW42</f>
        <v>-6.2152560421727163E-2</v>
      </c>
      <c r="BX41" s="587">
        <f>BX40-BX42</f>
        <v>-4.9972931392398584E-2</v>
      </c>
      <c r="BY41" s="587">
        <f>BY40-BY42</f>
        <v>-4.3308992532450019E-2</v>
      </c>
      <c r="BZ41" s="587">
        <f>BZ40-BZ42</f>
        <v>6.8547744300972407E-2</v>
      </c>
      <c r="CA41" s="708">
        <f>CA40-CA42</f>
        <v>-1.8938873646608997E-2</v>
      </c>
      <c r="CB41" s="614"/>
      <c r="CC41" s="586">
        <f>CC40-CC42</f>
        <v>-8.8238951132620091E-3</v>
      </c>
      <c r="CD41" s="587">
        <f>CD40-CD42</f>
        <v>-1.5651868440914485E-2</v>
      </c>
      <c r="CE41" s="587">
        <f>CE40-CE42</f>
        <v>3.3518608736731986E-2</v>
      </c>
      <c r="CF41" s="587">
        <f>CF40-CF42</f>
        <v>-6.5163772287627764E-3</v>
      </c>
      <c r="CG41" s="708">
        <f>CG40-CG42</f>
        <v>8.3845468157969782E-4</v>
      </c>
      <c r="CH41" s="614"/>
      <c r="CI41" s="586">
        <f t="shared" ref="CI41:CX41" si="6">+CI$59</f>
        <v>0.05</v>
      </c>
      <c r="CJ41" s="587">
        <f t="shared" si="6"/>
        <v>4.4999999999999998E-2</v>
      </c>
      <c r="CK41" s="587">
        <f t="shared" si="6"/>
        <v>2.5000000000000001E-2</v>
      </c>
      <c r="CL41" s="587">
        <f t="shared" si="6"/>
        <v>0.02</v>
      </c>
      <c r="CM41" s="708">
        <f t="shared" ref="CM41" si="7">CM40-CM42</f>
        <v>3.3589306238233127E-2</v>
      </c>
      <c r="CN41" s="614"/>
      <c r="CO41" s="586">
        <f t="shared" ref="CO41" si="8">+CO$59</f>
        <v>0</v>
      </c>
      <c r="CP41" s="587">
        <f t="shared" si="6"/>
        <v>0</v>
      </c>
      <c r="CQ41" s="587">
        <f t="shared" si="6"/>
        <v>0</v>
      </c>
      <c r="CR41" s="587">
        <f t="shared" si="6"/>
        <v>0</v>
      </c>
      <c r="CS41" s="708">
        <f t="shared" ref="CS41" si="9">CS40-CS42</f>
        <v>0</v>
      </c>
      <c r="CT41" s="614"/>
      <c r="CU41" s="586">
        <f t="shared" ref="CU41" si="10">+CU$59</f>
        <v>0</v>
      </c>
      <c r="CV41" s="587">
        <f t="shared" si="6"/>
        <v>0</v>
      </c>
      <c r="CW41" s="587">
        <f t="shared" si="6"/>
        <v>0</v>
      </c>
      <c r="CX41" s="587">
        <f t="shared" si="6"/>
        <v>0</v>
      </c>
      <c r="CY41" s="708">
        <f t="shared" ref="CY41" si="11">CY40-CY42</f>
        <v>0</v>
      </c>
    </row>
    <row r="42" spans="1:105" ht="11.25" customHeight="1" outlineLevel="1" x14ac:dyDescent="0.2">
      <c r="A42" s="354" t="s">
        <v>233</v>
      </c>
      <c r="B42" s="58"/>
      <c r="C42" s="558"/>
      <c r="D42" s="558"/>
      <c r="E42" s="558"/>
      <c r="F42" s="558"/>
      <c r="G42" s="629"/>
      <c r="H42" s="557"/>
      <c r="I42" s="704"/>
      <c r="J42" s="558"/>
      <c r="K42" s="558"/>
      <c r="L42" s="558"/>
      <c r="M42" s="629"/>
      <c r="N42" s="557"/>
      <c r="O42" s="704"/>
      <c r="P42" s="558"/>
      <c r="Q42" s="558"/>
      <c r="R42" s="558"/>
      <c r="S42" s="629"/>
      <c r="T42" s="558"/>
      <c r="U42" s="704"/>
      <c r="V42" s="558"/>
      <c r="W42" s="558"/>
      <c r="X42" s="558"/>
      <c r="Y42" s="629"/>
      <c r="Z42" s="557"/>
      <c r="AA42" s="694"/>
      <c r="AB42" s="583"/>
      <c r="AC42" s="583"/>
      <c r="AD42" s="589"/>
      <c r="AE42" s="705"/>
      <c r="AF42" s="706"/>
      <c r="AG42" s="694"/>
      <c r="AH42" s="583"/>
      <c r="AI42" s="583"/>
      <c r="AJ42" s="589"/>
      <c r="AK42" s="707"/>
      <c r="AL42" s="614"/>
      <c r="AM42" s="764">
        <v>0.28000000000000003</v>
      </c>
      <c r="AN42" s="765">
        <v>0.15</v>
      </c>
      <c r="AO42" s="765">
        <v>0.2</v>
      </c>
      <c r="AP42" s="765">
        <v>0.05</v>
      </c>
      <c r="AQ42" s="424">
        <v>0.15</v>
      </c>
      <c r="AR42" s="614"/>
      <c r="AS42" s="1107">
        <v>-0.13</v>
      </c>
      <c r="AT42" s="1105">
        <v>0.01</v>
      </c>
      <c r="AU42" s="1105">
        <v>0</v>
      </c>
      <c r="AV42" s="1105">
        <v>0.18</v>
      </c>
      <c r="AW42" s="1710">
        <v>0.01</v>
      </c>
      <c r="AX42" s="1717"/>
      <c r="AY42" s="1107">
        <v>0.23</v>
      </c>
      <c r="AZ42" s="1105">
        <v>0.28000000000000003</v>
      </c>
      <c r="BA42" s="1105">
        <v>0.21</v>
      </c>
      <c r="BB42" s="1105">
        <v>0.16</v>
      </c>
      <c r="BC42" s="1710">
        <v>0.22</v>
      </c>
      <c r="BD42" s="1717"/>
      <c r="BE42" s="1107">
        <v>0.05</v>
      </c>
      <c r="BF42" s="1105">
        <v>-0.04</v>
      </c>
      <c r="BG42" s="1105">
        <v>0.06</v>
      </c>
      <c r="BH42" s="1105">
        <v>0.17</v>
      </c>
      <c r="BI42" s="1710">
        <v>0.06</v>
      </c>
      <c r="BJ42" s="1718"/>
      <c r="BK42" s="1105">
        <v>0.14000000000000001</v>
      </c>
      <c r="BL42" s="1105">
        <v>0.02</v>
      </c>
      <c r="BM42" s="1105">
        <v>7.0000000000000007E-2</v>
      </c>
      <c r="BN42" s="1105">
        <v>0.13</v>
      </c>
      <c r="BO42" s="1710">
        <v>0.09</v>
      </c>
      <c r="BP42" s="1717"/>
      <c r="BQ42" s="1107">
        <v>7.0000000000000007E-2</v>
      </c>
      <c r="BR42" s="1105">
        <v>0.11</v>
      </c>
      <c r="BS42" s="1105">
        <v>0.06</v>
      </c>
      <c r="BT42" s="1105">
        <v>7.0000000000000007E-2</v>
      </c>
      <c r="BU42" s="1261">
        <f>SUMPRODUCT(BQ42:BT42,BK$39:BN$39)/SUM(BK$39:BN$39)</f>
        <v>7.7102756044666113E-2</v>
      </c>
      <c r="BV42" s="614"/>
      <c r="BW42" s="1107">
        <v>-0.05</v>
      </c>
      <c r="BX42" s="1105">
        <v>9.6000000000000002E-2</v>
      </c>
      <c r="BY42" s="1105">
        <v>0.12</v>
      </c>
      <c r="BZ42" s="1105">
        <v>0.1</v>
      </c>
      <c r="CA42" s="1261">
        <f>SUMPRODUCT(BW42:BZ42,BQ$39:BT$39)/SUM(BQ$39:BT$39)</f>
        <v>6.8939646250602934E-2</v>
      </c>
      <c r="CB42" s="614"/>
      <c r="CC42" s="1107">
        <v>0.21</v>
      </c>
      <c r="CD42" s="1105">
        <v>0.12</v>
      </c>
      <c r="CE42" s="1105">
        <v>0.15</v>
      </c>
      <c r="CF42" s="1105">
        <v>0.09</v>
      </c>
      <c r="CG42" s="708">
        <f>SUMPRODUCT(CC42:CF42,BW$39:BZ$39)/SUM(BW$39:BZ$39)</f>
        <v>0.13621463814839432</v>
      </c>
      <c r="CH42" s="614"/>
      <c r="CI42" s="1682">
        <v>0.04</v>
      </c>
      <c r="CJ42" s="1677">
        <v>0.1</v>
      </c>
      <c r="CK42" s="1677">
        <v>7.0000000000000007E-2</v>
      </c>
      <c r="CL42" s="1677">
        <v>0.11</v>
      </c>
      <c r="CM42" s="708">
        <f>SUMPRODUCT(CI42:CL42,CC$39:CF$39)/SUM(CC$39:CF$39)</f>
        <v>8.2527284138855087E-2</v>
      </c>
      <c r="CN42" s="614"/>
      <c r="CO42" s="1682">
        <v>0.09</v>
      </c>
      <c r="CP42" s="1677">
        <f>+CO42</f>
        <v>0.09</v>
      </c>
      <c r="CQ42" s="1677">
        <f>+CP42</f>
        <v>0.09</v>
      </c>
      <c r="CR42" s="1677">
        <f>+CQ42</f>
        <v>0.09</v>
      </c>
      <c r="CS42" s="708">
        <f>SUMPRODUCT(CO42:CR42,CI$39:CL$39)/SUM(CI$39:CL$39)</f>
        <v>9.0000000000000011E-2</v>
      </c>
      <c r="CT42" s="614"/>
      <c r="CU42" s="1682">
        <v>0.06</v>
      </c>
      <c r="CV42" s="1677">
        <f>+CU42</f>
        <v>0.06</v>
      </c>
      <c r="CW42" s="1677">
        <f>+CV42</f>
        <v>0.06</v>
      </c>
      <c r="CX42" s="1677">
        <f>+CW42</f>
        <v>0.06</v>
      </c>
      <c r="CY42" s="708">
        <f>SUMPRODUCT(CU42:CX42,CO$39:CR$39)/SUM(CO$39:CR$39)</f>
        <v>6.0000000000000005E-2</v>
      </c>
    </row>
    <row r="43" spans="1:105" ht="11.25" customHeight="1" outlineLevel="1" x14ac:dyDescent="0.2">
      <c r="A43" s="354" t="s">
        <v>231</v>
      </c>
      <c r="B43" s="58"/>
      <c r="C43" s="558"/>
      <c r="D43" s="558"/>
      <c r="E43" s="558"/>
      <c r="F43" s="558"/>
      <c r="G43" s="629"/>
      <c r="H43" s="557"/>
      <c r="I43" s="704"/>
      <c r="J43" s="558"/>
      <c r="K43" s="558"/>
      <c r="L43" s="558"/>
      <c r="M43" s="629"/>
      <c r="N43" s="557"/>
      <c r="O43" s="704"/>
      <c r="P43" s="558"/>
      <c r="Q43" s="558"/>
      <c r="R43" s="558"/>
      <c r="S43" s="629"/>
      <c r="T43" s="558"/>
      <c r="U43" s="704"/>
      <c r="V43" s="558"/>
      <c r="W43" s="558"/>
      <c r="X43" s="558"/>
      <c r="Y43" s="629"/>
      <c r="Z43" s="557"/>
      <c r="AA43" s="694"/>
      <c r="AB43" s="583"/>
      <c r="AC43" s="583"/>
      <c r="AD43" s="589"/>
      <c r="AE43" s="705"/>
      <c r="AF43" s="706"/>
      <c r="AG43" s="694"/>
      <c r="AH43" s="583"/>
      <c r="AI43" s="583"/>
      <c r="AJ43" s="589"/>
      <c r="AK43" s="707"/>
      <c r="AL43" s="614"/>
      <c r="AM43" s="586"/>
      <c r="AN43" s="587"/>
      <c r="AO43" s="587"/>
      <c r="AP43" s="587"/>
      <c r="AQ43" s="708"/>
      <c r="AR43" s="614"/>
      <c r="AS43" s="1115">
        <f>+(AS61*AS$17*AS12)/AN39</f>
        <v>0</v>
      </c>
      <c r="AT43" s="1114">
        <f>+(AT61*AT$17*AT12)/AN39</f>
        <v>0</v>
      </c>
      <c r="AU43" s="1114">
        <v>0</v>
      </c>
      <c r="AV43" s="1114">
        <v>0</v>
      </c>
      <c r="AW43" s="1261">
        <f>SUMPRODUCT(AS43:AV43,AM$39:AP$39)/SUM(AM$39:AP$39)</f>
        <v>0</v>
      </c>
      <c r="AX43" s="1647"/>
      <c r="AY43" s="1107">
        <v>0</v>
      </c>
      <c r="AZ43" s="1105">
        <v>0</v>
      </c>
      <c r="BA43" s="1105">
        <v>0</v>
      </c>
      <c r="BB43" s="1105">
        <v>0</v>
      </c>
      <c r="BC43" s="1261">
        <f>SUMPRODUCT(AY43:BB43,AS$39:AV$39)/SUM(AS$39:AV$39)</f>
        <v>0</v>
      </c>
      <c r="BD43" s="614"/>
      <c r="BE43" s="1107">
        <v>0</v>
      </c>
      <c r="BF43" s="1105">
        <v>0</v>
      </c>
      <c r="BG43" s="1105">
        <v>0</v>
      </c>
      <c r="BH43" s="1105">
        <v>0</v>
      </c>
      <c r="BI43" s="1261">
        <f>SUMPRODUCT(BE43:BH43,AY$39:BB$39)/SUM(AY$39:BB$39)</f>
        <v>0</v>
      </c>
      <c r="BJ43" s="1648"/>
      <c r="BK43" s="1138">
        <f>+((Growth_Drivers!BK147*Growth_Drivers!BK143)/BE39)+((Growth_Drivers!BK144*Growth_Drivers!BK143)/BE39)</f>
        <v>1.4411547684928978E-2</v>
      </c>
      <c r="BL43" s="1138">
        <f>++((Growth_Drivers!BL144*Growth_Drivers!BL143)/BF39)</f>
        <v>2.9629091184910816E-3</v>
      </c>
      <c r="BM43" s="1110">
        <v>0</v>
      </c>
      <c r="BN43" s="1110">
        <v>0</v>
      </c>
      <c r="BO43" s="1259">
        <f>SUMPRODUCT(BK43:BN43,BE$39:BH$39)/SUM(BE$39:BH$39)</f>
        <v>4.0665684821614475E-3</v>
      </c>
      <c r="BP43" s="614"/>
      <c r="BQ43" s="1109">
        <f>+((Growth_Drivers!BQ238*Growth_Drivers!BQ234)/BK39)</f>
        <v>2.8789226320449442E-2</v>
      </c>
      <c r="BR43" s="1110">
        <f>+((Growth_Drivers!BR238*Growth_Drivers!BR234)/BL39)</f>
        <v>5.1493124315067459E-2</v>
      </c>
      <c r="BS43" s="1110">
        <f>+((Growth_Drivers!BS238*Growth_Drivers!BS234)/BM39)</f>
        <v>4.6398441606262081E-2</v>
      </c>
      <c r="BT43" s="1110">
        <f>+((Growth_Drivers!BT238*Growth_Drivers!BT234)/BN39)</f>
        <v>4.785682830914393E-2</v>
      </c>
      <c r="BU43" s="708">
        <f>SUMPRODUCT(BQ43:BT43,BK$39:BN$39)/SUM(BK$39:BN$39)</f>
        <v>4.4019933570980496E-2</v>
      </c>
      <c r="BV43" s="614"/>
      <c r="BW43" s="1109">
        <f>+(((Growth_Drivers!BW$318*Growth_Drivers!BW310)/BQ39))</f>
        <v>3.3333333333333326E-2</v>
      </c>
      <c r="BX43" s="1110">
        <f>+(((Growth_Drivers!BX$318*Growth_Drivers!BX310)/BR39))</f>
        <v>4.9999999999999996E-2</v>
      </c>
      <c r="BY43" s="1110">
        <f>+((((Growth_Drivers!BY$318+Growth_Drivers!BY$321)*Growth_Drivers!BY310)/BS39))</f>
        <v>5.7561834853441241E-2</v>
      </c>
      <c r="BZ43" s="1110">
        <f>+((((Growth_Drivers!BZ$318*50%+Growth_Drivers!BZ$321)*Growth_Drivers!BZ310)/BT39))</f>
        <v>5.7861071257771401E-2</v>
      </c>
      <c r="CA43" s="708">
        <f>SUMPRODUCT(BW43:BZ43,BQ$39:BT$39)/SUM(BQ$39:BT$39)</f>
        <v>5.010881985192539E-2</v>
      </c>
      <c r="CB43" s="614"/>
      <c r="CC43" s="1109">
        <f>+((Growth_Drivers!CC$321*Growth_Drivers!CC310)+(Growth_Drivers!CC$150*0%))/BW39</f>
        <v>2.5135817198931557E-2</v>
      </c>
      <c r="CD43" s="1110">
        <f>+((Growth_Drivers!CD$321*Growth_Drivers!CD310)+(Growth_Drivers!CD$150*0%))/BX39-1.25%</f>
        <v>1.2438181497827907E-2</v>
      </c>
      <c r="CE43" s="1110">
        <f>+((Growth_Drivers!CE$150*0))/BY39</f>
        <v>0</v>
      </c>
      <c r="CF43" s="1110">
        <f>+((Growth_Drivers!CF$150*0))/BZ39</f>
        <v>0</v>
      </c>
      <c r="CG43" s="708">
        <f>SUMPRODUCT(CC43:CF43,BW$39:BZ$39)/SUM(BW$39:BZ$39)</f>
        <v>8.0449936612528722E-3</v>
      </c>
      <c r="CH43" s="614"/>
      <c r="CI43" s="909">
        <v>0</v>
      </c>
      <c r="CJ43" s="910">
        <v>0</v>
      </c>
      <c r="CK43" s="910">
        <v>0</v>
      </c>
      <c r="CL43" s="910">
        <v>0</v>
      </c>
      <c r="CM43" s="708">
        <f>SUMPRODUCT(CI43:CL43,CC$39:CF$39)/SUM(CC$39:CF$39)</f>
        <v>0</v>
      </c>
      <c r="CN43" s="614"/>
      <c r="CO43" s="909">
        <v>0</v>
      </c>
      <c r="CP43" s="910">
        <v>0</v>
      </c>
      <c r="CQ43" s="910">
        <v>0</v>
      </c>
      <c r="CR43" s="910">
        <v>0</v>
      </c>
      <c r="CS43" s="708">
        <f>SUMPRODUCT(CO43:CR43,CI$39:CL$39)/SUM(CI$39:CL$39)</f>
        <v>0</v>
      </c>
      <c r="CT43" s="614"/>
      <c r="CU43" s="909">
        <v>0</v>
      </c>
      <c r="CV43" s="910">
        <v>0</v>
      </c>
      <c r="CW43" s="910">
        <v>0</v>
      </c>
      <c r="CX43" s="910">
        <v>0</v>
      </c>
      <c r="CY43" s="708">
        <f>SUMPRODUCT(CU43:CX43,CO$39:CR$39)/SUM(CO$39:CR$39)</f>
        <v>0</v>
      </c>
    </row>
    <row r="44" spans="1:105" s="39" customFormat="1" ht="11.25" customHeight="1" x14ac:dyDescent="0.2">
      <c r="A44" s="172" t="s">
        <v>234</v>
      </c>
      <c r="B44" s="172"/>
      <c r="C44" s="240"/>
      <c r="D44" s="240"/>
      <c r="E44" s="240"/>
      <c r="F44" s="240"/>
      <c r="G44" s="172"/>
      <c r="H44" s="240"/>
      <c r="I44" s="279"/>
      <c r="J44" s="240"/>
      <c r="K44" s="240"/>
      <c r="L44" s="240"/>
      <c r="M44" s="172"/>
      <c r="N44" s="240"/>
      <c r="O44" s="279"/>
      <c r="P44" s="240"/>
      <c r="Q44" s="240"/>
      <c r="R44" s="240"/>
      <c r="S44" s="172"/>
      <c r="T44" s="240"/>
      <c r="U44" s="279"/>
      <c r="V44" s="240"/>
      <c r="W44" s="240"/>
      <c r="X44" s="240"/>
      <c r="Y44" s="172"/>
      <c r="Z44" s="240"/>
      <c r="AA44" s="929"/>
      <c r="AB44" s="930"/>
      <c r="AC44" s="930"/>
      <c r="AD44" s="931"/>
      <c r="AE44" s="932"/>
      <c r="AF44" s="240"/>
      <c r="AG44" s="279"/>
      <c r="AH44" s="240"/>
      <c r="AI44" s="240"/>
      <c r="AJ44" s="316"/>
      <c r="AK44" s="172"/>
      <c r="AL44" s="240"/>
      <c r="AM44" s="586">
        <f>+AM42-AM43</f>
        <v>0.28000000000000003</v>
      </c>
      <c r="AN44" s="587">
        <f>+AN42-AN43</f>
        <v>0.15</v>
      </c>
      <c r="AO44" s="587">
        <f>+AO42-AO43</f>
        <v>0.2</v>
      </c>
      <c r="AP44" s="587">
        <f>+AP42-AP43</f>
        <v>0.05</v>
      </c>
      <c r="AQ44" s="708">
        <f>+AQ42-AQ43</f>
        <v>0.15</v>
      </c>
      <c r="AR44" s="614"/>
      <c r="AS44" s="586">
        <f>+AS42-AS43</f>
        <v>-0.13</v>
      </c>
      <c r="AT44" s="587">
        <f>+AT42-AT43</f>
        <v>0.01</v>
      </c>
      <c r="AU44" s="587">
        <f>+AU42-AU43</f>
        <v>0</v>
      </c>
      <c r="AV44" s="587">
        <f>+AV42-AV43</f>
        <v>0.18</v>
      </c>
      <c r="AW44" s="612">
        <f>+AW42-AW43</f>
        <v>0.01</v>
      </c>
      <c r="AX44" s="610"/>
      <c r="AY44" s="613">
        <f>+AY42-AY43</f>
        <v>0.23</v>
      </c>
      <c r="AZ44" s="611">
        <f>+AZ42-AZ43</f>
        <v>0.28000000000000003</v>
      </c>
      <c r="BA44" s="611">
        <f>+BA42-BA43</f>
        <v>0.21</v>
      </c>
      <c r="BB44" s="611">
        <f>+BB42-BB43</f>
        <v>0.16</v>
      </c>
      <c r="BC44" s="612">
        <f>+BC42-BC43</f>
        <v>0.22</v>
      </c>
      <c r="BD44" s="610"/>
      <c r="BE44" s="613">
        <f>+BE42-BE43</f>
        <v>0.05</v>
      </c>
      <c r="BF44" s="611">
        <f>+BF42-BF43</f>
        <v>-0.04</v>
      </c>
      <c r="BG44" s="611">
        <f>+BG42-BG43</f>
        <v>0.06</v>
      </c>
      <c r="BH44" s="611">
        <f>+BH42-BH43</f>
        <v>0.17</v>
      </c>
      <c r="BI44" s="612">
        <f>+BI42-BI43</f>
        <v>0.06</v>
      </c>
      <c r="BJ44" s="969"/>
      <c r="BK44" s="613">
        <f>+BK42-BK43</f>
        <v>0.12558845231507104</v>
      </c>
      <c r="BL44" s="611">
        <f>+BL42-BL43</f>
        <v>1.7037090881508919E-2</v>
      </c>
      <c r="BM44" s="611">
        <f>+BM42-BM43</f>
        <v>7.0000000000000007E-2</v>
      </c>
      <c r="BN44" s="611">
        <f>+BN42-BN43</f>
        <v>0.13</v>
      </c>
      <c r="BO44" s="612">
        <f>+BO42-BO43</f>
        <v>8.5933431517838554E-2</v>
      </c>
      <c r="BP44" s="610"/>
      <c r="BQ44" s="613">
        <f>BQ42-BQ43</f>
        <v>4.1210773679550561E-2</v>
      </c>
      <c r="BR44" s="611">
        <f>BR42-BR43</f>
        <v>5.8506875684932541E-2</v>
      </c>
      <c r="BS44" s="611">
        <f>BS42-BS43</f>
        <v>1.3601558393737917E-2</v>
      </c>
      <c r="BT44" s="611">
        <f>BT42-BT43</f>
        <v>2.2143171690856077E-2</v>
      </c>
      <c r="BU44" s="612">
        <f>+BU42-BU43</f>
        <v>3.3082822473685616E-2</v>
      </c>
      <c r="BV44" s="610"/>
      <c r="BW44" s="613">
        <f>BW42-BW43</f>
        <v>-8.3333333333333329E-2</v>
      </c>
      <c r="BX44" s="611">
        <f>BX42-BX43</f>
        <v>4.6000000000000006E-2</v>
      </c>
      <c r="BY44" s="611">
        <f>BY42-BY43</f>
        <v>6.2438165146558755E-2</v>
      </c>
      <c r="BZ44" s="611">
        <f>BZ42-BZ43</f>
        <v>4.2138928742228604E-2</v>
      </c>
      <c r="CA44" s="612">
        <f>+CA42-CA43</f>
        <v>1.8830826398677544E-2</v>
      </c>
      <c r="CB44" s="610"/>
      <c r="CC44" s="613">
        <f>CC42-CC43</f>
        <v>0.18486418280106842</v>
      </c>
      <c r="CD44" s="611">
        <f>CD42-CD43</f>
        <v>0.10756181850217209</v>
      </c>
      <c r="CE44" s="611">
        <f>CE42-CE43</f>
        <v>0.15</v>
      </c>
      <c r="CF44" s="611">
        <f>CF42-CF43</f>
        <v>0.09</v>
      </c>
      <c r="CG44" s="612">
        <f>+CG42-CG43</f>
        <v>0.12816964448714147</v>
      </c>
      <c r="CH44" s="610"/>
      <c r="CI44" s="613">
        <f>CI42-CI43</f>
        <v>0.04</v>
      </c>
      <c r="CJ44" s="611">
        <f>CJ42-CJ43</f>
        <v>0.1</v>
      </c>
      <c r="CK44" s="611">
        <f>CK42-CK43</f>
        <v>7.0000000000000007E-2</v>
      </c>
      <c r="CL44" s="1087">
        <f>CL42-CL43</f>
        <v>0.11</v>
      </c>
      <c r="CM44" s="612">
        <f>+CM42-CM43</f>
        <v>8.2527284138855087E-2</v>
      </c>
      <c r="CN44" s="610"/>
      <c r="CO44" s="613">
        <f>CO42-CO43</f>
        <v>0.09</v>
      </c>
      <c r="CP44" s="611">
        <f>CP42-CP43</f>
        <v>0.09</v>
      </c>
      <c r="CQ44" s="611">
        <f>CQ42-CQ43</f>
        <v>0.09</v>
      </c>
      <c r="CR44" s="1087">
        <f>CR42-CR43</f>
        <v>0.09</v>
      </c>
      <c r="CS44" s="612">
        <f>+CS42-CS43</f>
        <v>9.0000000000000011E-2</v>
      </c>
      <c r="CT44" s="610"/>
      <c r="CU44" s="613">
        <f>CU42-CU43</f>
        <v>0.06</v>
      </c>
      <c r="CV44" s="611">
        <f>CV42-CV43</f>
        <v>0.06</v>
      </c>
      <c r="CW44" s="611">
        <f>CW42-CW43</f>
        <v>0.06</v>
      </c>
      <c r="CX44" s="1087">
        <f>CX42-CX43</f>
        <v>0.06</v>
      </c>
      <c r="CY44" s="612">
        <f>+CY42-CY43</f>
        <v>6.0000000000000005E-2</v>
      </c>
    </row>
    <row r="45" spans="1:105" s="39" customFormat="1" ht="11.25" customHeight="1" x14ac:dyDescent="0.2">
      <c r="A45" s="208" t="s">
        <v>192</v>
      </c>
      <c r="B45" s="58"/>
      <c r="C45" s="556"/>
      <c r="D45" s="556"/>
      <c r="E45" s="556"/>
      <c r="F45" s="556"/>
      <c r="G45" s="629"/>
      <c r="H45" s="557"/>
      <c r="I45" s="677"/>
      <c r="J45" s="556"/>
      <c r="K45" s="556"/>
      <c r="L45" s="556"/>
      <c r="M45" s="629"/>
      <c r="N45" s="557"/>
      <c r="O45" s="677"/>
      <c r="P45" s="556"/>
      <c r="Q45" s="556"/>
      <c r="R45" s="556"/>
      <c r="S45" s="629"/>
      <c r="T45" s="556"/>
      <c r="U45" s="677"/>
      <c r="V45" s="556"/>
      <c r="W45" s="556"/>
      <c r="X45" s="556"/>
      <c r="Y45" s="629"/>
      <c r="Z45" s="696"/>
      <c r="AA45" s="699">
        <f>+AA13</f>
        <v>34.905505617977525</v>
      </c>
      <c r="AB45" s="700">
        <f>+AB13</f>
        <v>41.292632209737832</v>
      </c>
      <c r="AC45" s="700">
        <f>+AC13</f>
        <v>46.160000000000004</v>
      </c>
      <c r="AD45" s="700">
        <f>AD13</f>
        <v>47.436200000000014</v>
      </c>
      <c r="AE45" s="697">
        <f>SUM(AA45:AD45)</f>
        <v>169.79433782771537</v>
      </c>
      <c r="AF45" s="698"/>
      <c r="AG45" s="699">
        <f>+AG13</f>
        <v>44.186599999999999</v>
      </c>
      <c r="AH45" s="700">
        <f>+AH13</f>
        <v>49.632239999999996</v>
      </c>
      <c r="AI45" s="700">
        <f>+AI13</f>
        <v>54.528389999999995</v>
      </c>
      <c r="AJ45" s="700">
        <f>AJ13</f>
        <v>60.706170000000022</v>
      </c>
      <c r="AK45" s="697">
        <f>SUM(AG45:AJ45)</f>
        <v>209.05340000000001</v>
      </c>
      <c r="AL45" s="698"/>
      <c r="AM45" s="981">
        <f>+AM13</f>
        <v>55.516439999999996</v>
      </c>
      <c r="AN45" s="982">
        <f>+AN13</f>
        <v>57.797960000000003</v>
      </c>
      <c r="AO45" s="982">
        <f>+AO13</f>
        <v>54.863400000000006</v>
      </c>
      <c r="AP45" s="982">
        <f>AP13</f>
        <v>60.066720000000004</v>
      </c>
      <c r="AQ45" s="984">
        <f>SUM(AM45:AP45)</f>
        <v>228.24452000000002</v>
      </c>
      <c r="AR45" s="985"/>
      <c r="AS45" s="981">
        <f>+AS13</f>
        <v>55.495649999999998</v>
      </c>
      <c r="AT45" s="982">
        <f>+AT13</f>
        <v>59.257170000000002</v>
      </c>
      <c r="AU45" s="982">
        <f>+AU13</f>
        <v>60.665849999999999</v>
      </c>
      <c r="AV45" s="982">
        <f>AV13</f>
        <v>63.539800000000014</v>
      </c>
      <c r="AW45" s="697">
        <f>SUM(AS45:AV45)</f>
        <v>238.95847000000001</v>
      </c>
      <c r="AX45" s="1271"/>
      <c r="AY45" s="699">
        <f>+AY13</f>
        <v>59.284400000000005</v>
      </c>
      <c r="AZ45" s="700">
        <f>+AZ13</f>
        <v>61.442600000000006</v>
      </c>
      <c r="BA45" s="700">
        <f>+BA13</f>
        <v>57.814909999999998</v>
      </c>
      <c r="BB45" s="700">
        <f>BB13</f>
        <v>62.375759999999985</v>
      </c>
      <c r="BC45" s="697">
        <f>SUM(AY45:BB45)</f>
        <v>240.91766999999999</v>
      </c>
      <c r="BD45" s="698"/>
      <c r="BE45" s="699">
        <f>+BE13</f>
        <v>54.643680000000003</v>
      </c>
      <c r="BF45" s="700">
        <f>+BF13</f>
        <v>63.282399999999996</v>
      </c>
      <c r="BG45" s="700">
        <f>+BG13</f>
        <v>61.524089999999994</v>
      </c>
      <c r="BH45" s="700">
        <f>+BH13</f>
        <v>65.265299999999996</v>
      </c>
      <c r="BI45" s="697">
        <f>SUM(BE45:BH45)</f>
        <v>244.71546999999998</v>
      </c>
      <c r="BJ45" s="697"/>
      <c r="BK45" s="700">
        <f>+BK13</f>
        <v>60.300869999999996</v>
      </c>
      <c r="BL45" s="700">
        <f>+BL13</f>
        <v>62.935029999999998</v>
      </c>
      <c r="BM45" s="700">
        <f>+BM13</f>
        <v>63.983830000000005</v>
      </c>
      <c r="BN45" s="700">
        <f>+BN13</f>
        <v>64.945799999999991</v>
      </c>
      <c r="BO45" s="697">
        <f>SUM(BK45:BN45)</f>
        <v>252.16552999999999</v>
      </c>
      <c r="BP45" s="698"/>
      <c r="BQ45" s="699">
        <f>+BQ13</f>
        <v>59.745800000000003</v>
      </c>
      <c r="BR45" s="700">
        <f>+BR13</f>
        <v>63.891200000000005</v>
      </c>
      <c r="BS45" s="700">
        <f>+BS13</f>
        <v>62.912199999999999</v>
      </c>
      <c r="BT45" s="700">
        <f>+BT13</f>
        <v>66.215000000000003</v>
      </c>
      <c r="BU45" s="697">
        <f>SUM(BQ45:BT45)</f>
        <v>252.76419999999999</v>
      </c>
      <c r="BV45" s="698"/>
      <c r="BW45" s="699">
        <f>+BW13</f>
        <v>62.659590000000001</v>
      </c>
      <c r="BX45" s="700">
        <f>+BX13</f>
        <v>68.429245980569164</v>
      </c>
      <c r="BY45" s="700">
        <f>+BY13</f>
        <v>67.737000000000009</v>
      </c>
      <c r="BZ45" s="700">
        <f>+BZ13</f>
        <v>65.972699999999989</v>
      </c>
      <c r="CA45" s="697">
        <f>SUM(BW45:BZ45)</f>
        <v>264.79853598056917</v>
      </c>
      <c r="CB45" s="698"/>
      <c r="CC45" s="699">
        <f>+CC13</f>
        <v>63.511036000000004</v>
      </c>
      <c r="CD45" s="700">
        <f>+CD13</f>
        <v>70.270806000000007</v>
      </c>
      <c r="CE45" s="700">
        <f>+CE13</f>
        <v>68.871600000000001</v>
      </c>
      <c r="CF45" s="700">
        <f>+CF13</f>
        <v>72.274565999999993</v>
      </c>
      <c r="CG45" s="697">
        <f>SUM(CC45:CF45)</f>
        <v>274.92800799999998</v>
      </c>
      <c r="CH45" s="698"/>
      <c r="CI45" s="699">
        <f>CC45*(1+CI46)</f>
        <v>69.862139600000006</v>
      </c>
      <c r="CJ45" s="700">
        <f>CD45*(1+CJ46)</f>
        <v>77.649240630000008</v>
      </c>
      <c r="CK45" s="700">
        <f>CE45*(1+CK46)</f>
        <v>77.480549999999994</v>
      </c>
      <c r="CL45" s="700">
        <f>CF45*(1+CL46)</f>
        <v>79.502022600000004</v>
      </c>
      <c r="CM45" s="697">
        <f>SUM(CI45:CL45)</f>
        <v>304.49395283000001</v>
      </c>
      <c r="CN45" s="698"/>
      <c r="CO45" s="699">
        <f>CI45*(1+CO46)</f>
        <v>74.053867976000006</v>
      </c>
      <c r="CP45" s="700">
        <f>CJ45*(1+CP46)</f>
        <v>82.308195067800014</v>
      </c>
      <c r="CQ45" s="700">
        <f>CK45*(1+CQ46)</f>
        <v>82.129383000000004</v>
      </c>
      <c r="CR45" s="700">
        <f>CL45*(1+CR46)</f>
        <v>84.272143956000008</v>
      </c>
      <c r="CS45" s="697">
        <f>SUM(CO45:CR45)</f>
        <v>322.76358999980005</v>
      </c>
      <c r="CT45" s="698"/>
      <c r="CU45" s="699">
        <f>CO45*(1+CU46)</f>
        <v>78.497100054560008</v>
      </c>
      <c r="CV45" s="700">
        <f>CP45*(1+CV46)</f>
        <v>87.246686771868013</v>
      </c>
      <c r="CW45" s="700">
        <f>CQ45*(1+CW46)</f>
        <v>87.057145980000016</v>
      </c>
      <c r="CX45" s="700">
        <f>CR45*(1+CX46)</f>
        <v>89.328472593360019</v>
      </c>
      <c r="CY45" s="697">
        <f>SUM(CU45:CX45)</f>
        <v>342.12940539978803</v>
      </c>
    </row>
    <row r="46" spans="1:105" s="39" customFormat="1" ht="11.25" customHeight="1" x14ac:dyDescent="0.2">
      <c r="A46" s="354" t="s">
        <v>232</v>
      </c>
      <c r="B46" s="58"/>
      <c r="C46" s="558"/>
      <c r="D46" s="558"/>
      <c r="E46" s="558"/>
      <c r="F46" s="558"/>
      <c r="G46" s="629"/>
      <c r="H46" s="557"/>
      <c r="I46" s="704"/>
      <c r="J46" s="558"/>
      <c r="K46" s="558"/>
      <c r="L46" s="558"/>
      <c r="M46" s="629"/>
      <c r="N46" s="557"/>
      <c r="O46" s="704"/>
      <c r="P46" s="558"/>
      <c r="Q46" s="558"/>
      <c r="R46" s="558"/>
      <c r="S46" s="629"/>
      <c r="T46" s="558"/>
      <c r="U46" s="704"/>
      <c r="V46" s="558"/>
      <c r="W46" s="558"/>
      <c r="X46" s="558"/>
      <c r="Y46" s="629"/>
      <c r="Z46" s="557"/>
      <c r="AA46" s="912"/>
      <c r="AB46" s="913"/>
      <c r="AC46" s="913"/>
      <c r="AD46" s="914"/>
      <c r="AE46" s="915"/>
      <c r="AF46" s="706"/>
      <c r="AG46" s="694">
        <f>AG45/AA45-1</f>
        <v>0.26589199089677118</v>
      </c>
      <c r="AH46" s="583">
        <f>AH45/AB45-1</f>
        <v>0.20196357906908813</v>
      </c>
      <c r="AI46" s="583">
        <f>AI45/AC45-1</f>
        <v>0.18129094454072758</v>
      </c>
      <c r="AJ46" s="589">
        <f>AJ45/AD45-1</f>
        <v>0.27974352920343537</v>
      </c>
      <c r="AK46" s="707">
        <f>AK45/AE45-1</f>
        <v>0.23121537899643929</v>
      </c>
      <c r="AL46" s="614"/>
      <c r="AM46" s="586">
        <f>AM45/AG45-1</f>
        <v>0.25640895656149154</v>
      </c>
      <c r="AN46" s="587">
        <f>AN45/AH45-1</f>
        <v>0.16452451068096074</v>
      </c>
      <c r="AO46" s="587">
        <f>AO45/AI45-1</f>
        <v>6.1437720790951111E-3</v>
      </c>
      <c r="AP46" s="587">
        <f>AP45/AJ45-1</f>
        <v>-1.0533525669631616E-2</v>
      </c>
      <c r="AQ46" s="708">
        <f>AQ45/AK45-1</f>
        <v>9.1800085528386477E-2</v>
      </c>
      <c r="AR46" s="614"/>
      <c r="AS46" s="586">
        <f>AS45/AM45-1</f>
        <v>-3.744836664598683E-4</v>
      </c>
      <c r="AT46" s="587">
        <f>AT45/AN45-1</f>
        <v>2.5246738812234826E-2</v>
      </c>
      <c r="AU46" s="587">
        <f>AU45/AO45-1</f>
        <v>0.10576176467371678</v>
      </c>
      <c r="AV46" s="587">
        <f>AV45/AP45-1</f>
        <v>5.782037041476551E-2</v>
      </c>
      <c r="AW46" s="708">
        <f>AW45/AQ45-1</f>
        <v>4.6940666965410438E-2</v>
      </c>
      <c r="AX46" s="614"/>
      <c r="AY46" s="586">
        <f>AY45/AS45-1</f>
        <v>6.8271116745186378E-2</v>
      </c>
      <c r="AZ46" s="587">
        <f>AZ45/AT45-1</f>
        <v>3.688043151571363E-2</v>
      </c>
      <c r="BA46" s="587">
        <f>BA45/AU45-1</f>
        <v>-4.699414909706201E-2</v>
      </c>
      <c r="BB46" s="587">
        <f>BB45/AV45-1</f>
        <v>-1.8319856216104324E-2</v>
      </c>
      <c r="BC46" s="708">
        <f>BC45/AW45-1</f>
        <v>8.1989142297402839E-3</v>
      </c>
      <c r="BD46" s="614"/>
      <c r="BE46" s="586">
        <f>BE45/AY45-1</f>
        <v>-7.8278940159637322E-2</v>
      </c>
      <c r="BF46" s="587">
        <f>BF45/AZ45-1</f>
        <v>2.9943394322505812E-2</v>
      </c>
      <c r="BG46" s="587">
        <f>BG45/BA45-1</f>
        <v>6.4156114746178661E-2</v>
      </c>
      <c r="BH46" s="587">
        <f>BH45/BB45-1</f>
        <v>4.632472614361749E-2</v>
      </c>
      <c r="BI46" s="708">
        <f>BI45/BC45-1</f>
        <v>1.5763891457193591E-2</v>
      </c>
      <c r="BJ46" s="968"/>
      <c r="BK46" s="587">
        <f>BK45/BE45-1</f>
        <v>0.10352871548914711</v>
      </c>
      <c r="BL46" s="587">
        <f>BL45/BF45-1</f>
        <v>-5.4892039492813183E-3</v>
      </c>
      <c r="BM46" s="587">
        <f>BM45/BG45-1</f>
        <v>3.9980111855372646E-2</v>
      </c>
      <c r="BN46" s="587">
        <f>BN45/BH45-1</f>
        <v>-4.895403836341905E-3</v>
      </c>
      <c r="BO46" s="708">
        <f>BO45/BI45-1</f>
        <v>3.0443763935316337E-2</v>
      </c>
      <c r="BP46" s="614"/>
      <c r="BQ46" s="586">
        <f>BQ45/BK45-1</f>
        <v>-9.2050081532819572E-3</v>
      </c>
      <c r="BR46" s="587">
        <f>BR45/BL45-1</f>
        <v>1.5192969638689435E-2</v>
      </c>
      <c r="BS46" s="587">
        <f>BS45/BM45-1</f>
        <v>-1.6748450350658972E-2</v>
      </c>
      <c r="BT46" s="587">
        <f>BT45/BN45-1</f>
        <v>1.9542449242291537E-2</v>
      </c>
      <c r="BU46" s="708">
        <f>BU45/BO45-1</f>
        <v>2.3741151298513063E-3</v>
      </c>
      <c r="BV46" s="614"/>
      <c r="BW46" s="586">
        <f>BW45/BQ45-1</f>
        <v>4.8769788001834513E-2</v>
      </c>
      <c r="BX46" s="587">
        <f>BX45/BR45-1</f>
        <v>7.1027715562850036E-2</v>
      </c>
      <c r="BY46" s="587">
        <f>BY45/BS45-1</f>
        <v>7.6691007467550198E-2</v>
      </c>
      <c r="BZ46" s="587">
        <f>BZ45/BT45-1</f>
        <v>-3.6592917012763237E-3</v>
      </c>
      <c r="CA46" s="708">
        <f>CA45/BU45-1</f>
        <v>4.7610919507466543E-2</v>
      </c>
      <c r="CB46" s="614"/>
      <c r="CC46" s="586">
        <f>CC45/BW45-1</f>
        <v>1.3588438736991559E-2</v>
      </c>
      <c r="CD46" s="587">
        <f>CD45/BX45-1</f>
        <v>2.6911885306375671E-2</v>
      </c>
      <c r="CE46" s="587">
        <f>CE45/BY45-1</f>
        <v>1.675007750564661E-2</v>
      </c>
      <c r="CF46" s="587">
        <f>CF45/BZ45-1</f>
        <v>9.5522329690917784E-2</v>
      </c>
      <c r="CG46" s="708">
        <f>CG45/CA45-1</f>
        <v>3.8253504619731427E-2</v>
      </c>
      <c r="CH46" s="614"/>
      <c r="CI46" s="586">
        <f>+CI48+CI47</f>
        <v>0.1</v>
      </c>
      <c r="CJ46" s="587">
        <f>+CJ48+CJ47</f>
        <v>0.105</v>
      </c>
      <c r="CK46" s="587">
        <f>+CK48+CK47</f>
        <v>0.125</v>
      </c>
      <c r="CL46" s="587">
        <f>+CL48+CL47</f>
        <v>0.1</v>
      </c>
      <c r="CM46" s="708">
        <f>CM45/CG45-1</f>
        <v>0.10754067963130209</v>
      </c>
      <c r="CN46" s="614"/>
      <c r="CO46" s="586">
        <f>+CO48+CO47</f>
        <v>0.06</v>
      </c>
      <c r="CP46" s="587">
        <f>+CP48+CP47</f>
        <v>0.06</v>
      </c>
      <c r="CQ46" s="587">
        <f>+CQ48+CQ47</f>
        <v>0.06</v>
      </c>
      <c r="CR46" s="587">
        <f>+CR48+CR47</f>
        <v>0.06</v>
      </c>
      <c r="CS46" s="708">
        <f>CS45/CM45-1</f>
        <v>6.0000000000000053E-2</v>
      </c>
      <c r="CT46" s="614"/>
      <c r="CU46" s="586">
        <f>+CU48+CU47</f>
        <v>0.06</v>
      </c>
      <c r="CV46" s="587">
        <f>+CV48+CV47</f>
        <v>0.06</v>
      </c>
      <c r="CW46" s="587">
        <f>+CW48+CW47</f>
        <v>0.06</v>
      </c>
      <c r="CX46" s="587">
        <f>+CX48+CX47</f>
        <v>0.06</v>
      </c>
      <c r="CY46" s="708">
        <f>CY45/CS45-1</f>
        <v>5.9999999999999831E-2</v>
      </c>
    </row>
    <row r="47" spans="1:105" s="39" customFormat="1" ht="11.25" customHeight="1" outlineLevel="1" x14ac:dyDescent="0.2">
      <c r="A47" s="354" t="s">
        <v>230</v>
      </c>
      <c r="B47" s="58"/>
      <c r="C47" s="558"/>
      <c r="D47" s="558"/>
      <c r="E47" s="558"/>
      <c r="F47" s="558"/>
      <c r="G47" s="629"/>
      <c r="H47" s="557"/>
      <c r="I47" s="704"/>
      <c r="J47" s="558"/>
      <c r="K47" s="558"/>
      <c r="L47" s="558"/>
      <c r="M47" s="629"/>
      <c r="N47" s="557"/>
      <c r="O47" s="704"/>
      <c r="P47" s="558"/>
      <c r="Q47" s="558"/>
      <c r="R47" s="558"/>
      <c r="S47" s="629"/>
      <c r="T47" s="558"/>
      <c r="U47" s="704"/>
      <c r="V47" s="558"/>
      <c r="W47" s="558"/>
      <c r="X47" s="558"/>
      <c r="Y47" s="629"/>
      <c r="Z47" s="557"/>
      <c r="AA47" s="912"/>
      <c r="AB47" s="913"/>
      <c r="AC47" s="913"/>
      <c r="AD47" s="914"/>
      <c r="AE47" s="915"/>
      <c r="AF47" s="706"/>
      <c r="AG47" s="694"/>
      <c r="AH47" s="583"/>
      <c r="AI47" s="583"/>
      <c r="AJ47" s="589"/>
      <c r="AK47" s="707"/>
      <c r="AL47" s="614"/>
      <c r="AM47" s="586">
        <f>AM46-AM48</f>
        <v>0.12640895656149154</v>
      </c>
      <c r="AN47" s="587">
        <f>AN46-AN48</f>
        <v>5.4524510680960744E-2</v>
      </c>
      <c r="AO47" s="587">
        <f>AO46-AO48</f>
        <v>-8.3856227920904886E-2</v>
      </c>
      <c r="AP47" s="587">
        <f>AP46-AP48</f>
        <v>-0.12053352566963162</v>
      </c>
      <c r="AQ47" s="708">
        <f>AQ46-AQ48</f>
        <v>3.1800085528386479E-2</v>
      </c>
      <c r="AR47" s="614"/>
      <c r="AS47" s="586">
        <f>AS46-AS48</f>
        <v>-2.0374483666459869E-2</v>
      </c>
      <c r="AT47" s="587">
        <f>AT46-AT48</f>
        <v>2.5246738812234826E-2</v>
      </c>
      <c r="AU47" s="587">
        <f>AU46-AU48</f>
        <v>4.5761764673716787E-2</v>
      </c>
      <c r="AV47" s="587">
        <f>AV46-AV48</f>
        <v>-2.2179629585234492E-2</v>
      </c>
      <c r="AW47" s="708">
        <f>AW46-AW48</f>
        <v>6.9406669654104372E-3</v>
      </c>
      <c r="AX47" s="614"/>
      <c r="AY47" s="586">
        <f>AY46-AY48</f>
        <v>-3.1728883254813628E-2</v>
      </c>
      <c r="AZ47" s="587">
        <f>AZ46-AZ48</f>
        <v>-4.3119568484286372E-2</v>
      </c>
      <c r="BA47" s="587">
        <f>BA46-BA48</f>
        <v>-7.6994149097062009E-2</v>
      </c>
      <c r="BB47" s="587">
        <f>BB46-BB48</f>
        <v>-2.8319856216104326E-2</v>
      </c>
      <c r="BC47" s="708">
        <f>BC46-BC48</f>
        <v>-4.1801085770259719E-2</v>
      </c>
      <c r="BD47" s="614"/>
      <c r="BE47" s="586">
        <f>BE46-BE48</f>
        <v>-3.8278940159637322E-2</v>
      </c>
      <c r="BF47" s="587">
        <f>BF46-BF48</f>
        <v>-1.0056605677494189E-2</v>
      </c>
      <c r="BG47" s="587">
        <f>BG46-BG48</f>
        <v>3.4156114746178662E-2</v>
      </c>
      <c r="BH47" s="587">
        <f>BH46-BH48</f>
        <v>-2.3675273856382517E-2</v>
      </c>
      <c r="BI47" s="708">
        <f>BI46-BI48</f>
        <v>-1.4236108542806408E-2</v>
      </c>
      <c r="BJ47" s="968"/>
      <c r="BK47" s="587">
        <f>BK46-BK48</f>
        <v>2.3528715489147103E-2</v>
      </c>
      <c r="BL47" s="587">
        <f>BL46-BL48</f>
        <v>-5.4892039492813183E-3</v>
      </c>
      <c r="BM47" s="587">
        <f>BM46-BM48</f>
        <v>-1.9888144627354387E-5</v>
      </c>
      <c r="BN47" s="587">
        <f>BN46-BN48</f>
        <v>-1.4895403836341905E-2</v>
      </c>
      <c r="BO47" s="708">
        <f>BO46-BO48</f>
        <v>4.4376393531633807E-4</v>
      </c>
      <c r="BP47" s="614"/>
      <c r="BQ47" s="586">
        <f>BQ46-BQ48</f>
        <v>-2.9205008153281958E-2</v>
      </c>
      <c r="BR47" s="587">
        <f>BR46-BR48</f>
        <v>-5.4807030361310571E-2</v>
      </c>
      <c r="BS47" s="587">
        <f>BS46-BS48</f>
        <v>-7.674845035065897E-2</v>
      </c>
      <c r="BT47" s="587">
        <f>BT46-BT48</f>
        <v>-4.045755075770846E-2</v>
      </c>
      <c r="BU47" s="708">
        <f>BU46-BU48</f>
        <v>-5.055638373730155E-2</v>
      </c>
      <c r="BV47" s="614"/>
      <c r="BW47" s="586">
        <f>BW46-BW48</f>
        <v>-2.1230211998165494E-2</v>
      </c>
      <c r="BX47" s="587">
        <f>BX46-BX48</f>
        <v>-1.4972284437149957E-2</v>
      </c>
      <c r="BY47" s="587">
        <f>BY46-BY48</f>
        <v>-3.3089925324498032E-3</v>
      </c>
      <c r="BZ47" s="587">
        <f>BZ46-BZ48</f>
        <v>-5.3659291701276327E-2</v>
      </c>
      <c r="CA47" s="708">
        <f>CA46-CA48</f>
        <v>-2.368309760413391E-2</v>
      </c>
      <c r="CB47" s="614"/>
      <c r="CC47" s="586">
        <f>CC46-CC48</f>
        <v>-6.6411561263008442E-2</v>
      </c>
      <c r="CD47" s="587">
        <f>CD46-CD48</f>
        <v>-5.308811469362433E-2</v>
      </c>
      <c r="CE47" s="587">
        <f>CE46-CE48</f>
        <v>-3.3249922494353393E-2</v>
      </c>
      <c r="CF47" s="587">
        <f>CF46-CF48</f>
        <v>5.5223296909177877E-3</v>
      </c>
      <c r="CG47" s="708">
        <f>CG46-CG48</f>
        <v>-3.6563751469249728E-2</v>
      </c>
      <c r="CH47" s="614"/>
      <c r="CI47" s="586">
        <f t="shared" ref="CI47:CX47" si="12">+CI$59</f>
        <v>0.05</v>
      </c>
      <c r="CJ47" s="587">
        <f t="shared" si="12"/>
        <v>4.4999999999999998E-2</v>
      </c>
      <c r="CK47" s="587">
        <f t="shared" si="12"/>
        <v>2.5000000000000001E-2</v>
      </c>
      <c r="CL47" s="587">
        <f t="shared" si="12"/>
        <v>0.02</v>
      </c>
      <c r="CM47" s="708">
        <f t="shared" ref="CM47" si="13">CM46-CM48</f>
        <v>3.4572757643521204E-2</v>
      </c>
      <c r="CN47" s="614"/>
      <c r="CO47" s="586">
        <f t="shared" ref="CO47" si="14">+CO$59</f>
        <v>0</v>
      </c>
      <c r="CP47" s="587">
        <f t="shared" si="12"/>
        <v>0</v>
      </c>
      <c r="CQ47" s="587">
        <f t="shared" si="12"/>
        <v>0</v>
      </c>
      <c r="CR47" s="587">
        <f t="shared" si="12"/>
        <v>0</v>
      </c>
      <c r="CS47" s="708">
        <f t="shared" ref="CS47" si="15">CS46-CS48</f>
        <v>5.5511151231257827E-17</v>
      </c>
      <c r="CT47" s="614"/>
      <c r="CU47" s="586">
        <f t="shared" ref="CU47" si="16">+CU$59</f>
        <v>0</v>
      </c>
      <c r="CV47" s="587">
        <f t="shared" si="12"/>
        <v>0</v>
      </c>
      <c r="CW47" s="587">
        <f t="shared" si="12"/>
        <v>0</v>
      </c>
      <c r="CX47" s="587">
        <f t="shared" si="12"/>
        <v>0</v>
      </c>
      <c r="CY47" s="708">
        <f t="shared" ref="CY47" si="17">CY46-CY48</f>
        <v>-1.6653345369377348E-16</v>
      </c>
    </row>
    <row r="48" spans="1:105" s="39" customFormat="1" ht="11.25" customHeight="1" outlineLevel="1" x14ac:dyDescent="0.2">
      <c r="A48" s="354" t="s">
        <v>233</v>
      </c>
      <c r="B48" s="58"/>
      <c r="C48" s="558"/>
      <c r="D48" s="558"/>
      <c r="E48" s="558"/>
      <c r="F48" s="558"/>
      <c r="G48" s="629"/>
      <c r="H48" s="557"/>
      <c r="I48" s="704"/>
      <c r="J48" s="558"/>
      <c r="K48" s="558"/>
      <c r="L48" s="558"/>
      <c r="M48" s="629"/>
      <c r="N48" s="557"/>
      <c r="O48" s="704"/>
      <c r="P48" s="558"/>
      <c r="Q48" s="558"/>
      <c r="R48" s="558"/>
      <c r="S48" s="629"/>
      <c r="T48" s="558"/>
      <c r="U48" s="704"/>
      <c r="V48" s="558"/>
      <c r="W48" s="558"/>
      <c r="X48" s="558"/>
      <c r="Y48" s="629"/>
      <c r="Z48" s="557"/>
      <c r="AA48" s="912"/>
      <c r="AB48" s="913"/>
      <c r="AC48" s="913"/>
      <c r="AD48" s="914"/>
      <c r="AE48" s="915"/>
      <c r="AF48" s="706"/>
      <c r="AG48" s="694"/>
      <c r="AH48" s="583"/>
      <c r="AI48" s="583"/>
      <c r="AJ48" s="589"/>
      <c r="AK48" s="707"/>
      <c r="AL48" s="614"/>
      <c r="AM48" s="764">
        <v>0.13</v>
      </c>
      <c r="AN48" s="765">
        <v>0.11</v>
      </c>
      <c r="AO48" s="765">
        <v>0.09</v>
      </c>
      <c r="AP48" s="765">
        <v>0.11</v>
      </c>
      <c r="AQ48" s="424">
        <v>0.06</v>
      </c>
      <c r="AR48" s="614"/>
      <c r="AS48" s="1107">
        <v>0.02</v>
      </c>
      <c r="AT48" s="1105">
        <v>0</v>
      </c>
      <c r="AU48" s="1105">
        <v>0.06</v>
      </c>
      <c r="AV48" s="1105">
        <v>0.08</v>
      </c>
      <c r="AW48" s="1710">
        <v>0.04</v>
      </c>
      <c r="AX48" s="1717"/>
      <c r="AY48" s="1107">
        <v>0.1</v>
      </c>
      <c r="AZ48" s="1105">
        <v>0.08</v>
      </c>
      <c r="BA48" s="1105">
        <v>0.03</v>
      </c>
      <c r="BB48" s="1105">
        <v>0.01</v>
      </c>
      <c r="BC48" s="1710">
        <v>0.05</v>
      </c>
      <c r="BD48" s="1717"/>
      <c r="BE48" s="1107">
        <v>-0.04</v>
      </c>
      <c r="BF48" s="1105">
        <v>0.04</v>
      </c>
      <c r="BG48" s="1105">
        <v>0.03</v>
      </c>
      <c r="BH48" s="1105">
        <v>7.0000000000000007E-2</v>
      </c>
      <c r="BI48" s="1710">
        <v>0.03</v>
      </c>
      <c r="BJ48" s="1718"/>
      <c r="BK48" s="1105">
        <v>0.08</v>
      </c>
      <c r="BL48" s="1105">
        <v>0</v>
      </c>
      <c r="BM48" s="1105">
        <v>0.04</v>
      </c>
      <c r="BN48" s="1105">
        <v>0.01</v>
      </c>
      <c r="BO48" s="1710">
        <v>0.03</v>
      </c>
      <c r="BP48" s="1717"/>
      <c r="BQ48" s="1107">
        <v>0.02</v>
      </c>
      <c r="BR48" s="1105">
        <v>7.0000000000000007E-2</v>
      </c>
      <c r="BS48" s="1105">
        <v>0.06</v>
      </c>
      <c r="BT48" s="1105">
        <v>0.06</v>
      </c>
      <c r="BU48" s="1261">
        <f>SUMPRODUCT(BQ48:BT48,BK$45:BN$45)/SUM(BK$45:BN$45)</f>
        <v>5.2930498867152856E-2</v>
      </c>
      <c r="BV48" s="614"/>
      <c r="BW48" s="1107">
        <v>7.0000000000000007E-2</v>
      </c>
      <c r="BX48" s="1105">
        <v>8.5999999999999993E-2</v>
      </c>
      <c r="BY48" s="1105">
        <v>0.08</v>
      </c>
      <c r="BZ48" s="1105">
        <v>0.05</v>
      </c>
      <c r="CA48" s="1261">
        <f>SUMPRODUCT(BW48:BZ48,BQ$45:BT$45)/SUM(BQ$45:BT$45)</f>
        <v>7.1294017111600452E-2</v>
      </c>
      <c r="CB48" s="614"/>
      <c r="CC48" s="1107">
        <v>0.08</v>
      </c>
      <c r="CD48" s="1105">
        <v>0.08</v>
      </c>
      <c r="CE48" s="1105">
        <v>0.05</v>
      </c>
      <c r="CF48" s="1105">
        <v>0.09</v>
      </c>
      <c r="CG48" s="708">
        <f>SUMPRODUCT(CC48:CF48,BW$45:BZ$45)/SUM(BW$45:BZ$45)</f>
        <v>7.4817256088981154E-2</v>
      </c>
      <c r="CH48" s="614"/>
      <c r="CI48" s="1682">
        <v>0.05</v>
      </c>
      <c r="CJ48" s="1677">
        <v>0.06</v>
      </c>
      <c r="CK48" s="1677">
        <v>0.1</v>
      </c>
      <c r="CL48" s="1677">
        <v>0.08</v>
      </c>
      <c r="CM48" s="708">
        <f>SUMPRODUCT(CI48:CL48,CC$45:CF$45)/SUM(CC$45:CF$45)</f>
        <v>7.296792198778089E-2</v>
      </c>
      <c r="CN48" s="614"/>
      <c r="CO48" s="1682">
        <v>0.06</v>
      </c>
      <c r="CP48" s="1677">
        <f>+CO48</f>
        <v>0.06</v>
      </c>
      <c r="CQ48" s="1677">
        <f>+CP48</f>
        <v>0.06</v>
      </c>
      <c r="CR48" s="1677">
        <f>+CQ48</f>
        <v>0.06</v>
      </c>
      <c r="CS48" s="708">
        <f>SUMPRODUCT(CO48:CR48,CI$45:CL$45)/SUM(CI$45:CL$45)</f>
        <v>0.06</v>
      </c>
      <c r="CT48" s="614"/>
      <c r="CU48" s="1682">
        <f>+CR48</f>
        <v>0.06</v>
      </c>
      <c r="CV48" s="1677">
        <f>+CU48</f>
        <v>0.06</v>
      </c>
      <c r="CW48" s="1677">
        <f>+CV48</f>
        <v>0.06</v>
      </c>
      <c r="CX48" s="1677">
        <f>+CW48</f>
        <v>0.06</v>
      </c>
      <c r="CY48" s="708">
        <f>SUMPRODUCT(CU48:CX48,CO$45:CR$45)/SUM(CO$45:CR$45)</f>
        <v>0.06</v>
      </c>
    </row>
    <row r="49" spans="1:105" s="39" customFormat="1" ht="11.25" customHeight="1" outlineLevel="1" x14ac:dyDescent="0.2">
      <c r="A49" s="354" t="s">
        <v>231</v>
      </c>
      <c r="B49" s="58"/>
      <c r="C49" s="558"/>
      <c r="D49" s="558"/>
      <c r="E49" s="558"/>
      <c r="F49" s="558"/>
      <c r="G49" s="629"/>
      <c r="H49" s="557"/>
      <c r="I49" s="704"/>
      <c r="J49" s="558"/>
      <c r="K49" s="558"/>
      <c r="L49" s="558"/>
      <c r="M49" s="629"/>
      <c r="N49" s="557"/>
      <c r="O49" s="704"/>
      <c r="P49" s="558"/>
      <c r="Q49" s="558"/>
      <c r="R49" s="558"/>
      <c r="S49" s="629"/>
      <c r="T49" s="558"/>
      <c r="U49" s="704"/>
      <c r="V49" s="558"/>
      <c r="W49" s="558"/>
      <c r="X49" s="558"/>
      <c r="Y49" s="629"/>
      <c r="Z49" s="557"/>
      <c r="AA49" s="912"/>
      <c r="AB49" s="913"/>
      <c r="AC49" s="913"/>
      <c r="AD49" s="914"/>
      <c r="AE49" s="915"/>
      <c r="AF49" s="706"/>
      <c r="AG49" s="694"/>
      <c r="AH49" s="583"/>
      <c r="AI49" s="583"/>
      <c r="AJ49" s="589"/>
      <c r="AK49" s="707"/>
      <c r="AL49" s="614"/>
      <c r="AM49" s="586"/>
      <c r="AN49" s="587"/>
      <c r="AO49" s="587"/>
      <c r="AP49" s="587"/>
      <c r="AQ49" s="708"/>
      <c r="AR49" s="614"/>
      <c r="AS49" s="586">
        <f>+(AS61*AS$17*AS14)/AM45</f>
        <v>0</v>
      </c>
      <c r="AT49" s="587">
        <f>+(AT61*AT$17*AT14)/AN45</f>
        <v>0</v>
      </c>
      <c r="AU49" s="587">
        <f>+(AU61*AU$17*(AU14+AU12))/AO45</f>
        <v>5.8973960782598235E-2</v>
      </c>
      <c r="AV49" s="587">
        <f>+(AV61*AV$17*(AV14+AV12))/AP45</f>
        <v>8.6852619886686008E-2</v>
      </c>
      <c r="AW49" s="708">
        <f>SUMPRODUCT(AS49:AV49,AM$45:AP$45)/SUM(AM$45:AP$45)</f>
        <v>3.7032494799875151E-2</v>
      </c>
      <c r="AX49" s="614"/>
      <c r="AY49" s="586">
        <f>+(AY61*AY$17*(AY14+AY12))/AS45</f>
        <v>0.10095162053242013</v>
      </c>
      <c r="AZ49" s="587">
        <f>+(AZ61*AZ$17*(AZ14+AZ12))/AT45</f>
        <v>0.13064693437097993</v>
      </c>
      <c r="BA49" s="1105">
        <v>0</v>
      </c>
      <c r="BB49" s="1105">
        <v>0</v>
      </c>
      <c r="BC49" s="708">
        <f>SUMPRODUCT(AY49:BB49,AS$45:AV$45)/SUM(AS$45:AV$45)</f>
        <v>5.5842939570210678E-2</v>
      </c>
      <c r="BD49" s="614"/>
      <c r="BE49" s="1107">
        <v>0</v>
      </c>
      <c r="BF49" s="1110">
        <f>+((Growth_Drivers!BF147*Growth_Drivers!BF141)/AZ45)</f>
        <v>5.6963735258599071E-3</v>
      </c>
      <c r="BG49" s="1110">
        <f>+((Growth_Drivers!BG147*Growth_Drivers!BG141)/BA45)+((Growth_Drivers!BG144*Growth_Drivers!BG141)/BA45)</f>
        <v>5.9565084508477133E-2</v>
      </c>
      <c r="BH49" s="1110">
        <f>+((Growth_Drivers!BH147*Growth_Drivers!BH141)/BB45)+((Growth_Drivers!BH144*Growth_Drivers!BH141)/BB45)</f>
        <v>6.4728670239849601E-2</v>
      </c>
      <c r="BI49" s="708">
        <f>SUMPRODUCT(BE49:BH49,AY$45:BB$45)/SUM(AY$45:BB$45)</f>
        <v>3.2505917893029604E-2</v>
      </c>
      <c r="BJ49" s="968"/>
      <c r="BK49" s="1110">
        <f>+((Growth_Drivers!BK147*Growth_Drivers!BK141)/BE45)+((Growth_Drivers!BK144*Growth_Drivers!BK141)/BE45)</f>
        <v>5.6044907663612697E-2</v>
      </c>
      <c r="BL49" s="1110">
        <f>++((Growth_Drivers!BL144*Growth_Drivers!BL141)/BF45)</f>
        <v>1.0370181914718784E-2</v>
      </c>
      <c r="BM49" s="910">
        <v>0</v>
      </c>
      <c r="BN49" s="910">
        <v>0</v>
      </c>
      <c r="BO49" s="708">
        <f>SUMPRODUCT(BK49:BN49,BE$45:BH$45)/SUM(BE$45:BH$45)</f>
        <v>1.5196219511582166E-2</v>
      </c>
      <c r="BP49" s="614"/>
      <c r="BQ49" s="1109">
        <f>++((Growth_Drivers!BQ238*Growth_Drivers!BQ232)/BK45)</f>
        <v>1.2121779503347134E-2</v>
      </c>
      <c r="BR49" s="1110">
        <f>++((Growth_Drivers!BR238*Growth_Drivers!BR232)/BL45)</f>
        <v>2.1681315501081034E-2</v>
      </c>
      <c r="BS49" s="1110">
        <f>++((Growth_Drivers!BS238*Growth_Drivers!BS232)/BM45)</f>
        <v>1.953618593947877E-2</v>
      </c>
      <c r="BT49" s="1110">
        <f>++((Growth_Drivers!BT238*Growth_Drivers!BT232)/BN45)</f>
        <v>2.3928414154571965E-2</v>
      </c>
      <c r="BU49" s="708">
        <f>SUMPRODUCT(BQ49:BT49,BK$45:BN$45)/SUM(BK$45:BN$45)</f>
        <v>1.9429769372126315E-2</v>
      </c>
      <c r="BV49" s="614"/>
      <c r="BW49" s="1109">
        <f>+(((Growth_Drivers!BW$318*Growth_Drivers!BW308)/BQ45))</f>
        <v>9.9999999999999985E-3</v>
      </c>
      <c r="BX49" s="1110">
        <f>+(((Growth_Drivers!BX$318*Growth_Drivers!BX308)/BR45))</f>
        <v>1.4999999999999999E-2</v>
      </c>
      <c r="BY49" s="1110">
        <f>+((((Growth_Drivers!BY$318+Growth_Drivers!BY$321)*Growth_Drivers!BY308)/BS45))</f>
        <v>5.1805651368097116E-2</v>
      </c>
      <c r="BZ49" s="1110">
        <f>+((((Growth_Drivers!BZ$318*50%+Growth_Drivers!BZ$321)*Growth_Drivers!BZ308)/BT45))</f>
        <v>5.4815751717888689E-2</v>
      </c>
      <c r="CA49" s="708">
        <f>SUMPRODUCT(BW49:BZ49,BQ$39:BT$39)/SUM(BQ$39:BT$39)</f>
        <v>3.3700364312305532E-2</v>
      </c>
      <c r="CB49" s="614"/>
      <c r="CC49" s="1109">
        <f>+((Growth_Drivers!CC$321*Growth_Drivers!CC308)+(Growth_Drivers!CC$150*65%))/BW45</f>
        <v>5.0271634397863127E-2</v>
      </c>
      <c r="CD49" s="1110">
        <f>+((Growth_Drivers!CD$321*Growth_Drivers!CD308)+(Growth_Drivers!CD$150*65%))/BX45-1.25%</f>
        <v>4.7415902056910222E-2</v>
      </c>
      <c r="CE49" s="1110">
        <f>+((Growth_Drivers!CE$150*65%))/BY45</f>
        <v>3.8383748911230198E-2</v>
      </c>
      <c r="CF49" s="1110">
        <f>+((Growth_Drivers!CF$150*65%))/BZ45</f>
        <v>3.9410240902676419E-2</v>
      </c>
      <c r="CG49" s="708">
        <f>SUMPRODUCT(CC49:CF49,BW$45:BZ$45)/SUM(BW$45:BZ$45)</f>
        <v>4.3786625867499873E-2</v>
      </c>
      <c r="CH49" s="614"/>
      <c r="CI49" s="909">
        <v>0</v>
      </c>
      <c r="CJ49" s="910">
        <v>0</v>
      </c>
      <c r="CK49" s="910">
        <v>0</v>
      </c>
      <c r="CL49" s="910">
        <v>0</v>
      </c>
      <c r="CM49" s="708">
        <f>SUMPRODUCT(CI49:CL49,CC$45:CF$45)/SUM(CC$45:CF$45)</f>
        <v>0</v>
      </c>
      <c r="CN49" s="614"/>
      <c r="CO49" s="909">
        <v>0</v>
      </c>
      <c r="CP49" s="910">
        <v>0</v>
      </c>
      <c r="CQ49" s="910">
        <v>0</v>
      </c>
      <c r="CR49" s="910">
        <v>0</v>
      </c>
      <c r="CS49" s="708">
        <f>SUMPRODUCT(CO49:CR49,CI$45:CL$45)/SUM(CI$45:CL$45)</f>
        <v>0</v>
      </c>
      <c r="CT49" s="614"/>
      <c r="CU49" s="909">
        <v>0</v>
      </c>
      <c r="CV49" s="910">
        <v>0</v>
      </c>
      <c r="CW49" s="910">
        <v>0</v>
      </c>
      <c r="CX49" s="910">
        <v>0</v>
      </c>
      <c r="CY49" s="708">
        <f>SUMPRODUCT(CU49:CX49,CO$45:CR$45)/SUM(CO$45:CR$45)</f>
        <v>0</v>
      </c>
    </row>
    <row r="50" spans="1:105" s="39" customFormat="1" ht="11.25" customHeight="1" x14ac:dyDescent="0.2">
      <c r="A50" s="172" t="s">
        <v>234</v>
      </c>
      <c r="B50" s="172"/>
      <c r="C50" s="240"/>
      <c r="D50" s="240"/>
      <c r="E50" s="240"/>
      <c r="F50" s="240"/>
      <c r="G50" s="172"/>
      <c r="H50" s="240"/>
      <c r="I50" s="279"/>
      <c r="J50" s="240"/>
      <c r="K50" s="240"/>
      <c r="L50" s="240"/>
      <c r="M50" s="172"/>
      <c r="N50" s="240"/>
      <c r="O50" s="279"/>
      <c r="P50" s="240"/>
      <c r="Q50" s="240"/>
      <c r="R50" s="240"/>
      <c r="S50" s="172"/>
      <c r="T50" s="240"/>
      <c r="U50" s="279"/>
      <c r="V50" s="240"/>
      <c r="W50" s="240"/>
      <c r="X50" s="240"/>
      <c r="Y50" s="172"/>
      <c r="Z50" s="240"/>
      <c r="AA50" s="929"/>
      <c r="AB50" s="930"/>
      <c r="AC50" s="930"/>
      <c r="AD50" s="931"/>
      <c r="AE50" s="932"/>
      <c r="AF50" s="240"/>
      <c r="AG50" s="279"/>
      <c r="AH50" s="240"/>
      <c r="AI50" s="240"/>
      <c r="AJ50" s="316"/>
      <c r="AK50" s="172"/>
      <c r="AL50" s="240"/>
      <c r="AM50" s="586">
        <f>+AM48-AM49</f>
        <v>0.13</v>
      </c>
      <c r="AN50" s="587">
        <f>+AN48-AN49</f>
        <v>0.11</v>
      </c>
      <c r="AO50" s="587">
        <f>+AO48-AO49</f>
        <v>0.09</v>
      </c>
      <c r="AP50" s="587">
        <f>+AP48-AP49</f>
        <v>0.11</v>
      </c>
      <c r="AQ50" s="708">
        <f>+AQ48-AQ49</f>
        <v>0.06</v>
      </c>
      <c r="AR50" s="614"/>
      <c r="AS50" s="586">
        <f>+AS48-AS49</f>
        <v>0.02</v>
      </c>
      <c r="AT50" s="587">
        <f>+AT48-AT49</f>
        <v>0</v>
      </c>
      <c r="AU50" s="587">
        <f>+AU48-AU49</f>
        <v>1.0260392174017627E-3</v>
      </c>
      <c r="AV50" s="587">
        <f>+AV48-AV49</f>
        <v>-6.8526198866860066E-3</v>
      </c>
      <c r="AW50" s="612">
        <f>+AW48-AW49</f>
        <v>2.9675052001248495E-3</v>
      </c>
      <c r="AX50" s="610"/>
      <c r="AY50" s="613">
        <f>+AY48-AY49</f>
        <v>-9.5162053242012212E-4</v>
      </c>
      <c r="AZ50" s="611">
        <f>+AZ48-AZ49</f>
        <v>-5.0646934370979932E-2</v>
      </c>
      <c r="BA50" s="611">
        <f>+BA48-BA49</f>
        <v>0.03</v>
      </c>
      <c r="BB50" s="611">
        <f>+BB48-BB49</f>
        <v>0.01</v>
      </c>
      <c r="BC50" s="612">
        <f>+BC48-BC49</f>
        <v>-5.8429395702106757E-3</v>
      </c>
      <c r="BD50" s="610"/>
      <c r="BE50" s="613">
        <f>+BE48-BE49</f>
        <v>-0.04</v>
      </c>
      <c r="BF50" s="611">
        <f>+BF48-BF49</f>
        <v>3.4303626474140092E-2</v>
      </c>
      <c r="BG50" s="611">
        <f>+BG48-BG49</f>
        <v>-2.9565084508477134E-2</v>
      </c>
      <c r="BH50" s="611">
        <f>+BH48-BH49</f>
        <v>5.2713297601504061E-3</v>
      </c>
      <c r="BI50" s="612">
        <f>+BI48-BI49</f>
        <v>-2.505917893029605E-3</v>
      </c>
      <c r="BJ50" s="969"/>
      <c r="BK50" s="613">
        <f>+BK48-BK49</f>
        <v>2.3955092336387304E-2</v>
      </c>
      <c r="BL50" s="611">
        <f>+BL48-BL49</f>
        <v>-1.0370181914718784E-2</v>
      </c>
      <c r="BM50" s="611">
        <f>+BM48-BM49</f>
        <v>0.04</v>
      </c>
      <c r="BN50" s="611">
        <f>+BN48-BN49</f>
        <v>0.01</v>
      </c>
      <c r="BO50" s="612">
        <f>+BO48-BO49</f>
        <v>1.4803780488417833E-2</v>
      </c>
      <c r="BP50" s="610"/>
      <c r="BQ50" s="613">
        <f>BQ48-BQ49</f>
        <v>7.8782204966528664E-3</v>
      </c>
      <c r="BR50" s="611">
        <f>BR48-BR49</f>
        <v>4.8318684498918976E-2</v>
      </c>
      <c r="BS50" s="611">
        <f>BS48-BS49</f>
        <v>4.0463814060521228E-2</v>
      </c>
      <c r="BT50" s="611">
        <f>BT48-BT49</f>
        <v>3.6071585845428036E-2</v>
      </c>
      <c r="BU50" s="612">
        <f>BU48-BU49</f>
        <v>3.3500729495026541E-2</v>
      </c>
      <c r="BV50" s="610"/>
      <c r="BW50" s="613">
        <f>BW48-BW49</f>
        <v>6.0000000000000012E-2</v>
      </c>
      <c r="BX50" s="611">
        <f>BX48-BX49</f>
        <v>7.0999999999999994E-2</v>
      </c>
      <c r="BY50" s="611">
        <f>BY48-BY49</f>
        <v>2.8194348631902885E-2</v>
      </c>
      <c r="BZ50" s="611">
        <f>BZ48-BZ49</f>
        <v>-4.8157517178886861E-3</v>
      </c>
      <c r="CA50" s="612">
        <f>CA48-CA49</f>
        <v>3.759365279929492E-2</v>
      </c>
      <c r="CB50" s="610"/>
      <c r="CC50" s="613">
        <f>CC48-CC49</f>
        <v>2.9728365602136875E-2</v>
      </c>
      <c r="CD50" s="611">
        <f>CD48-CD49</f>
        <v>3.2584097943089779E-2</v>
      </c>
      <c r="CE50" s="611">
        <f>CE48-CE49</f>
        <v>1.1616251088769805E-2</v>
      </c>
      <c r="CF50" s="611">
        <f>CF48-CF49</f>
        <v>5.0589759097323578E-2</v>
      </c>
      <c r="CG50" s="612">
        <f>CG48-CG49</f>
        <v>3.1030630221481281E-2</v>
      </c>
      <c r="CH50" s="610"/>
      <c r="CI50" s="613">
        <f>CI48-CI49</f>
        <v>0.05</v>
      </c>
      <c r="CJ50" s="611">
        <f>CJ48-CJ49</f>
        <v>0.06</v>
      </c>
      <c r="CK50" s="611">
        <f>CK48-CK49</f>
        <v>0.1</v>
      </c>
      <c r="CL50" s="611">
        <f>CL48-CL49</f>
        <v>0.08</v>
      </c>
      <c r="CM50" s="612">
        <f>CM48-CM49</f>
        <v>7.296792198778089E-2</v>
      </c>
      <c r="CN50" s="610"/>
      <c r="CO50" s="613">
        <f>CO48-CO49</f>
        <v>0.06</v>
      </c>
      <c r="CP50" s="611">
        <f>CP48-CP49</f>
        <v>0.06</v>
      </c>
      <c r="CQ50" s="611">
        <f>CQ48-CQ49</f>
        <v>0.06</v>
      </c>
      <c r="CR50" s="611">
        <f>CR48-CR49</f>
        <v>0.06</v>
      </c>
      <c r="CS50" s="612">
        <f>CS48-CS49</f>
        <v>0.06</v>
      </c>
      <c r="CT50" s="610"/>
      <c r="CU50" s="613">
        <f>CU48-CU49</f>
        <v>0.06</v>
      </c>
      <c r="CV50" s="611">
        <f>CV48-CV49</f>
        <v>0.06</v>
      </c>
      <c r="CW50" s="611">
        <f>CW48-CW49</f>
        <v>0.06</v>
      </c>
      <c r="CX50" s="611">
        <f>CX48-CX49</f>
        <v>0.06</v>
      </c>
      <c r="CY50" s="612">
        <f>CY48-CY49</f>
        <v>0.06</v>
      </c>
    </row>
    <row r="51" spans="1:105" s="39" customFormat="1" ht="11.25" customHeight="1" x14ac:dyDescent="0.2">
      <c r="A51" s="208" t="s">
        <v>235</v>
      </c>
      <c r="B51" s="58"/>
      <c r="C51" s="556"/>
      <c r="D51" s="556"/>
      <c r="E51" s="556"/>
      <c r="F51" s="556"/>
      <c r="G51" s="629"/>
      <c r="H51" s="557"/>
      <c r="I51" s="677"/>
      <c r="J51" s="556"/>
      <c r="K51" s="556"/>
      <c r="L51" s="556"/>
      <c r="M51" s="629"/>
      <c r="N51" s="557"/>
      <c r="O51" s="677"/>
      <c r="P51" s="556"/>
      <c r="Q51" s="556"/>
      <c r="R51" s="556"/>
      <c r="S51" s="629"/>
      <c r="T51" s="556"/>
      <c r="U51" s="677"/>
      <c r="V51" s="556"/>
      <c r="W51" s="556"/>
      <c r="X51" s="556"/>
      <c r="Y51" s="629"/>
      <c r="Z51" s="696"/>
      <c r="AA51" s="699">
        <f>+AA15</f>
        <v>55.848808988764034</v>
      </c>
      <c r="AB51" s="700">
        <f>+AB15</f>
        <v>58.756314606741576</v>
      </c>
      <c r="AC51" s="700">
        <f>+AC15</f>
        <v>64.624000000000009</v>
      </c>
      <c r="AD51" s="700">
        <f>AD15</f>
        <v>64.77617423220974</v>
      </c>
      <c r="AE51" s="697">
        <f>SUM(AA51:AD51)</f>
        <v>244.00529782771534</v>
      </c>
      <c r="AF51" s="698"/>
      <c r="AG51" s="699">
        <f>+AG15</f>
        <v>59.651910000000001</v>
      </c>
      <c r="AH51" s="700">
        <f>+AH15</f>
        <v>60.83952</v>
      </c>
      <c r="AI51" s="700">
        <f>+AI15</f>
        <v>59.72157</v>
      </c>
      <c r="AJ51" s="700">
        <f>AJ15</f>
        <v>75.160020000000031</v>
      </c>
      <c r="AK51" s="697">
        <f>SUM(AG51:AJ51)</f>
        <v>255.37302000000005</v>
      </c>
      <c r="AL51" s="698"/>
      <c r="AM51" s="981">
        <f>+AM15</f>
        <v>71.378280000000004</v>
      </c>
      <c r="AN51" s="982">
        <f>+AN15</f>
        <v>63.052320000000002</v>
      </c>
      <c r="AO51" s="982">
        <f>+AO15</f>
        <v>63.092910000000003</v>
      </c>
      <c r="AP51" s="982">
        <f>AP15</f>
        <v>71.50800000000001</v>
      </c>
      <c r="AQ51" s="984">
        <f>SUM(AM51:AP51)</f>
        <v>269.03151000000003</v>
      </c>
      <c r="AR51" s="985"/>
      <c r="AS51" s="981">
        <f>+AS15</f>
        <v>76.636849999999995</v>
      </c>
      <c r="AT51" s="982">
        <f>+AT15</f>
        <v>73.366020000000006</v>
      </c>
      <c r="AU51" s="982">
        <f>+AU15</f>
        <v>75.110100000000003</v>
      </c>
      <c r="AV51" s="982">
        <f>AV15</f>
        <v>80.260800000000017</v>
      </c>
      <c r="AW51" s="697">
        <f>SUM(AS51:AV51)</f>
        <v>305.37377000000004</v>
      </c>
      <c r="AX51" s="698"/>
      <c r="AY51" s="699">
        <f>+AY15</f>
        <v>77.069720000000004</v>
      </c>
      <c r="AZ51" s="700">
        <f>+AZ15</f>
        <v>73.731120000000004</v>
      </c>
      <c r="BA51" s="700">
        <f>+BA15</f>
        <v>73.029359999999997</v>
      </c>
      <c r="BB51" s="700">
        <f>BB15</f>
        <v>79.702359999999985</v>
      </c>
      <c r="BC51" s="697">
        <f>SUM(AY51:BB51)</f>
        <v>303.53255999999999</v>
      </c>
      <c r="BD51" s="698"/>
      <c r="BE51" s="699">
        <f>+BE15</f>
        <v>72.858240000000009</v>
      </c>
      <c r="BF51" s="700">
        <f>+BF15</f>
        <v>72.774760000000001</v>
      </c>
      <c r="BG51" s="700">
        <f>+BG15</f>
        <v>71.238419999999991</v>
      </c>
      <c r="BH51" s="700">
        <f>+BH15</f>
        <v>83.394549999999995</v>
      </c>
      <c r="BI51" s="697">
        <f>SUM(BE51:BH51)</f>
        <v>300.26596999999998</v>
      </c>
      <c r="BJ51" s="968"/>
      <c r="BK51" s="700">
        <f>+BK15</f>
        <v>76.169519999999991</v>
      </c>
      <c r="BL51" s="700">
        <f>+BL15</f>
        <v>72.872139999999987</v>
      </c>
      <c r="BM51" s="700">
        <f>+BM15</f>
        <v>70.718969999999999</v>
      </c>
      <c r="BN51" s="700">
        <f>+BN15</f>
        <v>79.378200000000007</v>
      </c>
      <c r="BO51" s="697">
        <f>SUM(BK51:BN51)</f>
        <v>299.13882999999998</v>
      </c>
      <c r="BP51" s="614"/>
      <c r="BQ51" s="699">
        <f>+BQ15</f>
        <v>68.707669999999993</v>
      </c>
      <c r="BR51" s="700">
        <f>+BR15</f>
        <v>67.085760000000008</v>
      </c>
      <c r="BS51" s="700">
        <f>+BS15</f>
        <v>69.203419999999994</v>
      </c>
      <c r="BT51" s="700">
        <f>+BT15</f>
        <v>80.155000000000001</v>
      </c>
      <c r="BU51" s="697">
        <f>SUM(BQ51:BT51)</f>
        <v>285.15184999999997</v>
      </c>
      <c r="BV51" s="614"/>
      <c r="BW51" s="699">
        <f>+BW15</f>
        <v>68.627170000000007</v>
      </c>
      <c r="BX51" s="700">
        <f>+BX15</f>
        <v>70.106433382053694</v>
      </c>
      <c r="BY51" s="700">
        <f>+BY15</f>
        <v>71.123850000000004</v>
      </c>
      <c r="BZ51" s="700">
        <f>+BZ15</f>
        <v>80.633299999999991</v>
      </c>
      <c r="CA51" s="697">
        <f>SUM(BW51:BZ51)</f>
        <v>290.4907533820537</v>
      </c>
      <c r="CB51" s="614"/>
      <c r="CC51" s="699">
        <f>+CC15</f>
        <v>73.993440000000021</v>
      </c>
      <c r="CD51" s="700">
        <f>+CD15</f>
        <v>78.31174399999999</v>
      </c>
      <c r="CE51" s="700">
        <f>+CE15</f>
        <v>79.803599999999989</v>
      </c>
      <c r="CF51" s="700">
        <f>+CF15</f>
        <v>92.130216000000033</v>
      </c>
      <c r="CG51" s="697">
        <f>SUM(CC51:CF51)</f>
        <v>324.23900000000003</v>
      </c>
      <c r="CH51" s="614"/>
      <c r="CI51" s="699">
        <f>CC51*(1+CI52)</f>
        <v>79.172980800000033</v>
      </c>
      <c r="CJ51" s="700">
        <f>CD51*(1+CJ52)</f>
        <v>82.618889919999987</v>
      </c>
      <c r="CK51" s="700">
        <f>CE51*(1+CK52)</f>
        <v>83.394761999999986</v>
      </c>
      <c r="CL51" s="700">
        <f>CF51*(1+CL52)</f>
        <v>92.130216000000033</v>
      </c>
      <c r="CM51" s="697">
        <f>SUM(CI51:CL51)</f>
        <v>337.31684872000005</v>
      </c>
      <c r="CN51" s="614"/>
      <c r="CO51" s="699">
        <f>CI51*(1+CO52)</f>
        <v>81.548170224000032</v>
      </c>
      <c r="CP51" s="700">
        <f>CJ51*(1+CP52)</f>
        <v>85.097456617599988</v>
      </c>
      <c r="CQ51" s="700">
        <f>CK51*(1+CQ52)</f>
        <v>85.896604859999982</v>
      </c>
      <c r="CR51" s="700">
        <f>CL51*(1+CR52)</f>
        <v>94.894122480000036</v>
      </c>
      <c r="CS51" s="697">
        <f>SUM(CO51:CR51)</f>
        <v>347.4363541816</v>
      </c>
      <c r="CT51" s="614"/>
      <c r="CU51" s="699">
        <f>CO51*(1+CU52)</f>
        <v>84.81009703296003</v>
      </c>
      <c r="CV51" s="700">
        <f>CP51*(1+CV52)</f>
        <v>88.501354882303986</v>
      </c>
      <c r="CW51" s="700">
        <f>CQ51*(1+CW52)</f>
        <v>89.332469054399979</v>
      </c>
      <c r="CX51" s="700">
        <f>CR51*(1+CX52)</f>
        <v>98.689887379200044</v>
      </c>
      <c r="CY51" s="697">
        <f>SUM(CU51:CX51)</f>
        <v>361.33380834886407</v>
      </c>
    </row>
    <row r="52" spans="1:105" s="39" customFormat="1" ht="11.25" customHeight="1" x14ac:dyDescent="0.2">
      <c r="A52" s="354" t="s">
        <v>232</v>
      </c>
      <c r="B52" s="58"/>
      <c r="C52" s="558"/>
      <c r="D52" s="558"/>
      <c r="E52" s="558"/>
      <c r="F52" s="558"/>
      <c r="G52" s="629"/>
      <c r="H52" s="557"/>
      <c r="I52" s="704"/>
      <c r="J52" s="558"/>
      <c r="K52" s="558"/>
      <c r="L52" s="558"/>
      <c r="M52" s="629"/>
      <c r="N52" s="557"/>
      <c r="O52" s="704"/>
      <c r="P52" s="558"/>
      <c r="Q52" s="558"/>
      <c r="R52" s="558"/>
      <c r="S52" s="629"/>
      <c r="T52" s="558"/>
      <c r="U52" s="704"/>
      <c r="V52" s="558"/>
      <c r="W52" s="558"/>
      <c r="X52" s="558"/>
      <c r="Y52" s="629"/>
      <c r="Z52" s="557"/>
      <c r="AA52" s="694"/>
      <c r="AB52" s="583"/>
      <c r="AC52" s="583"/>
      <c r="AD52" s="589"/>
      <c r="AE52" s="705"/>
      <c r="AF52" s="706"/>
      <c r="AG52" s="694">
        <f>AG51/AA51-1</f>
        <v>6.8096367319150808E-2</v>
      </c>
      <c r="AH52" s="583">
        <f>AH51/AB51-1</f>
        <v>3.5455004405933188E-2</v>
      </c>
      <c r="AI52" s="583">
        <f>AI51/AC51-1</f>
        <v>-7.5860825699430645E-2</v>
      </c>
      <c r="AJ52" s="589">
        <f>AJ51/AD51-1</f>
        <v>0.16030347409166623</v>
      </c>
      <c r="AK52" s="707">
        <f>AK51/AE51-1</f>
        <v>4.6588013758255054E-2</v>
      </c>
      <c r="AL52" s="614"/>
      <c r="AM52" s="586">
        <f>AM51/AG51-1</f>
        <v>0.19657995862999189</v>
      </c>
      <c r="AN52" s="587">
        <f>AN51/AH51-1</f>
        <v>3.6371095629945893E-2</v>
      </c>
      <c r="AO52" s="587">
        <f>AO51/AI51-1</f>
        <v>5.6450960683049667E-2</v>
      </c>
      <c r="AP52" s="587">
        <f>AP51/AJ51-1</f>
        <v>-4.8589928528491866E-2</v>
      </c>
      <c r="AQ52" s="708">
        <f>AQ51/AK51-1</f>
        <v>5.348446754477032E-2</v>
      </c>
      <c r="AR52" s="614"/>
      <c r="AS52" s="586">
        <f>AS51/AM51-1</f>
        <v>7.3671850876765088E-2</v>
      </c>
      <c r="AT52" s="587">
        <f>AT51/AN51-1</f>
        <v>0.16357367976309201</v>
      </c>
      <c r="AU52" s="587">
        <f>AU51/AO51-1</f>
        <v>0.19046815244375326</v>
      </c>
      <c r="AV52" s="587">
        <f>AV51/AP51-1</f>
        <v>0.12240308776640374</v>
      </c>
      <c r="AW52" s="708">
        <f>AW51/AQ51-1</f>
        <v>0.13508551470420693</v>
      </c>
      <c r="AX52" s="614"/>
      <c r="AY52" s="586">
        <f>AY51/AS51-1</f>
        <v>5.6483271428824366E-3</v>
      </c>
      <c r="AZ52" s="587">
        <f>AZ51/AT51-1</f>
        <v>4.9764182383069677E-3</v>
      </c>
      <c r="BA52" s="587">
        <f>BA51/AU51-1</f>
        <v>-2.7702532682022829E-2</v>
      </c>
      <c r="BB52" s="587">
        <f>BB51/AV51-1</f>
        <v>-6.9578175149018762E-3</v>
      </c>
      <c r="BC52" s="708">
        <f>BC51/AW51-1</f>
        <v>-6.029365259498376E-3</v>
      </c>
      <c r="BD52" s="614"/>
      <c r="BE52" s="586">
        <f>BE51/AY51-1</f>
        <v>-5.464506683039716E-2</v>
      </c>
      <c r="BF52" s="587">
        <f>BF51/AZ51-1</f>
        <v>-1.2970913774265291E-2</v>
      </c>
      <c r="BG52" s="587">
        <f>BG51/BA51-1</f>
        <v>-2.4523561482669542E-2</v>
      </c>
      <c r="BH52" s="587">
        <f>BH51/BB51-1</f>
        <v>4.632472614361749E-2</v>
      </c>
      <c r="BI52" s="708">
        <f>BI51/BC51-1</f>
        <v>-1.076190969430102E-2</v>
      </c>
      <c r="BJ52" s="968"/>
      <c r="BK52" s="587">
        <f>BK51/BE51-1</f>
        <v>4.5448256779191842E-2</v>
      </c>
      <c r="BL52" s="587">
        <f>BL51/BF51-1</f>
        <v>1.3381012867645925E-3</v>
      </c>
      <c r="BM52" s="587">
        <f>BM51/BG51-1</f>
        <v>-7.2917114107807768E-3</v>
      </c>
      <c r="BN52" s="587">
        <f>BN51/BH51-1</f>
        <v>-4.8160821060848513E-2</v>
      </c>
      <c r="BO52" s="708">
        <f>BO51/BI51-1</f>
        <v>-3.7538053346504174E-3</v>
      </c>
      <c r="BP52" s="614"/>
      <c r="BQ52" s="586">
        <f>BQ51/BK51-1</f>
        <v>-9.7963726172883847E-2</v>
      </c>
      <c r="BR52" s="587">
        <f>BR51/BL51-1</f>
        <v>-7.9404557077642823E-2</v>
      </c>
      <c r="BS52" s="587">
        <f>BS51/BM51-1</f>
        <v>-2.1430600587084458E-2</v>
      </c>
      <c r="BT52" s="587">
        <f>BT51/BN51-1</f>
        <v>9.7860621682022142E-3</v>
      </c>
      <c r="BU52" s="708">
        <f>BU51/BO51-1</f>
        <v>-4.6757487150698607E-2</v>
      </c>
      <c r="BV52" s="614"/>
      <c r="BW52" s="586">
        <f>BW51/BQ51-1</f>
        <v>-1.1716304744432415E-3</v>
      </c>
      <c r="BX52" s="587">
        <f>BX51/BR51-1</f>
        <v>4.5027042729391287E-2</v>
      </c>
      <c r="BY52" s="587">
        <f>BY51/BS51-1</f>
        <v>2.7750507128116109E-2</v>
      </c>
      <c r="BZ52" s="587">
        <f>BZ51/BT51-1</f>
        <v>5.9671885721412909E-3</v>
      </c>
      <c r="CA52" s="708">
        <f>CA51/BU51-1</f>
        <v>1.8723018567313288E-2</v>
      </c>
      <c r="CB52" s="614"/>
      <c r="CC52" s="586">
        <f>CC51/BW51-1</f>
        <v>7.819454015078886E-2</v>
      </c>
      <c r="CD52" s="587">
        <f>CD51/BX51-1</f>
        <v>0.11704076533505048</v>
      </c>
      <c r="CE52" s="587">
        <f>CE51/BY51-1</f>
        <v>0.12203712256858967</v>
      </c>
      <c r="CF52" s="587">
        <f>CF51/BZ51-1</f>
        <v>0.14258272946785056</v>
      </c>
      <c r="CG52" s="708">
        <f>CG51/CA51-1</f>
        <v>0.11617666388699344</v>
      </c>
      <c r="CH52" s="614"/>
      <c r="CI52" s="586">
        <f>+CI54+CI53</f>
        <v>7.0000000000000007E-2</v>
      </c>
      <c r="CJ52" s="587">
        <f>+CJ54+CJ53</f>
        <v>5.5E-2</v>
      </c>
      <c r="CK52" s="587">
        <f>+CK54+CK53</f>
        <v>4.4999999999999998E-2</v>
      </c>
      <c r="CL52" s="587">
        <f>+CL54+CL53</f>
        <v>0</v>
      </c>
      <c r="CM52" s="708">
        <f>CM51/CG51-1</f>
        <v>4.033397808406769E-2</v>
      </c>
      <c r="CN52" s="614"/>
      <c r="CO52" s="586">
        <f>+CO54+CO53</f>
        <v>0.03</v>
      </c>
      <c r="CP52" s="587">
        <f>+CP54+CP53</f>
        <v>0.03</v>
      </c>
      <c r="CQ52" s="587">
        <f>+CQ54+CQ53</f>
        <v>0.03</v>
      </c>
      <c r="CR52" s="587">
        <f>+CR54+CR53</f>
        <v>0.03</v>
      </c>
      <c r="CS52" s="708">
        <f>CS51/CM51-1</f>
        <v>2.9999999999999805E-2</v>
      </c>
      <c r="CT52" s="614"/>
      <c r="CU52" s="586">
        <f>+CU54+CU53</f>
        <v>0.04</v>
      </c>
      <c r="CV52" s="587">
        <f>+CV54+CV53</f>
        <v>0.04</v>
      </c>
      <c r="CW52" s="587">
        <f>+CW54+CW53</f>
        <v>0.04</v>
      </c>
      <c r="CX52" s="587">
        <f>+CX54+CX53</f>
        <v>0.04</v>
      </c>
      <c r="CY52" s="708">
        <f>CY51/CS51-1</f>
        <v>4.0000000000000258E-2</v>
      </c>
    </row>
    <row r="53" spans="1:105" s="39" customFormat="1" ht="11.25" customHeight="1" outlineLevel="1" x14ac:dyDescent="0.2">
      <c r="A53" s="354" t="s">
        <v>230</v>
      </c>
      <c r="B53" s="58"/>
      <c r="C53" s="558"/>
      <c r="D53" s="558"/>
      <c r="E53" s="558"/>
      <c r="F53" s="558"/>
      <c r="G53" s="629"/>
      <c r="H53" s="557"/>
      <c r="I53" s="704"/>
      <c r="J53" s="558"/>
      <c r="K53" s="558"/>
      <c r="L53" s="558"/>
      <c r="M53" s="629"/>
      <c r="N53" s="557"/>
      <c r="O53" s="704"/>
      <c r="P53" s="558"/>
      <c r="Q53" s="558"/>
      <c r="R53" s="558"/>
      <c r="S53" s="629"/>
      <c r="T53" s="558"/>
      <c r="U53" s="704"/>
      <c r="V53" s="558"/>
      <c r="W53" s="558"/>
      <c r="X53" s="558"/>
      <c r="Y53" s="629"/>
      <c r="Z53" s="557"/>
      <c r="AA53" s="694"/>
      <c r="AB53" s="583"/>
      <c r="AC53" s="583"/>
      <c r="AD53" s="589"/>
      <c r="AE53" s="705"/>
      <c r="AF53" s="706"/>
      <c r="AG53" s="694"/>
      <c r="AH53" s="583"/>
      <c r="AI53" s="583"/>
      <c r="AJ53" s="589"/>
      <c r="AK53" s="707"/>
      <c r="AL53" s="614"/>
      <c r="AM53" s="586">
        <f>AM52-AM54</f>
        <v>7.6579958629991896E-2</v>
      </c>
      <c r="AN53" s="587">
        <f>AN52-AN54</f>
        <v>-3.3628904370054113E-2</v>
      </c>
      <c r="AO53" s="587">
        <f>AO52-AO54</f>
        <v>5.6450960683049667E-2</v>
      </c>
      <c r="AP53" s="587">
        <f>AP52-AP54</f>
        <v>-9.8589928528491869E-2</v>
      </c>
      <c r="AQ53" s="708">
        <f>AQ52-AQ54</f>
        <v>-1.6515532455229687E-2</v>
      </c>
      <c r="AR53" s="614"/>
      <c r="AS53" s="586">
        <f>AS52-AS54</f>
        <v>9.3671850876765092E-2</v>
      </c>
      <c r="AT53" s="587">
        <f>AT52-AT54</f>
        <v>0.153573679763092</v>
      </c>
      <c r="AU53" s="587">
        <f>AU52-AU54</f>
        <v>0.12046815244375325</v>
      </c>
      <c r="AV53" s="587">
        <f>AV52-AV54</f>
        <v>9.2403087766403741E-2</v>
      </c>
      <c r="AW53" s="708">
        <f>AW52-AW54</f>
        <v>0.11508551470420693</v>
      </c>
      <c r="AX53" s="614"/>
      <c r="AY53" s="586">
        <f>AY52-AY54</f>
        <v>-2.4351672857117562E-2</v>
      </c>
      <c r="AZ53" s="587">
        <f>AZ52-AZ54</f>
        <v>-5.0235817616930325E-3</v>
      </c>
      <c r="BA53" s="587">
        <f>BA52-BA54</f>
        <v>-4.7702532682022833E-2</v>
      </c>
      <c r="BB53" s="587">
        <f>BB52-BB54</f>
        <v>-6.9578175149018762E-3</v>
      </c>
      <c r="BC53" s="708">
        <f>BC52-BC54</f>
        <v>-1.6029365259498378E-2</v>
      </c>
      <c r="BD53" s="614"/>
      <c r="BE53" s="586">
        <f>BE52-BE54</f>
        <v>-1.4645066830397159E-2</v>
      </c>
      <c r="BF53" s="587">
        <f>BF52-BF54</f>
        <v>-4.297091377426529E-2</v>
      </c>
      <c r="BG53" s="587">
        <f>BG52-BG54</f>
        <v>-4.4523561482669546E-2</v>
      </c>
      <c r="BH53" s="587">
        <f>BH52-BH54</f>
        <v>6.3247261436174887E-3</v>
      </c>
      <c r="BI53" s="708">
        <f>BI52-BI54</f>
        <v>-2.0761909694301021E-2</v>
      </c>
      <c r="BJ53" s="968"/>
      <c r="BK53" s="587">
        <f>BK52-BK54</f>
        <v>-3.4551743220808159E-2</v>
      </c>
      <c r="BL53" s="587">
        <f>BL52-BL54</f>
        <v>4.1338101286764593E-2</v>
      </c>
      <c r="BM53" s="587">
        <f>BM52-BM54</f>
        <v>-7.2917114107807768E-3</v>
      </c>
      <c r="BN53" s="587">
        <f>BN52-BN54</f>
        <v>-0.10816082106084851</v>
      </c>
      <c r="BO53" s="708">
        <f>BO52-BO54</f>
        <v>-2.3753805334650418E-2</v>
      </c>
      <c r="BP53" s="614"/>
      <c r="BQ53" s="586">
        <f>BQ52-BQ54</f>
        <v>-0.12796372617288385</v>
      </c>
      <c r="BR53" s="587">
        <f>BR52-BR54</f>
        <v>-0.14940455707764283</v>
      </c>
      <c r="BS53" s="587">
        <f>BS52-BS54</f>
        <v>-8.1430600587084456E-2</v>
      </c>
      <c r="BT53" s="587">
        <f>BT52-BT54</f>
        <v>-6.0213937831797792E-2</v>
      </c>
      <c r="BU53" s="708">
        <f>BU52-BU54</f>
        <v>-0.10420822866760565</v>
      </c>
      <c r="BV53" s="614"/>
      <c r="BW53" s="586">
        <f>BW52-BW54</f>
        <v>-2.1171630474443242E-2</v>
      </c>
      <c r="BX53" s="587">
        <f>BX52-BX54</f>
        <v>-1.2972957270608716E-2</v>
      </c>
      <c r="BY53" s="587">
        <f>BY52-BY54</f>
        <v>-4.2249492871883898E-2</v>
      </c>
      <c r="BZ53" s="587">
        <f>BZ52-BZ54</f>
        <v>-2.4032811427858708E-2</v>
      </c>
      <c r="CA53" s="708">
        <f>CA52-CA54</f>
        <v>-2.5162430115555162E-2</v>
      </c>
      <c r="CB53" s="614"/>
      <c r="CC53" s="586">
        <f>CC52-CC54</f>
        <v>4.8194540150788862E-2</v>
      </c>
      <c r="CD53" s="587">
        <f>CD52-CD54</f>
        <v>7.7040765335050471E-2</v>
      </c>
      <c r="CE53" s="587">
        <f>CE52-CE54</f>
        <v>0.10203712256858967</v>
      </c>
      <c r="CF53" s="587">
        <f>CF52-CF54</f>
        <v>9.2582729467850552E-2</v>
      </c>
      <c r="CG53" s="708">
        <f>CG52-CG54</f>
        <v>8.0660165288799018E-2</v>
      </c>
      <c r="CH53" s="614"/>
      <c r="CI53" s="586">
        <f t="shared" ref="CI53:CX53" si="18">+CI$59</f>
        <v>0.05</v>
      </c>
      <c r="CJ53" s="587">
        <f t="shared" si="18"/>
        <v>4.4999999999999998E-2</v>
      </c>
      <c r="CK53" s="587">
        <f t="shared" si="18"/>
        <v>2.5000000000000001E-2</v>
      </c>
      <c r="CL53" s="587">
        <f t="shared" si="18"/>
        <v>0.02</v>
      </c>
      <c r="CM53" s="708">
        <f t="shared" ref="CM53" si="19">CM52-CM54</f>
        <v>3.4114942372755974E-2</v>
      </c>
      <c r="CN53" s="614"/>
      <c r="CO53" s="586">
        <f t="shared" ref="CO53" si="20">+CO$59</f>
        <v>0</v>
      </c>
      <c r="CP53" s="587">
        <f t="shared" si="18"/>
        <v>0</v>
      </c>
      <c r="CQ53" s="587">
        <f t="shared" si="18"/>
        <v>0</v>
      </c>
      <c r="CR53" s="587">
        <f t="shared" si="18"/>
        <v>0</v>
      </c>
      <c r="CS53" s="708">
        <f t="shared" ref="CS53" si="21">CS52-CS54</f>
        <v>-1.9428902930940239E-16</v>
      </c>
      <c r="CT53" s="614"/>
      <c r="CU53" s="586">
        <f t="shared" ref="CU53" si="22">+CU$59</f>
        <v>0</v>
      </c>
      <c r="CV53" s="587">
        <f t="shared" si="18"/>
        <v>0</v>
      </c>
      <c r="CW53" s="587">
        <f t="shared" si="18"/>
        <v>0</v>
      </c>
      <c r="CX53" s="587">
        <f t="shared" si="18"/>
        <v>0</v>
      </c>
      <c r="CY53" s="708">
        <f t="shared" ref="CY53" si="23">CY52-CY54</f>
        <v>2.4980018054066022E-16</v>
      </c>
    </row>
    <row r="54" spans="1:105" s="39" customFormat="1" ht="11.25" customHeight="1" outlineLevel="1" x14ac:dyDescent="0.2">
      <c r="A54" s="354" t="s">
        <v>233</v>
      </c>
      <c r="B54" s="58"/>
      <c r="C54" s="558"/>
      <c r="D54" s="558"/>
      <c r="E54" s="558"/>
      <c r="F54" s="558"/>
      <c r="G54" s="629"/>
      <c r="H54" s="557"/>
      <c r="I54" s="704"/>
      <c r="J54" s="558"/>
      <c r="K54" s="558"/>
      <c r="L54" s="558"/>
      <c r="M54" s="629"/>
      <c r="N54" s="557"/>
      <c r="O54" s="704"/>
      <c r="P54" s="558"/>
      <c r="Q54" s="558"/>
      <c r="R54" s="558"/>
      <c r="S54" s="629"/>
      <c r="T54" s="558"/>
      <c r="U54" s="704"/>
      <c r="V54" s="558"/>
      <c r="W54" s="558"/>
      <c r="X54" s="558"/>
      <c r="Y54" s="629"/>
      <c r="Z54" s="557"/>
      <c r="AA54" s="694"/>
      <c r="AB54" s="583"/>
      <c r="AC54" s="583"/>
      <c r="AD54" s="589"/>
      <c r="AE54" s="705"/>
      <c r="AF54" s="706"/>
      <c r="AG54" s="694"/>
      <c r="AH54" s="583"/>
      <c r="AI54" s="583"/>
      <c r="AJ54" s="589"/>
      <c r="AK54" s="707"/>
      <c r="AL54" s="614"/>
      <c r="AM54" s="764">
        <v>0.12</v>
      </c>
      <c r="AN54" s="765">
        <v>7.0000000000000007E-2</v>
      </c>
      <c r="AO54" s="765">
        <v>0</v>
      </c>
      <c r="AP54" s="765">
        <v>0.05</v>
      </c>
      <c r="AQ54" s="424">
        <v>7.0000000000000007E-2</v>
      </c>
      <c r="AR54" s="614"/>
      <c r="AS54" s="1107">
        <v>-0.02</v>
      </c>
      <c r="AT54" s="1105">
        <v>0.01</v>
      </c>
      <c r="AU54" s="1105">
        <v>7.0000000000000007E-2</v>
      </c>
      <c r="AV54" s="1105">
        <v>0.03</v>
      </c>
      <c r="AW54" s="1710">
        <v>0.02</v>
      </c>
      <c r="AX54" s="1717"/>
      <c r="AY54" s="1107">
        <v>0.03</v>
      </c>
      <c r="AZ54" s="1105">
        <v>0.01</v>
      </c>
      <c r="BA54" s="1105">
        <v>0.02</v>
      </c>
      <c r="BB54" s="1105">
        <v>0</v>
      </c>
      <c r="BC54" s="1710">
        <v>0.01</v>
      </c>
      <c r="BD54" s="1717"/>
      <c r="BE54" s="1107">
        <v>-0.04</v>
      </c>
      <c r="BF54" s="1105">
        <v>0.03</v>
      </c>
      <c r="BG54" s="1105">
        <v>0.02</v>
      </c>
      <c r="BH54" s="1105">
        <v>0.04</v>
      </c>
      <c r="BI54" s="1710">
        <v>0.01</v>
      </c>
      <c r="BJ54" s="1718"/>
      <c r="BK54" s="1105">
        <v>0.08</v>
      </c>
      <c r="BL54" s="1105">
        <v>-0.04</v>
      </c>
      <c r="BM54" s="1105">
        <v>0</v>
      </c>
      <c r="BN54" s="1105">
        <v>0.06</v>
      </c>
      <c r="BO54" s="1710">
        <v>0.02</v>
      </c>
      <c r="BP54" s="1717"/>
      <c r="BQ54" s="1107">
        <v>0.03</v>
      </c>
      <c r="BR54" s="1105">
        <v>7.0000000000000007E-2</v>
      </c>
      <c r="BS54" s="1105">
        <v>0.06</v>
      </c>
      <c r="BT54" s="1105">
        <v>7.0000000000000007E-2</v>
      </c>
      <c r="BU54" s="1261">
        <f>SUMPRODUCT(BQ54:BT54,BK$51:BN$51)/SUM(BK$51:BN$51)</f>
        <v>5.7450741516907051E-2</v>
      </c>
      <c r="BV54" s="614"/>
      <c r="BW54" s="1107">
        <v>0.02</v>
      </c>
      <c r="BX54" s="1105">
        <v>5.8000000000000003E-2</v>
      </c>
      <c r="BY54" s="1105">
        <v>7.0000000000000007E-2</v>
      </c>
      <c r="BZ54" s="1105">
        <v>0.03</v>
      </c>
      <c r="CA54" s="1261">
        <f>SUMPRODUCT(BW54:BZ54,BQ$51:BT$51)/SUM(BQ$51:BT$51)</f>
        <v>4.388544868286845E-2</v>
      </c>
      <c r="CB54" s="614"/>
      <c r="CC54" s="1107">
        <v>0.03</v>
      </c>
      <c r="CD54" s="1105">
        <v>0.04</v>
      </c>
      <c r="CE54" s="1105">
        <v>0.02</v>
      </c>
      <c r="CF54" s="1105">
        <v>0.05</v>
      </c>
      <c r="CG54" s="708">
        <f>SUMPRODUCT(CC54:CF54,BW$51:BZ$51)/SUM(BW$51:BZ$51)</f>
        <v>3.5516498598194418E-2</v>
      </c>
      <c r="CH54" s="614"/>
      <c r="CI54" s="1682">
        <v>0.02</v>
      </c>
      <c r="CJ54" s="1677">
        <v>0.01</v>
      </c>
      <c r="CK54" s="1677">
        <v>0.02</v>
      </c>
      <c r="CL54" s="1677">
        <v>-0.02</v>
      </c>
      <c r="CM54" s="708">
        <f>SUMPRODUCT(CI54:CL54,CC$51:CF$51)/SUM(CC$51:CF$51)</f>
        <v>6.2190357113117174E-3</v>
      </c>
      <c r="CN54" s="614"/>
      <c r="CO54" s="1682">
        <v>0.03</v>
      </c>
      <c r="CP54" s="1677">
        <f t="shared" ref="CP54:CR54" si="24">+CO54</f>
        <v>0.03</v>
      </c>
      <c r="CQ54" s="1677">
        <f t="shared" si="24"/>
        <v>0.03</v>
      </c>
      <c r="CR54" s="1677">
        <f t="shared" si="24"/>
        <v>0.03</v>
      </c>
      <c r="CS54" s="708">
        <f t="shared" ref="CS54" si="25">SUMPRODUCT(CO54:CR54,CI$51:CL$51)/SUM(CI$51:CL$51)</f>
        <v>0.03</v>
      </c>
      <c r="CT54" s="614"/>
      <c r="CU54" s="1682">
        <v>0.04</v>
      </c>
      <c r="CV54" s="1677">
        <f t="shared" ref="CV54" si="26">+CU54</f>
        <v>0.04</v>
      </c>
      <c r="CW54" s="1677">
        <f t="shared" ref="CW54" si="27">+CV54</f>
        <v>0.04</v>
      </c>
      <c r="CX54" s="1677">
        <f t="shared" ref="CX54" si="28">+CW54</f>
        <v>0.04</v>
      </c>
      <c r="CY54" s="708">
        <f t="shared" ref="CY54" si="29">SUMPRODUCT(CU54:CX54,CO$51:CR$51)/SUM(CO$51:CR$51)</f>
        <v>4.0000000000000008E-2</v>
      </c>
    </row>
    <row r="55" spans="1:105" s="39" customFormat="1" ht="11.25" customHeight="1" outlineLevel="1" x14ac:dyDescent="0.2">
      <c r="A55" s="354" t="s">
        <v>231</v>
      </c>
      <c r="B55" s="58"/>
      <c r="C55" s="558"/>
      <c r="D55" s="558"/>
      <c r="E55" s="558"/>
      <c r="F55" s="558"/>
      <c r="G55" s="629"/>
      <c r="H55" s="557"/>
      <c r="I55" s="704"/>
      <c r="J55" s="558"/>
      <c r="K55" s="558"/>
      <c r="L55" s="558"/>
      <c r="M55" s="629"/>
      <c r="N55" s="557"/>
      <c r="O55" s="704"/>
      <c r="P55" s="558"/>
      <c r="Q55" s="558"/>
      <c r="R55" s="558"/>
      <c r="S55" s="629"/>
      <c r="T55" s="558"/>
      <c r="U55" s="704"/>
      <c r="V55" s="558"/>
      <c r="W55" s="558"/>
      <c r="X55" s="558"/>
      <c r="Y55" s="629"/>
      <c r="Z55" s="557"/>
      <c r="AA55" s="694"/>
      <c r="AB55" s="583"/>
      <c r="AC55" s="583"/>
      <c r="AD55" s="589"/>
      <c r="AE55" s="705"/>
      <c r="AF55" s="706"/>
      <c r="AG55" s="694"/>
      <c r="AH55" s="583"/>
      <c r="AI55" s="583"/>
      <c r="AJ55" s="589"/>
      <c r="AK55" s="707"/>
      <c r="AL55" s="614"/>
      <c r="AM55" s="586"/>
      <c r="AN55" s="587"/>
      <c r="AO55" s="587"/>
      <c r="AP55" s="587"/>
      <c r="AQ55" s="708"/>
      <c r="AR55" s="614"/>
      <c r="AS55" s="586">
        <f>+(AS61*AS$17*AS16)/AM51</f>
        <v>0</v>
      </c>
      <c r="AT55" s="587">
        <f>+(AT61*AT$17*AT16)/AN51</f>
        <v>0</v>
      </c>
      <c r="AU55" s="1105">
        <v>0</v>
      </c>
      <c r="AV55" s="1105">
        <v>0</v>
      </c>
      <c r="AW55" s="708">
        <f>SUMPRODUCT(AS55:AV55,AM$51:AP$51)/SUM(AM$51:AP$51)</f>
        <v>0</v>
      </c>
      <c r="AX55" s="614"/>
      <c r="AY55" s="1107">
        <v>0</v>
      </c>
      <c r="AZ55" s="1105">
        <v>0</v>
      </c>
      <c r="BA55" s="1105">
        <v>0</v>
      </c>
      <c r="BB55" s="1105">
        <v>0</v>
      </c>
      <c r="BC55" s="708">
        <f>SUMPRODUCT(AY55:BB55,AS$51:AV$51)/SUM(AS$51:AV$51)</f>
        <v>0</v>
      </c>
      <c r="BD55" s="614"/>
      <c r="BE55" s="1107">
        <v>0</v>
      </c>
      <c r="BF55" s="1110">
        <f>+((Growth_Drivers!BF147*Growth_Drivers!BF142)/AZ51)</f>
        <v>4.7469779382165898E-3</v>
      </c>
      <c r="BG55" s="1110">
        <f>+((Growth_Drivers!BG147*Growth_Drivers!BG142)/BA51)+((Growth_Drivers!BG144*Growth_Drivers!BG142)/BA51)</f>
        <v>4.71556919025444E-2</v>
      </c>
      <c r="BH55" s="1110">
        <f>+((Growth_Drivers!BH147*Growth_Drivers!BH142)/BB51)+((Growth_Drivers!BH144*Growth_Drivers!BH142)/BB51)</f>
        <v>5.0657220187708372E-2</v>
      </c>
      <c r="BI55" s="708">
        <f>SUMPRODUCT(BE55:BH55,AY$51:BB$51)/SUM(AY$51:BB$51)</f>
        <v>2.580036224120404E-2</v>
      </c>
      <c r="BJ55" s="968"/>
      <c r="BK55" s="1110">
        <f>+((Growth_Drivers!BK144*Growth_Drivers!BK142)/BE51)</f>
        <v>1.2009623070774149E-2</v>
      </c>
      <c r="BL55" s="1110">
        <f>++((Growth_Drivers!BL144*Growth_Drivers!BL142)/BF51)</f>
        <v>9.0175494910598123E-3</v>
      </c>
      <c r="BM55" s="910">
        <v>0</v>
      </c>
      <c r="BN55" s="910">
        <v>0</v>
      </c>
      <c r="BO55" s="708">
        <f>SUMPRODUCT(BK55:BN55,BE$51:BH$51)/SUM(BE$51:BH$51)</f>
        <v>5.099645490962563E-3</v>
      </c>
      <c r="BP55" s="614"/>
      <c r="BQ55" s="1109">
        <f>+((Growth_Drivers!BQ238*Growth_Drivers!BQ233)/BK51)</f>
        <v>9.596408773483148E-3</v>
      </c>
      <c r="BR55" s="1110">
        <f>+((Growth_Drivers!BR238*Growth_Drivers!BR233)/BL51)</f>
        <v>1.872477247820635E-2</v>
      </c>
      <c r="BS55" s="1110">
        <f>+((Growth_Drivers!BS238*Growth_Drivers!BS233)/BM51)</f>
        <v>1.7675596802385556E-2</v>
      </c>
      <c r="BT55" s="1110">
        <f>+((Growth_Drivers!BT238*Growth_Drivers!BT233)/BN51)</f>
        <v>1.9577793399195239E-2</v>
      </c>
      <c r="BU55" s="708">
        <f>SUMPRODUCT(BQ55:BT55,BK$51:BN$51)/SUM(BK$51:BN$51)</f>
        <v>1.6378743246070727E-2</v>
      </c>
      <c r="BV55" s="614"/>
      <c r="BW55" s="1109">
        <f>+(((Growth_Drivers!BW$318*Growth_Drivers!BW309)/BQ51))</f>
        <v>1.3043478260869563E-2</v>
      </c>
      <c r="BX55" s="1110">
        <f>+(((Growth_Drivers!BX$318*Growth_Drivers!BX309)/BR51))</f>
        <v>2.1428571428571425E-2</v>
      </c>
      <c r="BY55" s="1110">
        <f>+((((Growth_Drivers!BY$318+Growth_Drivers!BY$321)*Growth_Drivers!BY309)/BS51))</f>
        <v>7.0644070047405166E-2</v>
      </c>
      <c r="BZ55" s="1110">
        <f>+((((Growth_Drivers!BZ$318*50%+Growth_Drivers!BZ$321)*Growth_Drivers!BZ309)/BT51))</f>
        <v>6.7923866259122945E-2</v>
      </c>
      <c r="CA55" s="708">
        <f>SUMPRODUCT(BW55:BZ55,BQ$51:BT$51)/SUM(BQ$51:BT$51)</f>
        <v>4.4421902751113129E-2</v>
      </c>
      <c r="CB55" s="614"/>
      <c r="CC55" s="1109">
        <f>+((Growth_Drivers!CC$321*Growth_Drivers!CC309)+(Growth_Drivers!CC$150*35%))/BW51</f>
        <v>3.5700146166598438E-2</v>
      </c>
      <c r="CD55" s="1110">
        <f>+((Growth_Drivers!CD$321*Growth_Drivers!CD309)+(Growth_Drivers!CD$150*35%))/BX51-1.25%</f>
        <v>3.2431682415416635E-2</v>
      </c>
      <c r="CE55" s="1110">
        <f>+((Growth_Drivers!CE$150*35%))/BY51</f>
        <v>1.9683973800630868E-2</v>
      </c>
      <c r="CF55" s="1110">
        <f>+((Growth_Drivers!CF$150*35%))/BZ51</f>
        <v>1.73625536843959E-2</v>
      </c>
      <c r="CG55" s="708">
        <f>SUMPRODUCT(CC55:CF55,BW$51:BZ$51)/SUM(BW$51:BZ$51)</f>
        <v>2.5899859100951113E-2</v>
      </c>
      <c r="CH55" s="614"/>
      <c r="CI55" s="909">
        <v>0</v>
      </c>
      <c r="CJ55" s="910">
        <v>0</v>
      </c>
      <c r="CK55" s="910">
        <v>0</v>
      </c>
      <c r="CL55" s="910">
        <v>0</v>
      </c>
      <c r="CM55" s="708">
        <f>SUMPRODUCT(CI55:CL55,CC$51:CF$51)/SUM(CC$51:CF$51)</f>
        <v>0</v>
      </c>
      <c r="CN55" s="614"/>
      <c r="CO55" s="909">
        <v>0</v>
      </c>
      <c r="CP55" s="910">
        <v>0</v>
      </c>
      <c r="CQ55" s="910">
        <v>0</v>
      </c>
      <c r="CR55" s="910">
        <v>0</v>
      </c>
      <c r="CS55" s="708">
        <f>SUMPRODUCT(CO55:CR55,CI$51:CL$51)/SUM(CI$51:CL$51)</f>
        <v>0</v>
      </c>
      <c r="CT55" s="614"/>
      <c r="CU55" s="909">
        <v>0</v>
      </c>
      <c r="CV55" s="910">
        <v>0</v>
      </c>
      <c r="CW55" s="910">
        <v>0</v>
      </c>
      <c r="CX55" s="910">
        <v>0</v>
      </c>
      <c r="CY55" s="708">
        <f>SUMPRODUCT(CU55:CX55,CO$51:CR$51)/SUM(CO$51:CR$51)</f>
        <v>0</v>
      </c>
    </row>
    <row r="56" spans="1:105" s="39" customFormat="1" ht="11.25" customHeight="1" x14ac:dyDescent="0.2">
      <c r="A56" s="172" t="s">
        <v>234</v>
      </c>
      <c r="B56" s="172"/>
      <c r="C56" s="604"/>
      <c r="D56" s="604"/>
      <c r="E56" s="604"/>
      <c r="F56" s="604"/>
      <c r="G56" s="626"/>
      <c r="H56" s="605"/>
      <c r="I56" s="682"/>
      <c r="J56" s="604"/>
      <c r="K56" s="604"/>
      <c r="L56" s="604"/>
      <c r="M56" s="626"/>
      <c r="N56" s="605"/>
      <c r="O56" s="682"/>
      <c r="P56" s="604"/>
      <c r="Q56" s="604"/>
      <c r="R56" s="604"/>
      <c r="S56" s="626"/>
      <c r="T56" s="604"/>
      <c r="U56" s="682"/>
      <c r="V56" s="604"/>
      <c r="W56" s="604"/>
      <c r="X56" s="604"/>
      <c r="Y56" s="626"/>
      <c r="Z56" s="605"/>
      <c r="AA56" s="690"/>
      <c r="AB56" s="608"/>
      <c r="AC56" s="608"/>
      <c r="AD56" s="691"/>
      <c r="AE56" s="607"/>
      <c r="AF56" s="606"/>
      <c r="AG56" s="690"/>
      <c r="AH56" s="608"/>
      <c r="AI56" s="608"/>
      <c r="AJ56" s="691"/>
      <c r="AK56" s="609"/>
      <c r="AL56" s="610"/>
      <c r="AM56" s="586">
        <f>+AM54-AM55</f>
        <v>0.12</v>
      </c>
      <c r="AN56" s="587">
        <f>+AN54-AN55</f>
        <v>7.0000000000000007E-2</v>
      </c>
      <c r="AO56" s="587">
        <f>+AO54-AO55</f>
        <v>0</v>
      </c>
      <c r="AP56" s="587">
        <f>+AP54-AP55</f>
        <v>0.05</v>
      </c>
      <c r="AQ56" s="708">
        <f>+AQ54-AQ55</f>
        <v>7.0000000000000007E-2</v>
      </c>
      <c r="AR56" s="610"/>
      <c r="AS56" s="586">
        <f>+AS54-AS55</f>
        <v>-0.02</v>
      </c>
      <c r="AT56" s="587">
        <f>+AT54-AT55</f>
        <v>0.01</v>
      </c>
      <c r="AU56" s="587">
        <f>+AU54-AU55</f>
        <v>7.0000000000000007E-2</v>
      </c>
      <c r="AV56" s="587">
        <f>+AV54-AV55</f>
        <v>0.03</v>
      </c>
      <c r="AW56" s="708">
        <f>+AW54-AW55</f>
        <v>0.02</v>
      </c>
      <c r="AX56" s="610"/>
      <c r="AY56" s="586">
        <f>+AY54-AY55</f>
        <v>0.03</v>
      </c>
      <c r="AZ56" s="587">
        <f>+AZ54-AZ55</f>
        <v>0.01</v>
      </c>
      <c r="BA56" s="587">
        <f>+BA54-BA55</f>
        <v>0.02</v>
      </c>
      <c r="BB56" s="587">
        <f>+BB54-BB55</f>
        <v>0</v>
      </c>
      <c r="BC56" s="708">
        <f>+BC54-BC55</f>
        <v>0.01</v>
      </c>
      <c r="BD56" s="610"/>
      <c r="BE56" s="586">
        <f>+BE54-BE55</f>
        <v>-0.04</v>
      </c>
      <c r="BF56" s="587">
        <f>+BF54-BF55</f>
        <v>2.5253022061783408E-2</v>
      </c>
      <c r="BG56" s="587">
        <f>+BG54-BG55</f>
        <v>-2.7155691902544399E-2</v>
      </c>
      <c r="BH56" s="587">
        <f>+BH54-BH55</f>
        <v>-1.0657220187708372E-2</v>
      </c>
      <c r="BI56" s="708">
        <f>+BI54-BI55</f>
        <v>-1.5800362241204041E-2</v>
      </c>
      <c r="BJ56" s="969"/>
      <c r="BK56" s="586">
        <f>+BK54-BK55</f>
        <v>6.7990376929225854E-2</v>
      </c>
      <c r="BL56" s="587">
        <f>+BL54-BL55</f>
        <v>-4.9017549491059811E-2</v>
      </c>
      <c r="BM56" s="587">
        <f>+BM54-BM55</f>
        <v>0</v>
      </c>
      <c r="BN56" s="587">
        <f>+BN54-BN55</f>
        <v>0.06</v>
      </c>
      <c r="BO56" s="708">
        <f>+BO54-BO55</f>
        <v>1.4900354509037438E-2</v>
      </c>
      <c r="BP56" s="610"/>
      <c r="BQ56" s="586">
        <f>+BQ54-BQ55</f>
        <v>2.0403591226516853E-2</v>
      </c>
      <c r="BR56" s="587">
        <f>+BR54-BR55</f>
        <v>5.1275227521793657E-2</v>
      </c>
      <c r="BS56" s="587">
        <f>+BS54-BS55</f>
        <v>4.2324403197614442E-2</v>
      </c>
      <c r="BT56" s="587">
        <f>+BT54-BT55</f>
        <v>5.0422206600804764E-2</v>
      </c>
      <c r="BU56" s="708">
        <f>+BU54-BU55</f>
        <v>4.1071998270836324E-2</v>
      </c>
      <c r="BV56" s="610"/>
      <c r="BW56" s="613">
        <f>+BW54-BW55</f>
        <v>6.9565217391304376E-3</v>
      </c>
      <c r="BX56" s="587">
        <f>+BX54-BX55</f>
        <v>3.6571428571428574E-2</v>
      </c>
      <c r="BY56" s="587">
        <f>+BY54-BY55</f>
        <v>-6.4407004740515972E-4</v>
      </c>
      <c r="BZ56" s="587">
        <f>+BZ54-BZ55</f>
        <v>-3.7923866259122946E-2</v>
      </c>
      <c r="CA56" s="708">
        <f>+CA54-CA55</f>
        <v>-5.3645406824467945E-4</v>
      </c>
      <c r="CB56" s="610"/>
      <c r="CC56" s="586">
        <f>+CC54-CC55</f>
        <v>-5.7001461665984396E-3</v>
      </c>
      <c r="CD56" s="587">
        <f>+CD54-CD55</f>
        <v>7.5683175845833658E-3</v>
      </c>
      <c r="CE56" s="587">
        <f>+CE54-CE55</f>
        <v>3.1602619936913282E-4</v>
      </c>
      <c r="CF56" s="587">
        <f>+CF54-CF55</f>
        <v>3.2637446315604099E-2</v>
      </c>
      <c r="CG56" s="708">
        <f>+CG54-CG55</f>
        <v>9.6166394972433053E-3</v>
      </c>
      <c r="CH56" s="610"/>
      <c r="CI56" s="586">
        <f>+CI54-CI55</f>
        <v>0.02</v>
      </c>
      <c r="CJ56" s="587">
        <f>+CJ54-CJ55</f>
        <v>0.01</v>
      </c>
      <c r="CK56" s="587">
        <f>+CK54-CK55</f>
        <v>0.02</v>
      </c>
      <c r="CL56" s="587">
        <f>+CL54-CL55</f>
        <v>-0.02</v>
      </c>
      <c r="CM56" s="708">
        <f>+CM54-CM55</f>
        <v>6.2190357113117174E-3</v>
      </c>
      <c r="CN56" s="610"/>
      <c r="CO56" s="586">
        <f>+CO54-CO55</f>
        <v>0.03</v>
      </c>
      <c r="CP56" s="587">
        <f>+CP54-CP55</f>
        <v>0.03</v>
      </c>
      <c r="CQ56" s="587">
        <f>+CQ54-CQ55</f>
        <v>0.03</v>
      </c>
      <c r="CR56" s="587">
        <f>+CR54-CR55</f>
        <v>0.03</v>
      </c>
      <c r="CS56" s="708">
        <f>+CS54-CS55</f>
        <v>0.03</v>
      </c>
      <c r="CT56" s="610"/>
      <c r="CU56" s="586">
        <f>+CU54-CU55</f>
        <v>0.04</v>
      </c>
      <c r="CV56" s="587">
        <f>+CV54-CV55</f>
        <v>0.04</v>
      </c>
      <c r="CW56" s="587">
        <f>+CW54-CW55</f>
        <v>0.04</v>
      </c>
      <c r="CX56" s="587">
        <f>+CX54-CX55</f>
        <v>0.04</v>
      </c>
      <c r="CY56" s="708">
        <f>+CY54-CY55</f>
        <v>4.0000000000000008E-2</v>
      </c>
    </row>
    <row r="57" spans="1:105" s="39" customFormat="1" ht="11.25" customHeight="1" x14ac:dyDescent="0.2">
      <c r="A57" s="940" t="s">
        <v>191</v>
      </c>
      <c r="B57" s="446"/>
      <c r="C57" s="942"/>
      <c r="D57" s="942"/>
      <c r="E57" s="942"/>
      <c r="F57" s="954"/>
      <c r="G57" s="943"/>
      <c r="H57" s="944"/>
      <c r="I57" s="941"/>
      <c r="J57" s="942"/>
      <c r="K57" s="942"/>
      <c r="L57" s="954"/>
      <c r="M57" s="943"/>
      <c r="N57" s="944"/>
      <c r="O57" s="941"/>
      <c r="P57" s="942"/>
      <c r="Q57" s="942"/>
      <c r="R57" s="954"/>
      <c r="S57" s="943"/>
      <c r="T57" s="942"/>
      <c r="U57" s="941"/>
      <c r="V57" s="942"/>
      <c r="W57" s="942"/>
      <c r="X57" s="954"/>
      <c r="Y57" s="943"/>
      <c r="Z57" s="945"/>
      <c r="AA57" s="946">
        <f>AA39+AA45+AA51+AA32</f>
        <v>207.10599999999997</v>
      </c>
      <c r="AB57" s="947">
        <f>AB39+AB45+AB51+AB32</f>
        <v>217.88800000000003</v>
      </c>
      <c r="AC57" s="947">
        <f>AC39+AC45+AC51+AC32</f>
        <v>230.8</v>
      </c>
      <c r="AD57" s="953">
        <f>AD39+AD45+AD51+AD32</f>
        <v>237.18100000000004</v>
      </c>
      <c r="AE57" s="948">
        <f>AE39+AE45+AE51+AE32</f>
        <v>892.97500000000014</v>
      </c>
      <c r="AF57" s="949"/>
      <c r="AG57" s="946">
        <f>AG39+AG45+AG51+AG32</f>
        <v>220.93299999999999</v>
      </c>
      <c r="AH57" s="947">
        <f>AH39+AH45+AH51+AH32</f>
        <v>240.15599999999995</v>
      </c>
      <c r="AI57" s="947">
        <f>AI39+AI45+AI51+AI32</f>
        <v>259.65899999999999</v>
      </c>
      <c r="AJ57" s="953">
        <f>AJ39+AJ45+AJ51+AJ32</f>
        <v>289.07700000000011</v>
      </c>
      <c r="AK57" s="950">
        <f>AK39+AK45+AK51+AK32</f>
        <v>1009.8250000000002</v>
      </c>
      <c r="AL57" s="949"/>
      <c r="AM57" s="946">
        <f>AM39+AM45+AM51+AM32</f>
        <v>264.36399999999998</v>
      </c>
      <c r="AN57" s="947">
        <f>AN39+AN45+AN51+AN32</f>
        <v>262.71800000000002</v>
      </c>
      <c r="AO57" s="947">
        <f>AO39+AO45+AO51+AO32</f>
        <v>274.31700000000001</v>
      </c>
      <c r="AP57" s="953">
        <f>AP39+AP45+AP51+AP32</f>
        <v>286.03200000000004</v>
      </c>
      <c r="AQ57" s="950">
        <f>AQ39+AQ45+AQ51+AQ32</f>
        <v>1087.431</v>
      </c>
      <c r="AR57" s="949"/>
      <c r="AS57" s="946">
        <f>AS39+AS45+AS51+AS32</f>
        <v>264.26499999999999</v>
      </c>
      <c r="AT57" s="947">
        <f>AT39+AT45+AT51+AT32</f>
        <v>282.17700000000002</v>
      </c>
      <c r="AU57" s="947">
        <f>AU39+AU45+AU51+AU32</f>
        <v>288.88499999999999</v>
      </c>
      <c r="AV57" s="953">
        <f>AV39+AV45+AV51+AV32</f>
        <v>334.42000000000007</v>
      </c>
      <c r="AW57" s="948">
        <f>AW39+AW45+AW51+AW32</f>
        <v>1169.7470000000001</v>
      </c>
      <c r="AX57" s="949"/>
      <c r="AY57" s="946">
        <f>AY39+AY45+AY51+AY32</f>
        <v>296.42200000000003</v>
      </c>
      <c r="AZ57" s="947">
        <f>AZ39+AZ45+AZ51+AZ32</f>
        <v>307.21300000000002</v>
      </c>
      <c r="BA57" s="947">
        <f>BA39+BA45+BA51+BA32</f>
        <v>304.28899999999999</v>
      </c>
      <c r="BB57" s="953">
        <f>BB39+BB45+BB51+BB32</f>
        <v>346.53199999999993</v>
      </c>
      <c r="BC57" s="948">
        <f>BC39+BC45+BC51+BC32</f>
        <v>1254.4559999999999</v>
      </c>
      <c r="BD57" s="949"/>
      <c r="BE57" s="946">
        <f>BE39+BE45+BE51+BE32</f>
        <v>303.57600000000002</v>
      </c>
      <c r="BF57" s="947">
        <f>BF39+BF45+BF51+BF32</f>
        <v>316.41199999999998</v>
      </c>
      <c r="BG57" s="947">
        <f>BG39+BG45+BG51+BG32</f>
        <v>323.81099999999998</v>
      </c>
      <c r="BH57" s="953">
        <f>BH39+BH45+BH51+BH32</f>
        <v>362.58500000000004</v>
      </c>
      <c r="BI57" s="948">
        <f>BI39+BI45+BI51+BI32</f>
        <v>1306.384</v>
      </c>
      <c r="BJ57" s="949"/>
      <c r="BK57" s="946">
        <f>BK39+BK45+BK51+BK32</f>
        <v>317.37299999999999</v>
      </c>
      <c r="BL57" s="947">
        <f>BL39+BL45+BL51+BL32</f>
        <v>331.23699999999997</v>
      </c>
      <c r="BM57" s="947">
        <f>BM39+BM45+BM51+BM32</f>
        <v>336.75700000000001</v>
      </c>
      <c r="BN57" s="953">
        <f>BN39+BN45+BN51+BN32</f>
        <v>360.81</v>
      </c>
      <c r="BO57" s="948">
        <f>BO39+BO45+BO51+BO32</f>
        <v>1346.1770000000001</v>
      </c>
      <c r="BP57" s="949"/>
      <c r="BQ57" s="946">
        <f>BQ39+BQ45+BQ51+BQ32</f>
        <v>298.72899999999998</v>
      </c>
      <c r="BR57" s="947">
        <f>BR39+BR45+BR51+BR32</f>
        <v>319.45600000000002</v>
      </c>
      <c r="BS57" s="947">
        <f>BS39+BS45+BS51+BS32</f>
        <v>314.56099999999998</v>
      </c>
      <c r="BT57" s="953">
        <f>BT39+BT45+BT51+BT32</f>
        <v>348.5</v>
      </c>
      <c r="BU57" s="948">
        <f>BU39+BU45+BU51+BU32</f>
        <v>1281.2460000000001</v>
      </c>
      <c r="BV57" s="949"/>
      <c r="BW57" s="946">
        <f>BW39+BW45+BW51+BW32</f>
        <v>298.37900000000002</v>
      </c>
      <c r="BX57" s="947">
        <f>BX39+BX45+BX51+BX32</f>
        <v>334.41199999999998</v>
      </c>
      <c r="BY57" s="947">
        <f>BY39+BY45+BY51+BY32</f>
        <v>338.68500000000006</v>
      </c>
      <c r="BZ57" s="953">
        <f>BZ39+BZ45+BZ51+BZ32</f>
        <v>366.51499999999999</v>
      </c>
      <c r="CA57" s="948">
        <f>CA39+CA45+CA51+CA32</f>
        <v>1337.991</v>
      </c>
      <c r="CB57" s="949"/>
      <c r="CC57" s="946">
        <f>CC39+CC45+CC51+CC32</f>
        <v>308.30600000000004</v>
      </c>
      <c r="CD57" s="947">
        <f>CD39+CD45+CD51+CD32</f>
        <v>349.60599999999999</v>
      </c>
      <c r="CE57" s="947">
        <f>CE39+CE45+CE51+CE32</f>
        <v>364.4</v>
      </c>
      <c r="CF57" s="953">
        <f>CF39+CF45+CF51+CF32</f>
        <v>397.113</v>
      </c>
      <c r="CG57" s="948">
        <f>CG39+CG45+CG51+CG32</f>
        <v>1419.4250000000002</v>
      </c>
      <c r="CH57" s="949"/>
      <c r="CI57" s="946">
        <f>CI39+CI45+CI51+CI32</f>
        <v>342.19696843455813</v>
      </c>
      <c r="CJ57" s="947">
        <f>CJ39+CJ45+CJ51+CJ32</f>
        <v>390.00775350179219</v>
      </c>
      <c r="CK57" s="947">
        <f>CK39+CK45+CK51+CK32</f>
        <v>402.97882791594213</v>
      </c>
      <c r="CL57" s="953">
        <f>CL39+CL45+CL51+CL32</f>
        <v>429.55971751546923</v>
      </c>
      <c r="CM57" s="948">
        <f>CM39+CM45+CM51+CM32</f>
        <v>1564.7432673677617</v>
      </c>
      <c r="CN57" s="949"/>
      <c r="CO57" s="946">
        <f>CO39+CO45+CO51+CO32</f>
        <v>379.92910533004368</v>
      </c>
      <c r="CP57" s="947">
        <f>CP39+CP45+CP51+CP32</f>
        <v>419.47153094533905</v>
      </c>
      <c r="CQ57" s="947">
        <f>CQ39+CQ45+CQ51+CQ32</f>
        <v>427.04767623180248</v>
      </c>
      <c r="CR57" s="953">
        <f>CR39+CR45+CR51+CR32</f>
        <v>467.60144526770443</v>
      </c>
      <c r="CS57" s="948">
        <f>CS39+CS45+CS51+CS32</f>
        <v>1694.0497577748897</v>
      </c>
      <c r="CT57" s="949"/>
      <c r="CU57" s="946">
        <f>CU39+CU45+CU51+CU32</f>
        <v>420.64273199744503</v>
      </c>
      <c r="CV57" s="947">
        <f>CV39+CV45+CV51+CV32</f>
        <v>461.70512762799592</v>
      </c>
      <c r="CW57" s="947">
        <f>CW39+CW45+CW51+CW32</f>
        <v>469.00624704585181</v>
      </c>
      <c r="CX57" s="953">
        <f>CX39+CX45+CX51+CX32</f>
        <v>513.09312042062402</v>
      </c>
      <c r="CY57" s="948">
        <f>CY39+CY45+CY51+CY32</f>
        <v>1864.4472270919168</v>
      </c>
    </row>
    <row r="58" spans="1:105" s="39" customFormat="1" ht="11.25" customHeight="1" x14ac:dyDescent="0.2">
      <c r="A58" s="994" t="s">
        <v>232</v>
      </c>
      <c r="B58" s="991"/>
      <c r="C58" s="916"/>
      <c r="D58" s="916"/>
      <c r="E58" s="916"/>
      <c r="F58" s="955"/>
      <c r="G58" s="702"/>
      <c r="H58" s="703"/>
      <c r="I58" s="933"/>
      <c r="J58" s="916"/>
      <c r="K58" s="916"/>
      <c r="L58" s="955"/>
      <c r="M58" s="702"/>
      <c r="N58" s="703"/>
      <c r="O58" s="933"/>
      <c r="P58" s="916"/>
      <c r="Q58" s="916"/>
      <c r="R58" s="955"/>
      <c r="S58" s="702"/>
      <c r="T58" s="916"/>
      <c r="U58" s="933"/>
      <c r="V58" s="916"/>
      <c r="W58" s="916"/>
      <c r="X58" s="955"/>
      <c r="Y58" s="702"/>
      <c r="Z58" s="703"/>
      <c r="AA58" s="934"/>
      <c r="AB58" s="917"/>
      <c r="AC58" s="917"/>
      <c r="AD58" s="935"/>
      <c r="AE58" s="936"/>
      <c r="AF58" s="918"/>
      <c r="AG58" s="934">
        <f>AG57/AA57-1</f>
        <v>6.6762913677054447E-2</v>
      </c>
      <c r="AH58" s="917">
        <f>AH57/AB57-1</f>
        <v>0.10219929505066783</v>
      </c>
      <c r="AI58" s="917">
        <f>AI57/AC57-1</f>
        <v>0.12503899480069314</v>
      </c>
      <c r="AJ58" s="935">
        <f>AJ57/AD57-1</f>
        <v>0.21880336114612908</v>
      </c>
      <c r="AK58" s="937">
        <f>AK57/AE57-1</f>
        <v>0.13085472717601276</v>
      </c>
      <c r="AL58" s="919"/>
      <c r="AM58" s="938">
        <f>AM57/AG57-1</f>
        <v>0.19657995862999189</v>
      </c>
      <c r="AN58" s="920">
        <f>AN57/AH57-1</f>
        <v>9.3947267609387541E-2</v>
      </c>
      <c r="AO58" s="920">
        <f>AO57/AI57-1</f>
        <v>5.6450960683049667E-2</v>
      </c>
      <c r="AP58" s="951">
        <f>AP57/AJ57-1</f>
        <v>-1.0533525669631505E-2</v>
      </c>
      <c r="AQ58" s="939">
        <f>AQ57/AK57-1</f>
        <v>7.6850939519223394E-2</v>
      </c>
      <c r="AR58" s="919"/>
      <c r="AS58" s="938">
        <f>AS57/AM57-1</f>
        <v>-3.744836664598683E-4</v>
      </c>
      <c r="AT58" s="920">
        <f>AT57/AN57-1</f>
        <v>7.406801208900804E-2</v>
      </c>
      <c r="AU58" s="920">
        <f>AU57/AO57-1</f>
        <v>5.3106442546396959E-2</v>
      </c>
      <c r="AV58" s="951">
        <f>AV57/AP57-1</f>
        <v>0.16916988309000391</v>
      </c>
      <c r="AW58" s="939">
        <f>AW57/AQ57-1</f>
        <v>7.5697676450275919E-2</v>
      </c>
      <c r="AX58" s="919"/>
      <c r="AY58" s="938">
        <f>AY57/AS57-1</f>
        <v>0.12168467258244586</v>
      </c>
      <c r="AZ58" s="920">
        <f>AZ57/AT57-1</f>
        <v>8.8724453091499234E-2</v>
      </c>
      <c r="BA58" s="920">
        <f>BA57/AU57-1</f>
        <v>5.3322256261141954E-2</v>
      </c>
      <c r="BB58" s="951">
        <f>BB57/AV57-1</f>
        <v>3.6217929549667627E-2</v>
      </c>
      <c r="BC58" s="939">
        <f>BC57/AW57-1</f>
        <v>7.2416513998325938E-2</v>
      </c>
      <c r="BD58" s="919"/>
      <c r="BE58" s="938">
        <f>BE57/AY57-1</f>
        <v>2.4134510933736308E-2</v>
      </c>
      <c r="BF58" s="920">
        <f>BF57/AZ57-1</f>
        <v>2.9943394322505812E-2</v>
      </c>
      <c r="BG58" s="920">
        <f>BG57/BA57-1</f>
        <v>6.4156114746178661E-2</v>
      </c>
      <c r="BH58" s="951">
        <f>BH57/BB57-1</f>
        <v>4.6324726143617712E-2</v>
      </c>
      <c r="BI58" s="939">
        <f>BI57/BC57-1</f>
        <v>4.1394835689733345E-2</v>
      </c>
      <c r="BJ58" s="919"/>
      <c r="BK58" s="938">
        <f>BK57/BE57-1</f>
        <v>4.5448256779191842E-2</v>
      </c>
      <c r="BL58" s="920">
        <f>BL57/BF57-1</f>
        <v>4.6853469527072367E-2</v>
      </c>
      <c r="BM58" s="920">
        <f>BM57/BG57-1</f>
        <v>3.9980111855372424E-2</v>
      </c>
      <c r="BN58" s="951">
        <f>BN57/BH57-1</f>
        <v>-4.895403836341905E-3</v>
      </c>
      <c r="BO58" s="939">
        <f>BO57/BI57-1</f>
        <v>3.0460415926710782E-2</v>
      </c>
      <c r="BP58" s="919"/>
      <c r="BQ58" s="938">
        <f>BQ57/BK57-1</f>
        <v>-5.8744757745617937E-2</v>
      </c>
      <c r="BR58" s="920">
        <f>BR57/BL57-1</f>
        <v>-3.5566678843245048E-2</v>
      </c>
      <c r="BS58" s="920">
        <f>BS57/BM57-1</f>
        <v>-6.5911027833126079E-2</v>
      </c>
      <c r="BT58" s="951">
        <f>BT57/BN57-1</f>
        <v>-3.4117679665197742E-2</v>
      </c>
      <c r="BU58" s="939">
        <f>BU57/BO57-1</f>
        <v>-4.8233627524463696E-2</v>
      </c>
      <c r="BV58" s="919"/>
      <c r="BW58" s="938">
        <f>BW57/BQ57-1</f>
        <v>-1.1716304744432415E-3</v>
      </c>
      <c r="BX58" s="920">
        <f>BX57/BR57-1</f>
        <v>4.6817089051387262E-2</v>
      </c>
      <c r="BY58" s="920">
        <f>BY57/BS57-1</f>
        <v>7.6691007467550198E-2</v>
      </c>
      <c r="BZ58" s="951">
        <f>BZ57/BT57-1</f>
        <v>5.1692969870875238E-2</v>
      </c>
      <c r="CA58" s="939">
        <f>CA57/BU57-1</f>
        <v>4.4288918755648776E-2</v>
      </c>
      <c r="CB58" s="919"/>
      <c r="CC58" s="938">
        <f>CC57/BW57-1</f>
        <v>3.3269767644505954E-2</v>
      </c>
      <c r="CD58" s="920">
        <f>CD57/BX57-1</f>
        <v>4.5434972429219123E-2</v>
      </c>
      <c r="CE58" s="920">
        <f>CE57/BY57-1</f>
        <v>7.5926007942483276E-2</v>
      </c>
      <c r="CF58" s="951">
        <f>CF57/BZ57-1</f>
        <v>8.348362277123722E-2</v>
      </c>
      <c r="CG58" s="939">
        <f>CG57/CA57-1</f>
        <v>6.0862890707037876E-2</v>
      </c>
      <c r="CH58" s="919"/>
      <c r="CI58" s="938">
        <f>CI57/CC57-1</f>
        <v>0.10992639920909131</v>
      </c>
      <c r="CJ58" s="920">
        <f>CJ57/CD57-1</f>
        <v>0.11556367311142313</v>
      </c>
      <c r="CK58" s="920">
        <f>CK57/CE57-1</f>
        <v>0.10586945092190492</v>
      </c>
      <c r="CL58" s="951">
        <f>CL57/CF57-1</f>
        <v>8.1706510528411824E-2</v>
      </c>
      <c r="CM58" s="939">
        <f>CM57/CG57-1</f>
        <v>0.10237826399264605</v>
      </c>
      <c r="CN58" s="919"/>
      <c r="CO58" s="938">
        <f>CO57/CI57-1</f>
        <v>0.11026438097361879</v>
      </c>
      <c r="CP58" s="920">
        <f>CP57/CJ57-1</f>
        <v>7.554664536537592E-2</v>
      </c>
      <c r="CQ58" s="920">
        <f>CQ57/CK57-1</f>
        <v>5.9727327215515436E-2</v>
      </c>
      <c r="CR58" s="951">
        <f>CR57/CL57-1</f>
        <v>8.8559811828410773E-2</v>
      </c>
      <c r="CS58" s="939">
        <f>CS57/CM57-1</f>
        <v>8.2637511918903783E-2</v>
      </c>
      <c r="CT58" s="919"/>
      <c r="CU58" s="938">
        <f>CU57/CO57-1</f>
        <v>0.10716111531395711</v>
      </c>
      <c r="CV58" s="920">
        <f>CV57/CP57-1</f>
        <v>0.10068286776811153</v>
      </c>
      <c r="CW58" s="920">
        <f>CW57/CQ57-1</f>
        <v>9.8252661586370804E-2</v>
      </c>
      <c r="CX58" s="951">
        <f>CX57/CR57-1</f>
        <v>9.7287285172686699E-2</v>
      </c>
      <c r="CY58" s="939">
        <f>CY57/CS57-1</f>
        <v>0.10058587035887401</v>
      </c>
    </row>
    <row r="59" spans="1:105" s="39" customFormat="1" ht="11.25" customHeight="1" x14ac:dyDescent="0.2">
      <c r="A59" s="994" t="s">
        <v>398</v>
      </c>
      <c r="B59" s="991"/>
      <c r="C59" s="916"/>
      <c r="D59" s="916"/>
      <c r="E59" s="916"/>
      <c r="F59" s="955"/>
      <c r="G59" s="702"/>
      <c r="H59" s="703"/>
      <c r="I59" s="933"/>
      <c r="J59" s="916"/>
      <c r="K59" s="916"/>
      <c r="L59" s="955"/>
      <c r="M59" s="702"/>
      <c r="N59" s="703"/>
      <c r="O59" s="933"/>
      <c r="P59" s="916"/>
      <c r="Q59" s="916"/>
      <c r="R59" s="955"/>
      <c r="S59" s="702"/>
      <c r="T59" s="916"/>
      <c r="U59" s="933"/>
      <c r="V59" s="916"/>
      <c r="W59" s="916"/>
      <c r="X59" s="955"/>
      <c r="Y59" s="702"/>
      <c r="Z59" s="703"/>
      <c r="AA59" s="934"/>
      <c r="AB59" s="917"/>
      <c r="AC59" s="917"/>
      <c r="AD59" s="935"/>
      <c r="AE59" s="936"/>
      <c r="AF59" s="918"/>
      <c r="AG59" s="934"/>
      <c r="AH59" s="917"/>
      <c r="AI59" s="917"/>
      <c r="AJ59" s="935"/>
      <c r="AK59" s="937"/>
      <c r="AL59" s="920">
        <f t="shared" ref="AL59" si="30">(AL34*AL10)+(AL41*AL12)+(AL47*AL14)+(AL53*AL16)</f>
        <v>0</v>
      </c>
      <c r="AM59" s="938">
        <f>+AM58-AM60</f>
        <v>5.6579958629991878E-2</v>
      </c>
      <c r="AN59" s="920">
        <f t="shared" ref="AN59:AQ59" si="31">+AN58-AN60</f>
        <v>-1.6052732390612459E-2</v>
      </c>
      <c r="AO59" s="920">
        <f t="shared" si="31"/>
        <v>-1.354903931695034E-2</v>
      </c>
      <c r="AP59" s="951">
        <f t="shared" si="31"/>
        <v>-1.0533525669631505E-2</v>
      </c>
      <c r="AQ59" s="939">
        <f t="shared" si="31"/>
        <v>-3.1490604807766082E-3</v>
      </c>
      <c r="AR59" s="919"/>
      <c r="AS59" s="938">
        <f>+AS58-AS60</f>
        <v>1.9625516333540132E-2</v>
      </c>
      <c r="AT59" s="920">
        <f t="shared" ref="AT59" si="32">+AT58-AT60</f>
        <v>6.4068012089008045E-2</v>
      </c>
      <c r="AU59" s="920">
        <f t="shared" ref="AU59" si="33">+AU58-AU60</f>
        <v>4.3106442546396957E-2</v>
      </c>
      <c r="AV59" s="951">
        <f t="shared" ref="AV59" si="34">+AV58-AV60</f>
        <v>-8.3011690999609811E-4</v>
      </c>
      <c r="AW59" s="939">
        <f t="shared" ref="AW59" si="35">+AW58-AW60</f>
        <v>3.5697676450275918E-2</v>
      </c>
      <c r="AX59" s="919"/>
      <c r="AY59" s="938">
        <f>+AY58-AY60</f>
        <v>-8.3153274175541414E-3</v>
      </c>
      <c r="AZ59" s="920">
        <f t="shared" ref="AZ59" si="36">+AZ58-AZ60</f>
        <v>-5.127554690850078E-2</v>
      </c>
      <c r="BA59" s="920">
        <f t="shared" ref="BA59" si="37">+BA58-BA60</f>
        <v>-4.6677743738858052E-2</v>
      </c>
      <c r="BB59" s="951">
        <f t="shared" ref="BB59" si="38">+BB58-BB60</f>
        <v>-3.782070450332374E-3</v>
      </c>
      <c r="BC59" s="939">
        <f t="shared" ref="BC59" si="39">+BC58-BC60</f>
        <v>-2.7583486001674068E-2</v>
      </c>
      <c r="BD59" s="919"/>
      <c r="BE59" s="938">
        <f>+BE58-BE60</f>
        <v>-5.8654890662636905E-3</v>
      </c>
      <c r="BF59" s="920">
        <f t="shared" ref="BF59" si="40">+BF58-BF60</f>
        <v>-5.660567749418699E-5</v>
      </c>
      <c r="BG59" s="920">
        <f t="shared" ref="BG59" si="41">+BG58-BG60</f>
        <v>-5.8438852538213321E-3</v>
      </c>
      <c r="BH59" s="951">
        <f t="shared" ref="BH59" si="42">+BH58-BH60</f>
        <v>-3.6752738563822912E-3</v>
      </c>
      <c r="BI59" s="939">
        <f t="shared" ref="BI59" si="43">+BI58-BI60</f>
        <v>-8.6051643102666581E-3</v>
      </c>
      <c r="BJ59" s="920"/>
      <c r="BK59" s="938">
        <f>+BK58-BK60</f>
        <v>-4.5517432208081604E-3</v>
      </c>
      <c r="BL59" s="920">
        <f t="shared" ref="BL59" si="44">+BL58-BL60</f>
        <v>6.8534695270723658E-3</v>
      </c>
      <c r="BM59" s="920">
        <f t="shared" ref="BM59" si="45">+BM58-BM60</f>
        <v>-1.9888144627576432E-5</v>
      </c>
      <c r="BN59" s="951">
        <f t="shared" ref="BN59" si="46">+BN58-BN60</f>
        <v>-4.7895403836341902E-2</v>
      </c>
      <c r="BO59" s="939">
        <f t="shared" ref="BO59" si="47">+BO58-BO60</f>
        <v>-9.5395840732892187E-3</v>
      </c>
      <c r="BP59" s="919"/>
      <c r="BQ59" s="938">
        <f>+BQ58-BQ60</f>
        <v>-7.8744757745617941E-2</v>
      </c>
      <c r="BR59" s="920">
        <f t="shared" ref="BR59" si="48">+BR58-BR60</f>
        <v>-8.4566678843245036E-2</v>
      </c>
      <c r="BS59" s="920">
        <f t="shared" ref="BS59" si="49">+BS58-BS60</f>
        <v>-8.8999999999999996E-2</v>
      </c>
      <c r="BT59" s="951">
        <f t="shared" ref="BT59" si="50">+BT58-BT60</f>
        <v>-6.3E-2</v>
      </c>
      <c r="BU59" s="939">
        <f t="shared" ref="BU59" si="51">+BU58-BU60</f>
        <v>-8.0249999999999891E-2</v>
      </c>
      <c r="BV59" s="919"/>
      <c r="BW59" s="938">
        <f>+BW58-BW60</f>
        <v>-2.0171630474443241E-2</v>
      </c>
      <c r="BX59" s="920">
        <f t="shared" ref="BX59" si="52">+BX58-BX60</f>
        <v>-1.5182910948612738E-2</v>
      </c>
      <c r="BY59" s="920">
        <f t="shared" ref="BY59" si="53">+BY58-BY60</f>
        <v>-8.3089925324498076E-3</v>
      </c>
      <c r="BZ59" s="951">
        <f>+BZ58-BZ60</f>
        <v>-3.0307030129124765E-2</v>
      </c>
      <c r="CA59" s="939">
        <f>+CA58-CA60</f>
        <v>-1.8711081244351224E-2</v>
      </c>
      <c r="CB59" s="919"/>
      <c r="CC59" s="938">
        <f>+CC58-CC60</f>
        <v>-2.1730232355494046E-2</v>
      </c>
      <c r="CD59" s="1724">
        <f t="shared" ref="CD59:CE59" si="54">+CD58-CD60</f>
        <v>-2.2565027570780882E-2</v>
      </c>
      <c r="CE59" s="920">
        <f t="shared" si="54"/>
        <v>5.926007942483269E-3</v>
      </c>
      <c r="CF59" s="1725">
        <f t="shared" ref="CF59" si="55">+CF58-CF60</f>
        <v>2.3483622771237223E-2</v>
      </c>
      <c r="CG59" s="939">
        <f>AVERAGE(CC59:CF59)</f>
        <v>-3.7214073031386092E-3</v>
      </c>
      <c r="CH59" s="919"/>
      <c r="CI59" s="1720">
        <v>0.05</v>
      </c>
      <c r="CJ59" s="1721">
        <v>4.4999999999999998E-2</v>
      </c>
      <c r="CK59" s="1721">
        <v>2.5000000000000001E-2</v>
      </c>
      <c r="CL59" s="1722">
        <v>0.02</v>
      </c>
      <c r="CM59" s="939">
        <f>AVERAGE(CI59:CL59)</f>
        <v>3.4999999999999996E-2</v>
      </c>
      <c r="CN59" s="919"/>
      <c r="CO59" s="1720">
        <v>0</v>
      </c>
      <c r="CP59" s="1721">
        <f>+CO59</f>
        <v>0</v>
      </c>
      <c r="CQ59" s="1721">
        <f>+CP59</f>
        <v>0</v>
      </c>
      <c r="CR59" s="1722">
        <f>+CQ59</f>
        <v>0</v>
      </c>
      <c r="CS59" s="939">
        <f>AVERAGE(CO59:CR59)</f>
        <v>0</v>
      </c>
      <c r="CT59" s="919"/>
      <c r="CU59" s="1720">
        <v>0</v>
      </c>
      <c r="CV59" s="1721">
        <f>+CU59</f>
        <v>0</v>
      </c>
      <c r="CW59" s="1721">
        <f>+CV59</f>
        <v>0</v>
      </c>
      <c r="CX59" s="1722">
        <f>+CW59</f>
        <v>0</v>
      </c>
      <c r="CY59" s="939">
        <f>AVERAGE(CU59:CX59)</f>
        <v>0</v>
      </c>
    </row>
    <row r="60" spans="1:105" s="39" customFormat="1" ht="11.25" customHeight="1" x14ac:dyDescent="0.2">
      <c r="A60" s="994" t="s">
        <v>236</v>
      </c>
      <c r="B60" s="991"/>
      <c r="C60" s="916"/>
      <c r="D60" s="916"/>
      <c r="E60" s="916"/>
      <c r="F60" s="955"/>
      <c r="G60" s="702"/>
      <c r="H60" s="703"/>
      <c r="I60" s="933"/>
      <c r="J60" s="916"/>
      <c r="K60" s="916"/>
      <c r="L60" s="955"/>
      <c r="M60" s="702"/>
      <c r="N60" s="703"/>
      <c r="O60" s="933"/>
      <c r="P60" s="916"/>
      <c r="Q60" s="916"/>
      <c r="R60" s="955"/>
      <c r="S60" s="702"/>
      <c r="T60" s="916"/>
      <c r="U60" s="933"/>
      <c r="V60" s="916"/>
      <c r="W60" s="916"/>
      <c r="X60" s="955"/>
      <c r="Y60" s="702"/>
      <c r="Z60" s="703"/>
      <c r="AA60" s="934"/>
      <c r="AB60" s="917"/>
      <c r="AC60" s="917"/>
      <c r="AD60" s="935"/>
      <c r="AE60" s="936"/>
      <c r="AF60" s="918"/>
      <c r="AG60" s="934"/>
      <c r="AH60" s="917"/>
      <c r="AI60" s="917"/>
      <c r="AJ60" s="935"/>
      <c r="AK60" s="937"/>
      <c r="AL60" s="920">
        <f t="shared" ref="AL60" si="56">AL58-AL59</f>
        <v>0</v>
      </c>
      <c r="AM60" s="1711">
        <v>0.14000000000000001</v>
      </c>
      <c r="AN60" s="1712">
        <v>0.11</v>
      </c>
      <c r="AO60" s="1712">
        <v>7.0000000000000007E-2</v>
      </c>
      <c r="AP60" s="1713">
        <v>0</v>
      </c>
      <c r="AQ60" s="1714">
        <v>0.08</v>
      </c>
      <c r="AR60" s="919"/>
      <c r="AS60" s="1711">
        <v>-0.02</v>
      </c>
      <c r="AT60" s="1712">
        <v>0.01</v>
      </c>
      <c r="AU60" s="1712">
        <v>0.01</v>
      </c>
      <c r="AV60" s="1713">
        <v>0.17</v>
      </c>
      <c r="AW60" s="1714">
        <v>0.04</v>
      </c>
      <c r="AX60" s="919"/>
      <c r="AY60" s="1711">
        <v>0.13</v>
      </c>
      <c r="AZ60" s="1712">
        <v>0.14000000000000001</v>
      </c>
      <c r="BA60" s="1712">
        <v>0.1</v>
      </c>
      <c r="BB60" s="1713">
        <v>0.04</v>
      </c>
      <c r="BC60" s="1719">
        <v>0.1</v>
      </c>
      <c r="BD60" s="919"/>
      <c r="BE60" s="1711">
        <v>0.03</v>
      </c>
      <c r="BF60" s="1712">
        <v>0.03</v>
      </c>
      <c r="BG60" s="1712">
        <v>6.9999999999999993E-2</v>
      </c>
      <c r="BH60" s="1713">
        <v>0.05</v>
      </c>
      <c r="BI60" s="1714">
        <v>0.05</v>
      </c>
      <c r="BJ60" s="920"/>
      <c r="BK60" s="1711">
        <v>0.05</v>
      </c>
      <c r="BL60" s="1712">
        <v>0.04</v>
      </c>
      <c r="BM60" s="1712">
        <v>0.04</v>
      </c>
      <c r="BN60" s="1713">
        <v>4.2999999999999997E-2</v>
      </c>
      <c r="BO60" s="1714">
        <v>0.04</v>
      </c>
      <c r="BP60" s="919"/>
      <c r="BQ60" s="1711">
        <v>2.0000000000000004E-2</v>
      </c>
      <c r="BR60" s="1712">
        <v>4.8999999999999995E-2</v>
      </c>
      <c r="BS60" s="1712">
        <v>2.3088972166873917E-2</v>
      </c>
      <c r="BT60" s="1713">
        <v>2.8882320334802258E-2</v>
      </c>
      <c r="BU60" s="1714">
        <v>3.2016372475536195E-2</v>
      </c>
      <c r="BV60" s="919"/>
      <c r="BW60" s="1711">
        <v>1.9E-2</v>
      </c>
      <c r="BX60" s="1712">
        <v>6.2E-2</v>
      </c>
      <c r="BY60" s="1712">
        <v>8.5000000000000006E-2</v>
      </c>
      <c r="BZ60" s="1713">
        <v>8.2000000000000003E-2</v>
      </c>
      <c r="CA60" s="1714">
        <v>6.3E-2</v>
      </c>
      <c r="CB60" s="919"/>
      <c r="CC60" s="1711">
        <v>5.5E-2</v>
      </c>
      <c r="CD60" s="1712">
        <v>6.8000000000000005E-2</v>
      </c>
      <c r="CE60" s="1712">
        <v>7.0000000000000007E-2</v>
      </c>
      <c r="CF60" s="1713">
        <v>0.06</v>
      </c>
      <c r="CG60" s="939">
        <f>CG58-CG59</f>
        <v>6.4584298010176483E-2</v>
      </c>
      <c r="CH60" s="919"/>
      <c r="CI60" s="938">
        <f>CI58-CI59</f>
        <v>5.9926399209091305E-2</v>
      </c>
      <c r="CJ60" s="920">
        <f>CJ58-CJ59</f>
        <v>7.0563673111423128E-2</v>
      </c>
      <c r="CK60" s="920">
        <f>CK58-CK59</f>
        <v>8.0869450921904923E-2</v>
      </c>
      <c r="CL60" s="951">
        <f>CL58-CL59</f>
        <v>6.170651052841182E-2</v>
      </c>
      <c r="CM60" s="939">
        <f>CM58-CM59</f>
        <v>6.7378263992646042E-2</v>
      </c>
      <c r="CN60" s="919"/>
      <c r="CO60" s="938">
        <f>CO58-CO59</f>
        <v>0.11026438097361879</v>
      </c>
      <c r="CP60" s="920">
        <f>CP58-CP59</f>
        <v>7.554664536537592E-2</v>
      </c>
      <c r="CQ60" s="920">
        <f>CQ58-CQ59</f>
        <v>5.9727327215515436E-2</v>
      </c>
      <c r="CR60" s="951">
        <f>CR58-CR59</f>
        <v>8.8559811828410773E-2</v>
      </c>
      <c r="CS60" s="939">
        <f>CS58-CS59</f>
        <v>8.2637511918903783E-2</v>
      </c>
      <c r="CT60" s="919"/>
      <c r="CU60" s="938">
        <f>CU58-CU59</f>
        <v>0.10716111531395711</v>
      </c>
      <c r="CV60" s="920">
        <f>CV58-CV59</f>
        <v>0.10068286776811153</v>
      </c>
      <c r="CW60" s="920">
        <f>CW58-CW59</f>
        <v>9.8252661586370804E-2</v>
      </c>
      <c r="CX60" s="951">
        <f>CX58-CX59</f>
        <v>9.7287285172686699E-2</v>
      </c>
      <c r="CY60" s="939">
        <f>CY58-CY59</f>
        <v>0.10058587035887401</v>
      </c>
      <c r="DA60" s="211">
        <f>+(CY57/CA57)^(1/4)-1</f>
        <v>8.6486228183447311E-2</v>
      </c>
    </row>
    <row r="61" spans="1:105" ht="11.25" customHeight="1" x14ac:dyDescent="0.2">
      <c r="A61" s="994" t="s">
        <v>231</v>
      </c>
      <c r="B61" s="991"/>
      <c r="C61" s="916"/>
      <c r="D61" s="916"/>
      <c r="E61" s="916"/>
      <c r="F61" s="955"/>
      <c r="G61" s="702"/>
      <c r="H61" s="703"/>
      <c r="I61" s="933"/>
      <c r="J61" s="916"/>
      <c r="K61" s="916"/>
      <c r="L61" s="955"/>
      <c r="M61" s="702"/>
      <c r="N61" s="703"/>
      <c r="O61" s="933"/>
      <c r="P61" s="916"/>
      <c r="Q61" s="916"/>
      <c r="R61" s="955"/>
      <c r="S61" s="702"/>
      <c r="T61" s="916"/>
      <c r="U61" s="933"/>
      <c r="V61" s="916"/>
      <c r="W61" s="916"/>
      <c r="X61" s="955"/>
      <c r="Y61" s="702"/>
      <c r="Z61" s="703"/>
      <c r="AA61" s="934"/>
      <c r="AB61" s="917"/>
      <c r="AC61" s="917"/>
      <c r="AD61" s="935"/>
      <c r="AE61" s="936"/>
      <c r="AF61" s="918"/>
      <c r="AG61" s="934"/>
      <c r="AH61" s="917"/>
      <c r="AI61" s="917"/>
      <c r="AJ61" s="935"/>
      <c r="AK61" s="937"/>
      <c r="AL61" s="920" t="e">
        <f>OrgRev!#REF!</f>
        <v>#REF!</v>
      </c>
      <c r="AM61" s="1711">
        <f>5%-2%</f>
        <v>3.0000000000000002E-2</v>
      </c>
      <c r="AN61" s="1712">
        <f>6.7%-1%</f>
        <v>5.7000000000000002E-2</v>
      </c>
      <c r="AO61" s="1712">
        <v>0.04</v>
      </c>
      <c r="AP61" s="1713">
        <v>0.03</v>
      </c>
      <c r="AQ61" s="1714">
        <v>0.04</v>
      </c>
      <c r="AR61" s="919"/>
      <c r="AS61" s="1711">
        <v>0</v>
      </c>
      <c r="AT61" s="1712">
        <v>0</v>
      </c>
      <c r="AU61" s="1712">
        <v>0.04</v>
      </c>
      <c r="AV61" s="1713">
        <v>0.06</v>
      </c>
      <c r="AW61" s="1714">
        <v>0.02</v>
      </c>
      <c r="AX61" s="919"/>
      <c r="AY61" s="1711">
        <v>7.0000000000000007E-2</v>
      </c>
      <c r="AZ61" s="1712">
        <v>0.09</v>
      </c>
      <c r="BA61" s="1712">
        <v>0.06</v>
      </c>
      <c r="BB61" s="1713">
        <v>0.02</v>
      </c>
      <c r="BC61" s="1719">
        <f>AVERAGE(AY61:BB61)</f>
        <v>0.06</v>
      </c>
      <c r="BD61" s="919"/>
      <c r="BE61" s="1711">
        <v>0.01</v>
      </c>
      <c r="BF61" s="1712">
        <v>0.02</v>
      </c>
      <c r="BG61" s="1712">
        <v>3.5000000000000003E-2</v>
      </c>
      <c r="BH61" s="1713">
        <v>0.03</v>
      </c>
      <c r="BI61" s="1719">
        <f>AVERAGE(BE61:BH61)</f>
        <v>2.375E-2</v>
      </c>
      <c r="BJ61" s="919"/>
      <c r="BK61" s="1711">
        <v>0.03</v>
      </c>
      <c r="BL61" s="1712">
        <f>BL60*(2/3)</f>
        <v>2.6666666666666665E-2</v>
      </c>
      <c r="BM61" s="1712">
        <v>0.01</v>
      </c>
      <c r="BN61" s="1713">
        <v>0.01</v>
      </c>
      <c r="BO61" s="1714">
        <v>0.02</v>
      </c>
      <c r="BP61" s="919"/>
      <c r="BQ61" s="1711">
        <v>0.02</v>
      </c>
      <c r="BR61" s="1712">
        <v>0.02</v>
      </c>
      <c r="BS61" s="920">
        <f>+(BS55*BM51+BS49*BM45+BS43*BM39+BS36*BM32)/BM57</f>
        <v>1.4847501314003865E-2</v>
      </c>
      <c r="BT61" s="951">
        <f>+(BT55*BN51+BT49*BN45+BT43*BN39+BT36*BN32)/BN57</f>
        <v>1.7228458191291811E-2</v>
      </c>
      <c r="BU61" s="939">
        <f>+(BU55*BO51+BU49*BO45+BU43*BO39+BU36*BO32)/BO57</f>
        <v>1.4558317640250869E-2</v>
      </c>
      <c r="BV61" s="919"/>
      <c r="BW61" s="938">
        <f>+((BW55*BQ51+BW49*BQ45+BW43*BQ39+BW36*BQ32)-7)/BQ57</f>
        <v>-1.3432609488867838E-2</v>
      </c>
      <c r="BX61" s="920">
        <f>+((BX55*BR51+BX49*BR45+BX43*BR39+BX36*BR32)-10)/BR57</f>
        <v>-1.6303215466292698E-2</v>
      </c>
      <c r="BY61" s="920">
        <f>+((BY55*BS51+BY49*BS45+BY43*BS39+BY36*BS32)-9)/BS57</f>
        <v>5.925798175870493E-3</v>
      </c>
      <c r="BZ61" s="951">
        <f>+((BZ55*BT51+BZ49*BT45+BZ43*BT39+BZ36*BT32)-10)/BT57</f>
        <v>6.0222381635581081E-3</v>
      </c>
      <c r="CA61" s="939">
        <f>+((CA55*BU51+CA49*BU45+CA43*BU39+CA36*BU32)-36)/BU57</f>
        <v>-4.0464578034909385E-3</v>
      </c>
      <c r="CB61" s="919"/>
      <c r="CC61" s="938">
        <f>+((CC55*BW51+CC49*BW45+CC43*BW39+CC36*BW32)-6)/BW57</f>
        <v>3.3514422931908714E-3</v>
      </c>
      <c r="CD61" s="920">
        <f>+((CD55*BX51+CD49*BX45+CD43*BX39+CD36*BX32)-7)/BX57</f>
        <v>-6.5193533724866373E-3</v>
      </c>
      <c r="CE61" s="920">
        <f>+((CE55*BY51+CE49*BY45+CE43*BY39+CE36*BY32)-5)/BY57</f>
        <v>-2.9525960700946302E-3</v>
      </c>
      <c r="CF61" s="951">
        <f>+((CF55*BZ51+CF49*BZ45+CF43*BZ39+CF36*BZ32)-7)/BZ57</f>
        <v>-8.1852038797866396E-3</v>
      </c>
      <c r="CG61" s="939">
        <f>+((CG55*CA51+CG49*CA45+CG43*CA39+CG36*CA32)-25)/CA57</f>
        <v>-3.8715880749571568E-3</v>
      </c>
      <c r="CH61" s="919"/>
      <c r="CI61" s="938">
        <f>+((CI55*CC51+CI49*CC45+CI43*CC39+CI36*CC32)-3)/CC57</f>
        <v>-9.7305923335906513E-3</v>
      </c>
      <c r="CJ61" s="920">
        <f>+((CJ55*CD51+CJ49*CD45+CJ43*CD39+CJ36*CD32)-2)/CD57</f>
        <v>-5.7207256168372396E-3</v>
      </c>
      <c r="CK61" s="920">
        <f>+((CK55*CE51+CK49*CE45+CK43*CE39+CK36*CE32)-1)/CE57</f>
        <v>2.6070252469813397E-3</v>
      </c>
      <c r="CL61" s="951">
        <f>+((CL55*CF51+CL49*CF45+CL43*CF39+CL36*CF32)-1)/CF57</f>
        <v>6.3583916920372787E-3</v>
      </c>
      <c r="CM61" s="939">
        <f>+((CM55*CG51+CM49*CG45+CM43*CG39+CM36*CG32)-7)/CG57</f>
        <v>-1.0743787096887825E-3</v>
      </c>
      <c r="CN61" s="919"/>
      <c r="CO61" s="938">
        <f>+(CO55*CI51+CO49*CI45+CO43*CI39+CO36*CI32)/CI57</f>
        <v>1.0242638957423427E-2</v>
      </c>
      <c r="CP61" s="920">
        <f>+(CP55*CJ51+CP49*CJ45+CP43*CJ39+CP36*CJ32)/CJ57</f>
        <v>1.7704776220476528E-2</v>
      </c>
      <c r="CQ61" s="920">
        <f>+(CQ55*CK51+CQ49*CK45+CQ43*CK39+CQ36*CK32)/CK57</f>
        <v>0</v>
      </c>
      <c r="CR61" s="951">
        <f>+(CR55*CL51+CR49*CL45+CR43*CL39+CR36*CL32)/CL57</f>
        <v>0</v>
      </c>
      <c r="CS61" s="939">
        <f>+(CS55*CM51+CS49*CM45+CS43*CM39+CS36*CM32)/CM57</f>
        <v>6.6528485644241709E-3</v>
      </c>
      <c r="CT61" s="919"/>
      <c r="CU61" s="938">
        <f>+(CU55*CO51+CU49*CO45+CU43*CO39+CU36*CO32)/CO57</f>
        <v>0</v>
      </c>
      <c r="CV61" s="920">
        <f>+(CV55*CP51+CV49*CP45+CV43*CP39+CV36*CP32)/CP57</f>
        <v>0</v>
      </c>
      <c r="CW61" s="920">
        <f>+(CW55*CQ51+CW49*CQ45+CW43*CQ39+CW36*CQ32)/CQ57</f>
        <v>0</v>
      </c>
      <c r="CX61" s="951">
        <f>+(CX55*CR51+CX49*CR45+CX43*CR39+CX36*CR32)/CR57</f>
        <v>0</v>
      </c>
      <c r="CY61" s="939">
        <f>+(CY55*CS51+CY49*CS45+CY43*CS39+CY36*CS32)/CS57</f>
        <v>0</v>
      </c>
    </row>
    <row r="62" spans="1:105" ht="11.25" customHeight="1" x14ac:dyDescent="0.2">
      <c r="A62" s="994" t="s">
        <v>234</v>
      </c>
      <c r="B62" s="991"/>
      <c r="C62" s="916"/>
      <c r="D62" s="916"/>
      <c r="E62" s="916"/>
      <c r="F62" s="955"/>
      <c r="G62" s="702"/>
      <c r="H62" s="703"/>
      <c r="I62" s="933"/>
      <c r="J62" s="916"/>
      <c r="K62" s="916"/>
      <c r="L62" s="955"/>
      <c r="M62" s="702"/>
      <c r="N62" s="703"/>
      <c r="O62" s="933"/>
      <c r="P62" s="916"/>
      <c r="Q62" s="916"/>
      <c r="R62" s="955"/>
      <c r="S62" s="702"/>
      <c r="T62" s="916"/>
      <c r="U62" s="933"/>
      <c r="V62" s="916"/>
      <c r="W62" s="916"/>
      <c r="X62" s="955"/>
      <c r="Y62" s="702"/>
      <c r="Z62" s="703"/>
      <c r="AA62" s="934"/>
      <c r="AB62" s="917"/>
      <c r="AC62" s="917"/>
      <c r="AD62" s="935"/>
      <c r="AE62" s="936"/>
      <c r="AF62" s="918"/>
      <c r="AG62" s="934"/>
      <c r="AH62" s="917"/>
      <c r="AI62" s="917"/>
      <c r="AJ62" s="935"/>
      <c r="AK62" s="937"/>
      <c r="AL62" s="1715" t="e">
        <f>OrgRev!#REF!</f>
        <v>#REF!</v>
      </c>
      <c r="AM62" s="1723">
        <f>+AM60-AM61</f>
        <v>0.11000000000000001</v>
      </c>
      <c r="AN62" s="1724">
        <f>+AN60-AN61</f>
        <v>5.2999999999999999E-2</v>
      </c>
      <c r="AO62" s="1724">
        <f>+AO60-AO61</f>
        <v>3.0000000000000006E-2</v>
      </c>
      <c r="AP62" s="1725">
        <f>+AP60-AP61</f>
        <v>-0.03</v>
      </c>
      <c r="AQ62" s="1719">
        <f>+AQ60-AQ61</f>
        <v>0.04</v>
      </c>
      <c r="AR62" s="919"/>
      <c r="AS62" s="1723">
        <f>+AS60-AS61</f>
        <v>-0.02</v>
      </c>
      <c r="AT62" s="1724">
        <f>+AT60-AT61</f>
        <v>0.01</v>
      </c>
      <c r="AU62" s="1724">
        <f>+AU60-AU61</f>
        <v>-0.03</v>
      </c>
      <c r="AV62" s="1725">
        <f>+AV60-AV61</f>
        <v>0.11000000000000001</v>
      </c>
      <c r="AW62" s="1719">
        <f>+AW60-AW61</f>
        <v>0.02</v>
      </c>
      <c r="AX62" s="919"/>
      <c r="AY62" s="1723">
        <f>+AY60-AY61</f>
        <v>0.06</v>
      </c>
      <c r="AZ62" s="1724">
        <f>+AZ60-AZ61</f>
        <v>5.0000000000000017E-2</v>
      </c>
      <c r="BA62" s="1724">
        <f>+BA60-BA61</f>
        <v>4.0000000000000008E-2</v>
      </c>
      <c r="BB62" s="1725">
        <f>+BB60-BB61</f>
        <v>0.02</v>
      </c>
      <c r="BC62" s="1719">
        <f>+BC60-BC61</f>
        <v>4.0000000000000008E-2</v>
      </c>
      <c r="BD62" s="1716"/>
      <c r="BE62" s="1723">
        <f>+BE60-BE61</f>
        <v>1.9999999999999997E-2</v>
      </c>
      <c r="BF62" s="1724">
        <f>+BF60-BF61</f>
        <v>9.9999999999999985E-3</v>
      </c>
      <c r="BG62" s="1724">
        <f>+BG60-BG61</f>
        <v>3.4999999999999989E-2</v>
      </c>
      <c r="BH62" s="1725">
        <f>+BH60-BH61</f>
        <v>2.0000000000000004E-2</v>
      </c>
      <c r="BI62" s="1719">
        <f>+BI60-BI61</f>
        <v>2.6250000000000002E-2</v>
      </c>
      <c r="BJ62" s="1715"/>
      <c r="BK62" s="1723">
        <f>+BK60-BK61</f>
        <v>2.0000000000000004E-2</v>
      </c>
      <c r="BL62" s="1724">
        <f>+BL60-BL61</f>
        <v>1.3333333333333336E-2</v>
      </c>
      <c r="BM62" s="1724">
        <f>+BM60-BM61</f>
        <v>0.03</v>
      </c>
      <c r="BN62" s="1725">
        <f>+BN60-BN61</f>
        <v>3.2999999999999995E-2</v>
      </c>
      <c r="BO62" s="1719">
        <f>+BO60-BO61</f>
        <v>0.02</v>
      </c>
      <c r="BP62" s="1716"/>
      <c r="BQ62" s="1723">
        <f>+BQ60-BQ61</f>
        <v>0</v>
      </c>
      <c r="BR62" s="1724">
        <f>+BR60-BR61</f>
        <v>2.8999999999999995E-2</v>
      </c>
      <c r="BS62" s="1724">
        <f>+BS60-BS61</f>
        <v>8.2414708528700514E-3</v>
      </c>
      <c r="BT62" s="1725">
        <f>+BT60-BT61</f>
        <v>1.1653862143510448E-2</v>
      </c>
      <c r="BU62" s="1719">
        <f>+BU60-BU61</f>
        <v>1.7458054835285328E-2</v>
      </c>
      <c r="BV62" s="1716"/>
      <c r="BW62" s="1723">
        <f>+BW60-BW61</f>
        <v>3.2432609488867836E-2</v>
      </c>
      <c r="BX62" s="1724">
        <f>+BX60-BX61</f>
        <v>7.8303215466292694E-2</v>
      </c>
      <c r="BY62" s="1724">
        <f>+BY60-BY61</f>
        <v>7.9074201824129511E-2</v>
      </c>
      <c r="BZ62" s="1725">
        <f>+BZ60-BZ61</f>
        <v>7.5977761836441893E-2</v>
      </c>
      <c r="CA62" s="1719">
        <f>+CA60-CA61</f>
        <v>6.7046457803490944E-2</v>
      </c>
      <c r="CB62" s="919"/>
      <c r="CC62" s="938">
        <f>+CC60-CC61</f>
        <v>5.164855770680913E-2</v>
      </c>
      <c r="CD62" s="920">
        <f>+CD60-CD61</f>
        <v>7.4519353372486635E-2</v>
      </c>
      <c r="CE62" s="1724">
        <f>+CE60-CE61</f>
        <v>7.2952596070094633E-2</v>
      </c>
      <c r="CF62" s="951">
        <f>+CF60-CF61</f>
        <v>6.8185203879786632E-2</v>
      </c>
      <c r="CG62" s="939">
        <f>+CG60-CG61</f>
        <v>6.8455886085133644E-2</v>
      </c>
      <c r="CH62" s="919"/>
      <c r="CI62" s="938">
        <f>+CI60-CI61</f>
        <v>6.9656991542681956E-2</v>
      </c>
      <c r="CJ62" s="920">
        <f>+CJ60-CJ61</f>
        <v>7.6284398728260372E-2</v>
      </c>
      <c r="CK62" s="920">
        <f>+CK60-CK61</f>
        <v>7.8262425674923586E-2</v>
      </c>
      <c r="CL62" s="951">
        <f>+CL60-CL61</f>
        <v>5.5348118836374541E-2</v>
      </c>
      <c r="CM62" s="939">
        <f>+CM60-CM61</f>
        <v>6.8452642702334823E-2</v>
      </c>
      <c r="CN62" s="919"/>
      <c r="CO62" s="938">
        <f>+CO60-CO61</f>
        <v>0.10002174201619536</v>
      </c>
      <c r="CP62" s="920">
        <f>+CP60-CP61</f>
        <v>5.7841869144899388E-2</v>
      </c>
      <c r="CQ62" s="920">
        <f>+CQ60-CQ61</f>
        <v>5.9727327215515436E-2</v>
      </c>
      <c r="CR62" s="951">
        <f>+CR60-CR61</f>
        <v>8.8559811828410773E-2</v>
      </c>
      <c r="CS62" s="939">
        <f>+CS60-CS61</f>
        <v>7.5984663354479606E-2</v>
      </c>
      <c r="CT62" s="919"/>
      <c r="CU62" s="938">
        <f>+CU60-CU61</f>
        <v>0.10716111531395711</v>
      </c>
      <c r="CV62" s="920">
        <f>+CV60-CV61</f>
        <v>0.10068286776811153</v>
      </c>
      <c r="CW62" s="920">
        <f>+CW60-CW61</f>
        <v>9.8252661586370804E-2</v>
      </c>
      <c r="CX62" s="951">
        <f>+CX60-CX61</f>
        <v>9.7287285172686699E-2</v>
      </c>
      <c r="CY62" s="939">
        <f>+CY60-CY61</f>
        <v>0.10058587035887401</v>
      </c>
    </row>
    <row r="63" spans="1:105" ht="11.25" customHeight="1" x14ac:dyDescent="0.2">
      <c r="A63" s="992" t="s">
        <v>682</v>
      </c>
      <c r="B63" s="992"/>
      <c r="C63" s="632"/>
      <c r="D63" s="632"/>
      <c r="E63" s="632"/>
      <c r="F63" s="956"/>
      <c r="G63" s="684"/>
      <c r="H63" s="633"/>
      <c r="I63" s="683"/>
      <c r="J63" s="632"/>
      <c r="K63" s="632"/>
      <c r="L63" s="956"/>
      <c r="M63" s="684"/>
      <c r="N63" s="633"/>
      <c r="O63" s="683"/>
      <c r="P63" s="632"/>
      <c r="Q63" s="632"/>
      <c r="R63" s="956"/>
      <c r="S63" s="684"/>
      <c r="T63" s="632"/>
      <c r="U63" s="683"/>
      <c r="V63" s="632"/>
      <c r="W63" s="632"/>
      <c r="X63" s="956"/>
      <c r="Y63" s="684"/>
      <c r="Z63" s="633"/>
      <c r="AA63" s="692"/>
      <c r="AB63" s="636"/>
      <c r="AC63" s="636"/>
      <c r="AD63" s="693"/>
      <c r="AE63" s="635"/>
      <c r="AF63" s="634"/>
      <c r="AG63" s="692"/>
      <c r="AH63" s="636"/>
      <c r="AI63" s="636"/>
      <c r="AJ63" s="693"/>
      <c r="AK63" s="637"/>
      <c r="AL63" s="639"/>
      <c r="AM63" s="641"/>
      <c r="AN63" s="639"/>
      <c r="AO63" s="639"/>
      <c r="AP63" s="952"/>
      <c r="AQ63" s="640"/>
      <c r="AR63" s="638"/>
      <c r="AS63" s="641"/>
      <c r="AT63" s="639"/>
      <c r="AU63" s="639"/>
      <c r="AV63" s="952"/>
      <c r="AW63" s="640">
        <f>+AW62-(Growth_Drivers!AW$36*Growth_Drivers!AQ$34)/AQ17</f>
        <v>4.712488762187194E-2</v>
      </c>
      <c r="AX63" s="638"/>
      <c r="AY63" s="1641">
        <f>+AY62-(Growth_Drivers!AY36*Growth_Drivers!AS34)/AS17</f>
        <v>5.5258677432583843E-2</v>
      </c>
      <c r="AZ63" s="1642">
        <f>+AZ62-(Growth_Drivers!AZ36*Growth_Drivers!AT34)/AT17</f>
        <v>7.2515554235068988E-2</v>
      </c>
      <c r="BA63" s="1642">
        <f>+BA62-(Growth_Drivers!BA36*Growth_Drivers!AU34)/AU17</f>
        <v>4.2034867686286212E-2</v>
      </c>
      <c r="BB63" s="1643">
        <f>+BB62-(Growth_Drivers!BB36*Growth_Drivers!AV34)/AV17</f>
        <v>3.0721362327234249E-2</v>
      </c>
      <c r="BC63" s="1644">
        <f>+BC62-(Growth_Drivers!BC36*Growth_Drivers!AW34)/AW17</f>
        <v>4.870413093276757E-2</v>
      </c>
      <c r="BD63" s="638"/>
      <c r="BE63" s="1641">
        <f>+BE62-(Growth_Drivers!BE36*Growth_Drivers!AY34)/AY17</f>
        <v>2.7761953079544283E-2</v>
      </c>
      <c r="BF63" s="1642">
        <f>+BF62-(Growth_Drivers!BF36*Growth_Drivers!AZ34)/AZ17</f>
        <v>4.0095032756860327E-2</v>
      </c>
      <c r="BG63" s="1642">
        <f>+BG62-(Growth_Drivers!BG36*Growth_Drivers!BA34)/BA17</f>
        <v>5.3719014379187469E-2</v>
      </c>
      <c r="BH63" s="1643">
        <f>+BH62-(Growth_Drivers!BH36*Growth_Drivers!BB34)/BB17</f>
        <v>4.6154801960108245E-2</v>
      </c>
      <c r="BI63" s="1644">
        <f>+BI62-(Growth_Drivers!BI36*Growth_Drivers!BC34)/BC17</f>
        <v>4.6775606602325992E-2</v>
      </c>
      <c r="BJ63" s="1642"/>
      <c r="BK63" s="1641">
        <f>+BK62-(Growth_Drivers!BK36*Growth_Drivers!BE34)/BE17</f>
        <v>5.4290000000000005E-2</v>
      </c>
      <c r="BL63" s="1642">
        <f>+BL62-(Growth_Drivers!BL36*Growth_Drivers!BF34)/BF17</f>
        <v>4.4333333333333336E-2</v>
      </c>
      <c r="BM63" s="1642">
        <f>+BM62-(Growth_Drivers!BM36*Growth_Drivers!BG34)/BG17</f>
        <v>8.0600000000000005E-2</v>
      </c>
      <c r="BN63" s="1643">
        <f>+BN62-(Growth_Drivers!BN36*Growth_Drivers!BH34)/BH17</f>
        <v>8.1896481266461651E-2</v>
      </c>
      <c r="BO63" s="1644">
        <f>+BO62-(Growth_Drivers!BO36*Growth_Drivers!BI34)/BI17</f>
        <v>6.0681651320409355E-2</v>
      </c>
      <c r="BP63" s="1645"/>
      <c r="BQ63" s="1641">
        <f>+BQ62-(Growth_Drivers!BQ36*Growth_Drivers!BK34)/BK17</f>
        <v>4.530302405111309E-2</v>
      </c>
      <c r="BR63" s="1642">
        <f>+BR62-(Growth_Drivers!BR36*Growth_Drivers!BL34)/BL17</f>
        <v>5.4464423655103789E-2</v>
      </c>
      <c r="BS63" s="1642">
        <f>+BS62-(Growth_Drivers!BS36*Growth_Drivers!BM34)/BM17</f>
        <v>3.8481470852870049E-2</v>
      </c>
      <c r="BT63" s="1643">
        <f>+BT62-(Growth_Drivers!BT36*Growth_Drivers!BN34)/BN17</f>
        <v>2.3127518578716595E-2</v>
      </c>
      <c r="BU63" s="1644">
        <f>+BU62-(Growth_Drivers!BU36*Growth_Drivers!BO34)/BO17</f>
        <v>4.0929145815912102E-2</v>
      </c>
      <c r="BV63" s="1645"/>
      <c r="BW63" s="1646">
        <f>+BW62-(Growth_Drivers!BW36*Growth_Drivers!BQ34)/BQ17</f>
        <v>4.9652609488867842E-2</v>
      </c>
      <c r="BX63" s="1642">
        <f>+BX62-(Growth_Drivers!BX36*Growth_Drivers!BR34)/BR17</f>
        <v>9.2653215466292696E-2</v>
      </c>
      <c r="BY63" s="1642">
        <f>+BY62-(Growth_Drivers!BY36*Growth_Drivers!BS34)/BS17</f>
        <v>9.1699979829667391E-2</v>
      </c>
      <c r="BZ63" s="1643">
        <f>+BZ62-(Growth_Drivers!BZ36*Growth_Drivers!BT34)/BT17</f>
        <v>7.7262447009606175E-2</v>
      </c>
      <c r="CA63" s="1644">
        <f>+CA62-(Growth_Drivers!CA36*Growth_Drivers!BU34)/BU17</f>
        <v>7.7808099823121937E-2</v>
      </c>
      <c r="CB63" s="1645"/>
      <c r="CC63" s="1641">
        <f>+CC62-(Growth_Drivers!CC36*Growth_Drivers!BW34)/BW17</f>
        <v>6.1171715328491624E-2</v>
      </c>
      <c r="CD63" s="1642">
        <f>+CD62-(Growth_Drivers!CD36*Growth_Drivers!BX34)/BX17</f>
        <v>7.2349442292740693E-2</v>
      </c>
      <c r="CE63" s="1642">
        <f>+CE62-(Growth_Drivers!CE36*Growth_Drivers!BY34)/BY17</f>
        <v>7.2118714207620657E-2</v>
      </c>
      <c r="CF63" s="1643">
        <f>+CF62-(Growth_Drivers!CF36*Growth_Drivers!BZ34)/BZ17</f>
        <v>7.461026471680432E-2</v>
      </c>
      <c r="CG63" s="1644">
        <f>+CG62-(Growth_Drivers!CG36*Growth_Drivers!CA34)/CA17</f>
        <v>7.1503327383042006E-2</v>
      </c>
      <c r="CH63" s="1645"/>
      <c r="CI63" s="1641">
        <f>+CI62-(Growth_Drivers!CI36*Growth_Drivers!CC34)/CC17</f>
        <v>6.9656991542681956E-2</v>
      </c>
      <c r="CJ63" s="1642">
        <f>+CJ62-(Growth_Drivers!CJ36*Growth_Drivers!CD34)/CD17</f>
        <v>8.6280461938446254E-2</v>
      </c>
      <c r="CK63" s="1642">
        <f>+CK62-(Growth_Drivers!CK36*Growth_Drivers!CE34)/CE17</f>
        <v>8.8035698737804619E-2</v>
      </c>
      <c r="CL63" s="1643">
        <f>+CL62-(Growth_Drivers!CL36*Growth_Drivers!CF34)/CF17</f>
        <v>6.740408569753871E-2</v>
      </c>
      <c r="CM63" s="1644">
        <f>+CM62-(Growth_Drivers!CM36*Growth_Drivers!CG34)/CG17</f>
        <v>7.682501265261428E-2</v>
      </c>
      <c r="CN63" s="1645"/>
      <c r="CO63" s="1641">
        <f>+CO62-(Growth_Drivers!CO36*Growth_Drivers!CI34)/CI17</f>
        <v>0.10121618732823992</v>
      </c>
      <c r="CP63" s="1642">
        <f>+CP62-(Growth_Drivers!CP36*Growth_Drivers!CJ34)/CJ17</f>
        <v>5.881856901078094E-2</v>
      </c>
      <c r="CQ63" s="1642">
        <f>+CQ62-(Growth_Drivers!CQ36*Growth_Drivers!CK34)/CK17</f>
        <v>6.0655279127693702E-2</v>
      </c>
      <c r="CR63" s="1643">
        <f>+CR62-(Growth_Drivers!CR36*Growth_Drivers!CL34)/CL17</f>
        <v>8.9339984335525702E-2</v>
      </c>
      <c r="CS63" s="1644">
        <f>+CS62-(Growth_Drivers!CS36*Growth_Drivers!CM34)/CM17</f>
        <v>7.6942476544820573E-2</v>
      </c>
      <c r="CT63" s="1645"/>
      <c r="CU63" s="1641">
        <f>+CU62-(Growth_Drivers!CU36*Growth_Drivers!CO34)/CO17</f>
        <v>0.10812935386980216</v>
      </c>
      <c r="CV63" s="1642">
        <f>+CV62-(Growth_Drivers!CV36*Growth_Drivers!CP34)/CP17</f>
        <v>0.10150015438518314</v>
      </c>
      <c r="CW63" s="1642">
        <f>+CW62-(Growth_Drivers!CW36*Growth_Drivers!CQ34)/CQ17</f>
        <v>9.9040748011541002E-2</v>
      </c>
      <c r="CX63" s="1643">
        <f>+CX62-(Growth_Drivers!CX36*Growth_Drivers!CR34)/CR17</f>
        <v>9.7932316569927111E-2</v>
      </c>
      <c r="CY63" s="1644">
        <f>+CY62-(Growth_Drivers!CY36*Growth_Drivers!CS34)/CS17</f>
        <v>0.10138210350414806</v>
      </c>
    </row>
    <row r="64" spans="1:105" s="908" customFormat="1" ht="11.25" customHeight="1" outlineLevel="1" x14ac:dyDescent="0.2">
      <c r="A64" s="905" t="s">
        <v>214</v>
      </c>
      <c r="B64" s="906"/>
      <c r="C64" s="907"/>
      <c r="D64" s="907"/>
      <c r="E64" s="907"/>
      <c r="F64" s="907"/>
      <c r="G64" s="907"/>
      <c r="H64" s="907"/>
      <c r="I64" s="907"/>
      <c r="J64" s="907"/>
      <c r="K64" s="907"/>
      <c r="L64" s="907"/>
      <c r="M64" s="907"/>
      <c r="N64" s="907"/>
      <c r="O64" s="907"/>
      <c r="P64" s="907"/>
      <c r="Q64" s="907"/>
      <c r="R64" s="907"/>
      <c r="S64" s="907"/>
      <c r="T64" s="907"/>
      <c r="U64" s="907"/>
      <c r="V64" s="907"/>
      <c r="W64" s="907"/>
      <c r="X64" s="907"/>
      <c r="Y64" s="907"/>
      <c r="Z64" s="907"/>
      <c r="AA64" s="907">
        <f>'P&amp;L'!AA9-AA57</f>
        <v>0</v>
      </c>
      <c r="AB64" s="907">
        <f>'P&amp;L'!AB9-AB57</f>
        <v>0</v>
      </c>
      <c r="AC64" s="907">
        <f>'P&amp;L'!AC9-AC57</f>
        <v>0</v>
      </c>
      <c r="AD64" s="907">
        <f>'P&amp;L'!AD9-AD57</f>
        <v>0</v>
      </c>
      <c r="AE64" s="907">
        <f>'P&amp;L'!AE9-AE57</f>
        <v>0</v>
      </c>
      <c r="AF64" s="907"/>
      <c r="AG64" s="907">
        <f>'P&amp;L'!AG9-AG57</f>
        <v>0</v>
      </c>
      <c r="AH64" s="907">
        <f>'P&amp;L'!AH9-AH57</f>
        <v>0</v>
      </c>
      <c r="AI64" s="907">
        <f>'P&amp;L'!AI9-AI57</f>
        <v>0</v>
      </c>
      <c r="AJ64" s="907">
        <f>'P&amp;L'!AJ9-AJ57</f>
        <v>0</v>
      </c>
      <c r="AK64" s="907">
        <f>'P&amp;L'!AK9-AK57</f>
        <v>0</v>
      </c>
      <c r="AL64" s="907"/>
      <c r="AM64" s="907">
        <f>'P&amp;L'!AM9-AM57</f>
        <v>0</v>
      </c>
      <c r="AN64" s="907">
        <f>'P&amp;L'!AN9-AN57</f>
        <v>0</v>
      </c>
      <c r="AO64" s="904">
        <f>'P&amp;L'!AO9-AO57</f>
        <v>0</v>
      </c>
      <c r="AP64" s="904">
        <f>'P&amp;L'!AP9-AP57</f>
        <v>0</v>
      </c>
      <c r="AQ64" s="904">
        <f>'P&amp;L'!AQ9-AQ57</f>
        <v>0</v>
      </c>
      <c r="AR64" s="907"/>
      <c r="AS64" s="907">
        <f>'P&amp;L'!AS9-AS57</f>
        <v>0</v>
      </c>
      <c r="AT64" s="907">
        <f>'P&amp;L'!AT9-AT57</f>
        <v>0</v>
      </c>
      <c r="AU64" s="907">
        <f>'P&amp;L'!AU9-AU57</f>
        <v>0</v>
      </c>
      <c r="AV64" s="907">
        <f>'P&amp;L'!AV9-AV57</f>
        <v>0</v>
      </c>
      <c r="AW64" s="907">
        <f>'P&amp;L'!AW9-AW57</f>
        <v>0</v>
      </c>
      <c r="AX64" s="907"/>
      <c r="AY64" s="907">
        <f>'P&amp;L'!AY9-AY57</f>
        <v>0</v>
      </c>
      <c r="AZ64" s="907">
        <f>'P&amp;L'!AZ9-AZ57</f>
        <v>0</v>
      </c>
      <c r="BA64" s="907">
        <f>'P&amp;L'!BA9-BA57</f>
        <v>0</v>
      </c>
      <c r="BB64" s="907">
        <f>'P&amp;L'!BB9-BB57</f>
        <v>0</v>
      </c>
      <c r="BC64" s="907">
        <f>'P&amp;L'!BC9-BC57</f>
        <v>0</v>
      </c>
      <c r="BD64" s="907"/>
      <c r="BE64" s="907">
        <f>'P&amp;L'!BE9-BE57</f>
        <v>0</v>
      </c>
      <c r="BF64" s="907">
        <f>'P&amp;L'!BF9-BF57</f>
        <v>0</v>
      </c>
      <c r="BG64" s="907">
        <f>'P&amp;L'!BG9-BG57</f>
        <v>0</v>
      </c>
      <c r="BH64" s="907">
        <f>'P&amp;L'!BH9-BH57</f>
        <v>0</v>
      </c>
      <c r="BI64" s="907">
        <f>'P&amp;L'!BI9-BI57</f>
        <v>0</v>
      </c>
      <c r="BJ64" s="907"/>
      <c r="BK64" s="907">
        <f>'P&amp;L'!BK9-BK57</f>
        <v>0</v>
      </c>
      <c r="BL64" s="907">
        <f>'P&amp;L'!BL9-BL57</f>
        <v>0</v>
      </c>
      <c r="BM64" s="907">
        <f>'P&amp;L'!BM9-BM57</f>
        <v>0</v>
      </c>
      <c r="BN64" s="907">
        <f>'P&amp;L'!BN9-BN57</f>
        <v>0</v>
      </c>
      <c r="BO64" s="907">
        <f>'P&amp;L'!BO9-BO57</f>
        <v>0</v>
      </c>
      <c r="BP64" s="907"/>
      <c r="BQ64" s="907">
        <f>'P&amp;L'!BQ9-BQ57</f>
        <v>0</v>
      </c>
      <c r="BR64" s="907">
        <f>'P&amp;L'!BR9-BR57</f>
        <v>0</v>
      </c>
      <c r="BS64" s="907">
        <f>'P&amp;L'!BS9-BS57</f>
        <v>0</v>
      </c>
      <c r="BT64" s="907">
        <f>'P&amp;L'!BT9-BT57</f>
        <v>0</v>
      </c>
      <c r="BU64" s="907">
        <f>'P&amp;L'!BU9-BU57</f>
        <v>0</v>
      </c>
      <c r="BV64" s="907"/>
      <c r="BW64" s="907">
        <f>'P&amp;L'!BW9-BW57</f>
        <v>0</v>
      </c>
      <c r="BX64" s="907">
        <f>'P&amp;L'!BX9-BX57</f>
        <v>0</v>
      </c>
      <c r="BY64" s="907">
        <f>'P&amp;L'!BY9-BY57</f>
        <v>0</v>
      </c>
      <c r="BZ64" s="907">
        <f>'P&amp;L'!BZ9-BZ57</f>
        <v>0</v>
      </c>
      <c r="CA64" s="907">
        <f>'P&amp;L'!CA9-CA57</f>
        <v>0</v>
      </c>
      <c r="CB64" s="907"/>
      <c r="CC64" s="907">
        <f>'P&amp;L'!CC9-CC57</f>
        <v>0</v>
      </c>
      <c r="CD64" s="907">
        <f>'P&amp;L'!CD9-CD57</f>
        <v>0</v>
      </c>
      <c r="CE64" s="907">
        <f>'P&amp;L'!CE9-CE57</f>
        <v>0</v>
      </c>
      <c r="CF64" s="907">
        <f>'P&amp;L'!CF9-CF57</f>
        <v>0</v>
      </c>
      <c r="CG64" s="2060"/>
      <c r="CH64" s="907"/>
      <c r="CI64" s="907"/>
      <c r="CJ64" s="907"/>
      <c r="CK64" s="907"/>
      <c r="CL64" s="907"/>
      <c r="CM64" s="907"/>
      <c r="CN64" s="907"/>
      <c r="CO64" s="907"/>
      <c r="CP64" s="907"/>
      <c r="CQ64" s="907"/>
      <c r="CR64" s="907"/>
      <c r="CS64" s="907"/>
      <c r="CT64" s="907"/>
      <c r="CU64" s="907"/>
      <c r="CV64" s="907"/>
      <c r="CW64" s="907"/>
      <c r="CX64" s="907"/>
      <c r="CY64" s="907"/>
    </row>
    <row r="65" spans="1:103" ht="11.25" customHeight="1" x14ac:dyDescent="0.2">
      <c r="A65" s="620"/>
      <c r="B65" s="615"/>
      <c r="C65" s="616"/>
      <c r="D65" s="616"/>
      <c r="E65" s="616"/>
      <c r="F65" s="616"/>
      <c r="G65" s="616"/>
      <c r="H65" s="616"/>
      <c r="I65" s="616"/>
      <c r="J65" s="616"/>
      <c r="K65" s="616"/>
      <c r="L65" s="616"/>
      <c r="M65" s="616"/>
      <c r="N65" s="616"/>
      <c r="O65" s="616"/>
      <c r="P65" s="616"/>
      <c r="Q65" s="616"/>
      <c r="R65" s="616"/>
      <c r="S65" s="616"/>
      <c r="T65" s="616"/>
      <c r="U65" s="616"/>
      <c r="V65" s="616"/>
      <c r="W65" s="616"/>
      <c r="X65" s="616"/>
      <c r="Y65" s="616"/>
      <c r="Z65" s="616"/>
      <c r="AA65" s="617"/>
      <c r="AB65" s="617"/>
      <c r="AC65" s="617"/>
      <c r="AD65" s="617"/>
      <c r="AE65" s="617"/>
      <c r="AF65" s="618"/>
      <c r="AG65" s="617"/>
      <c r="AH65" s="617"/>
      <c r="AI65" s="617"/>
      <c r="AJ65" s="617"/>
      <c r="AK65" s="617"/>
      <c r="AL65" s="616"/>
      <c r="AM65" s="617"/>
      <c r="AN65" s="617"/>
      <c r="AO65" s="617"/>
      <c r="AP65" s="617"/>
      <c r="AQ65" s="619"/>
      <c r="AR65" s="616"/>
      <c r="AZ65" s="48">
        <f>+-(Growth_Drivers!AZ36*Growth_Drivers!AT34)</f>
        <v>6.3533715473890569</v>
      </c>
      <c r="BO65" s="199"/>
      <c r="BU65" s="1477"/>
      <c r="CA65" s="1477"/>
      <c r="CG65" s="225"/>
      <c r="CM65" s="222"/>
      <c r="CS65" s="1477"/>
      <c r="CY65" s="1477"/>
    </row>
    <row r="66" spans="1:103" ht="11.25" customHeight="1" x14ac:dyDescent="0.2">
      <c r="A66" s="709" t="s">
        <v>408</v>
      </c>
      <c r="B66" s="621"/>
      <c r="C66" s="664"/>
      <c r="D66" s="665"/>
      <c r="E66" s="665"/>
      <c r="F66" s="665"/>
      <c r="G66" s="624"/>
      <c r="H66" s="623"/>
      <c r="I66" s="664"/>
      <c r="J66" s="665"/>
      <c r="K66" s="665"/>
      <c r="L66" s="665"/>
      <c r="M66" s="624"/>
      <c r="N66" s="623"/>
      <c r="O66" s="664"/>
      <c r="P66" s="665"/>
      <c r="Q66" s="665"/>
      <c r="R66" s="665"/>
      <c r="S66" s="710"/>
      <c r="T66" s="217"/>
      <c r="U66" s="664"/>
      <c r="V66" s="665"/>
      <c r="W66" s="665"/>
      <c r="X66" s="665"/>
      <c r="Y66" s="624"/>
      <c r="Z66" s="623"/>
      <c r="AA66" s="664"/>
      <c r="AB66" s="665"/>
      <c r="AC66" s="665"/>
      <c r="AD66" s="711"/>
      <c r="AE66" s="624"/>
      <c r="AF66" s="623"/>
      <c r="AG66" s="712"/>
      <c r="AH66" s="711"/>
      <c r="AI66" s="711"/>
      <c r="AJ66" s="711"/>
      <c r="AK66" s="624"/>
      <c r="AL66" s="623"/>
      <c r="AM66" s="712"/>
      <c r="AN66" s="711"/>
      <c r="AO66" s="711"/>
      <c r="AP66" s="711"/>
      <c r="AQ66" s="624"/>
      <c r="AR66" s="623"/>
      <c r="AS66" s="712"/>
      <c r="AT66" s="711"/>
      <c r="AU66" s="711"/>
      <c r="AV66" s="711"/>
      <c r="AW66" s="624"/>
      <c r="AX66" s="623"/>
      <c r="AY66" s="712"/>
      <c r="AZ66" s="711"/>
      <c r="BA66" s="711"/>
      <c r="BB66" s="711"/>
      <c r="BC66" s="625"/>
      <c r="BD66" s="623"/>
      <c r="BE66" s="712"/>
      <c r="BF66" s="711"/>
      <c r="BG66" s="711"/>
      <c r="BH66" s="711"/>
      <c r="BI66" s="625"/>
      <c r="BJ66" s="623"/>
      <c r="BK66" s="712"/>
      <c r="BL66" s="711"/>
      <c r="BM66" s="711"/>
      <c r="BN66" s="711"/>
      <c r="BO66" s="625"/>
      <c r="BP66" s="623"/>
      <c r="BQ66" s="712"/>
      <c r="BR66" s="711"/>
      <c r="BS66" s="711"/>
      <c r="BT66" s="711"/>
      <c r="BU66" s="625"/>
      <c r="BV66" s="623"/>
      <c r="BW66" s="712"/>
      <c r="BX66" s="711"/>
      <c r="BY66" s="711"/>
      <c r="BZ66" s="711"/>
      <c r="CA66" s="625"/>
      <c r="CB66" s="623"/>
      <c r="CC66" s="712"/>
      <c r="CD66" s="711"/>
      <c r="CE66" s="711"/>
      <c r="CF66" s="711"/>
      <c r="CG66" s="625"/>
      <c r="CH66" s="623"/>
      <c r="CI66" s="712"/>
      <c r="CJ66" s="711"/>
      <c r="CK66" s="711"/>
      <c r="CL66" s="711"/>
      <c r="CM66" s="625"/>
      <c r="CN66" s="623"/>
      <c r="CO66" s="712"/>
      <c r="CP66" s="711"/>
      <c r="CQ66" s="711"/>
      <c r="CR66" s="711"/>
      <c r="CS66" s="625"/>
      <c r="CT66" s="623"/>
      <c r="CU66" s="712"/>
      <c r="CV66" s="711"/>
      <c r="CW66" s="711"/>
      <c r="CX66" s="711"/>
      <c r="CY66" s="625"/>
    </row>
    <row r="67" spans="1:103" ht="11.25" customHeight="1" x14ac:dyDescent="0.2">
      <c r="A67" s="380" t="s">
        <v>83</v>
      </c>
      <c r="B67" s="40"/>
      <c r="C67" s="666"/>
      <c r="D67" s="659"/>
      <c r="E67" s="659"/>
      <c r="F67" s="659"/>
      <c r="G67" s="671"/>
      <c r="H67" s="603"/>
      <c r="I67" s="666"/>
      <c r="J67" s="659"/>
      <c r="K67" s="659"/>
      <c r="L67" s="659"/>
      <c r="M67" s="671"/>
      <c r="N67" s="603"/>
      <c r="O67" s="666"/>
      <c r="P67" s="659"/>
      <c r="Q67" s="659"/>
      <c r="R67" s="659"/>
      <c r="S67" s="671"/>
      <c r="T67" s="602"/>
      <c r="U67" s="666"/>
      <c r="V67" s="659"/>
      <c r="W67" s="659"/>
      <c r="X67" s="659"/>
      <c r="Y67" s="671"/>
      <c r="Z67" s="603"/>
      <c r="AA67" s="561">
        <f>+'P&amp;L'!AA$9*RevBuild!AA69</f>
        <v>103.55299999999998</v>
      </c>
      <c r="AB67" s="559">
        <f>+'P&amp;L'!AB$9*RevBuild!AB69</f>
        <v>106.76512</v>
      </c>
      <c r="AC67" s="559">
        <f>+'P&amp;L'!AC$9*RevBuild!AC69</f>
        <v>117.70800000000001</v>
      </c>
      <c r="AD67" s="559">
        <f>+'P&amp;L'!AD$9*RevBuild!AD69</f>
        <v>118.59050000000002</v>
      </c>
      <c r="AE67" s="560">
        <f>+SUM(AA67:AD67)</f>
        <v>446.61662000000001</v>
      </c>
      <c r="AF67" s="603"/>
      <c r="AG67" s="561">
        <f>+'P&amp;L'!AG$9*RevBuild!AG69</f>
        <v>112.67583</v>
      </c>
      <c r="AH67" s="559">
        <f>+'P&amp;L'!AH$9*RevBuild!AH69</f>
        <v>120.07799999999999</v>
      </c>
      <c r="AI67" s="559">
        <f>+'P&amp;L'!AI$9*RevBuild!AI69</f>
        <v>132.42608999999999</v>
      </c>
      <c r="AJ67" s="559">
        <f>+'P&amp;L'!AJ$9*RevBuild!AJ69</f>
        <v>141.64773000000005</v>
      </c>
      <c r="AK67" s="560">
        <f>+SUM(AG67:AJ67)</f>
        <v>506.82765000000006</v>
      </c>
      <c r="AL67" s="603"/>
      <c r="AM67" s="561">
        <f>+'P&amp;L'!AM$9*RevBuild!AM69</f>
        <v>126.89471999999998</v>
      </c>
      <c r="AN67" s="559">
        <f>+'P&amp;L'!AN$9*RevBuild!AN69</f>
        <v>128.73182</v>
      </c>
      <c r="AO67" s="559">
        <f>+'P&amp;L'!AO$9*RevBuild!AO69</f>
        <v>145.38801000000001</v>
      </c>
      <c r="AP67" s="559">
        <f>+'P&amp;L'!AP$9*RevBuild!AP69</f>
        <v>137.29536000000002</v>
      </c>
      <c r="AQ67" s="560">
        <f>+SUM(AM67:AP67)</f>
        <v>538.30990999999995</v>
      </c>
      <c r="AR67" s="603"/>
      <c r="AS67" s="561">
        <f>+'P&amp;L'!AS$9*RevBuild!AS69</f>
        <v>124.20454999999998</v>
      </c>
      <c r="AT67" s="559">
        <f>+'P&amp;L'!AT$9*RevBuild!AT69</f>
        <v>146.73204000000001</v>
      </c>
      <c r="AU67" s="559">
        <f>+'P&amp;L'!AU$9*RevBuild!AU69</f>
        <v>144.4425</v>
      </c>
      <c r="AV67" s="559">
        <f>+'P&amp;L'!AV$9*RevBuild!AV69</f>
        <v>153.83320000000003</v>
      </c>
      <c r="AW67" s="560">
        <f>+SUM(AS67:AV67)</f>
        <v>569.21229000000005</v>
      </c>
      <c r="AX67" s="603"/>
      <c r="AY67" s="561">
        <f>+'P&amp;L'!AY$9*RevBuild!AY69</f>
        <v>142.28256000000002</v>
      </c>
      <c r="AZ67" s="559">
        <f>+'P&amp;L'!AZ$9*RevBuild!AZ69</f>
        <v>147.46224000000001</v>
      </c>
      <c r="BA67" s="559">
        <f>+'P&amp;L'!BA$9*RevBuild!BA69</f>
        <v>144.23298599999998</v>
      </c>
      <c r="BB67" s="559">
        <f>+'P&amp;L'!BB$9*RevBuild!BB69</f>
        <v>162.87003999999999</v>
      </c>
      <c r="BC67" s="560">
        <f>+SUM(AY67:BB67)</f>
        <v>596.84782600000005</v>
      </c>
      <c r="BD67" s="603"/>
      <c r="BE67" s="561">
        <f>+'P&amp;L'!BE$9*RevBuild!BE69</f>
        <v>145.71648000000002</v>
      </c>
      <c r="BF67" s="559">
        <f>+'P&amp;L'!BF$9*RevBuild!BF69</f>
        <v>152.93236119599999</v>
      </c>
      <c r="BG67" s="559">
        <f>+'P&amp;L'!BG$9*RevBuild!BG69</f>
        <v>162.98486999989206</v>
      </c>
      <c r="BH67" s="1006">
        <f>BI67-SUM(BE67:BG67)</f>
        <v>165.43060880410786</v>
      </c>
      <c r="BI67" s="1005">
        <f>+'P&amp;L'!BI$9*RevBuild!BI69</f>
        <v>627.06431999999995</v>
      </c>
      <c r="BJ67" s="603"/>
      <c r="BK67" s="559">
        <f>+'P&amp;L'!BK$9*RevBuild!BK69</f>
        <v>152.33903999999998</v>
      </c>
      <c r="BL67" s="559">
        <f>+'P&amp;L'!BL$9*RevBuild!BL69</f>
        <v>158.99375999999998</v>
      </c>
      <c r="BM67" s="559">
        <f>+'P&amp;L'!BM$9*RevBuild!BM69</f>
        <v>161.64336</v>
      </c>
      <c r="BN67" s="559">
        <f>BO67-SUM(BK67:BM67)</f>
        <v>150.30379100000005</v>
      </c>
      <c r="BO67" s="560">
        <f>+'P&amp;L'!BO$9*RevBuild!BO69</f>
        <v>623.27995099999998</v>
      </c>
      <c r="BP67" s="603"/>
      <c r="BQ67" s="559">
        <f>+'P&amp;L'!BQ$9*RevBuild!BQ69</f>
        <v>143.38991999999999</v>
      </c>
      <c r="BR67" s="559">
        <f>+'P&amp;L'!BR$9*RevBuild!BR69</f>
        <v>157.59829333333334</v>
      </c>
      <c r="BS67" s="559">
        <f>+'P&amp;L'!BS$9*RevBuild!BS69</f>
        <v>150.98927999999998</v>
      </c>
      <c r="BT67" s="559">
        <f>+'P&amp;L'!BT$9*RevBuild!BT69</f>
        <v>158.21899999999999</v>
      </c>
      <c r="BU67" s="560">
        <f>+SUM(BQ67:BT67)</f>
        <v>610.19649333333336</v>
      </c>
      <c r="BV67" s="603"/>
      <c r="BW67" s="559">
        <f>+'P&amp;L'!BW$9*RevBuild!BW69</f>
        <v>137.25434000000001</v>
      </c>
      <c r="BX67" s="559">
        <f>+'P&amp;L'!BX$9*RevBuild!BX69</f>
        <v>158.41096439999998</v>
      </c>
      <c r="BY67" s="559">
        <f>+'P&amp;L'!BY$9*RevBuild!BY69</f>
        <v>165.95564999999999</v>
      </c>
      <c r="BZ67" s="559">
        <f>+'P&amp;L'!BZ$9*RevBuild!BZ69</f>
        <v>168.59690000000001</v>
      </c>
      <c r="CA67" s="560">
        <f>+SUM(BW67:BZ67)</f>
        <v>630.21785439999996</v>
      </c>
      <c r="CB67" s="603"/>
      <c r="CC67" s="559">
        <f>+'P&amp;L'!CC$9*RevBuild!CC69</f>
        <v>143.05398400000001</v>
      </c>
      <c r="CD67" s="559">
        <f>+'P&amp;L'!CD$9*RevBuild!CD69</f>
        <v>163.96521399999997</v>
      </c>
      <c r="CE67" s="559">
        <f>+'P&amp;L'!CE$9*RevBuild!CE69</f>
        <v>171.99679999999998</v>
      </c>
      <c r="CF67" s="559">
        <f>+'P&amp;L'!CF$9*RevBuild!CF69</f>
        <v>176.5167285</v>
      </c>
      <c r="CG67" s="560">
        <f>+SUM(CC67:CF67)</f>
        <v>655.53272649999997</v>
      </c>
      <c r="CH67" s="603"/>
      <c r="CI67" s="561"/>
      <c r="CJ67" s="559"/>
      <c r="CK67" s="559"/>
      <c r="CL67" s="559"/>
      <c r="CM67" s="560"/>
      <c r="CN67" s="603"/>
      <c r="CO67" s="561"/>
      <c r="CP67" s="559"/>
      <c r="CQ67" s="559"/>
      <c r="CR67" s="559"/>
      <c r="CS67" s="560"/>
      <c r="CT67" s="603"/>
      <c r="CU67" s="561"/>
      <c r="CV67" s="559"/>
      <c r="CW67" s="559"/>
      <c r="CX67" s="559"/>
      <c r="CY67" s="560"/>
    </row>
    <row r="68" spans="1:103" ht="11.25" customHeight="1" x14ac:dyDescent="0.2">
      <c r="A68" s="59" t="s">
        <v>212</v>
      </c>
      <c r="B68" s="39"/>
      <c r="C68" s="668"/>
      <c r="D68" s="643"/>
      <c r="E68" s="643"/>
      <c r="F68" s="643"/>
      <c r="G68" s="673"/>
      <c r="H68" s="557"/>
      <c r="I68" s="668"/>
      <c r="J68" s="643"/>
      <c r="K68" s="643"/>
      <c r="L68" s="643"/>
      <c r="M68" s="673"/>
      <c r="N68" s="557"/>
      <c r="O68" s="668"/>
      <c r="P68" s="643"/>
      <c r="Q68" s="643"/>
      <c r="R68" s="643"/>
      <c r="S68" s="673"/>
      <c r="T68" s="556"/>
      <c r="U68" s="668"/>
      <c r="V68" s="643"/>
      <c r="W68" s="643"/>
      <c r="X68" s="643"/>
      <c r="Y68" s="673"/>
      <c r="Z68" s="557"/>
      <c r="AA68" s="569"/>
      <c r="AB68" s="567"/>
      <c r="AC68" s="567"/>
      <c r="AD68" s="567"/>
      <c r="AE68" s="568"/>
      <c r="AF68" s="557"/>
      <c r="AG68" s="569"/>
      <c r="AH68" s="567"/>
      <c r="AI68" s="567"/>
      <c r="AJ68" s="567"/>
      <c r="AK68" s="568"/>
      <c r="AL68" s="557"/>
      <c r="AM68" s="569"/>
      <c r="AN68" s="567"/>
      <c r="AO68" s="567"/>
      <c r="AP68" s="567"/>
      <c r="AQ68" s="568"/>
      <c r="AR68" s="557"/>
      <c r="AS68" s="630">
        <f>+AS67/AM67-1</f>
        <v>-2.1200015256741978E-2</v>
      </c>
      <c r="AT68" s="573">
        <f>+AT67/AN67-1</f>
        <v>0.13982727813527385</v>
      </c>
      <c r="AU68" s="573">
        <f>+AU67/AO67-1</f>
        <v>-6.5033560883047681E-3</v>
      </c>
      <c r="AV68" s="573">
        <f>+AV67/AP67-1</f>
        <v>0.1204544712945872</v>
      </c>
      <c r="AW68" s="574">
        <f>+AW67/AQ67-1</f>
        <v>5.7406299653669945E-2</v>
      </c>
      <c r="AX68" s="557"/>
      <c r="AY68" s="630">
        <f>+AY67/AS67-1</f>
        <v>0.14555030391398738</v>
      </c>
      <c r="AZ68" s="573">
        <f>+AZ67/AT67-1</f>
        <v>4.9764182383069677E-3</v>
      </c>
      <c r="BA68" s="573">
        <f>+BA67/AU67-1</f>
        <v>-1.4505010644374483E-3</v>
      </c>
      <c r="BB68" s="573">
        <f>+BB67/AV67-1</f>
        <v>5.8744406279008343E-2</v>
      </c>
      <c r="BC68" s="574">
        <f>+BC67/AW67-1</f>
        <v>4.8550490714105887E-2</v>
      </c>
      <c r="BD68" s="557"/>
      <c r="BE68" s="630">
        <f>+BE67/AY67-1</f>
        <v>2.4134510933736308E-2</v>
      </c>
      <c r="BF68" s="573">
        <f>+BF67/AZ67-1</f>
        <v>3.7095063766832581E-2</v>
      </c>
      <c r="BG68" s="573">
        <f>+BG67/BA67-1</f>
        <v>0.13001106418119979</v>
      </c>
      <c r="BH68" s="1003">
        <f>+BH67/BB67-1</f>
        <v>1.5721545866310693E-2</v>
      </c>
      <c r="BI68" s="1004">
        <f>+BI67/BC67-1</f>
        <v>5.0626797457749229E-2</v>
      </c>
      <c r="BJ68" s="557"/>
      <c r="BK68" s="573">
        <f>+BK67/BE67-1</f>
        <v>4.5448256779191842E-2</v>
      </c>
      <c r="BL68" s="573">
        <f>+BL67/BF67-1</f>
        <v>3.9634507416201004E-2</v>
      </c>
      <c r="BM68" s="573">
        <f>+BM67/BG67-1</f>
        <v>-8.2308867068026093E-3</v>
      </c>
      <c r="BN68" s="573">
        <f>+BN67/BH67-1</f>
        <v>-9.1439050569051661E-2</v>
      </c>
      <c r="BO68" s="574">
        <f>+BO67/BI67-1</f>
        <v>-6.0350571373603001E-3</v>
      </c>
      <c r="BP68" s="557"/>
      <c r="BQ68" s="573">
        <f>+BQ67/BK67-1</f>
        <v>-5.8744757745617937E-2</v>
      </c>
      <c r="BR68" s="573">
        <f>+BR67/BL67-1</f>
        <v>-8.7768643666684687E-3</v>
      </c>
      <c r="BS68" s="573">
        <f>+BS67/BM67-1</f>
        <v>-6.5911027833126079E-2</v>
      </c>
      <c r="BT68" s="573">
        <f>+BT67/BN67-1</f>
        <v>5.2661406258209142E-2</v>
      </c>
      <c r="BU68" s="574">
        <f>+BU67/BO67-1</f>
        <v>-2.0991301975420984E-2</v>
      </c>
      <c r="BV68" s="557"/>
      <c r="BW68" s="573">
        <f>+BW67/BQ67-1</f>
        <v>-4.2789479204674796E-2</v>
      </c>
      <c r="BX68" s="573">
        <f>+BX67/BR67-1</f>
        <v>5.1565981425176766E-3</v>
      </c>
      <c r="BY68" s="573">
        <f>+BY67/BS67-1</f>
        <v>9.9122070123124129E-2</v>
      </c>
      <c r="BZ68" s="573">
        <f>+BZ67/BT67-1</f>
        <v>6.5591995904411116E-2</v>
      </c>
      <c r="CA68" s="574">
        <f>+CA67/BU67-1</f>
        <v>3.281133419383564E-2</v>
      </c>
      <c r="CB68" s="557"/>
      <c r="CC68" s="573">
        <f>+CC67/BW67-1</f>
        <v>4.2254722145762313E-2</v>
      </c>
      <c r="CD68" s="573">
        <f>+CD67/BX67-1</f>
        <v>3.506228007030554E-2</v>
      </c>
      <c r="CE68" s="573">
        <f>+CE67/BY67-1</f>
        <v>3.6402195405820681E-2</v>
      </c>
      <c r="CF68" s="573">
        <f>+CF67/BZ67-1</f>
        <v>4.6974935482206437E-2</v>
      </c>
      <c r="CG68" s="574">
        <f>+CG67/CA67-1</f>
        <v>4.0168446392400359E-2</v>
      </c>
      <c r="CH68" s="557"/>
      <c r="CI68" s="630"/>
      <c r="CJ68" s="573"/>
      <c r="CK68" s="573"/>
      <c r="CL68" s="573"/>
      <c r="CM68" s="2127"/>
      <c r="CN68" s="557"/>
      <c r="CO68" s="630"/>
      <c r="CP68" s="573"/>
      <c r="CQ68" s="573"/>
      <c r="CR68" s="573"/>
      <c r="CS68" s="574"/>
      <c r="CT68" s="557"/>
      <c r="CU68" s="630"/>
      <c r="CV68" s="573"/>
      <c r="CW68" s="573"/>
      <c r="CX68" s="573"/>
      <c r="CY68" s="574"/>
    </row>
    <row r="69" spans="1:103" ht="11.25" customHeight="1" x14ac:dyDescent="0.2">
      <c r="A69" s="59" t="s">
        <v>315</v>
      </c>
      <c r="B69" s="39"/>
      <c r="C69" s="668"/>
      <c r="D69" s="643"/>
      <c r="E69" s="643"/>
      <c r="F69" s="643"/>
      <c r="G69" s="673"/>
      <c r="H69" s="557"/>
      <c r="I69" s="668"/>
      <c r="J69" s="643"/>
      <c r="K69" s="643"/>
      <c r="L69" s="643"/>
      <c r="M69" s="673"/>
      <c r="N69" s="557"/>
      <c r="O69" s="668"/>
      <c r="P69" s="643"/>
      <c r="Q69" s="643"/>
      <c r="R69" s="643"/>
      <c r="S69" s="673"/>
      <c r="T69" s="556"/>
      <c r="U69" s="668"/>
      <c r="V69" s="643"/>
      <c r="W69" s="643"/>
      <c r="X69" s="643"/>
      <c r="Y69" s="673"/>
      <c r="Z69" s="557"/>
      <c r="AA69" s="563">
        <v>0.5</v>
      </c>
      <c r="AB69" s="564">
        <v>0.49</v>
      </c>
      <c r="AC69" s="564">
        <v>0.51</v>
      </c>
      <c r="AD69" s="564">
        <v>0.5</v>
      </c>
      <c r="AE69" s="562">
        <f>AE67/'P&amp;L'!AE$9</f>
        <v>0.50014459531341859</v>
      </c>
      <c r="AF69" s="557"/>
      <c r="AG69" s="563">
        <v>0.51</v>
      </c>
      <c r="AH69" s="564">
        <v>0.5</v>
      </c>
      <c r="AI69" s="564">
        <v>0.51</v>
      </c>
      <c r="AJ69" s="564">
        <v>0.49</v>
      </c>
      <c r="AK69" s="562">
        <f>AK67/'P&amp;L'!AK$9</f>
        <v>0.50189651672319469</v>
      </c>
      <c r="AL69" s="557"/>
      <c r="AM69" s="563">
        <v>0.48</v>
      </c>
      <c r="AN69" s="564">
        <v>0.49</v>
      </c>
      <c r="AO69" s="564">
        <v>0.53</v>
      </c>
      <c r="AP69" s="564">
        <v>0.48</v>
      </c>
      <c r="AQ69" s="562">
        <f>AQ67/'P&amp;L'!AQ$9</f>
        <v>0.49502902712907754</v>
      </c>
      <c r="AR69" s="557"/>
      <c r="AS69" s="563">
        <v>0.47</v>
      </c>
      <c r="AT69" s="564">
        <v>0.52</v>
      </c>
      <c r="AU69" s="564">
        <f>48%+2%</f>
        <v>0.5</v>
      </c>
      <c r="AV69" s="564">
        <v>0.46</v>
      </c>
      <c r="AW69" s="562">
        <f>AW67/'P&amp;L'!AW$9</f>
        <v>0.48661145529759858</v>
      </c>
      <c r="AX69" s="557"/>
      <c r="AY69" s="563">
        <f>47%+1%</f>
        <v>0.48</v>
      </c>
      <c r="AZ69" s="564">
        <v>0.48</v>
      </c>
      <c r="BA69" s="564">
        <v>0.47399999999999998</v>
      </c>
      <c r="BB69" s="564">
        <f>46%+1%</f>
        <v>0.47000000000000003</v>
      </c>
      <c r="BC69" s="562">
        <f>BC67/'P&amp;L'!BC$9</f>
        <v>0.47578219244038861</v>
      </c>
      <c r="BD69" s="557"/>
      <c r="BE69" s="563">
        <f>0.47+0.01</f>
        <v>0.48</v>
      </c>
      <c r="BF69" s="564">
        <v>0.48333300000000001</v>
      </c>
      <c r="BG69" s="564">
        <v>0.50333333333300001</v>
      </c>
      <c r="BH69" s="1009">
        <f>BH67/$BH$17</f>
        <v>0.45625331661295387</v>
      </c>
      <c r="BI69" s="1008">
        <v>0.48</v>
      </c>
      <c r="BJ69" s="557"/>
      <c r="BK69" s="564">
        <f>47%+1%</f>
        <v>0.48</v>
      </c>
      <c r="BL69" s="564">
        <f>47%+1%</f>
        <v>0.48</v>
      </c>
      <c r="BM69" s="564">
        <f>47%+1%</f>
        <v>0.48</v>
      </c>
      <c r="BN69" s="588">
        <f>BN67/$BH$17</f>
        <v>0.41453394652288444</v>
      </c>
      <c r="BO69" s="598">
        <v>0.46300000000000002</v>
      </c>
      <c r="BP69" s="557"/>
      <c r="BQ69" s="564">
        <f>47%+1%</f>
        <v>0.48</v>
      </c>
      <c r="BR69" s="564">
        <f>49%+0.01/3</f>
        <v>0.49333333333333335</v>
      </c>
      <c r="BS69" s="564">
        <v>0.48</v>
      </c>
      <c r="BT69" s="564">
        <v>0.45400000000000001</v>
      </c>
      <c r="BU69" s="562">
        <f>+BU67/BU$76</f>
        <v>0.47625240846280364</v>
      </c>
      <c r="BV69" s="557"/>
      <c r="BW69" s="564">
        <v>0.46</v>
      </c>
      <c r="BX69" s="564">
        <v>0.47370000000000001</v>
      </c>
      <c r="BY69" s="564">
        <v>0.49</v>
      </c>
      <c r="BZ69" s="564">
        <v>0.46</v>
      </c>
      <c r="CA69" s="562">
        <f>+CA67/CA$76</f>
        <v>0.47101800714653536</v>
      </c>
      <c r="CB69" s="557"/>
      <c r="CC69" s="564">
        <v>0.46400000000000002</v>
      </c>
      <c r="CD69" s="564">
        <v>0.46899999999999997</v>
      </c>
      <c r="CE69" s="564">
        <v>0.47199999999999998</v>
      </c>
      <c r="CF69" s="564">
        <v>0.44450000000000001</v>
      </c>
      <c r="CG69" s="562">
        <f>+CG67/CG$76</f>
        <v>0.4618297736759604</v>
      </c>
      <c r="CH69" s="557"/>
      <c r="CI69" s="563"/>
      <c r="CJ69" s="564"/>
      <c r="CK69" s="564"/>
      <c r="CL69" s="564"/>
      <c r="CM69" s="562"/>
      <c r="CN69" s="557"/>
      <c r="CO69" s="563"/>
      <c r="CP69" s="564"/>
      <c r="CQ69" s="564"/>
      <c r="CR69" s="564"/>
      <c r="CS69" s="562"/>
      <c r="CT69" s="557"/>
      <c r="CU69" s="563"/>
      <c r="CV69" s="564"/>
      <c r="CW69" s="564"/>
      <c r="CX69" s="564"/>
      <c r="CY69" s="562"/>
    </row>
    <row r="70" spans="1:103" s="631" customFormat="1" ht="11.25" customHeight="1" x14ac:dyDescent="0.2">
      <c r="A70" s="714" t="s">
        <v>317</v>
      </c>
      <c r="B70" s="440"/>
      <c r="C70" s="668"/>
      <c r="D70" s="643"/>
      <c r="E70" s="643"/>
      <c r="F70" s="643"/>
      <c r="G70" s="673"/>
      <c r="H70" s="558"/>
      <c r="I70" s="668"/>
      <c r="J70" s="643"/>
      <c r="K70" s="643"/>
      <c r="L70" s="643"/>
      <c r="M70" s="673"/>
      <c r="N70" s="558"/>
      <c r="O70" s="668"/>
      <c r="P70" s="643"/>
      <c r="Q70" s="643"/>
      <c r="R70" s="643"/>
      <c r="S70" s="673"/>
      <c r="T70" s="556"/>
      <c r="U70" s="668"/>
      <c r="V70" s="643"/>
      <c r="W70" s="643"/>
      <c r="X70" s="643"/>
      <c r="Y70" s="673"/>
      <c r="Z70" s="558"/>
      <c r="AA70" s="569">
        <f>+'P&amp;L'!AA$9*RevBuild!AA72</f>
        <v>78.700279999999992</v>
      </c>
      <c r="AB70" s="567">
        <f>+'P&amp;L'!AB$9*RevBuild!AB72</f>
        <v>87.155200000000008</v>
      </c>
      <c r="AC70" s="567">
        <f>+'P&amp;L'!AC$9*RevBuild!AC72</f>
        <v>78.472000000000008</v>
      </c>
      <c r="AD70" s="567">
        <f>+'P&amp;L'!AD$9*RevBuild!AD72</f>
        <v>87.75697000000001</v>
      </c>
      <c r="AE70" s="568">
        <f>+SUM(AA70:AD70)</f>
        <v>332.08445</v>
      </c>
      <c r="AF70" s="558"/>
      <c r="AG70" s="569">
        <f>+'P&amp;L'!AG$9*RevBuild!AG72</f>
        <v>75.117220000000003</v>
      </c>
      <c r="AH70" s="567">
        <f>+'P&amp;L'!AH$9*RevBuild!AH72</f>
        <v>84.054599999999994</v>
      </c>
      <c r="AI70" s="567">
        <f>+'P&amp;L'!AI$9*RevBuild!AI72</f>
        <v>90.880649999999989</v>
      </c>
      <c r="AJ70" s="567">
        <f>+'P&amp;L'!AJ$9*RevBuild!AJ72</f>
        <v>104.06772000000004</v>
      </c>
      <c r="AK70" s="568">
        <f>+SUM(AG70:AJ70)</f>
        <v>354.12018999999998</v>
      </c>
      <c r="AL70" s="558"/>
      <c r="AM70" s="569">
        <f>+'P&amp;L'!AM$9*RevBuild!AM72</f>
        <v>100.45831999999999</v>
      </c>
      <c r="AN70" s="567">
        <f>+'P&amp;L'!AN$9*RevBuild!AN72</f>
        <v>99.832840000000004</v>
      </c>
      <c r="AO70" s="567">
        <f>+'P&amp;L'!AO$9*RevBuild!AO72</f>
        <v>96.010949999999994</v>
      </c>
      <c r="AP70" s="567">
        <f>+'P&amp;L'!AP$9*RevBuild!AP72</f>
        <v>108.69216000000002</v>
      </c>
      <c r="AQ70" s="568">
        <f>+SUM(AM70:AP70)</f>
        <v>404.99426999999997</v>
      </c>
      <c r="AR70" s="558"/>
      <c r="AS70" s="569">
        <f>+'P&amp;L'!AS$9*RevBuild!AS72</f>
        <v>92.492749999999987</v>
      </c>
      <c r="AT70" s="567">
        <f>+'P&amp;L'!AT$9*RevBuild!AT72</f>
        <v>87.47487000000001</v>
      </c>
      <c r="AU70" s="567">
        <f>+'P&amp;L'!AU$9*RevBuild!AU72</f>
        <v>95.332049999999995</v>
      </c>
      <c r="AV70" s="567">
        <f>+'P&amp;L'!AV$9*RevBuild!AV72</f>
        <v>120.39120000000003</v>
      </c>
      <c r="AW70" s="568">
        <f>+SUM(AS70:AV70)</f>
        <v>395.69087000000002</v>
      </c>
      <c r="AX70" s="558"/>
      <c r="AY70" s="569">
        <f>+'P&amp;L'!AY$9*RevBuild!AY72</f>
        <v>100.78348000000001</v>
      </c>
      <c r="AZ70" s="567">
        <f>+'P&amp;L'!AZ$9*RevBuild!AZ72</f>
        <v>101.38029000000002</v>
      </c>
      <c r="BA70" s="567">
        <f>+'P&amp;L'!BA$9*RevBuild!BA72</f>
        <v>101.632526</v>
      </c>
      <c r="BB70" s="567">
        <f>+'P&amp;L'!BB$9*RevBuild!BB72</f>
        <v>117.82087999999999</v>
      </c>
      <c r="BC70" s="568">
        <f>+SUM(AY70:BB70)</f>
        <v>421.61717600000003</v>
      </c>
      <c r="BD70" s="558"/>
      <c r="BE70" s="569">
        <f>+'P&amp;L'!BE$9*RevBuild!BE72</f>
        <v>103.21584000000001</v>
      </c>
      <c r="BF70" s="567">
        <f>+'P&amp;L'!BF$9*RevBuild!BF72</f>
        <v>102.30653611959998</v>
      </c>
      <c r="BG70" s="567">
        <f>+'P&amp;L'!BG$9*RevBuild!BG72</f>
        <v>98.222669892062981</v>
      </c>
      <c r="BH70" s="1007">
        <f>BI70-SUM(BE70:BG70)</f>
        <v>114.29783398833706</v>
      </c>
      <c r="BI70" s="568">
        <f>+'P&amp;L'!BI$9*RevBuild!BI72</f>
        <v>418.04288000000003</v>
      </c>
      <c r="BJ70" s="558"/>
      <c r="BK70" s="567">
        <f>+'P&amp;L'!BK$9*RevBuild!BK72</f>
        <v>104.73309</v>
      </c>
      <c r="BL70" s="567">
        <f>+'P&amp;L'!BL$9*RevBuild!BL72</f>
        <v>112.62057999999999</v>
      </c>
      <c r="BM70" s="567">
        <f>+'P&amp;L'!BM$9*RevBuild!BM72</f>
        <v>111.12981000000001</v>
      </c>
      <c r="BN70" s="567">
        <f>BO70-SUM(BK70:BM70)</f>
        <v>133.92831950000004</v>
      </c>
      <c r="BO70" s="568">
        <f>+'P&amp;L'!BO$9*RevBuild!BO72</f>
        <v>462.41179950000003</v>
      </c>
      <c r="BP70" s="558"/>
      <c r="BQ70" s="567">
        <f>+'P&amp;L'!BQ$9*RevBuild!BQ72</f>
        <v>98.580569999999994</v>
      </c>
      <c r="BR70" s="567">
        <f>+'P&amp;L'!BR$9*RevBuild!BR72</f>
        <v>96.901653333333343</v>
      </c>
      <c r="BS70" s="567">
        <f>+'P&amp;L'!BS$9*RevBuild!BS72</f>
        <v>100.65952</v>
      </c>
      <c r="BT70" s="567">
        <f>+'P&amp;L'!BT$9*RevBuild!BT72</f>
        <v>116.0505</v>
      </c>
      <c r="BU70" s="568">
        <f>+SUM(BQ70:BT70)</f>
        <v>412.19224333333335</v>
      </c>
      <c r="BV70" s="558"/>
      <c r="BW70" s="567">
        <f>+'P&amp;L'!BW$9*RevBuild!BW72</f>
        <v>101.44886000000001</v>
      </c>
      <c r="BX70" s="567">
        <f>+'P&amp;L'!BX$9*RevBuild!BX72</f>
        <v>108.34948799999999</v>
      </c>
      <c r="BY70" s="567">
        <f>+'P&amp;L'!BY$9*RevBuild!BY72</f>
        <v>101.60549999999999</v>
      </c>
      <c r="BZ70" s="567">
        <f>+'P&amp;L'!BZ$9*RevBuild!BZ72</f>
        <v>120.94995</v>
      </c>
      <c r="CA70" s="568">
        <f>+SUM(BW70:BZ70)</f>
        <v>432.35379799999998</v>
      </c>
      <c r="CB70" s="558"/>
      <c r="CC70" s="567">
        <f>+'P&amp;L'!CC$9*RevBuild!CC72</f>
        <v>101.12436800000002</v>
      </c>
      <c r="CD70" s="567">
        <f>+'P&amp;L'!CD$9*RevBuild!CD72</f>
        <v>111.87392</v>
      </c>
      <c r="CE70" s="567">
        <f>+'P&amp;L'!CE$9*RevBuild!CE72</f>
        <v>116.97239999999999</v>
      </c>
      <c r="CF70" s="567">
        <f>+'P&amp;L'!CF$9*RevBuild!CF72</f>
        <v>134.42275050000001</v>
      </c>
      <c r="CG70" s="568">
        <f>+SUM(CC70:CF70)</f>
        <v>464.3934385</v>
      </c>
      <c r="CH70" s="558"/>
      <c r="CI70" s="569"/>
      <c r="CJ70" s="567"/>
      <c r="CK70" s="567"/>
      <c r="CL70" s="567"/>
      <c r="CM70" s="568"/>
      <c r="CN70" s="558"/>
      <c r="CO70" s="569"/>
      <c r="CP70" s="567"/>
      <c r="CQ70" s="567"/>
      <c r="CR70" s="567"/>
      <c r="CS70" s="568"/>
      <c r="CT70" s="558"/>
      <c r="CU70" s="569"/>
      <c r="CV70" s="567"/>
      <c r="CW70" s="567"/>
      <c r="CX70" s="567"/>
      <c r="CY70" s="568"/>
    </row>
    <row r="71" spans="1:103" ht="11.25" customHeight="1" x14ac:dyDescent="0.2">
      <c r="A71" s="59" t="s">
        <v>212</v>
      </c>
      <c r="B71" s="39"/>
      <c r="C71" s="668"/>
      <c r="D71" s="643"/>
      <c r="E71" s="643"/>
      <c r="F71" s="643"/>
      <c r="G71" s="673"/>
      <c r="H71" s="557"/>
      <c r="I71" s="668"/>
      <c r="J71" s="643"/>
      <c r="K71" s="643"/>
      <c r="L71" s="643"/>
      <c r="M71" s="673"/>
      <c r="N71" s="557"/>
      <c r="O71" s="668"/>
      <c r="P71" s="643"/>
      <c r="Q71" s="643"/>
      <c r="R71" s="643"/>
      <c r="S71" s="673"/>
      <c r="T71" s="556"/>
      <c r="U71" s="668"/>
      <c r="V71" s="643"/>
      <c r="W71" s="643"/>
      <c r="X71" s="643"/>
      <c r="Y71" s="673"/>
      <c r="Z71" s="557"/>
      <c r="AA71" s="59"/>
      <c r="AB71" s="39"/>
      <c r="AC71" s="39"/>
      <c r="AD71" s="39"/>
      <c r="AE71" s="58"/>
      <c r="AF71" s="39"/>
      <c r="AG71" s="59"/>
      <c r="AH71" s="39"/>
      <c r="AI71" s="39"/>
      <c r="AJ71" s="39"/>
      <c r="AK71" s="58"/>
      <c r="AL71" s="39"/>
      <c r="AM71" s="59"/>
      <c r="AN71" s="39"/>
      <c r="AO71" s="39"/>
      <c r="AP71" s="39"/>
      <c r="AQ71" s="58"/>
      <c r="AR71" s="39"/>
      <c r="AS71" s="630">
        <f>+AS70/AM70-1</f>
        <v>-7.929228758752882E-2</v>
      </c>
      <c r="AT71" s="573">
        <f>+AT70/AN70-1</f>
        <v>-0.12378662171686183</v>
      </c>
      <c r="AU71" s="573">
        <f>+AU70/AO70-1</f>
        <v>-7.0710684562541593E-3</v>
      </c>
      <c r="AV71" s="573">
        <f>+AV70/AP70-1</f>
        <v>0.10763462608526697</v>
      </c>
      <c r="AW71" s="574">
        <f>+AW70/AQ70-1</f>
        <v>-2.2971683031466017E-2</v>
      </c>
      <c r="AX71" s="39"/>
      <c r="AY71" s="630">
        <f>+AY70/AS70-1</f>
        <v>8.9636539080090394E-2</v>
      </c>
      <c r="AZ71" s="573">
        <f>+AZ70/AT70-1</f>
        <v>0.15896474038772523</v>
      </c>
      <c r="BA71" s="573">
        <f>+BA70/AU70-1</f>
        <v>6.6089798761276963E-2</v>
      </c>
      <c r="BB71" s="573">
        <f>+BB70/AV70-1</f>
        <v>-2.1349733203091525E-2</v>
      </c>
      <c r="BC71" s="574">
        <f>+BC70/AW70-1</f>
        <v>6.5521617923608E-2</v>
      </c>
      <c r="BD71" s="39"/>
      <c r="BE71" s="630">
        <f>+BE70/AY70-1</f>
        <v>2.4134510933736308E-2</v>
      </c>
      <c r="BF71" s="573">
        <f>+BF70/AZ70-1</f>
        <v>9.1363530287786876E-3</v>
      </c>
      <c r="BG71" s="573">
        <f>+BG70/BA70-1</f>
        <v>-3.3550834975183186E-2</v>
      </c>
      <c r="BH71" s="1003">
        <f>+BH70/BB70-1</f>
        <v>-2.9901711917810547E-2</v>
      </c>
      <c r="BI71" s="1004">
        <f>+BI70/BC70-1</f>
        <v>-8.4775863116165473E-3</v>
      </c>
      <c r="BJ71" s="557"/>
      <c r="BK71" s="573">
        <f>+BK70/BE70-1</f>
        <v>1.469977863862737E-2</v>
      </c>
      <c r="BL71" s="573">
        <f>+BL70/BF70-1</f>
        <v>0.10081510206095268</v>
      </c>
      <c r="BM71" s="573">
        <f>+BM70/BG70-1</f>
        <v>0.13140693611892962</v>
      </c>
      <c r="BN71" s="573">
        <f>+BN70/BH70-1</f>
        <v>0.17174853474184015</v>
      </c>
      <c r="BO71" s="574">
        <f>+BO70/BI70-1</f>
        <v>0.10613485272132839</v>
      </c>
      <c r="BP71" s="557"/>
      <c r="BQ71" s="573">
        <f>+BQ70/BK70-1</f>
        <v>-5.8744757745618048E-2</v>
      </c>
      <c r="BR71" s="573">
        <f>+BR70/BL70-1</f>
        <v>-0.13957419386995384</v>
      </c>
      <c r="BS71" s="573">
        <f>+BS70/BM70-1</f>
        <v>-9.4216754262425262E-2</v>
      </c>
      <c r="BT71" s="573">
        <f>+BT70/BN70-1</f>
        <v>-0.13348797003310442</v>
      </c>
      <c r="BU71" s="574">
        <f>+BU70/BO70-1</f>
        <v>-0.10860353524924848</v>
      </c>
      <c r="BV71" s="557"/>
      <c r="BW71" s="573">
        <f>+BW70/BQ70-1</f>
        <v>2.909589587481598E-2</v>
      </c>
      <c r="BX71" s="573">
        <f>+BX70/BR70-1</f>
        <v>0.11813869292082235</v>
      </c>
      <c r="BY71" s="573">
        <f>+BY70/BS70-1</f>
        <v>9.3978195008279641E-3</v>
      </c>
      <c r="BZ71" s="573">
        <f>+BZ70/BT70-1</f>
        <v>4.2218258430597011E-2</v>
      </c>
      <c r="CA71" s="574">
        <f>+CA70/BU70-1</f>
        <v>4.8912989006351326E-2</v>
      </c>
      <c r="CB71" s="557"/>
      <c r="CC71" s="573">
        <f>+CC70/BW70-1</f>
        <v>-3.1985770958884441E-3</v>
      </c>
      <c r="CD71" s="573">
        <f>+CD70/BX70-1</f>
        <v>3.2528367831327509E-2</v>
      </c>
      <c r="CE71" s="573">
        <f>+CE70/BY70-1</f>
        <v>0.15124082849845721</v>
      </c>
      <c r="CF71" s="573">
        <f>+CF70/BZ70-1</f>
        <v>0.1113915342668601</v>
      </c>
      <c r="CG71" s="574">
        <f>+CG70/CA70-1</f>
        <v>7.4105144093125297E-2</v>
      </c>
      <c r="CH71" s="557"/>
      <c r="CI71" s="630"/>
      <c r="CJ71" s="573"/>
      <c r="CK71" s="573"/>
      <c r="CL71" s="573"/>
      <c r="CM71" s="574"/>
      <c r="CN71" s="557"/>
      <c r="CO71" s="630"/>
      <c r="CP71" s="573"/>
      <c r="CQ71" s="573"/>
      <c r="CR71" s="573"/>
      <c r="CS71" s="574"/>
      <c r="CT71" s="557"/>
      <c r="CU71" s="630"/>
      <c r="CV71" s="573"/>
      <c r="CW71" s="573"/>
      <c r="CX71" s="573"/>
      <c r="CY71" s="574"/>
    </row>
    <row r="72" spans="1:103" ht="11.25" customHeight="1" x14ac:dyDescent="0.2">
      <c r="A72" s="59" t="s">
        <v>315</v>
      </c>
      <c r="B72" s="39"/>
      <c r="C72" s="668"/>
      <c r="D72" s="643"/>
      <c r="E72" s="643"/>
      <c r="F72" s="643"/>
      <c r="G72" s="673"/>
      <c r="H72" s="557"/>
      <c r="I72" s="668"/>
      <c r="J72" s="643"/>
      <c r="K72" s="643"/>
      <c r="L72" s="643"/>
      <c r="M72" s="673"/>
      <c r="N72" s="557"/>
      <c r="O72" s="668"/>
      <c r="P72" s="643"/>
      <c r="Q72" s="643"/>
      <c r="R72" s="643"/>
      <c r="S72" s="673"/>
      <c r="T72" s="556"/>
      <c r="U72" s="668"/>
      <c r="V72" s="643"/>
      <c r="W72" s="643"/>
      <c r="X72" s="643"/>
      <c r="Y72" s="673"/>
      <c r="Z72" s="557"/>
      <c r="AA72" s="563">
        <v>0.38</v>
      </c>
      <c r="AB72" s="564">
        <v>0.4</v>
      </c>
      <c r="AC72" s="564">
        <v>0.34</v>
      </c>
      <c r="AD72" s="564">
        <v>0.37</v>
      </c>
      <c r="AE72" s="562">
        <f>AE70/'P&amp;L'!AE$9</f>
        <v>0.37188549511464486</v>
      </c>
      <c r="AF72" s="557"/>
      <c r="AG72" s="563">
        <v>0.34</v>
      </c>
      <c r="AH72" s="564">
        <v>0.35</v>
      </c>
      <c r="AI72" s="564">
        <v>0.35</v>
      </c>
      <c r="AJ72" s="564">
        <v>0.36</v>
      </c>
      <c r="AK72" s="562">
        <f>AK70/'P&amp;L'!AK$9</f>
        <v>0.35067480999183021</v>
      </c>
      <c r="AL72" s="557"/>
      <c r="AM72" s="563">
        <v>0.38</v>
      </c>
      <c r="AN72" s="564">
        <v>0.38</v>
      </c>
      <c r="AO72" s="564">
        <v>0.35</v>
      </c>
      <c r="AP72" s="564">
        <v>0.38</v>
      </c>
      <c r="AQ72" s="562">
        <f>AQ70/'P&amp;L'!AQ$9</f>
        <v>0.37243215431599797</v>
      </c>
      <c r="AR72" s="557"/>
      <c r="AS72" s="563">
        <v>0.35</v>
      </c>
      <c r="AT72" s="564">
        <v>0.31</v>
      </c>
      <c r="AU72" s="564">
        <v>0.33</v>
      </c>
      <c r="AV72" s="564">
        <v>0.36</v>
      </c>
      <c r="AW72" s="562">
        <f>AW70/'P&amp;L'!AW$9</f>
        <v>0.33827047216192901</v>
      </c>
      <c r="AX72" s="557"/>
      <c r="AY72" s="563">
        <v>0.34</v>
      </c>
      <c r="AZ72" s="564">
        <v>0.33</v>
      </c>
      <c r="BA72" s="564">
        <v>0.33400000000000002</v>
      </c>
      <c r="BB72" s="564">
        <v>0.34</v>
      </c>
      <c r="BC72" s="562">
        <f>BC70/'P&amp;L'!BC$9</f>
        <v>0.33609562710848373</v>
      </c>
      <c r="BD72" s="557"/>
      <c r="BE72" s="563">
        <v>0.34</v>
      </c>
      <c r="BF72" s="564">
        <v>0.32333329999999999</v>
      </c>
      <c r="BG72" s="564">
        <v>0.30333333299999998</v>
      </c>
      <c r="BH72" s="1009">
        <f>BH70/$BH$17</f>
        <v>0.31523045351665696</v>
      </c>
      <c r="BI72" s="1008">
        <v>0.32</v>
      </c>
      <c r="BJ72" s="557"/>
      <c r="BK72" s="564">
        <v>0.33</v>
      </c>
      <c r="BL72" s="564">
        <v>0.34</v>
      </c>
      <c r="BM72" s="564">
        <v>0.33</v>
      </c>
      <c r="BN72" s="588">
        <f>BN70/$BH$17</f>
        <v>0.36937082201414856</v>
      </c>
      <c r="BO72" s="598">
        <v>0.34350000000000003</v>
      </c>
      <c r="BP72" s="557"/>
      <c r="BQ72" s="564">
        <v>0.33</v>
      </c>
      <c r="BR72" s="564">
        <f>30%+0.01/3</f>
        <v>0.30333333333333334</v>
      </c>
      <c r="BS72" s="564">
        <v>0.32</v>
      </c>
      <c r="BT72" s="564">
        <v>0.33300000000000002</v>
      </c>
      <c r="BU72" s="562">
        <f>+BU70/BU$76</f>
        <v>0.32171202355623613</v>
      </c>
      <c r="BV72" s="557"/>
      <c r="BW72" s="564">
        <v>0.34</v>
      </c>
      <c r="BX72" s="564">
        <v>0.32400000000000001</v>
      </c>
      <c r="BY72" s="564">
        <v>0.3</v>
      </c>
      <c r="BZ72" s="564">
        <v>0.33</v>
      </c>
      <c r="CA72" s="562">
        <f>+CA70/CA$76</f>
        <v>0.32313655174063205</v>
      </c>
      <c r="CB72" s="557"/>
      <c r="CC72" s="564">
        <v>0.32800000000000001</v>
      </c>
      <c r="CD72" s="564">
        <v>0.32</v>
      </c>
      <c r="CE72" s="564">
        <v>0.32100000000000001</v>
      </c>
      <c r="CF72" s="564">
        <v>0.33850000000000002</v>
      </c>
      <c r="CG72" s="562">
        <f>+CG70/CG$76</f>
        <v>0.32717011360233905</v>
      </c>
      <c r="CH72" s="557"/>
      <c r="CI72" s="563"/>
      <c r="CJ72" s="564"/>
      <c r="CK72" s="564"/>
      <c r="CL72" s="564"/>
      <c r="CM72" s="562"/>
      <c r="CN72" s="557"/>
      <c r="CO72" s="563"/>
      <c r="CP72" s="564"/>
      <c r="CQ72" s="564"/>
      <c r="CR72" s="564"/>
      <c r="CS72" s="562"/>
      <c r="CT72" s="557"/>
      <c r="CU72" s="563"/>
      <c r="CV72" s="564"/>
      <c r="CW72" s="564"/>
      <c r="CX72" s="564"/>
      <c r="CY72" s="562"/>
    </row>
    <row r="73" spans="1:103" s="631" customFormat="1" ht="11.25" customHeight="1" x14ac:dyDescent="0.2">
      <c r="A73" s="714" t="s">
        <v>407</v>
      </c>
      <c r="B73" s="440"/>
      <c r="C73" s="668"/>
      <c r="D73" s="643"/>
      <c r="E73" s="643"/>
      <c r="F73" s="643"/>
      <c r="G73" s="673"/>
      <c r="H73" s="558"/>
      <c r="I73" s="668"/>
      <c r="J73" s="643"/>
      <c r="K73" s="643"/>
      <c r="L73" s="643"/>
      <c r="M73" s="673"/>
      <c r="N73" s="558"/>
      <c r="O73" s="668"/>
      <c r="P73" s="643"/>
      <c r="Q73" s="643"/>
      <c r="R73" s="643"/>
      <c r="S73" s="673"/>
      <c r="T73" s="556"/>
      <c r="U73" s="668"/>
      <c r="V73" s="643"/>
      <c r="W73" s="643"/>
      <c r="X73" s="643"/>
      <c r="Y73" s="673"/>
      <c r="Z73" s="558"/>
      <c r="AA73" s="569">
        <f>+'P&amp;L'!AA$9*RevBuild!AA75</f>
        <v>24.852719999999998</v>
      </c>
      <c r="AB73" s="567">
        <f>+'P&amp;L'!AB$9*RevBuild!AB75</f>
        <v>23.967680000000001</v>
      </c>
      <c r="AC73" s="567">
        <f>+'P&amp;L'!AC$9*RevBuild!AC75</f>
        <v>34.619999999999997</v>
      </c>
      <c r="AD73" s="567">
        <f>+'P&amp;L'!AD$9*RevBuild!AD75</f>
        <v>30.833530000000007</v>
      </c>
      <c r="AE73" s="568">
        <f>+SUM(AA73:AD73)</f>
        <v>114.27393000000001</v>
      </c>
      <c r="AF73" s="558"/>
      <c r="AG73" s="569">
        <f>+'P&amp;L'!AG$9*RevBuild!AG75</f>
        <v>33.139949999999999</v>
      </c>
      <c r="AH73" s="567">
        <f>+'P&amp;L'!AH$9*RevBuild!AH75</f>
        <v>36.023399999999995</v>
      </c>
      <c r="AI73" s="567">
        <f>+'P&amp;L'!AI$9*RevBuild!AI75</f>
        <v>36.352260000000001</v>
      </c>
      <c r="AJ73" s="567">
        <f>+'P&amp;L'!AJ$9*RevBuild!AJ75</f>
        <v>43.361550000000015</v>
      </c>
      <c r="AK73" s="568">
        <f>+SUM(AG73:AJ73)</f>
        <v>148.87716</v>
      </c>
      <c r="AL73" s="558"/>
      <c r="AM73" s="569">
        <f>+'P&amp;L'!AM$9*RevBuild!AM75</f>
        <v>37.01095999999999</v>
      </c>
      <c r="AN73" s="567">
        <f>+'P&amp;L'!AN$9*RevBuild!AN75</f>
        <v>34.15334</v>
      </c>
      <c r="AO73" s="567">
        <f>+'P&amp;L'!AO$9*RevBuild!AO75</f>
        <v>32.918039999999998</v>
      </c>
      <c r="AP73" s="567">
        <f>+'P&amp;L'!AP$9*RevBuild!AP75</f>
        <v>40.04448</v>
      </c>
      <c r="AQ73" s="568">
        <f>+SUM(AM73:AP73)</f>
        <v>144.12681999999998</v>
      </c>
      <c r="AR73" s="558"/>
      <c r="AS73" s="569">
        <f>+'P&amp;L'!AS$9*RevBuild!AS75</f>
        <v>47.567699999999995</v>
      </c>
      <c r="AT73" s="567">
        <f>+'P&amp;L'!AT$9*RevBuild!AT75</f>
        <v>47.970090000000006</v>
      </c>
      <c r="AU73" s="567">
        <f>+'P&amp;L'!AU$9*RevBuild!AU75</f>
        <v>49.11045</v>
      </c>
      <c r="AV73" s="567">
        <f>+'P&amp;L'!AV$9*RevBuild!AV75</f>
        <v>60.195600000000013</v>
      </c>
      <c r="AW73" s="568">
        <f>+SUM(AS73:AV73)</f>
        <v>204.84384</v>
      </c>
      <c r="AX73" s="558"/>
      <c r="AY73" s="569">
        <f>+'P&amp;L'!AY$9*RevBuild!AY75</f>
        <v>53.355960000000003</v>
      </c>
      <c r="AZ73" s="567">
        <f>+'P&amp;L'!AZ$9*RevBuild!AZ75</f>
        <v>58.370470000000005</v>
      </c>
      <c r="BA73" s="567">
        <f>+'P&amp;L'!BA$9*RevBuild!BA75</f>
        <v>58.423487999999999</v>
      </c>
      <c r="BB73" s="567">
        <f>+'P&amp;L'!BB$9*RevBuild!BB75</f>
        <v>65.841079999999991</v>
      </c>
      <c r="BC73" s="568">
        <f>+SUM(AY73:BB73)</f>
        <v>235.99099799999999</v>
      </c>
      <c r="BD73" s="558"/>
      <c r="BE73" s="569">
        <f>+'P&amp;L'!BE$9*RevBuild!BE75</f>
        <v>54.643680000000003</v>
      </c>
      <c r="BF73" s="567">
        <f>+'P&amp;L'!BF$9*RevBuild!BF75</f>
        <v>61.172976119600001</v>
      </c>
      <c r="BG73" s="567">
        <f>+'P&amp;L'!BG$9*RevBuild!BG75</f>
        <v>62.603459998920627</v>
      </c>
      <c r="BH73" s="1007">
        <f>BI73-SUM(BE73:BG73)</f>
        <v>82.856683881479398</v>
      </c>
      <c r="BI73" s="568">
        <f>+'P&amp;L'!BI$9*RevBuild!BI75</f>
        <v>261.27680000000004</v>
      </c>
      <c r="BJ73" s="558"/>
      <c r="BK73" s="567">
        <f>+'P&amp;L'!BK$9*RevBuild!BK75</f>
        <v>60.300869999999996</v>
      </c>
      <c r="BL73" s="567">
        <f>+'P&amp;L'!BL$9*RevBuild!BL75</f>
        <v>59.622659999999989</v>
      </c>
      <c r="BM73" s="567">
        <f>+'P&amp;L'!BM$9*RevBuild!BM75</f>
        <v>63.983830000000005</v>
      </c>
      <c r="BN73" s="567">
        <f>BO73-SUM(BK73:BM73)</f>
        <v>76.577889500000026</v>
      </c>
      <c r="BO73" s="568">
        <f>+'P&amp;L'!BO$9*RevBuild!BO75</f>
        <v>260.48524950000001</v>
      </c>
      <c r="BP73" s="558"/>
      <c r="BQ73" s="567">
        <f>+'P&amp;L'!BQ$9*RevBuild!BQ75</f>
        <v>56.758510000000001</v>
      </c>
      <c r="BR73" s="567">
        <f>+'P&amp;L'!BR$9*RevBuild!BR75</f>
        <v>64.956053333333344</v>
      </c>
      <c r="BS73" s="567">
        <f>+'P&amp;L'!BS$9*RevBuild!BS75</f>
        <v>62.912199999999984</v>
      </c>
      <c r="BT73" s="567">
        <f>+'P&amp;L'!BT$9*RevBuild!BT75</f>
        <v>74.230499999999992</v>
      </c>
      <c r="BU73" s="568">
        <f>+SUM(BQ73:BT73)</f>
        <v>258.85726333333332</v>
      </c>
      <c r="BV73" s="558"/>
      <c r="BW73" s="567">
        <f>+'P&amp;L'!BW$9*RevBuild!BW75</f>
        <v>59.67580000000001</v>
      </c>
      <c r="BX73" s="567">
        <f>+'P&amp;L'!BX$9*RevBuild!BX75</f>
        <v>67.651547599999986</v>
      </c>
      <c r="BY73" s="567">
        <f>+'P&amp;L'!BY$9*RevBuild!BY75</f>
        <v>71.123850000000004</v>
      </c>
      <c r="BZ73" s="567">
        <f>+'P&amp;L'!BZ$9*RevBuild!BZ75</f>
        <v>76.968150000000009</v>
      </c>
      <c r="CA73" s="568">
        <f>+SUM(BW73:BZ73)</f>
        <v>275.41934760000004</v>
      </c>
      <c r="CB73" s="558"/>
      <c r="CC73" s="567">
        <f>+'P&amp;L'!CC$9*RevBuild!CC75</f>
        <v>64.127648000000008</v>
      </c>
      <c r="CD73" s="567">
        <f>+'P&amp;L'!CD$9*RevBuild!CD75</f>
        <v>73.766866000000007</v>
      </c>
      <c r="CE73" s="567">
        <f>+'P&amp;L'!CE$9*RevBuild!CE75</f>
        <v>75.430800000000005</v>
      </c>
      <c r="CF73" s="567">
        <f>+'P&amp;L'!CF$9*RevBuild!CF75</f>
        <v>86.173520999999994</v>
      </c>
      <c r="CG73" s="568">
        <f>+SUM(CC73:CF73)</f>
        <v>299.49883499999999</v>
      </c>
      <c r="CH73" s="558"/>
      <c r="CI73" s="569"/>
      <c r="CJ73" s="567"/>
      <c r="CK73" s="567"/>
      <c r="CL73" s="567"/>
      <c r="CM73" s="568"/>
      <c r="CN73" s="558"/>
      <c r="CO73" s="569"/>
      <c r="CP73" s="567"/>
      <c r="CQ73" s="567"/>
      <c r="CR73" s="567"/>
      <c r="CS73" s="568"/>
      <c r="CT73" s="558"/>
      <c r="CU73" s="569"/>
      <c r="CV73" s="567"/>
      <c r="CW73" s="567"/>
      <c r="CX73" s="567"/>
      <c r="CY73" s="568"/>
    </row>
    <row r="74" spans="1:103" s="631" customFormat="1" ht="11.25" customHeight="1" x14ac:dyDescent="0.2">
      <c r="A74" s="59" t="s">
        <v>212</v>
      </c>
      <c r="B74" s="440"/>
      <c r="C74" s="668"/>
      <c r="D74" s="643"/>
      <c r="E74" s="643"/>
      <c r="F74" s="643"/>
      <c r="G74" s="673"/>
      <c r="H74" s="558"/>
      <c r="I74" s="668"/>
      <c r="J74" s="643"/>
      <c r="K74" s="643"/>
      <c r="L74" s="643"/>
      <c r="M74" s="673"/>
      <c r="N74" s="558"/>
      <c r="O74" s="668"/>
      <c r="P74" s="643"/>
      <c r="Q74" s="643"/>
      <c r="R74" s="643"/>
      <c r="S74" s="673"/>
      <c r="T74" s="556"/>
      <c r="U74" s="668"/>
      <c r="V74" s="643"/>
      <c r="W74" s="643"/>
      <c r="X74" s="643"/>
      <c r="Y74" s="673"/>
      <c r="Z74" s="558"/>
      <c r="AA74" s="569"/>
      <c r="AB74" s="567"/>
      <c r="AC74" s="567"/>
      <c r="AD74" s="567"/>
      <c r="AE74" s="568"/>
      <c r="AF74" s="558"/>
      <c r="AG74" s="569"/>
      <c r="AH74" s="567"/>
      <c r="AI74" s="567"/>
      <c r="AJ74" s="567"/>
      <c r="AK74" s="568"/>
      <c r="AL74" s="558"/>
      <c r="AM74" s="569"/>
      <c r="AN74" s="567"/>
      <c r="AO74" s="567"/>
      <c r="AP74" s="567"/>
      <c r="AQ74" s="568"/>
      <c r="AR74" s="558"/>
      <c r="AS74" s="630">
        <f>+AS73/AM73-1</f>
        <v>0.28523280671455176</v>
      </c>
      <c r="AT74" s="573">
        <f>+AT73/AN73-1</f>
        <v>0.40455047734716443</v>
      </c>
      <c r="AU74" s="573">
        <f>+AU73/AO73-1</f>
        <v>0.49190079360739603</v>
      </c>
      <c r="AV74" s="573">
        <f>+AV73/AP73-1</f>
        <v>0.50321842111571957</v>
      </c>
      <c r="AW74" s="574">
        <f>+AW73/AQ73-1</f>
        <v>0.42127495770738599</v>
      </c>
      <c r="AX74" s="558"/>
      <c r="AY74" s="630">
        <f>+AY73/AS73-1</f>
        <v>0.12168467258244586</v>
      </c>
      <c r="AZ74" s="573">
        <f>+AZ73/AT73-1</f>
        <v>0.21680968286696967</v>
      </c>
      <c r="BA74" s="573">
        <f>+BA73/AU73-1</f>
        <v>0.18963454824787807</v>
      </c>
      <c r="BB74" s="573">
        <f>+BB73/AV73-1</f>
        <v>9.3785592302427112E-2</v>
      </c>
      <c r="BC74" s="574">
        <f>+BC73/AW73-1</f>
        <v>0.15205318353727404</v>
      </c>
      <c r="BD74" s="558"/>
      <c r="BE74" s="630">
        <f>+BE73/AY73-1</f>
        <v>2.4134510933736308E-2</v>
      </c>
      <c r="BF74" s="573">
        <f>+BF73/AZ73-1</f>
        <v>4.8012395987217404E-2</v>
      </c>
      <c r="BG74" s="573">
        <f>+BG73/BA73-1</f>
        <v>7.1546087746774623E-2</v>
      </c>
      <c r="BH74" s="1003">
        <f>+BH73/BB73-1</f>
        <v>0.25843445887399485</v>
      </c>
      <c r="BI74" s="1004">
        <f>+BI73/BC73-1</f>
        <v>0.10714731584803938</v>
      </c>
      <c r="BJ74" s="558"/>
      <c r="BK74" s="573">
        <f>+BK73/BE73-1</f>
        <v>0.10352871548914711</v>
      </c>
      <c r="BL74" s="573">
        <f>+BL73/BF73-1</f>
        <v>-2.5343153430511078E-2</v>
      </c>
      <c r="BM74" s="573">
        <f>+BM73/BG73-1</f>
        <v>2.2049420289280697E-2</v>
      </c>
      <c r="BN74" s="573">
        <f>+BN73/BH73-1</f>
        <v>-7.5778972647043696E-2</v>
      </c>
      <c r="BO74" s="574">
        <f>+BO73/BI73-1</f>
        <v>-3.0295475909075664E-3</v>
      </c>
      <c r="BP74" s="558"/>
      <c r="BQ74" s="573">
        <f>+BQ73/BK73-1</f>
        <v>-5.8744757745617826E-2</v>
      </c>
      <c r="BR74" s="573">
        <f>+BR73/BL73-1</f>
        <v>8.945245538077895E-2</v>
      </c>
      <c r="BS74" s="573">
        <f>+BS73/BM73-1</f>
        <v>-1.6748450350659194E-2</v>
      </c>
      <c r="BT74" s="573">
        <f>+BT73/BN73-1</f>
        <v>-3.0653619671772714E-2</v>
      </c>
      <c r="BU74" s="574">
        <f>+BU73/BO73-1</f>
        <v>-6.249820939157158E-3</v>
      </c>
      <c r="BV74" s="558"/>
      <c r="BW74" s="573">
        <f>+BW73/BQ73-1</f>
        <v>5.1398283711112436E-2</v>
      </c>
      <c r="BX74" s="573">
        <f>+BX73/BR73-1</f>
        <v>4.1497198926699674E-2</v>
      </c>
      <c r="BY74" s="573">
        <f>+BY73/BS73-1</f>
        <v>0.1305255578409279</v>
      </c>
      <c r="BZ74" s="573">
        <f>+BZ73/BT73-1</f>
        <v>3.6880392830440645E-2</v>
      </c>
      <c r="CA74" s="574">
        <f>+CA73/BU73-1</f>
        <v>6.3981531958558824E-2</v>
      </c>
      <c r="CB74" s="558"/>
      <c r="CC74" s="573">
        <f>+CC73/BW73-1</f>
        <v>7.4600558350286006E-2</v>
      </c>
      <c r="CD74" s="573">
        <f>+CD73/BX73-1</f>
        <v>9.039436076404006E-2</v>
      </c>
      <c r="CE74" s="573">
        <f>+CE73/BY73-1</f>
        <v>6.0555636400448032E-2</v>
      </c>
      <c r="CF74" s="573">
        <f>+CF73/BZ73-1</f>
        <v>0.11959974353027825</v>
      </c>
      <c r="CG74" s="574">
        <f>+CG73/CA73-1</f>
        <v>8.7428452684345626E-2</v>
      </c>
      <c r="CH74" s="558"/>
      <c r="CI74" s="630"/>
      <c r="CJ74" s="573"/>
      <c r="CK74" s="573"/>
      <c r="CL74" s="573"/>
      <c r="CM74" s="574"/>
      <c r="CN74" s="558"/>
      <c r="CO74" s="630"/>
      <c r="CP74" s="573"/>
      <c r="CQ74" s="573"/>
      <c r="CR74" s="573"/>
      <c r="CS74" s="574"/>
      <c r="CT74" s="558"/>
      <c r="CU74" s="630"/>
      <c r="CV74" s="573"/>
      <c r="CW74" s="573"/>
      <c r="CX74" s="573"/>
      <c r="CY74" s="574"/>
    </row>
    <row r="75" spans="1:103" ht="11.25" customHeight="1" x14ac:dyDescent="0.2">
      <c r="A75" s="59" t="s">
        <v>315</v>
      </c>
      <c r="B75" s="39"/>
      <c r="C75" s="668"/>
      <c r="D75" s="643"/>
      <c r="E75" s="643"/>
      <c r="F75" s="643"/>
      <c r="G75" s="673"/>
      <c r="H75" s="557"/>
      <c r="I75" s="668"/>
      <c r="J75" s="643"/>
      <c r="K75" s="643"/>
      <c r="L75" s="643"/>
      <c r="M75" s="673"/>
      <c r="N75" s="557"/>
      <c r="O75" s="668"/>
      <c r="P75" s="643"/>
      <c r="Q75" s="643"/>
      <c r="R75" s="643"/>
      <c r="S75" s="673"/>
      <c r="T75" s="556"/>
      <c r="U75" s="668"/>
      <c r="V75" s="643"/>
      <c r="W75" s="643"/>
      <c r="X75" s="643"/>
      <c r="Y75" s="673"/>
      <c r="Z75" s="557"/>
      <c r="AA75" s="563">
        <f>10%+2%</f>
        <v>0.12000000000000001</v>
      </c>
      <c r="AB75" s="564">
        <f>9%+2%</f>
        <v>0.11</v>
      </c>
      <c r="AC75" s="564">
        <f>9%+6%</f>
        <v>0.15</v>
      </c>
      <c r="AD75" s="564">
        <f>10%+3%</f>
        <v>0.13</v>
      </c>
      <c r="AE75" s="562">
        <f>AE73/'P&amp;L'!AE$9</f>
        <v>0.12796990957193652</v>
      </c>
      <c r="AF75" s="557"/>
      <c r="AG75" s="563">
        <f>12%+3%</f>
        <v>0.15</v>
      </c>
      <c r="AH75" s="564">
        <f>12%+3%</f>
        <v>0.15</v>
      </c>
      <c r="AI75" s="564">
        <f>11%+3%</f>
        <v>0.14000000000000001</v>
      </c>
      <c r="AJ75" s="564">
        <f>12%+3%</f>
        <v>0.15</v>
      </c>
      <c r="AK75" s="562">
        <f>AK73/'P&amp;L'!AK$9</f>
        <v>0.14742867328497511</v>
      </c>
      <c r="AL75" s="557"/>
      <c r="AM75" s="563">
        <f>12%+2%</f>
        <v>0.13999999999999999</v>
      </c>
      <c r="AN75" s="564">
        <f>11%+2%</f>
        <v>0.13</v>
      </c>
      <c r="AO75" s="564">
        <f>11%+1%</f>
        <v>0.12</v>
      </c>
      <c r="AP75" s="564">
        <f>12%+2%</f>
        <v>0.13999999999999999</v>
      </c>
      <c r="AQ75" s="562">
        <f>AQ73/'P&amp;L'!AQ$9</f>
        <v>0.13253881855492439</v>
      </c>
      <c r="AR75" s="557"/>
      <c r="AS75" s="563">
        <v>0.18</v>
      </c>
      <c r="AT75" s="564">
        <v>0.17</v>
      </c>
      <c r="AU75" s="564">
        <v>0.17</v>
      </c>
      <c r="AV75" s="564">
        <v>0.18</v>
      </c>
      <c r="AW75" s="562">
        <f>AW73/'P&amp;L'!AW$9</f>
        <v>0.1751180725404724</v>
      </c>
      <c r="AX75" s="557"/>
      <c r="AY75" s="563">
        <v>0.18</v>
      </c>
      <c r="AZ75" s="564">
        <v>0.19</v>
      </c>
      <c r="BA75" s="564">
        <v>0.192</v>
      </c>
      <c r="BB75" s="564">
        <v>0.19</v>
      </c>
      <c r="BC75" s="562">
        <f>BC73/'P&amp;L'!BC$9</f>
        <v>0.18812218045112783</v>
      </c>
      <c r="BD75" s="557"/>
      <c r="BE75" s="563">
        <v>0.18</v>
      </c>
      <c r="BF75" s="564">
        <v>0.19333330000000001</v>
      </c>
      <c r="BG75" s="564">
        <v>0.19333333333</v>
      </c>
      <c r="BH75" s="1009">
        <f>BH73/$BH$17</f>
        <v>0.22851657923377802</v>
      </c>
      <c r="BI75" s="1008">
        <f>1-BI69-BI72</f>
        <v>0.2</v>
      </c>
      <c r="BJ75" s="557"/>
      <c r="BK75" s="564">
        <v>0.19</v>
      </c>
      <c r="BL75" s="564">
        <v>0.18</v>
      </c>
      <c r="BM75" s="564">
        <v>0.19</v>
      </c>
      <c r="BN75" s="588">
        <f>BN73/$BH$17</f>
        <v>0.21119982762662556</v>
      </c>
      <c r="BO75" s="598">
        <v>0.19350000000000001</v>
      </c>
      <c r="BP75" s="557"/>
      <c r="BQ75" s="564">
        <v>0.19</v>
      </c>
      <c r="BR75" s="564">
        <f>20%+0.01/3</f>
        <v>0.20333333333333334</v>
      </c>
      <c r="BS75" s="564">
        <f>1-BS72-BS69</f>
        <v>0.19999999999999996</v>
      </c>
      <c r="BT75" s="651">
        <v>0.21299999999999999</v>
      </c>
      <c r="BU75" s="562">
        <f>+BU73/BU$76</f>
        <v>0.20203556798096017</v>
      </c>
      <c r="BV75" s="557"/>
      <c r="BW75" s="564">
        <v>0.2</v>
      </c>
      <c r="BX75" s="564">
        <f>1-BX69-BX72</f>
        <v>0.20229999999999998</v>
      </c>
      <c r="BY75" s="564">
        <f>1-BY69-BY72</f>
        <v>0.21000000000000002</v>
      </c>
      <c r="BZ75" s="564">
        <f>1-BZ69-BZ72</f>
        <v>0.21000000000000002</v>
      </c>
      <c r="CA75" s="562">
        <f>+CA73/CA$76</f>
        <v>0.20584544111283262</v>
      </c>
      <c r="CB75" s="557"/>
      <c r="CC75" s="564">
        <f>100%-CC69-CC72</f>
        <v>0.20800000000000002</v>
      </c>
      <c r="CD75" s="564">
        <f>1-CD69-CD72</f>
        <v>0.21100000000000002</v>
      </c>
      <c r="CE75" s="564">
        <f>1-CE69-CE72</f>
        <v>0.20700000000000002</v>
      </c>
      <c r="CF75" s="564">
        <f>1-CF69-CF72</f>
        <v>0.21699999999999997</v>
      </c>
      <c r="CG75" s="562">
        <f>+CG73/CG$76</f>
        <v>0.21100011272170072</v>
      </c>
      <c r="CH75" s="557"/>
      <c r="CI75" s="563"/>
      <c r="CJ75" s="564"/>
      <c r="CK75" s="564"/>
      <c r="CL75" s="564"/>
      <c r="CM75" s="562"/>
      <c r="CN75" s="557"/>
      <c r="CO75" s="563"/>
      <c r="CP75" s="564"/>
      <c r="CQ75" s="564"/>
      <c r="CR75" s="564"/>
      <c r="CS75" s="562"/>
      <c r="CT75" s="557"/>
      <c r="CU75" s="563"/>
      <c r="CV75" s="564"/>
      <c r="CW75" s="564"/>
      <c r="CX75" s="564"/>
      <c r="CY75" s="562"/>
    </row>
    <row r="76" spans="1:103" ht="11.25" customHeight="1" x14ac:dyDescent="0.2">
      <c r="A76" s="715" t="s">
        <v>84</v>
      </c>
      <c r="B76" s="292"/>
      <c r="C76" s="669"/>
      <c r="D76" s="670"/>
      <c r="E76" s="670"/>
      <c r="F76" s="670"/>
      <c r="G76" s="674"/>
      <c r="H76" s="676"/>
      <c r="I76" s="669"/>
      <c r="J76" s="670"/>
      <c r="K76" s="670"/>
      <c r="L76" s="670"/>
      <c r="M76" s="674"/>
      <c r="N76" s="676"/>
      <c r="O76" s="669"/>
      <c r="P76" s="670"/>
      <c r="Q76" s="670"/>
      <c r="R76" s="670"/>
      <c r="S76" s="674"/>
      <c r="T76" s="670"/>
      <c r="U76" s="669"/>
      <c r="V76" s="670"/>
      <c r="W76" s="670"/>
      <c r="X76" s="670"/>
      <c r="Y76" s="674"/>
      <c r="Z76" s="676"/>
      <c r="AA76" s="572">
        <f>+AA67+AA70+AA73</f>
        <v>207.10599999999997</v>
      </c>
      <c r="AB76" s="570">
        <f>+AB67+AB70+AB73</f>
        <v>217.88800000000001</v>
      </c>
      <c r="AC76" s="570">
        <f>+AC67+AC70+AC73</f>
        <v>230.8</v>
      </c>
      <c r="AD76" s="570">
        <f>+AD67+AD70+AD73</f>
        <v>237.18100000000004</v>
      </c>
      <c r="AE76" s="571">
        <f>+AE67+AE70+AE73</f>
        <v>892.97500000000014</v>
      </c>
      <c r="AF76" s="676"/>
      <c r="AG76" s="572">
        <f>+AG67+AG70+AG73</f>
        <v>220.93299999999999</v>
      </c>
      <c r="AH76" s="570">
        <f>+AH67+AH70+AH73</f>
        <v>240.15599999999995</v>
      </c>
      <c r="AI76" s="570">
        <f>+AI67+AI70+AI73</f>
        <v>259.65899999999999</v>
      </c>
      <c r="AJ76" s="570">
        <f>+AJ67+AJ70+AJ73</f>
        <v>289.07700000000011</v>
      </c>
      <c r="AK76" s="571">
        <f>+AK67+AK70+AK73</f>
        <v>1009.825</v>
      </c>
      <c r="AL76" s="676"/>
      <c r="AM76" s="572">
        <f>+AM67+AM70+AM73</f>
        <v>264.36399999999998</v>
      </c>
      <c r="AN76" s="570">
        <f>+AN67+AN70+AN73</f>
        <v>262.71800000000002</v>
      </c>
      <c r="AO76" s="570">
        <f>+AO67+AO70+AO73</f>
        <v>274.31700000000001</v>
      </c>
      <c r="AP76" s="570">
        <f>+AP67+AP70+AP73</f>
        <v>286.03200000000004</v>
      </c>
      <c r="AQ76" s="571">
        <f>+AQ67+AQ70+AQ73</f>
        <v>1087.4309999999998</v>
      </c>
      <c r="AR76" s="676"/>
      <c r="AS76" s="572">
        <f>+AS67+AS70+AS73</f>
        <v>264.26499999999999</v>
      </c>
      <c r="AT76" s="570">
        <f>+AT67+AT70+AT73</f>
        <v>282.17700000000002</v>
      </c>
      <c r="AU76" s="570">
        <f>+AU67+AU70+AU73</f>
        <v>288.88499999999999</v>
      </c>
      <c r="AV76" s="570">
        <f>+AV67+AV70+AV73</f>
        <v>334.42000000000007</v>
      </c>
      <c r="AW76" s="571">
        <f>+AW67+AW70+AW73</f>
        <v>1169.7470000000001</v>
      </c>
      <c r="AX76" s="676"/>
      <c r="AY76" s="572">
        <f>+AY67+AY70+AY73</f>
        <v>296.42200000000003</v>
      </c>
      <c r="AZ76" s="570">
        <f>+AZ67+AZ70+AZ73</f>
        <v>307.21300000000002</v>
      </c>
      <c r="BA76" s="570">
        <f>+BA67+BA70+BA73</f>
        <v>304.28899999999999</v>
      </c>
      <c r="BB76" s="570">
        <f>+BB67+BB70+BB73</f>
        <v>346.53199999999998</v>
      </c>
      <c r="BC76" s="571">
        <f>+BC67+BC70+BC73</f>
        <v>1254.4560000000001</v>
      </c>
      <c r="BD76" s="676"/>
      <c r="BE76" s="572">
        <f>+BE67+BE70+BE73</f>
        <v>303.57600000000002</v>
      </c>
      <c r="BF76" s="570">
        <f>+BF67+BF70+BF73</f>
        <v>316.41187343519994</v>
      </c>
      <c r="BG76" s="570">
        <f>+BG67+BG70+BG73</f>
        <v>323.81099989087568</v>
      </c>
      <c r="BH76" s="897">
        <f>+BH67+BH70+BH73</f>
        <v>362.58512667392432</v>
      </c>
      <c r="BI76" s="898">
        <f>+BI67+BI70+BI73</f>
        <v>1306.384</v>
      </c>
      <c r="BJ76" s="676"/>
      <c r="BK76" s="570">
        <f>+BK67+BK70+BK73</f>
        <v>317.37299999999999</v>
      </c>
      <c r="BL76" s="570">
        <f>+BL67+BL70+BL73</f>
        <v>331.23699999999997</v>
      </c>
      <c r="BM76" s="570">
        <f>+BM67+BM70+BM73</f>
        <v>336.75700000000001</v>
      </c>
      <c r="BN76" s="570">
        <f>+BN67+BN70+BN73</f>
        <v>360.81000000000012</v>
      </c>
      <c r="BO76" s="571">
        <f>+BO67+BO70+BO73</f>
        <v>1346.1770000000001</v>
      </c>
      <c r="BP76" s="676"/>
      <c r="BQ76" s="570">
        <f>+BQ67+BQ70+BQ73</f>
        <v>298.72899999999998</v>
      </c>
      <c r="BR76" s="570">
        <f>+BR67+BR70+BR73</f>
        <v>319.45600000000002</v>
      </c>
      <c r="BS76" s="570">
        <f>+BS67+BS70+BS73</f>
        <v>314.56099999999998</v>
      </c>
      <c r="BT76" s="570">
        <f>+BT67+BT70+BT73</f>
        <v>348.5</v>
      </c>
      <c r="BU76" s="571">
        <f>+BU67+BU70+BU73</f>
        <v>1281.2460000000001</v>
      </c>
      <c r="BV76" s="676"/>
      <c r="BW76" s="570">
        <f>+BW67+BW70+BW73</f>
        <v>298.37900000000002</v>
      </c>
      <c r="BX76" s="570">
        <f>+BX67+BX70+BX73</f>
        <v>334.41199999999992</v>
      </c>
      <c r="BY76" s="570">
        <f>+BY67+BY70+BY73</f>
        <v>338.685</v>
      </c>
      <c r="BZ76" s="570">
        <f>+BZ67+BZ70+BZ73</f>
        <v>366.51499999999999</v>
      </c>
      <c r="CA76" s="571">
        <f>+CA67+CA70+CA73</f>
        <v>1337.991</v>
      </c>
      <c r="CB76" s="676"/>
      <c r="CC76" s="570">
        <f>+CC67+CC70+CC73</f>
        <v>308.30600000000004</v>
      </c>
      <c r="CD76" s="570">
        <f>+CD67+CD70+CD73</f>
        <v>349.60599999999994</v>
      </c>
      <c r="CE76" s="570">
        <f>+CE67+CE70+CE73</f>
        <v>364.4</v>
      </c>
      <c r="CF76" s="570">
        <f>+CF67+CF70+CF73</f>
        <v>397.113</v>
      </c>
      <c r="CG76" s="571">
        <f>+CG67+CG70+CG73</f>
        <v>1419.4249999999997</v>
      </c>
      <c r="CH76" s="676"/>
      <c r="CI76" s="572"/>
      <c r="CJ76" s="570"/>
      <c r="CK76" s="570"/>
      <c r="CL76" s="570"/>
      <c r="CM76" s="571"/>
      <c r="CN76" s="676"/>
      <c r="CO76" s="572"/>
      <c r="CP76" s="570"/>
      <c r="CQ76" s="570"/>
      <c r="CR76" s="570"/>
      <c r="CS76" s="571"/>
      <c r="CT76" s="676"/>
      <c r="CU76" s="572"/>
      <c r="CV76" s="570"/>
      <c r="CW76" s="570"/>
      <c r="CX76" s="570"/>
      <c r="CY76" s="571"/>
    </row>
    <row r="77" spans="1:103" ht="11.25" customHeight="1" x14ac:dyDescent="0.2">
      <c r="A77" s="620"/>
      <c r="B77" s="615"/>
      <c r="C77" s="616"/>
      <c r="D77" s="616"/>
      <c r="E77" s="616"/>
      <c r="F77" s="616"/>
      <c r="G77" s="616"/>
      <c r="H77" s="616"/>
      <c r="I77" s="616"/>
      <c r="J77" s="616"/>
      <c r="K77" s="616"/>
      <c r="L77" s="616"/>
      <c r="M77" s="616"/>
      <c r="N77" s="616"/>
      <c r="O77" s="616"/>
      <c r="P77" s="616"/>
      <c r="Q77" s="616"/>
      <c r="R77" s="616"/>
      <c r="S77" s="616"/>
      <c r="T77" s="616"/>
      <c r="U77" s="616"/>
      <c r="V77" s="616"/>
      <c r="W77" s="616"/>
      <c r="X77" s="616"/>
      <c r="Y77" s="616"/>
      <c r="Z77" s="616"/>
      <c r="AA77" s="617"/>
      <c r="AB77" s="617"/>
      <c r="AC77" s="617"/>
      <c r="AD77" s="617"/>
      <c r="AE77" s="617"/>
      <c r="AF77" s="618"/>
      <c r="AG77" s="617"/>
      <c r="AH77" s="617"/>
      <c r="AI77" s="617"/>
      <c r="AJ77" s="617"/>
      <c r="AK77" s="617"/>
      <c r="AL77" s="616"/>
      <c r="AM77" s="617"/>
      <c r="AN77" s="617"/>
      <c r="AO77" s="617"/>
      <c r="AP77" s="617"/>
      <c r="AQ77" s="619"/>
      <c r="AR77" s="616"/>
      <c r="AS77" s="617"/>
      <c r="AT77" s="617"/>
      <c r="AU77" s="617"/>
      <c r="AV77" s="617"/>
      <c r="AW77" s="617"/>
      <c r="AX77" s="616"/>
      <c r="AY77" s="617"/>
      <c r="AZ77" s="617"/>
      <c r="BA77" s="922"/>
      <c r="BB77" s="617"/>
      <c r="BC77" s="619"/>
      <c r="BD77" s="616"/>
      <c r="BE77" s="617"/>
      <c r="BF77" s="922"/>
      <c r="BG77" s="617"/>
      <c r="BH77" s="617"/>
      <c r="BI77" s="559"/>
      <c r="BJ77" s="616"/>
      <c r="BK77" s="616"/>
      <c r="BL77"/>
      <c r="BM77" s="1445"/>
      <c r="BN77" s="1446"/>
      <c r="BO77"/>
      <c r="BP77"/>
      <c r="BQ77"/>
      <c r="BR77"/>
      <c r="BS77" s="1445"/>
      <c r="BT77" s="1446"/>
      <c r="BU77"/>
      <c r="BV77" s="616"/>
      <c r="BW77" s="616"/>
      <c r="BX77" s="616"/>
      <c r="BY77" s="616"/>
      <c r="BZ77" s="616"/>
      <c r="CA77" s="619"/>
      <c r="CB77" s="616"/>
      <c r="CC77" s="616"/>
      <c r="CD77" s="616"/>
      <c r="CE77" s="616"/>
      <c r="CF77" s="616"/>
      <c r="CG77" s="619"/>
      <c r="CH77" s="616"/>
      <c r="CI77" s="616"/>
      <c r="CJ77" s="616"/>
      <c r="CK77" s="616"/>
      <c r="CL77" s="616"/>
      <c r="CM77" s="619"/>
      <c r="CN77" s="616"/>
      <c r="CO77" s="616"/>
      <c r="CP77" s="616"/>
      <c r="CQ77" s="616"/>
      <c r="CR77" s="616"/>
      <c r="CS77" s="619"/>
      <c r="CT77" s="616"/>
      <c r="CU77" s="616"/>
      <c r="CV77" s="616"/>
      <c r="CW77" s="616"/>
      <c r="CX77" s="616"/>
      <c r="CY77" s="619"/>
    </row>
    <row r="78" spans="1:103" ht="11.25" customHeight="1" x14ac:dyDescent="0.2">
      <c r="BI78" s="39"/>
    </row>
    <row r="79" spans="1:103" ht="11.25" customHeight="1" x14ac:dyDescent="0.2"/>
    <row r="80" spans="1:103" ht="11.25" customHeight="1" x14ac:dyDescent="0.2"/>
    <row r="81" ht="11.25" customHeight="1" x14ac:dyDescent="0.2"/>
    <row r="82" ht="11.25" customHeight="1" x14ac:dyDescent="0.2"/>
    <row r="83" ht="11.25" customHeight="1" x14ac:dyDescent="0.2"/>
    <row r="84" ht="11.25" customHeight="1" x14ac:dyDescent="0.2"/>
    <row r="85" ht="11.25" hidden="1" customHeight="1" x14ac:dyDescent="0.2"/>
    <row r="86" ht="11.25" hidden="1" customHeight="1" x14ac:dyDescent="0.2"/>
    <row r="87" ht="11.25" hidden="1" customHeight="1" x14ac:dyDescent="0.2"/>
    <row r="88" ht="11.25" hidden="1" customHeight="1" x14ac:dyDescent="0.2"/>
    <row r="89" ht="11.25" customHeight="1" collapsed="1" x14ac:dyDescent="0.2"/>
    <row r="90" ht="11.25" customHeight="1" x14ac:dyDescent="0.2"/>
    <row r="91" ht="11.25" customHeight="1" x14ac:dyDescent="0.2"/>
    <row r="92" ht="11.25" customHeight="1" x14ac:dyDescent="0.2"/>
    <row r="93" ht="11.25" customHeight="1" x14ac:dyDescent="0.2"/>
    <row r="94" ht="11.25" customHeight="1" x14ac:dyDescent="0.2"/>
    <row r="95" ht="11.25" customHeight="1" x14ac:dyDescent="0.2"/>
    <row r="96" ht="11.25" hidden="1" customHeight="1" x14ac:dyDescent="0.2"/>
    <row r="97" ht="11.25" hidden="1" customHeight="1" x14ac:dyDescent="0.2"/>
    <row r="98" ht="11.25" customHeight="1" collapsed="1" x14ac:dyDescent="0.2"/>
    <row r="99" ht="11.25" customHeight="1" x14ac:dyDescent="0.2"/>
    <row r="100" ht="11.25" customHeight="1" x14ac:dyDescent="0.2"/>
    <row r="101" ht="11.25" customHeight="1" x14ac:dyDescent="0.2"/>
    <row r="102" ht="11.25" customHeight="1" x14ac:dyDescent="0.2"/>
    <row r="103" ht="11.25" customHeight="1" x14ac:dyDescent="0.2"/>
    <row r="104" ht="11.25" customHeight="1" x14ac:dyDescent="0.2"/>
    <row r="105" ht="11.25" customHeight="1" x14ac:dyDescent="0.2"/>
    <row r="106" ht="11.25" customHeight="1" x14ac:dyDescent="0.2"/>
    <row r="107" ht="11.25" customHeight="1" x14ac:dyDescent="0.2"/>
    <row r="108" ht="11.25" customHeight="1" x14ac:dyDescent="0.2"/>
    <row r="109" ht="11.25" customHeight="1" x14ac:dyDescent="0.2"/>
    <row r="110" ht="11.25" customHeight="1" x14ac:dyDescent="0.2"/>
    <row r="111" ht="11.25" customHeight="1" x14ac:dyDescent="0.2"/>
    <row r="112" ht="11.25" customHeight="1" x14ac:dyDescent="0.2"/>
    <row r="113" ht="11.25" customHeight="1" x14ac:dyDescent="0.2"/>
    <row r="114" ht="11.25" customHeight="1" x14ac:dyDescent="0.2"/>
    <row r="115" ht="11.25" customHeight="1" x14ac:dyDescent="0.2"/>
    <row r="116" ht="11.25" customHeight="1" x14ac:dyDescent="0.2"/>
    <row r="117" ht="11.25" customHeight="1" x14ac:dyDescent="0.2"/>
    <row r="118" ht="11.25" customHeight="1" x14ac:dyDescent="0.2"/>
    <row r="119" ht="11.25" customHeight="1" x14ac:dyDescent="0.2"/>
    <row r="120" ht="11.25" customHeight="1" x14ac:dyDescent="0.2"/>
    <row r="121" ht="11.25" customHeight="1" x14ac:dyDescent="0.2"/>
    <row r="122" ht="11.25" hidden="1" customHeight="1" x14ac:dyDescent="0.2"/>
    <row r="123" ht="11.25" hidden="1" customHeight="1" x14ac:dyDescent="0.2"/>
    <row r="124" ht="11.25" hidden="1" customHeight="1" x14ac:dyDescent="0.2"/>
    <row r="125" ht="11.25" hidden="1" customHeight="1" x14ac:dyDescent="0.2"/>
    <row r="126" ht="11.25" customHeight="1" collapsed="1" x14ac:dyDescent="0.2"/>
    <row r="127" ht="11.25" customHeight="1" x14ac:dyDescent="0.2"/>
    <row r="128" ht="11.25" customHeight="1" x14ac:dyDescent="0.2"/>
    <row r="129" ht="11.25" customHeight="1" x14ac:dyDescent="0.2"/>
    <row r="130" ht="11.25" customHeight="1" x14ac:dyDescent="0.2"/>
    <row r="131" ht="11.25" customHeight="1" x14ac:dyDescent="0.2"/>
    <row r="132" ht="11.25" hidden="1" customHeight="1" x14ac:dyDescent="0.2"/>
    <row r="133" ht="11.25" hidden="1" customHeight="1" x14ac:dyDescent="0.2"/>
    <row r="134" ht="11.25" customHeight="1" collapsed="1" x14ac:dyDescent="0.2"/>
    <row r="135" ht="11.25" customHeight="1" x14ac:dyDescent="0.2"/>
    <row r="136" ht="11.25" customHeight="1" x14ac:dyDescent="0.2"/>
    <row r="137" ht="11.25" customHeight="1" x14ac:dyDescent="0.2"/>
    <row r="138" ht="11.25" customHeight="1" x14ac:dyDescent="0.2"/>
    <row r="139" ht="11.25" customHeight="1" x14ac:dyDescent="0.2"/>
    <row r="140" ht="11.25" customHeight="1" x14ac:dyDescent="0.2"/>
    <row r="141" ht="11.25" customHeight="1" x14ac:dyDescent="0.2"/>
    <row r="142" ht="11.25" customHeight="1" x14ac:dyDescent="0.2"/>
    <row r="143" ht="11.25" customHeight="1" x14ac:dyDescent="0.2"/>
    <row r="146" ht="11.25" hidden="1" customHeight="1" x14ac:dyDescent="0.2"/>
    <row r="147" ht="11.25" hidden="1" customHeight="1" x14ac:dyDescent="0.2"/>
    <row r="148" ht="11.25" hidden="1" customHeight="1" x14ac:dyDescent="0.2"/>
    <row r="149" ht="11.25" hidden="1" customHeight="1" x14ac:dyDescent="0.2"/>
    <row r="150" ht="11.25" hidden="1" customHeight="1" x14ac:dyDescent="0.2"/>
    <row r="151" ht="11.25" hidden="1" customHeight="1" x14ac:dyDescent="0.2"/>
    <row r="152" ht="11.25" hidden="1" customHeight="1" x14ac:dyDescent="0.2"/>
    <row r="153" collapsed="1" x14ac:dyDescent="0.2"/>
    <row r="160" ht="11.25" hidden="1" customHeight="1" x14ac:dyDescent="0.2"/>
    <row r="161" ht="11.25" hidden="1" customHeight="1" x14ac:dyDescent="0.2"/>
    <row r="162" ht="11.25" hidden="1" customHeight="1" x14ac:dyDescent="0.2"/>
    <row r="163" collapsed="1" x14ac:dyDescent="0.2"/>
    <row r="169" ht="11.25" hidden="1" customHeight="1" x14ac:dyDescent="0.2"/>
    <row r="170" ht="11.25" hidden="1" customHeight="1" x14ac:dyDescent="0.2"/>
    <row r="171" ht="11.25" hidden="1" customHeight="1" x14ac:dyDescent="0.2"/>
    <row r="172" ht="11.25" hidden="1" customHeight="1" x14ac:dyDescent="0.2"/>
    <row r="173" ht="11.25" hidden="1" customHeight="1" x14ac:dyDescent="0.2"/>
    <row r="174" ht="11.25" hidden="1" customHeight="1" x14ac:dyDescent="0.2"/>
    <row r="175" ht="11.25" hidden="1" customHeight="1" x14ac:dyDescent="0.2"/>
    <row r="176" ht="11.25" hidden="1" customHeight="1" x14ac:dyDescent="0.2"/>
    <row r="177" ht="11.25" hidden="1" customHeight="1" x14ac:dyDescent="0.2"/>
    <row r="178" ht="11.25" hidden="1" customHeight="1" x14ac:dyDescent="0.2"/>
    <row r="179" ht="11.25" hidden="1" customHeight="1" x14ac:dyDescent="0.2"/>
    <row r="180" ht="11.25" hidden="1" customHeight="1" x14ac:dyDescent="0.2"/>
    <row r="181" ht="11.25" hidden="1" customHeight="1" x14ac:dyDescent="0.2"/>
    <row r="182" ht="11.25" hidden="1" customHeight="1" x14ac:dyDescent="0.2"/>
    <row r="183" ht="11.25" hidden="1" customHeight="1" x14ac:dyDescent="0.2"/>
    <row r="184" ht="11.25" hidden="1" customHeight="1" x14ac:dyDescent="0.2"/>
    <row r="185" ht="11.25" hidden="1" customHeight="1" x14ac:dyDescent="0.2"/>
    <row r="186" ht="11.25" hidden="1" customHeight="1" x14ac:dyDescent="0.2"/>
    <row r="187" collapsed="1" x14ac:dyDescent="0.2"/>
    <row r="195" ht="11.25" hidden="1" customHeight="1" x14ac:dyDescent="0.2"/>
    <row r="196" ht="11.25" hidden="1" customHeight="1" x14ac:dyDescent="0.2"/>
    <row r="197" ht="11.25" hidden="1" customHeight="1" x14ac:dyDescent="0.2"/>
    <row r="198" ht="11.25" hidden="1" customHeight="1" x14ac:dyDescent="0.2"/>
    <row r="199" collapsed="1" x14ac:dyDescent="0.2"/>
    <row r="208" ht="11.25" hidden="1" customHeight="1" x14ac:dyDescent="0.2"/>
    <row r="209" ht="11.25" hidden="1" customHeight="1" x14ac:dyDescent="0.2"/>
    <row r="210" collapsed="1" x14ac:dyDescent="0.2"/>
    <row r="222" ht="11.25" hidden="1" customHeight="1" x14ac:dyDescent="0.2"/>
    <row r="223" ht="11.25" hidden="1" customHeight="1" x14ac:dyDescent="0.2"/>
    <row r="224" ht="11.25" hidden="1" customHeight="1" x14ac:dyDescent="0.2"/>
    <row r="225" ht="11.25" hidden="1" customHeight="1" x14ac:dyDescent="0.2"/>
    <row r="226" collapsed="1" x14ac:dyDescent="0.2"/>
    <row r="228" s="206" customFormat="1" ht="11.25" hidden="1" customHeight="1" x14ac:dyDescent="0.2"/>
    <row r="229" collapsed="1" x14ac:dyDescent="0.2"/>
    <row r="231" ht="11.25" hidden="1" customHeight="1" x14ac:dyDescent="0.2"/>
    <row r="232" s="206" customFormat="1" ht="11.25" hidden="1" customHeight="1" x14ac:dyDescent="0.2"/>
    <row r="233" collapsed="1" x14ac:dyDescent="0.2"/>
    <row r="234" ht="11.25" hidden="1" customHeight="1" x14ac:dyDescent="0.2"/>
    <row r="235" collapsed="1" x14ac:dyDescent="0.2"/>
    <row r="243" ht="11.25" customHeight="1" x14ac:dyDescent="0.2"/>
    <row r="244" ht="11.25" customHeight="1" x14ac:dyDescent="0.2"/>
    <row r="245" ht="11.25" customHeight="1" x14ac:dyDescent="0.2"/>
    <row r="246" ht="11.25" customHeight="1" x14ac:dyDescent="0.2"/>
    <row r="247" ht="11.25" customHeight="1" x14ac:dyDescent="0.2"/>
    <row r="248" ht="11.25" customHeight="1" x14ac:dyDescent="0.2"/>
    <row r="249" ht="11.25" customHeight="1" x14ac:dyDescent="0.2"/>
    <row r="250" ht="11.25" customHeight="1" x14ac:dyDescent="0.2"/>
    <row r="251" ht="11.25" customHeight="1" x14ac:dyDescent="0.2"/>
    <row r="261" ht="11.25" customHeight="1" x14ac:dyDescent="0.2"/>
    <row r="262" ht="11.25" customHeight="1" x14ac:dyDescent="0.2"/>
    <row r="263" ht="11.25" customHeight="1" x14ac:dyDescent="0.2"/>
    <row r="264" ht="11.25" customHeight="1" x14ac:dyDescent="0.2"/>
    <row r="265" ht="11.25" customHeight="1" x14ac:dyDescent="0.2"/>
    <row r="266" ht="11.25" customHeight="1" x14ac:dyDescent="0.2"/>
    <row r="267" ht="11.25" customHeight="1" x14ac:dyDescent="0.2"/>
    <row r="268" ht="11.25" customHeight="1" x14ac:dyDescent="0.2"/>
    <row r="269" ht="11.25" customHeight="1" x14ac:dyDescent="0.2"/>
    <row r="270" ht="11.25" customHeight="1" x14ac:dyDescent="0.2"/>
    <row r="271" ht="11.25" customHeight="1" x14ac:dyDescent="0.2"/>
    <row r="272" ht="11.25" customHeight="1" x14ac:dyDescent="0.2"/>
    <row r="281" ht="11.25" hidden="1" customHeight="1" x14ac:dyDescent="0.2"/>
    <row r="282" ht="11.25" hidden="1" customHeight="1" x14ac:dyDescent="0.2"/>
    <row r="283" ht="11.25" hidden="1" customHeight="1" x14ac:dyDescent="0.2"/>
    <row r="284" ht="11.25" hidden="1" customHeight="1" x14ac:dyDescent="0.2"/>
    <row r="285" collapsed="1" x14ac:dyDescent="0.2"/>
    <row r="294" ht="11.25" hidden="1" customHeight="1" x14ac:dyDescent="0.2"/>
    <row r="295" collapsed="1" x14ac:dyDescent="0.2"/>
    <row r="309" ht="11.25" customHeight="1" x14ac:dyDescent="0.2"/>
    <row r="310" ht="11.25" customHeight="1" x14ac:dyDescent="0.2"/>
    <row r="311" ht="11.25" customHeight="1" x14ac:dyDescent="0.2"/>
    <row r="312" ht="11.25" customHeight="1" x14ac:dyDescent="0.2"/>
    <row r="313" ht="11.25" customHeight="1" x14ac:dyDescent="0.2"/>
    <row r="314" ht="11.25" customHeight="1" x14ac:dyDescent="0.2"/>
    <row r="315" ht="11.25" customHeight="1" x14ac:dyDescent="0.2"/>
    <row r="316" ht="11.25" customHeight="1" x14ac:dyDescent="0.2"/>
    <row r="317" ht="11.25" customHeight="1" x14ac:dyDescent="0.2"/>
    <row r="318" ht="11.25" customHeight="1" x14ac:dyDescent="0.2"/>
    <row r="319" ht="11.25" customHeight="1" x14ac:dyDescent="0.2"/>
    <row r="320" ht="11.25" customHeight="1" x14ac:dyDescent="0.2"/>
    <row r="329" ht="11.25" customHeight="1" x14ac:dyDescent="0.2"/>
    <row r="330" ht="11.25" customHeight="1" x14ac:dyDescent="0.2"/>
    <row r="331" ht="11.25" customHeight="1" x14ac:dyDescent="0.2"/>
    <row r="332" ht="11.25" customHeight="1" x14ac:dyDescent="0.2"/>
    <row r="341" ht="11.25" customHeight="1" x14ac:dyDescent="0.2"/>
    <row r="342" ht="11.25" customHeight="1" x14ac:dyDescent="0.2"/>
    <row r="354" ht="11.25" customHeight="1" x14ac:dyDescent="0.2"/>
    <row r="355" ht="11.25" customHeight="1" x14ac:dyDescent="0.2"/>
    <row r="356" ht="11.25" customHeight="1" x14ac:dyDescent="0.2"/>
    <row r="357" ht="11.25" customHeight="1" x14ac:dyDescent="0.2"/>
    <row r="418" ht="11.25" customHeight="1" x14ac:dyDescent="0.2"/>
    <row r="419" ht="11.25" customHeight="1" x14ac:dyDescent="0.2"/>
    <row r="420" ht="11.25" customHeight="1" x14ac:dyDescent="0.2"/>
    <row r="421" ht="11.25" customHeight="1" x14ac:dyDescent="0.2"/>
    <row r="422" ht="11.25" customHeight="1" x14ac:dyDescent="0.2"/>
    <row r="423" ht="11.25" customHeight="1" x14ac:dyDescent="0.2"/>
    <row r="424" ht="11.25" customHeight="1" x14ac:dyDescent="0.2"/>
    <row r="425" ht="11.25" customHeight="1" x14ac:dyDescent="0.2"/>
    <row r="436" ht="11.25" customHeight="1" x14ac:dyDescent="0.2"/>
    <row r="437" ht="11.25" customHeight="1" x14ac:dyDescent="0.2"/>
    <row r="438" ht="11.25" customHeight="1" x14ac:dyDescent="0.2"/>
    <row r="439" ht="11.25" customHeight="1" x14ac:dyDescent="0.2"/>
    <row r="440" ht="11.25" customHeight="1" x14ac:dyDescent="0.2"/>
    <row r="441" ht="11.25" customHeight="1" x14ac:dyDescent="0.2"/>
    <row r="442" ht="11.25" customHeight="1" x14ac:dyDescent="0.2"/>
    <row r="443" ht="11.25" customHeight="1" x14ac:dyDescent="0.2"/>
    <row r="444" ht="11.25" customHeight="1" x14ac:dyDescent="0.2"/>
    <row r="445" ht="11.25" customHeight="1" x14ac:dyDescent="0.2"/>
    <row r="446" ht="11.25" customHeight="1" x14ac:dyDescent="0.2"/>
    <row r="447" ht="11.25" customHeight="1" x14ac:dyDescent="0.2"/>
    <row r="448" ht="11.25" customHeight="1" x14ac:dyDescent="0.2"/>
    <row r="449" ht="11.25" customHeight="1" x14ac:dyDescent="0.2"/>
    <row r="450" ht="11.25" customHeight="1" x14ac:dyDescent="0.2"/>
    <row r="451" ht="11.25" customHeight="1" x14ac:dyDescent="0.2"/>
    <row r="452" ht="11.25" customHeight="1" x14ac:dyDescent="0.2"/>
    <row r="463" ht="11.25" customHeight="1" x14ac:dyDescent="0.2"/>
    <row r="464" ht="11.25" customHeight="1" x14ac:dyDescent="0.2"/>
    <row r="465" ht="11.25" customHeight="1" x14ac:dyDescent="0.2"/>
    <row r="466" ht="11.25" customHeight="1" x14ac:dyDescent="0.2"/>
    <row r="467" ht="11.25" customHeight="1" x14ac:dyDescent="0.2"/>
    <row r="468" ht="11.25" customHeight="1" x14ac:dyDescent="0.2"/>
    <row r="469" ht="11.25" customHeight="1" x14ac:dyDescent="0.2"/>
    <row r="470" ht="11.25" customHeight="1" x14ac:dyDescent="0.2"/>
    <row r="471" ht="11.25" customHeight="1" x14ac:dyDescent="0.2"/>
    <row r="472" ht="11.25" customHeight="1" x14ac:dyDescent="0.2"/>
    <row r="473" ht="11.25" customHeight="1" x14ac:dyDescent="0.2"/>
    <row r="474" ht="11.25" customHeight="1" x14ac:dyDescent="0.2"/>
    <row r="475" ht="11.25" customHeight="1" x14ac:dyDescent="0.2"/>
    <row r="476" ht="11.25" customHeight="1" x14ac:dyDescent="0.2"/>
    <row r="477" ht="11.25" customHeight="1" x14ac:dyDescent="0.2"/>
    <row r="478" ht="11.25" customHeight="1" x14ac:dyDescent="0.2"/>
    <row r="484" spans="70:71" x14ac:dyDescent="0.2">
      <c r="BR484" s="1279"/>
      <c r="BS484" s="1279"/>
    </row>
  </sheetData>
  <phoneticPr fontId="4" type="noConversion"/>
  <pageMargins left="0" right="0" top="0" bottom="0" header="0" footer="0"/>
  <pageSetup scale="58" fitToHeight="0" orientation="portrait" r:id="rId1"/>
  <headerFooter alignWithMargins="0"/>
  <rowBreaks count="4" manualBreakCount="4">
    <brk id="77" max="90" man="1"/>
    <brk id="192" max="90" man="1"/>
    <brk id="278" max="90" man="1"/>
    <brk id="384" max="90" man="1"/>
  </rowBreaks>
  <ignoredErrors>
    <ignoredError sqref="BB11 BB17 AX32 BA9:BB9 AX11:BA12 AS9 AT12:AV14 BI57 BA13:BB13 AS13 AT9:AV10 AL9:AP10 AM12:AP12 AL11:AL12 AF9:AF15 AL32 AL13:AP15 BP9 BU9:BV9 BJ9 BD9:BE9 AX9:AZ10 AX13:AZ14 AX15:BB15 AR9:AR14 AR15:AV15 CA9:CB9 CA14:CB14 CA15:CB15 CA12:CB12 CA13:CB13 CA10:CB10 CA11:CB11 BU14:BV14 BU15:BV15 BU12:BV12 BU13:BV13 BU10:BV10 BU11:BV11 BD10:BE15 BJ13 BJ11 BD32 BP10:BP15 BJ15 BI14:BJ14 BI10:BJ10 BI12:BJ12 CI11:CM17 BC10 BC20:BX20 BC11 BC13 BC12 BK12:BO12 BK10:BO10 BC16:BX19 BC14 BK14:BO14 BC15 BK15:BO15 BQ11:BT11 BQ13:BT13 BQ12:BT12 BQ10:BT10 BQ14:BT14 BQ15:BT15 BC33:BS33 BC32 BE32:BT32 BK11:BO11 BK13:BO13 BF10:BH10 BF11:BI11 BF13:BI13 BF12:BH12 BF14:BH14 BF15:BI15 BW11:BX11 BW10:BX10 BW13:BX13 BW12:BX12 BW15:BX15 BW14:BX14 CH11 CH10:CM10 CH13 CH12 CH15 CH14 BC25:BX31 BC23:BX23 CA23:CB23 BC24:BX24 CA24:CB24 CG24:CH24 CM24 CG23:CH23 CM23 BC22:BX22 BC21:BX21 CA21:CB21 CG21:CH21 CM21 BZ18:CB19 CA32:CB32 CA25:CB28 CA22:CB22 CB33 CA44:CC44 CB42 CA36:CB36 CB35 CA40:CB40 CB38 CB37:CC37 CA39:CB39 BZ30:CC31 CA29:CB29 CA49:CB49 CB48 CG42:CH42 CG48:CH48 CM48 CM42 CA16:CB16 BC36:BX39 BV35 BC43:BX46 BC49:BE49 BG49:BX49 BC34:BT34 BV34:BX34 BV33:BX33 BV32:BX32 CH33:CL33 BC41:BT41 BC40:BT40 BV40:BX40 BV41:BX41 BC47:BT47 BV47:BX47 CB46 CG35:CM35 CG10 CA17:CB17 CG17:CH17 CA45:CB45 CH45:CM45 CH46:CM46 CG49:CM49 CA43:CB43 CG43:CM43 CG36:CJ36 CG38:CM38 CG40:CM40 CG39:CM39 CG32:CM32 CG9 CG14 CG15 CG12 CG13 CG11 CG19:CH19 CG25:CM28 CG22:CM22 CG29:CM29 CG16:CH16 CG44:CM44 CG37:CM37 CF31:CM31 CI19:CM19 CM36 CH30:CM30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  <pageSetUpPr fitToPage="1"/>
  </sheetPr>
  <dimension ref="A1:HQ161"/>
  <sheetViews>
    <sheetView zoomScaleNormal="100" zoomScaleSheetLayoutView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J22" sqref="CJ22"/>
    </sheetView>
  </sheetViews>
  <sheetFormatPr defaultRowHeight="11.25" outlineLevelRow="1" outlineLevelCol="1" x14ac:dyDescent="0.2"/>
  <cols>
    <col min="1" max="1" width="25.7109375" style="48" customWidth="1"/>
    <col min="2" max="2" width="0.85546875" style="39" customWidth="1"/>
    <col min="3" max="5" width="7.28515625" style="48" hidden="1" customWidth="1" outlineLevel="1"/>
    <col min="6" max="7" width="7.28515625" style="39" hidden="1" customWidth="1" outlineLevel="1"/>
    <col min="8" max="8" width="0.85546875" style="39" hidden="1" customWidth="1" outlineLevel="1"/>
    <col min="9" max="11" width="7.28515625" style="48" hidden="1" customWidth="1" outlineLevel="1"/>
    <col min="12" max="13" width="7.28515625" style="39" hidden="1" customWidth="1" outlineLevel="1"/>
    <col min="14" max="14" width="0.85546875" style="39" hidden="1" customWidth="1" outlineLevel="1"/>
    <col min="15" max="18" width="7.28515625" style="39" hidden="1" customWidth="1" outlineLevel="1"/>
    <col min="19" max="19" width="7.28515625" style="48" hidden="1" customWidth="1" outlineLevel="1"/>
    <col min="20" max="20" width="0.85546875" style="39" hidden="1" customWidth="1" outlineLevel="1"/>
    <col min="21" max="25" width="7.28515625" style="48" hidden="1" customWidth="1" outlineLevel="1"/>
    <col min="26" max="26" width="0.85546875" style="39" hidden="1" customWidth="1" outlineLevel="1"/>
    <col min="27" max="31" width="7.28515625" style="48" hidden="1" customWidth="1" outlineLevel="1"/>
    <col min="32" max="32" width="0.85546875" style="39" hidden="1" customWidth="1" outlineLevel="1"/>
    <col min="33" max="37" width="7.28515625" style="48" hidden="1" customWidth="1" outlineLevel="1"/>
    <col min="38" max="38" width="0.85546875" style="39" hidden="1" customWidth="1" outlineLevel="1"/>
    <col min="39" max="42" width="7.28515625" style="48" hidden="1" customWidth="1" outlineLevel="1"/>
    <col min="43" max="43" width="8.7109375" style="48" hidden="1" customWidth="1" outlineLevel="1" collapsed="1"/>
    <col min="44" max="44" width="0.85546875" style="39" hidden="1" customWidth="1" outlineLevel="1"/>
    <col min="45" max="48" width="8.7109375" style="48" hidden="1" customWidth="1" outlineLevel="1"/>
    <col min="49" max="49" width="8.7109375" style="48" hidden="1" customWidth="1" outlineLevel="1" collapsed="1"/>
    <col min="50" max="50" width="0.85546875" style="39" hidden="1" customWidth="1" outlineLevel="1"/>
    <col min="51" max="54" width="8.7109375" style="48" hidden="1" customWidth="1" outlineLevel="1"/>
    <col min="55" max="55" width="6.7109375" style="48" customWidth="1" collapsed="1"/>
    <col min="56" max="56" width="0.85546875" style="39" customWidth="1"/>
    <col min="57" max="60" width="8.7109375" style="48" hidden="1" customWidth="1" outlineLevel="1"/>
    <col min="61" max="61" width="6.7109375" style="48" customWidth="1" collapsed="1"/>
    <col min="62" max="62" width="0.85546875" style="39" customWidth="1"/>
    <col min="63" max="66" width="6.7109375" style="48" hidden="1" customWidth="1" outlineLevel="1"/>
    <col min="67" max="67" width="6.7109375" style="48" customWidth="1" collapsed="1"/>
    <col min="68" max="68" width="0.85546875" style="39" customWidth="1"/>
    <col min="69" max="72" width="6.7109375" style="48" hidden="1" customWidth="1" outlineLevel="1"/>
    <col min="73" max="73" width="6.7109375" style="48" customWidth="1" collapsed="1"/>
    <col min="74" max="74" width="0.85546875" style="39" customWidth="1"/>
    <col min="75" max="78" width="7.85546875" style="48" hidden="1" customWidth="1" outlineLevel="1"/>
    <col min="79" max="79" width="7.28515625" style="48" customWidth="1" collapsed="1"/>
    <col min="80" max="80" width="0.85546875" style="39" customWidth="1"/>
    <col min="81" max="84" width="7.5703125" style="48" customWidth="1" outlineLevel="1"/>
    <col min="85" max="85" width="7.28515625" style="48" customWidth="1"/>
    <col min="86" max="86" width="0.85546875" style="39" customWidth="1"/>
    <col min="87" max="90" width="8.140625" style="48" customWidth="1" outlineLevel="1"/>
    <col min="91" max="91" width="7.28515625" style="48" customWidth="1"/>
    <col min="92" max="92" width="0.85546875" style="39" customWidth="1"/>
    <col min="93" max="96" width="8.7109375" style="48" hidden="1" customWidth="1" outlineLevel="1"/>
    <col min="97" max="97" width="7.28515625" style="48" customWidth="1" collapsed="1"/>
    <col min="98" max="98" width="0.85546875" style="39" customWidth="1"/>
    <col min="99" max="102" width="8.7109375" style="48" hidden="1" customWidth="1" outlineLevel="1"/>
    <col min="103" max="103" width="7.28515625" style="48" customWidth="1" collapsed="1"/>
    <col min="104" max="107" width="3.28515625" style="48" customWidth="1"/>
    <col min="108" max="108" width="18" style="48" customWidth="1"/>
    <col min="109" max="116" width="6.7109375" style="48" hidden="1" customWidth="1" outlineLevel="1"/>
    <col min="117" max="117" width="5.7109375" style="48" customWidth="1" collapsed="1"/>
    <col min="118" max="132" width="5.7109375" style="48" customWidth="1"/>
    <col min="133" max="133" width="6.7109375" style="48" customWidth="1"/>
    <col min="134" max="135" width="9.140625" style="48"/>
    <col min="136" max="136" width="22.7109375" style="48" bestFit="1" customWidth="1"/>
    <col min="137" max="141" width="9.140625" style="48" customWidth="1" outlineLevel="1"/>
    <col min="142" max="156" width="6.85546875" style="48" customWidth="1"/>
    <col min="157" max="16384" width="9.140625" style="48"/>
  </cols>
  <sheetData>
    <row r="1" spans="1:176" x14ac:dyDescent="0.2">
      <c r="A1" s="440"/>
      <c r="BJ1" s="1072"/>
    </row>
    <row r="2" spans="1:176" ht="12.75" x14ac:dyDescent="0.2">
      <c r="A2" s="440" t="s">
        <v>309</v>
      </c>
      <c r="BV2" s="1764"/>
      <c r="ER2"/>
      <c r="ES2"/>
      <c r="ET2"/>
      <c r="EU2"/>
    </row>
    <row r="3" spans="1:176" ht="12.75" x14ac:dyDescent="0.2">
      <c r="A3" s="535" t="s">
        <v>219</v>
      </c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240"/>
      <c r="AS3" s="240"/>
      <c r="AT3" s="240"/>
      <c r="AU3" s="240"/>
      <c r="AV3" s="240"/>
      <c r="AW3" s="240"/>
      <c r="AX3" s="240"/>
      <c r="AY3" s="240"/>
      <c r="AZ3" s="240"/>
      <c r="BA3" s="240"/>
      <c r="BB3" s="240"/>
      <c r="BC3" s="240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  <c r="BP3" s="240"/>
      <c r="BQ3" s="240"/>
      <c r="BR3" s="240"/>
      <c r="BS3" s="240"/>
      <c r="BT3" s="240"/>
      <c r="BU3" s="240"/>
      <c r="BV3" s="240"/>
      <c r="BW3" s="240"/>
      <c r="BX3" s="240"/>
      <c r="BY3" s="240"/>
      <c r="BZ3" s="240"/>
      <c r="CA3" s="240"/>
      <c r="CB3" s="240"/>
      <c r="CC3" s="240"/>
      <c r="CD3" s="240"/>
      <c r="CE3" s="240"/>
      <c r="CF3" s="240"/>
      <c r="CG3" s="240"/>
      <c r="CH3" s="240"/>
      <c r="CI3" s="240"/>
      <c r="CJ3" s="240"/>
      <c r="CK3" s="240"/>
      <c r="CL3" s="240"/>
      <c r="CM3" s="240"/>
      <c r="CN3" s="240"/>
      <c r="CO3" s="240"/>
      <c r="CP3" s="240"/>
      <c r="CQ3" s="240"/>
      <c r="CR3" s="240"/>
      <c r="CS3" s="240"/>
      <c r="CT3" s="240"/>
      <c r="CU3" s="240"/>
      <c r="CV3" s="240"/>
      <c r="CW3" s="240"/>
      <c r="CX3" s="240"/>
      <c r="CY3" s="240"/>
      <c r="ER3"/>
      <c r="ES3"/>
      <c r="ET3"/>
      <c r="EU3"/>
    </row>
    <row r="4" spans="1:176" s="39" customFormat="1" ht="12.75" x14ac:dyDescent="0.2">
      <c r="A4" s="750"/>
      <c r="B4" s="750"/>
      <c r="C4" s="750"/>
      <c r="D4" s="750"/>
      <c r="E4" s="750"/>
      <c r="F4" s="750"/>
      <c r="G4" s="750"/>
      <c r="H4" s="750"/>
      <c r="I4" s="750"/>
      <c r="J4" s="750"/>
      <c r="K4" s="750"/>
      <c r="L4" s="750"/>
      <c r="M4" s="750"/>
      <c r="N4" s="750"/>
      <c r="O4" s="750"/>
      <c r="P4" s="750"/>
      <c r="Q4" s="750"/>
      <c r="R4" s="750"/>
      <c r="S4" s="750"/>
      <c r="T4" s="750"/>
      <c r="U4" s="750"/>
      <c r="V4" s="750"/>
      <c r="W4" s="750"/>
      <c r="X4" s="750"/>
      <c r="Y4" s="750"/>
      <c r="Z4" s="750"/>
      <c r="AA4" s="750"/>
      <c r="AB4" s="750"/>
      <c r="AC4" s="750"/>
      <c r="AD4" s="750"/>
      <c r="AE4" s="750"/>
      <c r="AF4" s="750"/>
      <c r="AG4" s="750"/>
      <c r="AH4" s="750"/>
      <c r="AI4" s="750"/>
      <c r="AJ4" s="750"/>
      <c r="AK4" s="750"/>
      <c r="AL4" s="750"/>
      <c r="AM4" s="750"/>
      <c r="AN4" s="751"/>
      <c r="AO4" s="751"/>
      <c r="AP4" s="751"/>
      <c r="AQ4" s="750"/>
      <c r="AR4" s="750"/>
      <c r="AS4" s="751"/>
      <c r="AT4" s="751"/>
      <c r="AU4" s="751"/>
      <c r="AV4" s="751"/>
      <c r="AW4" s="750"/>
      <c r="AX4" s="750"/>
      <c r="AY4" s="751"/>
      <c r="AZ4" s="751"/>
      <c r="BA4" s="751"/>
      <c r="BB4" s="750"/>
      <c r="BC4" s="750"/>
      <c r="BD4" s="749"/>
      <c r="BE4" s="751"/>
      <c r="BF4" s="750"/>
      <c r="BG4" s="750"/>
      <c r="BH4" s="751"/>
      <c r="BI4" s="750"/>
      <c r="BJ4" s="749"/>
      <c r="BK4" s="751"/>
      <c r="BL4" s="751"/>
      <c r="BM4" s="750"/>
      <c r="BN4" s="751"/>
      <c r="BO4" s="750"/>
      <c r="BP4" s="749"/>
      <c r="BQ4" s="751"/>
      <c r="BR4" s="751"/>
      <c r="BS4" s="750"/>
      <c r="BT4" s="751"/>
      <c r="BU4" s="750"/>
      <c r="BV4" s="749"/>
      <c r="BW4" s="751"/>
      <c r="BX4" s="751"/>
      <c r="BY4" s="750"/>
      <c r="BZ4" s="751"/>
      <c r="CA4" s="750"/>
      <c r="CB4" s="749"/>
      <c r="CC4" s="751"/>
      <c r="CD4" s="751"/>
      <c r="CE4" s="750"/>
      <c r="CF4" s="751"/>
      <c r="CG4" s="750"/>
      <c r="CH4" s="749"/>
      <c r="CI4" s="751"/>
      <c r="CJ4" s="751"/>
      <c r="CK4" s="750"/>
      <c r="CL4" s="751"/>
      <c r="CM4" s="750"/>
      <c r="CN4" s="749"/>
      <c r="CO4" s="751"/>
      <c r="CP4" s="751"/>
      <c r="CQ4" s="750"/>
      <c r="CR4" s="751"/>
      <c r="CS4" s="750"/>
      <c r="CT4" s="749"/>
      <c r="CU4" s="751"/>
      <c r="CV4" s="751"/>
      <c r="CW4" s="750"/>
      <c r="CX4" s="751"/>
      <c r="CY4" s="750"/>
      <c r="ER4"/>
      <c r="ES4"/>
      <c r="ET4"/>
      <c r="EU4"/>
    </row>
    <row r="5" spans="1:176" s="2" customFormat="1" x14ac:dyDescent="0.2">
      <c r="A5" s="750"/>
      <c r="B5" s="750"/>
      <c r="C5" s="343" t="s">
        <v>95</v>
      </c>
      <c r="D5" s="344"/>
      <c r="E5" s="344"/>
      <c r="F5" s="344"/>
      <c r="G5" s="345">
        <v>2004</v>
      </c>
      <c r="H5" s="346"/>
      <c r="I5" s="343" t="s">
        <v>94</v>
      </c>
      <c r="J5" s="344"/>
      <c r="K5" s="344"/>
      <c r="L5" s="344"/>
      <c r="M5" s="345">
        <f>G5+1</f>
        <v>2005</v>
      </c>
      <c r="N5" s="347"/>
      <c r="O5" s="343" t="s">
        <v>93</v>
      </c>
      <c r="P5" s="344"/>
      <c r="Q5" s="344"/>
      <c r="R5" s="344"/>
      <c r="S5" s="345">
        <f>M5+1</f>
        <v>2006</v>
      </c>
      <c r="T5" s="548"/>
      <c r="U5" s="343">
        <v>2007</v>
      </c>
      <c r="V5" s="344"/>
      <c r="W5" s="344"/>
      <c r="X5" s="344"/>
      <c r="Y5" s="345">
        <f>S5+1</f>
        <v>2007</v>
      </c>
      <c r="Z5" s="346"/>
      <c r="AA5" s="343">
        <f>U5+1</f>
        <v>2008</v>
      </c>
      <c r="AB5" s="344"/>
      <c r="AC5" s="344"/>
      <c r="AD5" s="344"/>
      <c r="AE5" s="345">
        <f>Y5+1</f>
        <v>2008</v>
      </c>
      <c r="AF5" s="347"/>
      <c r="AG5" s="343">
        <f>AA5+1</f>
        <v>2009</v>
      </c>
      <c r="AH5" s="344"/>
      <c r="AI5" s="344"/>
      <c r="AJ5" s="344"/>
      <c r="AK5" s="345">
        <f>AE5+1</f>
        <v>2009</v>
      </c>
      <c r="AL5" s="347"/>
      <c r="AM5" s="343">
        <f>AG5+1</f>
        <v>2010</v>
      </c>
      <c r="AN5" s="344"/>
      <c r="AO5" s="344"/>
      <c r="AP5" s="344"/>
      <c r="AQ5" s="345">
        <f>AK5+1</f>
        <v>2010</v>
      </c>
      <c r="AR5" s="347"/>
      <c r="AS5" s="343">
        <f>AM5+1</f>
        <v>2011</v>
      </c>
      <c r="AT5" s="344"/>
      <c r="AU5" s="344"/>
      <c r="AV5" s="344"/>
      <c r="AW5" s="345">
        <f>AQ5+1</f>
        <v>2011</v>
      </c>
      <c r="AX5" s="347"/>
      <c r="AY5" s="343">
        <f>AS5+1</f>
        <v>2012</v>
      </c>
      <c r="AZ5" s="344"/>
      <c r="BA5" s="344"/>
      <c r="BB5" s="344"/>
      <c r="BC5" s="345">
        <f>AW5+1</f>
        <v>2012</v>
      </c>
      <c r="BD5" s="347"/>
      <c r="BE5" s="343">
        <f>AY5+1</f>
        <v>2013</v>
      </c>
      <c r="BF5" s="344"/>
      <c r="BG5" s="344"/>
      <c r="BH5" s="344"/>
      <c r="BI5" s="345">
        <f>BC5+1</f>
        <v>2013</v>
      </c>
      <c r="BJ5" s="347"/>
      <c r="BK5" s="343">
        <f>BE5+1</f>
        <v>2014</v>
      </c>
      <c r="BL5" s="344"/>
      <c r="BM5" s="344"/>
      <c r="BN5" s="344"/>
      <c r="BO5" s="345">
        <f>BI5+1</f>
        <v>2014</v>
      </c>
      <c r="BP5" s="347"/>
      <c r="BQ5" s="343">
        <f>BK5+1</f>
        <v>2015</v>
      </c>
      <c r="BR5" s="344"/>
      <c r="BS5" s="344"/>
      <c r="BT5" s="344"/>
      <c r="BU5" s="345">
        <f>BO5+1</f>
        <v>2015</v>
      </c>
      <c r="BV5" s="347"/>
      <c r="BW5" s="343">
        <f>BQ5+1</f>
        <v>2016</v>
      </c>
      <c r="BX5" s="344"/>
      <c r="BY5" s="344"/>
      <c r="BZ5" s="344"/>
      <c r="CA5" s="345">
        <f>BU5+1</f>
        <v>2016</v>
      </c>
      <c r="CB5" s="347"/>
      <c r="CC5" s="343" t="s">
        <v>714</v>
      </c>
      <c r="CD5" s="344"/>
      <c r="CE5" s="344"/>
      <c r="CF5" s="344"/>
      <c r="CG5" s="345">
        <f>CA5+1</f>
        <v>2017</v>
      </c>
      <c r="CH5" s="347"/>
      <c r="CI5" s="348" t="s">
        <v>282</v>
      </c>
      <c r="CJ5" s="344"/>
      <c r="CK5" s="344"/>
      <c r="CL5" s="344"/>
      <c r="CM5" s="349">
        <f>CG5+1</f>
        <v>2018</v>
      </c>
      <c r="CN5" s="347"/>
      <c r="CO5" s="348" t="s">
        <v>283</v>
      </c>
      <c r="CP5" s="344"/>
      <c r="CQ5" s="344"/>
      <c r="CR5" s="344"/>
      <c r="CS5" s="349">
        <f>CM5+1</f>
        <v>2019</v>
      </c>
      <c r="CT5" s="347"/>
      <c r="CU5" s="348" t="s">
        <v>284</v>
      </c>
      <c r="CV5" s="344"/>
      <c r="CW5" s="344"/>
      <c r="CX5" s="344"/>
      <c r="CY5" s="349">
        <f>CS5+1</f>
        <v>2020</v>
      </c>
    </row>
    <row r="6" spans="1:176" s="2" customFormat="1" x14ac:dyDescent="0.2">
      <c r="A6" s="750"/>
      <c r="B6" s="750"/>
      <c r="C6" s="357">
        <v>38077</v>
      </c>
      <c r="D6" s="358">
        <f>C6+FLOOR(365/4,1)</f>
        <v>38168</v>
      </c>
      <c r="E6" s="358">
        <f>D6+FLOOR(365/4,1)</f>
        <v>38259</v>
      </c>
      <c r="F6" s="358">
        <f>E6+FLOOR(365/4,1)</f>
        <v>38350</v>
      </c>
      <c r="G6" s="359"/>
      <c r="H6" s="752"/>
      <c r="I6" s="357">
        <f>F6+FLOOR(365/4,1)</f>
        <v>38441</v>
      </c>
      <c r="J6" s="358">
        <f>I6+FLOOR(365/4,1)</f>
        <v>38532</v>
      </c>
      <c r="K6" s="358">
        <f>J6+FLOOR(365/4,1)</f>
        <v>38623</v>
      </c>
      <c r="L6" s="358">
        <f>K6+FLOOR(365/4,1)</f>
        <v>38714</v>
      </c>
      <c r="M6" s="359"/>
      <c r="N6" s="364"/>
      <c r="O6" s="357">
        <f>L6+FLOOR(365/4,1)</f>
        <v>38805</v>
      </c>
      <c r="P6" s="358">
        <f>O6+FLOOR(365/4,1)</f>
        <v>38896</v>
      </c>
      <c r="Q6" s="358">
        <f>P6+FLOOR(365/4,1)</f>
        <v>38987</v>
      </c>
      <c r="R6" s="358">
        <f>Q6+FLOOR(365/4,1)</f>
        <v>39078</v>
      </c>
      <c r="S6" s="359"/>
      <c r="T6" s="557"/>
      <c r="U6" s="357">
        <f>R6+FLOOR(365/4,1)</f>
        <v>39169</v>
      </c>
      <c r="V6" s="358">
        <f>U6+FLOOR(365/4,1)</f>
        <v>39260</v>
      </c>
      <c r="W6" s="358">
        <f>V6+FLOOR(365/4,1)</f>
        <v>39351</v>
      </c>
      <c r="X6" s="358">
        <f>W6+FLOOR(365/4,1)</f>
        <v>39442</v>
      </c>
      <c r="Y6" s="359"/>
      <c r="Z6" s="752"/>
      <c r="AA6" s="357">
        <f>X6+FLOOR(365/4,1)</f>
        <v>39533</v>
      </c>
      <c r="AB6" s="358">
        <f>AA6+FLOOR(365/4,1)</f>
        <v>39624</v>
      </c>
      <c r="AC6" s="358">
        <f>AB6+FLOOR(365/4,1)</f>
        <v>39715</v>
      </c>
      <c r="AD6" s="358">
        <f>AC6+FLOOR(365/4,1)</f>
        <v>39806</v>
      </c>
      <c r="AE6" s="359"/>
      <c r="AF6" s="364"/>
      <c r="AG6" s="357">
        <f>AD6+FLOOR(365/4,1)</f>
        <v>39897</v>
      </c>
      <c r="AH6" s="358">
        <f>AG6+FLOOR(365/4,1)</f>
        <v>39988</v>
      </c>
      <c r="AI6" s="358">
        <f>AH6+FLOOR(365/4,1)</f>
        <v>40079</v>
      </c>
      <c r="AJ6" s="358">
        <f>AI6+FLOOR(365/4,1)</f>
        <v>40170</v>
      </c>
      <c r="AK6" s="359"/>
      <c r="AL6" s="364"/>
      <c r="AM6" s="357">
        <f>AJ6+FLOOR(365/4,1)</f>
        <v>40261</v>
      </c>
      <c r="AN6" s="358">
        <f>AM6+FLOOR(365/4,1)</f>
        <v>40352</v>
      </c>
      <c r="AO6" s="358">
        <f>AN6+FLOOR(365/4,1)</f>
        <v>40443</v>
      </c>
      <c r="AP6" s="358">
        <f>AO6+FLOOR(365/4,1)</f>
        <v>40534</v>
      </c>
      <c r="AQ6" s="359"/>
      <c r="AR6" s="364"/>
      <c r="AS6" s="357">
        <f>AP6+FLOOR(365/4,1)</f>
        <v>40625</v>
      </c>
      <c r="AT6" s="358">
        <f>AS6+FLOOR(365/4,1)</f>
        <v>40716</v>
      </c>
      <c r="AU6" s="358">
        <f>AT6+FLOOR(365/4,1)</f>
        <v>40807</v>
      </c>
      <c r="AV6" s="358">
        <f>AU6+FLOOR(365/4,1)</f>
        <v>40898</v>
      </c>
      <c r="AW6" s="359"/>
      <c r="AX6" s="364"/>
      <c r="AY6" s="357">
        <f>AV6+FLOOR(365/4,1)</f>
        <v>40989</v>
      </c>
      <c r="AZ6" s="358">
        <f>AY6+FLOOR(365/4,1)</f>
        <v>41080</v>
      </c>
      <c r="BA6" s="358">
        <f>AZ6+FLOOR(365/4,1)</f>
        <v>41171</v>
      </c>
      <c r="BB6" s="358">
        <f>BA6+FLOOR(365/4,1)</f>
        <v>41262</v>
      </c>
      <c r="BC6" s="359"/>
      <c r="BD6" s="364"/>
      <c r="BE6" s="357">
        <f>BB6+FLOOR(365/4,1)</f>
        <v>41353</v>
      </c>
      <c r="BF6" s="358">
        <f>BE6+FLOOR(365/4,1)</f>
        <v>41444</v>
      </c>
      <c r="BG6" s="358">
        <f>BF6+FLOOR(365/4,1)</f>
        <v>41535</v>
      </c>
      <c r="BH6" s="358">
        <f>BG6+FLOOR(365/4,1)</f>
        <v>41626</v>
      </c>
      <c r="BI6" s="359"/>
      <c r="BJ6" s="364"/>
      <c r="BK6" s="357">
        <f>BH6+FLOOR(365/4,1)</f>
        <v>41717</v>
      </c>
      <c r="BL6" s="358">
        <f>BK6+FLOOR(365/4,1)</f>
        <v>41808</v>
      </c>
      <c r="BM6" s="358">
        <f>BL6+FLOOR(365/4,1)</f>
        <v>41899</v>
      </c>
      <c r="BN6" s="358">
        <f>BM6+FLOOR(365/4,1)</f>
        <v>41990</v>
      </c>
      <c r="BO6" s="359"/>
      <c r="BP6" s="364"/>
      <c r="BQ6" s="357">
        <f>BN6+FLOOR(365/4,1)</f>
        <v>42081</v>
      </c>
      <c r="BR6" s="358">
        <f>BQ6+FLOOR(365/4,1)</f>
        <v>42172</v>
      </c>
      <c r="BS6" s="358">
        <f>BR6+FLOOR(365/4,1)</f>
        <v>42263</v>
      </c>
      <c r="BT6" s="358">
        <f>BS6+FLOOR(365/4,1)</f>
        <v>42354</v>
      </c>
      <c r="BU6" s="359"/>
      <c r="BV6" s="364"/>
      <c r="BW6" s="357">
        <f>BT6+FLOOR(365/4,1)</f>
        <v>42445</v>
      </c>
      <c r="BX6" s="358">
        <f>BW6+FLOOR(365/4,1)</f>
        <v>42536</v>
      </c>
      <c r="BY6" s="358">
        <f>BX6+FLOOR(365/4,1)</f>
        <v>42627</v>
      </c>
      <c r="BZ6" s="358">
        <f>BY6+FLOOR(365/4,1)</f>
        <v>42718</v>
      </c>
      <c r="CA6" s="359"/>
      <c r="CB6" s="364"/>
      <c r="CC6" s="357">
        <f>BZ6+FLOOR(365/4,1)</f>
        <v>42809</v>
      </c>
      <c r="CD6" s="358">
        <f>CC6+FLOOR(365/4,1)</f>
        <v>42900</v>
      </c>
      <c r="CE6" s="358">
        <f>CD6+FLOOR(365/4,1)</f>
        <v>42991</v>
      </c>
      <c r="CF6" s="358">
        <f>CE6+FLOOR(365/4,1)</f>
        <v>43082</v>
      </c>
      <c r="CG6" s="359"/>
      <c r="CH6" s="364"/>
      <c r="CI6" s="362">
        <f>CF6+FLOOR(365/4,1)</f>
        <v>43173</v>
      </c>
      <c r="CJ6" s="360">
        <f>CI6+FLOOR(365/4,1)</f>
        <v>43264</v>
      </c>
      <c r="CK6" s="360">
        <f>CJ6+FLOOR(365/4,1)</f>
        <v>43355</v>
      </c>
      <c r="CL6" s="361">
        <f>CK6+FLOOR(365/4,1)</f>
        <v>43446</v>
      </c>
      <c r="CM6" s="359"/>
      <c r="CN6" s="364"/>
      <c r="CO6" s="362">
        <f>CL6+FLOOR(365/4,1)</f>
        <v>43537</v>
      </c>
      <c r="CP6" s="360">
        <f>CO6+FLOOR(365/4,1)</f>
        <v>43628</v>
      </c>
      <c r="CQ6" s="360">
        <f>CP6+FLOOR(365/4,1)</f>
        <v>43719</v>
      </c>
      <c r="CR6" s="361">
        <f>CQ6+FLOOR(365/4,1)</f>
        <v>43810</v>
      </c>
      <c r="CS6" s="359"/>
      <c r="CT6" s="364"/>
      <c r="CU6" s="362">
        <f>CR6+FLOOR(365/4,1)</f>
        <v>43901</v>
      </c>
      <c r="CV6" s="360">
        <f>CU6+FLOOR(365/4,1)</f>
        <v>43992</v>
      </c>
      <c r="CW6" s="360">
        <f>CV6+FLOOR(365/4,1)</f>
        <v>44083</v>
      </c>
      <c r="CX6" s="361">
        <f>CW6+FLOOR(365/4,1)</f>
        <v>44174</v>
      </c>
      <c r="CY6" s="359"/>
      <c r="DD6" s="895" t="s">
        <v>650</v>
      </c>
      <c r="DE6" s="895"/>
      <c r="DF6" s="895"/>
      <c r="DG6" s="895"/>
      <c r="DH6" s="895"/>
      <c r="DI6" s="1438"/>
      <c r="DJ6" s="1438"/>
      <c r="DK6" s="143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F6" s="2016"/>
      <c r="EG6" s="2017"/>
      <c r="EH6" s="2016"/>
      <c r="EI6" s="2016"/>
      <c r="EJ6" s="2016"/>
      <c r="EK6" s="2018"/>
      <c r="EL6" s="2017"/>
      <c r="EM6" s="2016"/>
      <c r="EN6" s="2016"/>
      <c r="EO6" s="2016"/>
      <c r="EP6" s="2018"/>
      <c r="EQ6" s="2017"/>
      <c r="ER6" s="2016"/>
      <c r="ES6" s="2016"/>
      <c r="ET6" s="2016"/>
      <c r="EU6" s="2018"/>
      <c r="EV6" s="2017"/>
      <c r="EW6" s="2016"/>
      <c r="EX6" s="2016"/>
      <c r="EY6" s="2016"/>
      <c r="EZ6" s="2018"/>
    </row>
    <row r="7" spans="1:176" x14ac:dyDescent="0.2">
      <c r="A7" s="1736" t="s">
        <v>657</v>
      </c>
      <c r="B7" s="753"/>
      <c r="C7" s="756"/>
      <c r="D7" s="754"/>
      <c r="E7" s="754"/>
      <c r="F7" s="755"/>
      <c r="G7" s="786"/>
      <c r="H7" s="754"/>
      <c r="I7" s="756"/>
      <c r="J7" s="754"/>
      <c r="K7" s="754"/>
      <c r="L7" s="755"/>
      <c r="M7" s="758"/>
      <c r="N7" s="754"/>
      <c r="O7" s="756"/>
      <c r="P7" s="754"/>
      <c r="Q7" s="754"/>
      <c r="R7" s="754"/>
      <c r="S7" s="758"/>
      <c r="T7" s="754"/>
      <c r="U7" s="756"/>
      <c r="V7" s="754"/>
      <c r="W7" s="754"/>
      <c r="X7" s="754"/>
      <c r="Y7" s="758"/>
      <c r="Z7" s="754"/>
      <c r="AA7" s="756"/>
      <c r="AB7" s="754"/>
      <c r="AC7" s="754"/>
      <c r="AD7" s="754"/>
      <c r="AE7" s="758"/>
      <c r="AF7" s="754"/>
      <c r="AG7" s="756"/>
      <c r="AH7" s="754"/>
      <c r="AI7" s="754"/>
      <c r="AJ7" s="754"/>
      <c r="AK7" s="758"/>
      <c r="AL7" s="754"/>
      <c r="AM7" s="756"/>
      <c r="AN7" s="754"/>
      <c r="AO7" s="754"/>
      <c r="AP7" s="754"/>
      <c r="AQ7" s="758"/>
      <c r="AR7" s="754"/>
      <c r="AS7" s="756"/>
      <c r="AT7" s="754"/>
      <c r="AU7" s="754"/>
      <c r="AV7" s="754"/>
      <c r="AW7" s="758"/>
      <c r="AX7" s="754"/>
      <c r="AY7" s="756"/>
      <c r="AZ7" s="754"/>
      <c r="BA7" s="754"/>
      <c r="BB7" s="754"/>
      <c r="BC7" s="758"/>
      <c r="BD7" s="757"/>
      <c r="BE7" s="756"/>
      <c r="BF7" s="754"/>
      <c r="BG7" s="754"/>
      <c r="BH7" s="755"/>
      <c r="BI7" s="758"/>
      <c r="BJ7" s="757"/>
      <c r="BK7" s="756"/>
      <c r="BL7" s="754"/>
      <c r="BM7" s="754"/>
      <c r="BN7" s="755"/>
      <c r="BO7" s="758"/>
      <c r="BP7" s="757"/>
      <c r="BQ7" s="756"/>
      <c r="BR7" s="754"/>
      <c r="BS7" s="754"/>
      <c r="BT7" s="755"/>
      <c r="BU7" s="758"/>
      <c r="BV7" s="757"/>
      <c r="BW7" s="756"/>
      <c r="BX7" s="754"/>
      <c r="BY7" s="754"/>
      <c r="BZ7" s="755"/>
      <c r="CA7" s="758"/>
      <c r="CB7" s="757"/>
      <c r="CC7" s="756"/>
      <c r="CD7" s="754"/>
      <c r="CE7" s="754"/>
      <c r="CF7" s="755"/>
      <c r="CG7" s="758"/>
      <c r="CH7" s="757"/>
      <c r="CI7" s="756"/>
      <c r="CJ7" s="754"/>
      <c r="CK7" s="754"/>
      <c r="CL7" s="755"/>
      <c r="CM7" s="758"/>
      <c r="CN7" s="757"/>
      <c r="CO7" s="756"/>
      <c r="CP7" s="754"/>
      <c r="CQ7" s="754"/>
      <c r="CR7" s="755"/>
      <c r="CS7" s="758"/>
      <c r="CT7" s="757"/>
      <c r="CU7" s="756"/>
      <c r="CV7" s="754"/>
      <c r="CW7" s="754"/>
      <c r="CX7" s="755"/>
      <c r="CY7" s="758"/>
      <c r="DD7" s="1439"/>
      <c r="DE7" s="1487" t="s">
        <v>213</v>
      </c>
      <c r="DF7" s="1487" t="s">
        <v>417</v>
      </c>
      <c r="DG7" s="1487" t="s">
        <v>225</v>
      </c>
      <c r="DH7" s="1487" t="s">
        <v>224</v>
      </c>
      <c r="DI7" s="1487" t="s">
        <v>243</v>
      </c>
      <c r="DJ7" s="1487" t="s">
        <v>423</v>
      </c>
      <c r="DK7" s="1487" t="s">
        <v>418</v>
      </c>
      <c r="DL7" s="1487" t="s">
        <v>421</v>
      </c>
      <c r="DM7" s="1487" t="s">
        <v>424</v>
      </c>
      <c r="DN7" s="1487" t="s">
        <v>422</v>
      </c>
      <c r="DO7" s="1487" t="s">
        <v>546</v>
      </c>
      <c r="DP7" s="1487" t="s">
        <v>596</v>
      </c>
      <c r="DQ7" s="1487" t="s">
        <v>604</v>
      </c>
      <c r="DR7" s="1487" t="s">
        <v>612</v>
      </c>
      <c r="DS7" s="1487" t="s">
        <v>617</v>
      </c>
      <c r="DT7" s="1487" t="s">
        <v>641</v>
      </c>
      <c r="DU7" s="1487" t="s">
        <v>646</v>
      </c>
      <c r="DV7" s="1487" t="s">
        <v>647</v>
      </c>
      <c r="DW7" s="1487" t="s">
        <v>648</v>
      </c>
      <c r="DX7" s="1487" t="s">
        <v>649</v>
      </c>
      <c r="DY7" s="1487" t="s">
        <v>705</v>
      </c>
      <c r="DZ7" s="1487" t="s">
        <v>706</v>
      </c>
      <c r="EA7" s="1487" t="s">
        <v>707</v>
      </c>
      <c r="EB7" s="1487" t="s">
        <v>704</v>
      </c>
      <c r="EF7" s="2019"/>
      <c r="EG7" s="2020"/>
      <c r="EH7" s="2021"/>
      <c r="EI7" s="2021"/>
      <c r="EJ7" s="2021"/>
      <c r="EK7" s="2018"/>
      <c r="EL7" s="2020"/>
      <c r="EM7" s="2021"/>
      <c r="EN7" s="2021"/>
      <c r="EO7" s="2021"/>
      <c r="EP7" s="2018"/>
      <c r="EQ7" s="2020"/>
      <c r="ER7" s="2021"/>
      <c r="ES7" s="2021"/>
      <c r="ET7" s="2021"/>
      <c r="EU7" s="2018"/>
      <c r="EV7" s="2020"/>
      <c r="EW7" s="2021"/>
      <c r="EX7" s="2021"/>
      <c r="EY7" s="2021"/>
      <c r="EZ7" s="2018"/>
    </row>
    <row r="8" spans="1:176" x14ac:dyDescent="0.2">
      <c r="A8" s="663" t="s">
        <v>394</v>
      </c>
      <c r="B8" s="1496"/>
      <c r="C8" s="760"/>
      <c r="D8" s="761"/>
      <c r="E8" s="761"/>
      <c r="F8" s="761"/>
      <c r="G8" s="763"/>
      <c r="H8" s="761"/>
      <c r="I8" s="760" t="s">
        <v>251</v>
      </c>
      <c r="J8" s="761" t="s">
        <v>251</v>
      </c>
      <c r="K8" s="761" t="s">
        <v>251</v>
      </c>
      <c r="L8" s="761" t="s">
        <v>251</v>
      </c>
      <c r="M8" s="763" t="s">
        <v>251</v>
      </c>
      <c r="N8" s="761"/>
      <c r="O8" s="760" t="s">
        <v>251</v>
      </c>
      <c r="P8" s="761" t="s">
        <v>251</v>
      </c>
      <c r="Q8" s="761" t="s">
        <v>251</v>
      </c>
      <c r="R8" s="761" t="s">
        <v>251</v>
      </c>
      <c r="S8" s="763" t="s">
        <v>251</v>
      </c>
      <c r="T8" s="761"/>
      <c r="U8" s="760" t="s">
        <v>251</v>
      </c>
      <c r="V8" s="761" t="s">
        <v>251</v>
      </c>
      <c r="W8" s="761" t="s">
        <v>251</v>
      </c>
      <c r="X8" s="761" t="s">
        <v>251</v>
      </c>
      <c r="Y8" s="763" t="s">
        <v>251</v>
      </c>
      <c r="Z8" s="761"/>
      <c r="AA8" s="760" t="s">
        <v>251</v>
      </c>
      <c r="AB8" s="761" t="s">
        <v>251</v>
      </c>
      <c r="AC8" s="761" t="s">
        <v>251</v>
      </c>
      <c r="AD8" s="761" t="s">
        <v>251</v>
      </c>
      <c r="AE8" s="763" t="s">
        <v>251</v>
      </c>
      <c r="AF8" s="761"/>
      <c r="AG8" s="760" t="s">
        <v>251</v>
      </c>
      <c r="AH8" s="761" t="s">
        <v>251</v>
      </c>
      <c r="AI8" s="761" t="s">
        <v>251</v>
      </c>
      <c r="AJ8" s="761" t="s">
        <v>251</v>
      </c>
      <c r="AK8" s="763" t="s">
        <v>251</v>
      </c>
      <c r="AL8" s="761"/>
      <c r="AM8" s="760">
        <v>0.15</v>
      </c>
      <c r="AN8" s="761">
        <v>0.12</v>
      </c>
      <c r="AO8" s="761">
        <v>0.09</v>
      </c>
      <c r="AP8" s="762">
        <v>7.0000000000000007E-2</v>
      </c>
      <c r="AQ8" s="1497">
        <v>0.08</v>
      </c>
      <c r="AR8" s="1498"/>
      <c r="AS8" s="1737">
        <f>+RevBuild!AS37</f>
        <v>-0.02</v>
      </c>
      <c r="AT8" s="1738">
        <f>+RevBuild!AT37</f>
        <v>0.02</v>
      </c>
      <c r="AU8" s="1738">
        <f>+RevBuild!AU37</f>
        <v>-0.11065893109067249</v>
      </c>
      <c r="AV8" s="1739">
        <f>+RevBuild!AV37</f>
        <v>0.19185178581417461</v>
      </c>
      <c r="AW8" s="1740">
        <f>+RevBuild!AW37</f>
        <v>2.5178265176889272E-2</v>
      </c>
      <c r="AX8" s="1741"/>
      <c r="AY8" s="1737">
        <f>+RevBuild!AY37</f>
        <v>7.9731620979629575E-2</v>
      </c>
      <c r="AZ8" s="1738">
        <f>+RevBuild!AZ37</f>
        <v>6.6631859651458375E-2</v>
      </c>
      <c r="BA8" s="1738">
        <f>+RevBuild!BA37</f>
        <v>0.11858235298986884</v>
      </c>
      <c r="BB8" s="1739">
        <f>+RevBuild!BB37</f>
        <v>3.50313976436816E-2</v>
      </c>
      <c r="BC8" s="1740">
        <f>+RevBuild!BC37</f>
        <v>7.0529945413844553E-2</v>
      </c>
      <c r="BD8" s="1742"/>
      <c r="BE8" s="1737">
        <f>+RevBuild!BE37</f>
        <v>8.2340425531914896E-2</v>
      </c>
      <c r="BF8" s="1738">
        <f>+RevBuild!BF37</f>
        <v>0.04</v>
      </c>
      <c r="BG8" s="1738">
        <f>+RevBuild!BG37</f>
        <v>9.7568772060878495E-2</v>
      </c>
      <c r="BH8" s="1738">
        <f>+RevBuild!BH37</f>
        <v>2.7641465456847585E-2</v>
      </c>
      <c r="BI8" s="1743">
        <f>+RevBuild!BI37</f>
        <v>6.2466895835391723E-2</v>
      </c>
      <c r="BJ8" s="1742"/>
      <c r="BK8" s="1737">
        <f>+RevBuild!BK37</f>
        <v>6.5412285556170451E-3</v>
      </c>
      <c r="BL8" s="1738">
        <f>+RevBuild!BL37</f>
        <v>7.9274389603634837E-2</v>
      </c>
      <c r="BM8" s="1738">
        <f>+RevBuild!BM37</f>
        <v>0.06</v>
      </c>
      <c r="BN8" s="1738">
        <f>+RevBuild!BN37</f>
        <v>0.03</v>
      </c>
      <c r="BO8" s="1743">
        <f>+RevBuild!BO37</f>
        <v>3.9029520598094204E-2</v>
      </c>
      <c r="BP8" s="1742"/>
      <c r="BQ8" s="1737">
        <f>+RevBuild!BQ37</f>
        <v>5.2997181517633564E-3</v>
      </c>
      <c r="BR8" s="1738">
        <f>+RevBuild!BR37</f>
        <v>2.192264716626393E-2</v>
      </c>
      <c r="BS8" s="1738">
        <f>+RevBuild!BS37</f>
        <v>-3.7138221785578782E-2</v>
      </c>
      <c r="BT8" s="1738">
        <f>+RevBuild!BT37</f>
        <v>-8.445322642790104E-3</v>
      </c>
      <c r="BU8" s="1743">
        <f>+RevBuild!BU37</f>
        <v>-5.1638771877447337E-3</v>
      </c>
      <c r="BV8" s="1742"/>
      <c r="BW8" s="1737">
        <f>+RevBuild!BW37</f>
        <v>1.5833333333333335E-2</v>
      </c>
      <c r="BX8" s="1738">
        <f>+RevBuild!BX37</f>
        <v>3.7999999999999999E-2</v>
      </c>
      <c r="BY8" s="1738">
        <f>+RevBuild!BY37</f>
        <v>8.2951612058762295E-2</v>
      </c>
      <c r="BZ8" s="1738">
        <f>+RevBuild!BZ37</f>
        <v>0.10291497086639534</v>
      </c>
      <c r="CA8" s="1743">
        <f>+RevBuild!CA37</f>
        <v>6.1622483285943754E-2</v>
      </c>
      <c r="CB8" s="1742"/>
      <c r="CC8" s="1737">
        <f>+RevBuild!CC37</f>
        <v>2.4414262844681876E-2</v>
      </c>
      <c r="CD8" s="1738">
        <f>+RevBuild!CD37</f>
        <v>6.6468708012317232E-2</v>
      </c>
      <c r="CE8" s="1738">
        <f>+RevBuild!CE37</f>
        <v>0.09</v>
      </c>
      <c r="CF8" s="1738">
        <f>+RevBuild!CF37</f>
        <v>0.04</v>
      </c>
      <c r="CG8" s="1743">
        <f>+RevBuild!CG37</f>
        <v>5.6056659578748086E-2</v>
      </c>
      <c r="CH8" s="1742"/>
      <c r="CI8" s="1737">
        <f>+RevBuild!CI37</f>
        <v>8.916789416288777E-2</v>
      </c>
      <c r="CJ8" s="1738">
        <f>+RevBuild!CJ37</f>
        <v>9.7424318982131483E-2</v>
      </c>
      <c r="CK8" s="1738">
        <f>+RevBuild!CK37</f>
        <v>9.1903019417521589E-2</v>
      </c>
      <c r="CL8" s="1738">
        <f>+RevBuild!CL37</f>
        <v>6.565832080007214E-2</v>
      </c>
      <c r="CM8" s="1743">
        <f>+RevBuild!CM37</f>
        <v>8.5270372129604033E-2</v>
      </c>
      <c r="CN8" s="1742"/>
      <c r="CO8" s="1737">
        <f>+RevBuild!CO37</f>
        <v>0.1534656572404598</v>
      </c>
      <c r="CP8" s="1738">
        <f>+RevBuild!CP37</f>
        <v>6.2587366169204073E-2</v>
      </c>
      <c r="CQ8" s="1738">
        <f>+RevBuild!CQ37</f>
        <v>6.5956928277488558E-2</v>
      </c>
      <c r="CR8" s="1738">
        <f>+RevBuild!CR37</f>
        <v>0.1242365632437803</v>
      </c>
      <c r="CS8" s="1743">
        <f>+RevBuild!CS37</f>
        <v>9.9675902992457252E-2</v>
      </c>
      <c r="CT8" s="1742"/>
      <c r="CU8" s="1737">
        <f>+RevBuild!CU37</f>
        <v>0.16274733600428126</v>
      </c>
      <c r="CV8" s="1738">
        <f>+RevBuild!CV37</f>
        <v>0.1491069490894803</v>
      </c>
      <c r="CW8" s="1738">
        <f>+RevBuild!CW37</f>
        <v>0.14359574324869917</v>
      </c>
      <c r="CX8" s="1738">
        <f>+RevBuild!CX37</f>
        <v>0.14071663014032199</v>
      </c>
      <c r="CY8" s="1743">
        <f>+RevBuild!CY37</f>
        <v>0.14840087606405838</v>
      </c>
      <c r="DD8" s="48" t="str">
        <f>A8</f>
        <v xml:space="preserve">Molecular Diagnostics </v>
      </c>
      <c r="DE8" s="1488">
        <f>BE8</f>
        <v>8.2340425531914896E-2</v>
      </c>
      <c r="DF8" s="1488">
        <f>BF8</f>
        <v>0.04</v>
      </c>
      <c r="DG8" s="1488">
        <f>BG8</f>
        <v>9.7568772060878495E-2</v>
      </c>
      <c r="DH8" s="1488">
        <f>BH8</f>
        <v>2.7641465456847585E-2</v>
      </c>
      <c r="DI8" s="1488">
        <f>BK8</f>
        <v>6.5412285556170451E-3</v>
      </c>
      <c r="DJ8" s="1488">
        <f>BL8</f>
        <v>7.9274389603634837E-2</v>
      </c>
      <c r="DK8" s="1488">
        <f>BM8</f>
        <v>0.06</v>
      </c>
      <c r="DL8" s="1488">
        <f>BN8</f>
        <v>0.03</v>
      </c>
      <c r="DM8" s="1488">
        <f>BQ8</f>
        <v>5.2997181517633564E-3</v>
      </c>
      <c r="DN8" s="1488">
        <f>BR8</f>
        <v>2.192264716626393E-2</v>
      </c>
      <c r="DO8" s="1488">
        <f>BS8</f>
        <v>-3.7138221785578782E-2</v>
      </c>
      <c r="DP8" s="1488">
        <f>BT8</f>
        <v>-8.445322642790104E-3</v>
      </c>
      <c r="DQ8" s="1488">
        <f>BW8</f>
        <v>1.5833333333333335E-2</v>
      </c>
      <c r="DR8" s="1488">
        <f>BX8</f>
        <v>3.7999999999999999E-2</v>
      </c>
      <c r="DS8" s="1488">
        <f>BY8</f>
        <v>8.2951612058762295E-2</v>
      </c>
      <c r="DT8" s="1488">
        <f>BZ8</f>
        <v>0.10291497086639534</v>
      </c>
      <c r="DU8" s="1488">
        <f>CC8</f>
        <v>2.4414262844681876E-2</v>
      </c>
      <c r="DV8" s="1488">
        <f>CD8</f>
        <v>6.6468708012317232E-2</v>
      </c>
      <c r="DW8" s="1488">
        <f>CE8</f>
        <v>0.09</v>
      </c>
      <c r="DX8" s="1488">
        <f>CF8</f>
        <v>0.04</v>
      </c>
      <c r="DY8" s="1488">
        <f>CI8</f>
        <v>8.916789416288777E-2</v>
      </c>
      <c r="DZ8" s="1488">
        <f>CJ8</f>
        <v>9.7424318982131483E-2</v>
      </c>
      <c r="EA8" s="1488">
        <f>CK8</f>
        <v>9.1903019417521589E-2</v>
      </c>
      <c r="EB8" s="1488">
        <f>CL8</f>
        <v>6.565832080007214E-2</v>
      </c>
      <c r="EF8" s="2022"/>
      <c r="EG8" s="2023"/>
      <c r="EH8" s="2024"/>
      <c r="EI8" s="2024"/>
      <c r="EJ8" s="2024"/>
      <c r="EK8" s="2025"/>
      <c r="EL8" s="2023"/>
      <c r="EM8" s="2024"/>
      <c r="EN8" s="2024"/>
      <c r="EO8" s="2024"/>
      <c r="EP8" s="2025"/>
      <c r="EQ8" s="2023"/>
      <c r="ER8" s="2024"/>
      <c r="ES8" s="2024"/>
      <c r="ET8" s="2024"/>
      <c r="EU8" s="2025"/>
      <c r="EV8" s="2023"/>
      <c r="EW8" s="2024"/>
      <c r="EX8" s="2024"/>
      <c r="EY8" s="2024"/>
      <c r="EZ8" s="2025"/>
    </row>
    <row r="9" spans="1:176" x14ac:dyDescent="0.2">
      <c r="A9" s="354" t="s">
        <v>670</v>
      </c>
      <c r="B9" s="1501"/>
      <c r="C9" s="764"/>
      <c r="D9" s="765"/>
      <c r="E9" s="765"/>
      <c r="F9" s="765"/>
      <c r="G9" s="767"/>
      <c r="H9" s="765"/>
      <c r="I9" s="764"/>
      <c r="J9" s="765"/>
      <c r="K9" s="765"/>
      <c r="L9" s="765"/>
      <c r="M9" s="767"/>
      <c r="N9" s="765"/>
      <c r="O9" s="764"/>
      <c r="P9" s="765"/>
      <c r="Q9" s="765"/>
      <c r="R9" s="765"/>
      <c r="S9" s="767"/>
      <c r="T9" s="765"/>
      <c r="U9" s="764"/>
      <c r="V9" s="765"/>
      <c r="W9" s="765"/>
      <c r="X9" s="765"/>
      <c r="Y9" s="767"/>
      <c r="Z9" s="765"/>
      <c r="AA9" s="764"/>
      <c r="AB9" s="765"/>
      <c r="AC9" s="765"/>
      <c r="AD9" s="765"/>
      <c r="AE9" s="767"/>
      <c r="AF9" s="765"/>
      <c r="AG9" s="764"/>
      <c r="AH9" s="765"/>
      <c r="AI9" s="765"/>
      <c r="AJ9" s="765"/>
      <c r="AK9" s="767"/>
      <c r="AL9" s="765"/>
      <c r="AM9" s="1673">
        <f>+RevBuild!AM38</f>
        <v>0.15</v>
      </c>
      <c r="AN9" s="1672">
        <f>+RevBuild!AN38</f>
        <v>0.12</v>
      </c>
      <c r="AO9" s="1672">
        <f>+RevBuild!AO38</f>
        <v>0.09</v>
      </c>
      <c r="AP9" s="1744">
        <f>+RevBuild!AP38</f>
        <v>7.0000000000000007E-2</v>
      </c>
      <c r="AQ9" s="1674">
        <f>+RevBuild!AQ38</f>
        <v>0.08</v>
      </c>
      <c r="AR9" s="1502"/>
      <c r="AS9" s="1673">
        <f>+RevBuild!AS38</f>
        <v>4.1986174936282775E-2</v>
      </c>
      <c r="AT9" s="1672">
        <f>+RevBuild!AT38</f>
        <v>7.9720299703969905E-2</v>
      </c>
      <c r="AU9" s="1672">
        <f>+RevBuild!AU38</f>
        <v>-5.6895504705250101E-2</v>
      </c>
      <c r="AV9" s="1744">
        <f>+RevBuild!AV38</f>
        <v>0.24556161925563219</v>
      </c>
      <c r="AW9" s="1674">
        <f>+RevBuild!AW38</f>
        <v>8.2242924002725787E-2</v>
      </c>
      <c r="AX9" s="1745"/>
      <c r="AY9" s="1673">
        <f>+RevBuild!AY38</f>
        <v>6.8955887871865587E-2</v>
      </c>
      <c r="AZ9" s="1672">
        <f>+RevBuild!AZ38</f>
        <v>0.115578716684217</v>
      </c>
      <c r="BA9" s="1672">
        <f>+RevBuild!BA38</f>
        <v>0.12300597839483884</v>
      </c>
      <c r="BB9" s="1744">
        <f>+RevBuild!BB38</f>
        <v>5.647412229815009E-2</v>
      </c>
      <c r="BC9" s="1674">
        <f>+RevBuild!BC38</f>
        <v>8.9171642322726188E-2</v>
      </c>
      <c r="BD9" s="1746"/>
      <c r="BE9" s="1673">
        <f>+RevBuild!BE38</f>
        <v>9.8855219318179338E-2</v>
      </c>
      <c r="BF9" s="1672">
        <f>+RevBuild!BF38</f>
        <v>0.10269798491012569</v>
      </c>
      <c r="BG9" s="1672">
        <f>+RevBuild!BG38</f>
        <v>0.13577084222248559</v>
      </c>
      <c r="BH9" s="1672">
        <f>+RevBuild!BH38</f>
        <v>7.7939161533978812E-2</v>
      </c>
      <c r="BI9" s="1747">
        <f>+RevBuild!BI38</f>
        <v>0.10426101227326293</v>
      </c>
      <c r="BJ9" s="1746"/>
      <c r="BK9" s="1673">
        <f>+RevBuild!BK38</f>
        <v>7.5121228555617051E-2</v>
      </c>
      <c r="BL9" s="1672">
        <f>+RevBuild!BL38</f>
        <v>0.14253969572608383</v>
      </c>
      <c r="BM9" s="1672">
        <f>+RevBuild!BM38</f>
        <v>0.1592156862745098</v>
      </c>
      <c r="BN9" s="1672">
        <f>+RevBuild!BN38</f>
        <v>0.12587545346365031</v>
      </c>
      <c r="BO9" s="1747">
        <f>+RevBuild!BO38</f>
        <v>0.1199345572302461</v>
      </c>
      <c r="BP9" s="1746"/>
      <c r="BQ9" s="1673">
        <f>+RevBuild!BQ38</f>
        <v>9.7754869276483955E-2</v>
      </c>
      <c r="BR9" s="1672">
        <f>+RevBuild!BR38</f>
        <v>7.1852889627251754E-2</v>
      </c>
      <c r="BS9" s="1672">
        <f>+RevBuild!BS38</f>
        <v>2.1015624368267372E-2</v>
      </c>
      <c r="BT9" s="1672">
        <f>+RevBuild!BT38</f>
        <v>1.4052042916437638E-2</v>
      </c>
      <c r="BU9" s="1747">
        <f>+RevBuild!BU38</f>
        <v>4.1058492545459936E-2</v>
      </c>
      <c r="BV9" s="1746"/>
      <c r="BW9" s="1673">
        <f>+RevBuild!BW38</f>
        <v>5.1708333333333342E-2</v>
      </c>
      <c r="BX9" s="1672">
        <f>+RevBuild!BX38</f>
        <v>6.6700000000000009E-2</v>
      </c>
      <c r="BY9" s="1672">
        <f>+RevBuild!BY38</f>
        <v>0.1087185059476151</v>
      </c>
      <c r="BZ9" s="1672">
        <f>+RevBuild!BZ38</f>
        <v>0.1055367773422408</v>
      </c>
      <c r="CA9" s="1747">
        <f>+RevBuild!CA38</f>
        <v>8.3577769539822655E-2</v>
      </c>
      <c r="CB9" s="1746"/>
      <c r="CC9" s="1673">
        <f>+RevBuild!CC38</f>
        <v>4.4254174556520399E-2</v>
      </c>
      <c r="CD9" s="1672">
        <f>+RevBuild!CD38</f>
        <v>6.2092135335694389E-2</v>
      </c>
      <c r="CE9" s="1672">
        <f>+RevBuild!CE38</f>
        <v>8.8332236275052031E-2</v>
      </c>
      <c r="CF9" s="1672">
        <f>+RevBuild!CF38</f>
        <v>5.285012167403539E-2</v>
      </c>
      <c r="CG9" s="1747">
        <f>+RevBuild!CG38</f>
        <v>6.2219449626829341E-2</v>
      </c>
      <c r="CH9" s="1746"/>
      <c r="CI9" s="1673">
        <f>+RevBuild!CI38</f>
        <v>8.916789416288777E-2</v>
      </c>
      <c r="CJ9" s="1672">
        <f>+RevBuild!CJ38</f>
        <v>0.11824945067001874</v>
      </c>
      <c r="CK9" s="1672">
        <f>+RevBuild!CK38</f>
        <v>0.11172710270936953</v>
      </c>
      <c r="CL9" s="1672">
        <f>+RevBuild!CL38</f>
        <v>9.046483697530705E-2</v>
      </c>
      <c r="CM9" s="1747">
        <f>+RevBuild!CM38</f>
        <v>0.10268055942091009</v>
      </c>
      <c r="CN9" s="1746"/>
      <c r="CO9" s="1673">
        <f>+RevBuild!CO38</f>
        <v>0.15599013639799539</v>
      </c>
      <c r="CP9" s="1672">
        <f>+RevBuild!CP38</f>
        <v>6.4574315603195612E-2</v>
      </c>
      <c r="CQ9" s="1672">
        <f>+RevBuild!CQ38</f>
        <v>6.7802651966165334E-2</v>
      </c>
      <c r="CR9" s="1672">
        <f>+RevBuild!CR38</f>
        <v>0.12580955008312042</v>
      </c>
      <c r="CS9" s="1747">
        <f>+RevBuild!CS38</f>
        <v>0.10162414338949304</v>
      </c>
      <c r="CT9" s="1746"/>
      <c r="CU9" s="1673">
        <f>+RevBuild!CU38</f>
        <v>0.16468079262432969</v>
      </c>
      <c r="CV9" s="1672">
        <f>+RevBuild!CV38</f>
        <v>0.15073469915646076</v>
      </c>
      <c r="CW9" s="1672">
        <f>+RevBuild!CW38</f>
        <v>0.14515410951636198</v>
      </c>
      <c r="CX9" s="1672">
        <f>+RevBuild!CX38</f>
        <v>0.14197587414793672</v>
      </c>
      <c r="CY9" s="1747">
        <f>+RevBuild!CY38</f>
        <v>0.14997597806472171</v>
      </c>
      <c r="DD9" s="1441" t="str">
        <f>A13</f>
        <v>Applied Testing</v>
      </c>
      <c r="DE9" s="1490">
        <f>BE13</f>
        <v>0.05</v>
      </c>
      <c r="DF9" s="1490">
        <f>BF13</f>
        <v>-0.04</v>
      </c>
      <c r="DG9" s="1490">
        <f>BG13</f>
        <v>0.06</v>
      </c>
      <c r="DH9" s="1490">
        <f>BH13</f>
        <v>0.17</v>
      </c>
      <c r="DI9" s="1490">
        <f>BK13</f>
        <v>0.12558845231507104</v>
      </c>
      <c r="DJ9" s="1490">
        <f>BL13</f>
        <v>1.7037090881508919E-2</v>
      </c>
      <c r="DK9" s="1490">
        <f>BM13</f>
        <v>7.0000000000000007E-2</v>
      </c>
      <c r="DL9" s="1490">
        <f>BN13</f>
        <v>0.13</v>
      </c>
      <c r="DM9" s="1490">
        <f>BQ13</f>
        <v>4.1210773679550561E-2</v>
      </c>
      <c r="DN9" s="1490">
        <f>BR13</f>
        <v>5.8506875684932541E-2</v>
      </c>
      <c r="DO9" s="1490">
        <f>BS13</f>
        <v>1.3601558393737917E-2</v>
      </c>
      <c r="DP9" s="1490">
        <f>BT13</f>
        <v>2.2143171690856077E-2</v>
      </c>
      <c r="DQ9" s="1490">
        <f>BW13</f>
        <v>-8.3333333333333329E-2</v>
      </c>
      <c r="DR9" s="1490">
        <f>BX13</f>
        <v>4.6000000000000006E-2</v>
      </c>
      <c r="DS9" s="1490">
        <f>BY13</f>
        <v>6.2438165146558755E-2</v>
      </c>
      <c r="DT9" s="1490">
        <f>BZ13</f>
        <v>4.2138928742228604E-2</v>
      </c>
      <c r="DU9" s="1490">
        <f>CC13</f>
        <v>0.18486418280106842</v>
      </c>
      <c r="DV9" s="1490">
        <f>CD13</f>
        <v>0.10756181850217209</v>
      </c>
      <c r="DW9" s="1490">
        <f>CE13</f>
        <v>0.15</v>
      </c>
      <c r="DX9" s="1490">
        <f>CF13</f>
        <v>0.09</v>
      </c>
      <c r="DY9" s="1490">
        <f>CI13</f>
        <v>0.04</v>
      </c>
      <c r="DZ9" s="1490">
        <f>CJ13</f>
        <v>0.1</v>
      </c>
      <c r="EA9" s="1490">
        <f>CK13</f>
        <v>7.0000000000000007E-2</v>
      </c>
      <c r="EB9" s="1490">
        <f>CL13</f>
        <v>0.11</v>
      </c>
      <c r="EF9" s="2022"/>
      <c r="EG9" s="2023"/>
      <c r="EH9" s="2024"/>
      <c r="EI9" s="2024"/>
      <c r="EJ9" s="2024"/>
      <c r="EK9" s="2024"/>
      <c r="EL9" s="2023"/>
      <c r="EM9" s="2024"/>
      <c r="EN9" s="2024"/>
      <c r="EO9" s="2024"/>
      <c r="EP9" s="2025"/>
      <c r="EQ9" s="2023"/>
      <c r="ER9" s="2024"/>
      <c r="ES9" s="2024"/>
      <c r="ET9" s="2024"/>
      <c r="EU9" s="2025"/>
      <c r="EV9" s="2023"/>
      <c r="EW9" s="2024"/>
      <c r="EX9" s="2024"/>
      <c r="EY9" s="2024"/>
      <c r="EZ9" s="2025"/>
    </row>
    <row r="10" spans="1:176" x14ac:dyDescent="0.2">
      <c r="A10" s="354" t="s">
        <v>675</v>
      </c>
      <c r="B10" s="1501"/>
      <c r="C10" s="764"/>
      <c r="D10" s="765"/>
      <c r="E10" s="765"/>
      <c r="F10" s="765"/>
      <c r="G10" s="767"/>
      <c r="H10" s="765"/>
      <c r="I10" s="764"/>
      <c r="J10" s="765"/>
      <c r="K10" s="765"/>
      <c r="L10" s="765"/>
      <c r="M10" s="767"/>
      <c r="N10" s="765"/>
      <c r="O10" s="764"/>
      <c r="P10" s="765"/>
      <c r="Q10" s="765"/>
      <c r="R10" s="765"/>
      <c r="S10" s="767"/>
      <c r="T10" s="765"/>
      <c r="U10" s="764"/>
      <c r="V10" s="765"/>
      <c r="W10" s="765"/>
      <c r="X10" s="765"/>
      <c r="Y10" s="767"/>
      <c r="Z10" s="765"/>
      <c r="AA10" s="764"/>
      <c r="AB10" s="765"/>
      <c r="AC10" s="765"/>
      <c r="AD10" s="765"/>
      <c r="AE10" s="767"/>
      <c r="AF10" s="765"/>
      <c r="AG10" s="764"/>
      <c r="AH10" s="765"/>
      <c r="AI10" s="765"/>
      <c r="AJ10" s="765"/>
      <c r="AK10" s="767"/>
      <c r="AL10" s="765"/>
      <c r="AM10" s="1673">
        <f>+AM8-((Growth_Drivers!AM95*Growth_Drivers!AG93*Growth_Drivers!AM81)/RevBuild!AG32)</f>
        <v>0.15</v>
      </c>
      <c r="AN10" s="1672">
        <f>+AN8-((Growth_Drivers!AN95*Growth_Drivers!AH93*Growth_Drivers!AN81)/RevBuild!AH32)</f>
        <v>0.12</v>
      </c>
      <c r="AO10" s="1672">
        <f>+AO8-((Growth_Drivers!AO95*Growth_Drivers!AI93*Growth_Drivers!AO81)/RevBuild!AI32)</f>
        <v>0.09</v>
      </c>
      <c r="AP10" s="1672">
        <f>+AP8-((Growth_Drivers!AP95*Growth_Drivers!AJ93*Growth_Drivers!AP81)/RevBuild!AJ32)</f>
        <v>7.0000000000000007E-2</v>
      </c>
      <c r="AQ10" s="1747">
        <f>+AQ$8-((Growth_Drivers!AQ95*Growth_Drivers!AK93*Growth_Drivers!AQ81)/RevBuild!AK$32)</f>
        <v>0.08</v>
      </c>
      <c r="AR10" s="1502"/>
      <c r="AS10" s="1673">
        <f>+AS8-((Growth_Drivers!AS95*Growth_Drivers!AM93*Growth_Drivers!AS81)/RevBuild!AM32)</f>
        <v>-0.02</v>
      </c>
      <c r="AT10" s="1672">
        <f>+AT8-((Growth_Drivers!AT95*Growth_Drivers!AN93*Growth_Drivers!AT81)/RevBuild!AN32)</f>
        <v>0.02</v>
      </c>
      <c r="AU10" s="1672">
        <f>+AU8-((Growth_Drivers!AU95*Growth_Drivers!AO93*Growth_Drivers!AU81)/RevBuild!AO32)</f>
        <v>-0.11065893109067249</v>
      </c>
      <c r="AV10" s="1672">
        <f>+AV8-((Growth_Drivers!AV95*Growth_Drivers!AP93*Growth_Drivers!AV81)/RevBuild!AP32)</f>
        <v>0.19185178581417461</v>
      </c>
      <c r="AW10" s="1747">
        <f>+AW$8-((Growth_Drivers!AW95*Growth_Drivers!AQ93*Growth_Drivers!AW81)/RevBuild!AQ$32)</f>
        <v>2.5178265176889272E-2</v>
      </c>
      <c r="AX10" s="1745"/>
      <c r="AY10" s="1673">
        <f>+AY8-((Growth_Drivers!AY95*Growth_Drivers!AS93*Growth_Drivers!AY81)/RevBuild!AS32)</f>
        <v>7.9731620979629575E-2</v>
      </c>
      <c r="AZ10" s="1672">
        <f>+AZ8-((Growth_Drivers!AZ95*Growth_Drivers!AT93*Growth_Drivers!AZ81)/RevBuild!AT32)</f>
        <v>6.6631859651458375E-2</v>
      </c>
      <c r="BA10" s="1672">
        <f>+BA8-((Growth_Drivers!BA95*Growth_Drivers!AU93*Growth_Drivers!BA81)/RevBuild!AU32)</f>
        <v>9.3184853909822701E-2</v>
      </c>
      <c r="BB10" s="1672">
        <f>+BB8-((Growth_Drivers!BB95*Growth_Drivers!AV93*Growth_Drivers!BB81)/RevBuild!AV32)</f>
        <v>9.9132826984032127E-3</v>
      </c>
      <c r="BC10" s="1747">
        <f>+BC$8-((Growth_Drivers!BC95*Growth_Drivers!AW93*Growth_Drivers!BC81)/RevBuild!AW$32)</f>
        <v>5.8586248209737173E-2</v>
      </c>
      <c r="BD10" s="1746"/>
      <c r="BE10" s="1673">
        <f>+BE8-((Growth_Drivers!BE95*Growth_Drivers!AY93*Growth_Drivers!BE81)/RevBuild!AY32)</f>
        <v>4.6810286427472508E-2</v>
      </c>
      <c r="BF10" s="1672">
        <f>+BF8-((Growth_Drivers!BF95*Growth_Drivers!AZ93*Growth_Drivers!BF81)/RevBuild!AZ32)</f>
        <v>1.9563625237213264E-3</v>
      </c>
      <c r="BG10" s="1672">
        <f>+BG8-((Growth_Drivers!BG95*Growth_Drivers!BA93*Growth_Drivers!BG81)/RevBuild!BA32)</f>
        <v>6.1788381663083071E-2</v>
      </c>
      <c r="BH10" s="1672">
        <f>+BH8-((Growth_Drivers!BH95*Growth_Drivers!BB93*Growth_Drivers!BH81)/RevBuild!BB32)</f>
        <v>-5.5522227611509503E-3</v>
      </c>
      <c r="BI10" s="1747">
        <f>+BI$8-((Growth_Drivers!BI$95*Growth_Drivers!BC$93*Growth_Drivers!BI81)/RevBuild!BC$32)</f>
        <v>2.6543431581419058E-2</v>
      </c>
      <c r="BJ10" s="1746"/>
      <c r="BK10" s="1673">
        <f>+BK8-((Growth_Drivers!BK95*Growth_Drivers!BE93*Growth_Drivers!BK81)/RevBuild!BE32)</f>
        <v>-2.7318285982211799E-2</v>
      </c>
      <c r="BL10" s="1672">
        <f>+BL8-((Growth_Drivers!BL95*Growth_Drivers!BF93*Growth_Drivers!BL81)/RevBuild!BF32)</f>
        <v>6.4102476145714571E-2</v>
      </c>
      <c r="BM10" s="1672">
        <f>+BM8-((Growth_Drivers!BM95*Growth_Drivers!BG93*Growth_Drivers!BM81)/RevBuild!BG32)</f>
        <v>3.7489977954079476E-2</v>
      </c>
      <c r="BN10" s="1672">
        <f>+BN8-((Growth_Drivers!BN95*Growth_Drivers!BH93*Growth_Drivers!BN81)/RevBuild!BH32)</f>
        <v>1.7583143739155517E-2</v>
      </c>
      <c r="BO10" s="1747">
        <f>+BO$8-((Growth_Drivers!BO95*Growth_Drivers!BI93*Growth_Drivers!BO81)/RevBuild!BI$32)</f>
        <v>1.8803440327045597E-2</v>
      </c>
      <c r="BP10" s="1746"/>
      <c r="BQ10" s="1673">
        <f>+BQ8-((Growth_Drivers!BQ95*Growth_Drivers!BK93*Growth_Drivers!BQ81)/RevBuild!BK32)</f>
        <v>-1.3848617862418533E-2</v>
      </c>
      <c r="BR10" s="1672">
        <f>+BR8-((Growth_Drivers!BR95*Growth_Drivers!BL93*Growth_Drivers!BR81)/RevBuild!BL32)</f>
        <v>3.6493465433162058E-3</v>
      </c>
      <c r="BS10" s="1672">
        <f>+BS8-((Growth_Drivers!BS95*Growth_Drivers!BM93*Growth_Drivers!BS81)/RevBuild!BM32)</f>
        <v>-7.6568611763579347E-2</v>
      </c>
      <c r="BT10" s="1672">
        <f>+BT8-((Growth_Drivers!BT95*Growth_Drivers!BN93*Growth_Drivers!BT81)/RevBuild!BN32)</f>
        <v>-3.8366393137845678E-2</v>
      </c>
      <c r="BU10" s="1747">
        <f>+BU$8-((Growth_Drivers!BU95*Growth_Drivers!BO93*Growth_Drivers!BU81)/RevBuild!BO$32)</f>
        <v>-3.2184775866623119E-2</v>
      </c>
      <c r="BV10" s="1746"/>
      <c r="BW10" s="1673">
        <f>+BW8-((Growth_Drivers!BW95*Growth_Drivers!BQ93*Growth_Drivers!BW81)/RevBuild!BQ32)</f>
        <v>-2.0552116309919811E-2</v>
      </c>
      <c r="BX10" s="1672">
        <f>+BX8-((Growth_Drivers!BX95*Growth_Drivers!BR93*Growth_Drivers!BX81)/RevBuild!BR32)</f>
        <v>-6.940439415372035E-3</v>
      </c>
      <c r="BY10" s="1672">
        <f>+BY8-((Growth_Drivers!BY95*Growth_Drivers!BS93*Growth_Drivers!BY81)/RevBuild!BS32)</f>
        <v>2.1811948039454375E-2</v>
      </c>
      <c r="BZ10" s="1672">
        <f>+BZ8-((Growth_Drivers!BZ95*Growth_Drivers!BT93*Growth_Drivers!BZ81)/RevBuild!BT32)</f>
        <v>4.3264012615094612E-2</v>
      </c>
      <c r="CA10" s="1747">
        <f>+CA$8-((Growth_Drivers!CA95*Growth_Drivers!BU93*Growth_Drivers!CA81)/RevBuild!BU$32)</f>
        <v>1.0592429623559343E-2</v>
      </c>
      <c r="CB10" s="1746"/>
      <c r="CC10" s="1673">
        <f>+CC8-((Growth_Drivers!CC95*Growth_Drivers!BW93*Growth_Drivers!CC81)/RevBuild!BW32)</f>
        <v>-1.1915429505190988E-2</v>
      </c>
      <c r="CD10" s="1672">
        <f>+CD8-((Growth_Drivers!CD95*Growth_Drivers!BX93*Growth_Drivers!CD81)/RevBuild!BX32)</f>
        <v>-7.4389487457554027E-3</v>
      </c>
      <c r="CE10" s="1672">
        <f>+CE8-((Growth_Drivers!CE95*Growth_Drivers!BY93*Growth_Drivers!CE81)/RevBuild!BY32)</f>
        <v>1.9501191827545922E-2</v>
      </c>
      <c r="CF10" s="1672">
        <f>+CF8-((Growth_Drivers!CF95*Growth_Drivers!BZ93*Growth_Drivers!CF81)/RevBuild!BZ32)</f>
        <v>-7.7814115038746939E-3</v>
      </c>
      <c r="CG10" s="1747">
        <f>+CG$8-((Growth_Drivers!CG95*Growth_Drivers!CA93*Growth_Drivers!CG81)/RevBuild!CA$32)</f>
        <v>-1.6066512368109812E-3</v>
      </c>
      <c r="CH10" s="1746"/>
      <c r="CI10" s="1673">
        <f>+CI8-((Growth_Drivers!CI95*Growth_Drivers!CC93*Growth_Drivers!CI81)/RevBuild!CC32)</f>
        <v>4.45676973419026E-2</v>
      </c>
      <c r="CJ10" s="1672">
        <f>+CJ8-((Growth_Drivers!CJ95*Growth_Drivers!CD93*Growth_Drivers!CJ81)/RevBuild!CD32)</f>
        <v>4.0947604077618251E-2</v>
      </c>
      <c r="CK10" s="1672">
        <f>+CK8-((Growth_Drivers!CK95*Growth_Drivers!CE93*Growth_Drivers!CK81)/RevBuild!CE32)</f>
        <v>1.407653096120505E-2</v>
      </c>
      <c r="CL10" s="1672">
        <f>+CL8-((Growth_Drivers!CL95*Growth_Drivers!CF93*Growth_Drivers!CL81)/RevBuild!CF32)</f>
        <v>3.0937021936171705E-2</v>
      </c>
      <c r="CM10" s="1747">
        <f>+CM$8-((Growth_Drivers!CM95*Growth_Drivers!CG93*Growth_Drivers!CM81)/RevBuild!CG$32)</f>
        <v>3.1836153771885298E-2</v>
      </c>
      <c r="CN10" s="1746"/>
      <c r="CO10" s="1673">
        <f>+CO8-((Growth_Drivers!CO95*Growth_Drivers!CI93*Growth_Drivers!CO81)/RevBuild!CI32)</f>
        <v>1.9697837250227779E-2</v>
      </c>
      <c r="CP10" s="1672">
        <f>+CP8-((Growth_Drivers!CP95*Growth_Drivers!CJ93*Growth_Drivers!CP81)/RevBuild!CJ32)</f>
        <v>4.8110090174049366E-3</v>
      </c>
      <c r="CQ10" s="1672">
        <f>+CQ8-((Growth_Drivers!CQ95*Growth_Drivers!CK93*Growth_Drivers!CQ81)/RevBuild!CK32)</f>
        <v>6.5956928277488558E-2</v>
      </c>
      <c r="CR10" s="1672">
        <f>+CR8-((Growth_Drivers!CR95*Growth_Drivers!CL93*Growth_Drivers!CR81)/RevBuild!CL32)</f>
        <v>7.2238231354445723E-2</v>
      </c>
      <c r="CS10" s="1747">
        <f>+CS$8-((Growth_Drivers!CS95*Growth_Drivers!CM93*Growth_Drivers!CS81)/RevBuild!CM$32)</f>
        <v>4.2722230405180694E-2</v>
      </c>
      <c r="CT10" s="1746"/>
      <c r="CU10" s="1673">
        <f>+CU8-((Growth_Drivers!CU95*Growth_Drivers!CO93*Growth_Drivers!CU81)/RevBuild!CO32)</f>
        <v>0.10810704289140197</v>
      </c>
      <c r="CV10" s="1672">
        <f>+CV8-((Growth_Drivers!CV95*Growth_Drivers!CP93*Growth_Drivers!CV81)/RevBuild!CP32)</f>
        <v>9.8619923372647703E-2</v>
      </c>
      <c r="CW10" s="1672">
        <f>+CW8-((Growth_Drivers!CW95*Growth_Drivers!CQ93*Growth_Drivers!CW81)/RevBuild!CQ32)</f>
        <v>9.479804049147067E-2</v>
      </c>
      <c r="CX10" s="1672">
        <f>+CX8-((Growth_Drivers!CX95*Growth_Drivers!CR93*Growth_Drivers!CX81)/RevBuild!CR32)</f>
        <v>9.6314588572014873E-2</v>
      </c>
      <c r="CY10" s="1747">
        <f>+CY$8-((Growth_Drivers!CY95*Growth_Drivers!CS93*Growth_Drivers!CY81)/RevBuild!CS$32)</f>
        <v>9.9119085600579998E-2</v>
      </c>
      <c r="DD10" s="48" t="str">
        <f>A15</f>
        <v xml:space="preserve">Pharma </v>
      </c>
      <c r="DE10" s="1488">
        <f>BE15</f>
        <v>-0.04</v>
      </c>
      <c r="DF10" s="1488">
        <f>BF15</f>
        <v>3.4303626474140092E-2</v>
      </c>
      <c r="DG10" s="1488">
        <f>BG15</f>
        <v>-2.9565084508477134E-2</v>
      </c>
      <c r="DH10" s="1488">
        <f>BH15</f>
        <v>5.2713297601504061E-3</v>
      </c>
      <c r="DI10" s="1488">
        <f>BK15</f>
        <v>2.3955092336387304E-2</v>
      </c>
      <c r="DJ10" s="1488">
        <f>BL15</f>
        <v>-1.0370181914718784E-2</v>
      </c>
      <c r="DK10" s="1488">
        <f>BM15</f>
        <v>0.04</v>
      </c>
      <c r="DL10" s="1488">
        <f>BN15</f>
        <v>0.01</v>
      </c>
      <c r="DM10" s="1488">
        <f>BQ15</f>
        <v>7.8782204966528664E-3</v>
      </c>
      <c r="DN10" s="1488">
        <f>BR15</f>
        <v>4.8318684498918976E-2</v>
      </c>
      <c r="DO10" s="1488">
        <f>BS15</f>
        <v>4.0463814060521228E-2</v>
      </c>
      <c r="DP10" s="1488">
        <f>BT15</f>
        <v>3.6071585845428036E-2</v>
      </c>
      <c r="DQ10" s="1488">
        <f>BW15</f>
        <v>6.0000000000000012E-2</v>
      </c>
      <c r="DR10" s="1488">
        <f>BX15</f>
        <v>7.0999999999999994E-2</v>
      </c>
      <c r="DS10" s="1488">
        <f>BY15</f>
        <v>2.8194348631902885E-2</v>
      </c>
      <c r="DT10" s="1488">
        <f>BZ15</f>
        <v>-4.8157517178886861E-3</v>
      </c>
      <c r="DU10" s="1488">
        <f>CC15</f>
        <v>2.9728365602136875E-2</v>
      </c>
      <c r="DV10" s="1488">
        <f>CD15</f>
        <v>3.2584097943089779E-2</v>
      </c>
      <c r="DW10" s="1488">
        <f>CE15</f>
        <v>1.1616251088769805E-2</v>
      </c>
      <c r="DX10" s="1488">
        <f>CF15</f>
        <v>5.0589759097323578E-2</v>
      </c>
      <c r="DY10" s="1488">
        <f>CI15</f>
        <v>0.05</v>
      </c>
      <c r="DZ10" s="1488">
        <f>CJ15</f>
        <v>0.06</v>
      </c>
      <c r="EA10" s="1488">
        <f>CK15</f>
        <v>0.1</v>
      </c>
      <c r="EB10" s="1488">
        <f>CL15</f>
        <v>0.08</v>
      </c>
      <c r="EF10" s="2026"/>
      <c r="EG10" s="2027"/>
      <c r="EH10" s="2028"/>
      <c r="EI10" s="2028"/>
      <c r="EJ10" s="2028"/>
      <c r="EK10" s="2029"/>
      <c r="EL10" s="2027"/>
      <c r="EM10" s="2028"/>
      <c r="EN10" s="2028"/>
      <c r="EO10" s="2028"/>
      <c r="EP10" s="2029"/>
      <c r="EQ10" s="2027"/>
      <c r="ER10" s="2028"/>
      <c r="ES10" s="2030"/>
      <c r="ET10" s="2030"/>
      <c r="EU10" s="2031"/>
      <c r="EV10" s="2032"/>
      <c r="EW10" s="2028"/>
      <c r="EX10" s="2028"/>
      <c r="EY10" s="2028"/>
      <c r="EZ10" s="2029"/>
    </row>
    <row r="11" spans="1:176" x14ac:dyDescent="0.2">
      <c r="A11" s="354" t="s">
        <v>669</v>
      </c>
      <c r="B11" s="1501"/>
      <c r="C11" s="764"/>
      <c r="D11" s="765"/>
      <c r="E11" s="765"/>
      <c r="F11" s="765"/>
      <c r="G11" s="767"/>
      <c r="H11" s="765"/>
      <c r="I11" s="764"/>
      <c r="J11" s="765"/>
      <c r="K11" s="765"/>
      <c r="L11" s="765"/>
      <c r="M11" s="767"/>
      <c r="N11" s="765"/>
      <c r="O11" s="764"/>
      <c r="P11" s="765"/>
      <c r="Q11" s="765"/>
      <c r="R11" s="765"/>
      <c r="S11" s="767"/>
      <c r="T11" s="765"/>
      <c r="U11" s="764"/>
      <c r="V11" s="765"/>
      <c r="W11" s="765"/>
      <c r="X11" s="765"/>
      <c r="Y11" s="767"/>
      <c r="Z11" s="765"/>
      <c r="AA11" s="764"/>
      <c r="AB11" s="765"/>
      <c r="AC11" s="765"/>
      <c r="AD11" s="765"/>
      <c r="AE11" s="767"/>
      <c r="AF11" s="765"/>
      <c r="AG11" s="764"/>
      <c r="AH11" s="765"/>
      <c r="AI11" s="765"/>
      <c r="AJ11" s="765"/>
      <c r="AK11" s="767"/>
      <c r="AL11" s="765"/>
      <c r="AM11" s="1673">
        <f>+AM$8-((Growth_Drivers!AM$254*Growth_Drivers!AG$253*Growth_Drivers!AM$231)/RevBuild!AG$32)</f>
        <v>0.15</v>
      </c>
      <c r="AN11" s="1672">
        <f>+AN$8-((Growth_Drivers!AN254*Growth_Drivers!AH253*Growth_Drivers!AN231)/RevBuild!AH$32)</f>
        <v>0.12</v>
      </c>
      <c r="AO11" s="1672">
        <f>+AO$8-((Growth_Drivers!AO254*Growth_Drivers!AI253*Growth_Drivers!AO231)/RevBuild!AI$32)</f>
        <v>0.09</v>
      </c>
      <c r="AP11" s="1744">
        <f>+AP$8-((Growth_Drivers!AP254*Growth_Drivers!AJ253*Growth_Drivers!AP231)/RevBuild!AJ$32)</f>
        <v>7.0000000000000007E-2</v>
      </c>
      <c r="AQ11" s="1747">
        <f>+AQ$8-((Growth_Drivers!AQ$254*Growth_Drivers!AK$253*Growth_Drivers!AQ231)/RevBuild!AK$32)</f>
        <v>0.08</v>
      </c>
      <c r="AR11" s="1502"/>
      <c r="AS11" s="1673">
        <f>+AS$8-((Growth_Drivers!AS$254*Growth_Drivers!AM$253*Growth_Drivers!AS$231)/RevBuild!AM$32)</f>
        <v>-0.02</v>
      </c>
      <c r="AT11" s="1672">
        <f>+AT$8-((Growth_Drivers!AT254*Growth_Drivers!AN253*Growth_Drivers!AT231)/RevBuild!AN$32)</f>
        <v>0.02</v>
      </c>
      <c r="AU11" s="1672">
        <f>+AU$8-((Growth_Drivers!AU254*Growth_Drivers!AO253*Growth_Drivers!AU231)/RevBuild!AO$32)</f>
        <v>-0.11065893109067249</v>
      </c>
      <c r="AV11" s="1744">
        <f>+AV$8-((Growth_Drivers!AV254*Growth_Drivers!AP253*Growth_Drivers!AV231)/RevBuild!AP$32)</f>
        <v>0.19185178581417461</v>
      </c>
      <c r="AW11" s="1747">
        <f>+AW$8-((Growth_Drivers!AW$254*Growth_Drivers!AQ$253*Growth_Drivers!AW231)/RevBuild!AQ$32)</f>
        <v>2.5178265176889272E-2</v>
      </c>
      <c r="AX11" s="1745"/>
      <c r="AY11" s="1673">
        <f>+AY$8-((Growth_Drivers!AY$254*Growth_Drivers!AS$253*Growth_Drivers!AY$231)/RevBuild!AS$32)</f>
        <v>7.9731620979629575E-2</v>
      </c>
      <c r="AZ11" s="1672">
        <f>+AZ$8-((Growth_Drivers!AZ254*Growth_Drivers!AT253*Growth_Drivers!AZ231)/RevBuild!AT$32)</f>
        <v>6.6631859651458375E-2</v>
      </c>
      <c r="BA11" s="1672">
        <f>+BA$8-((Growth_Drivers!BA254*Growth_Drivers!AU253*Growth_Drivers!BA231)/RevBuild!AU$32)</f>
        <v>0.11858235298986884</v>
      </c>
      <c r="BB11" s="1744">
        <f>+BB$8-((Growth_Drivers!BB254*Growth_Drivers!AV253*Growth_Drivers!BB231)/RevBuild!AV$32)</f>
        <v>3.50313976436816E-2</v>
      </c>
      <c r="BC11" s="1747">
        <f>+BC$8-((Growth_Drivers!BC$254*Growth_Drivers!AW$253*Growth_Drivers!BC231)/RevBuild!AW$32)</f>
        <v>7.0529945413844553E-2</v>
      </c>
      <c r="BD11" s="1746"/>
      <c r="BE11" s="1673">
        <f>+BE$8-((Growth_Drivers!BE$254*Growth_Drivers!AY$253*Growth_Drivers!BE$231)/RevBuild!AY$32)</f>
        <v>8.2340425531914896E-2</v>
      </c>
      <c r="BF11" s="1672">
        <f>+BF$8-((Growth_Drivers!BF254*Growth_Drivers!AZ253*Growth_Drivers!BF231)/RevBuild!AZ$32)</f>
        <v>0.04</v>
      </c>
      <c r="BG11" s="1672">
        <f>+BG$8-((Growth_Drivers!BG254*Growth_Drivers!BA253*Growth_Drivers!BG231)/RevBuild!BA$32)</f>
        <v>9.7568772060878495E-2</v>
      </c>
      <c r="BH11" s="1744">
        <f>+BH$8-((Growth_Drivers!BH254*Growth_Drivers!BB253*Growth_Drivers!BH231)/RevBuild!BB$32)</f>
        <v>2.7641465456847585E-2</v>
      </c>
      <c r="BI11" s="1747">
        <f>+BI$8-((Growth_Drivers!BI$254*Growth_Drivers!BC$253*Growth_Drivers!BI231)/RevBuild!BC$32)</f>
        <v>6.2466895835391723E-2</v>
      </c>
      <c r="BJ11" s="1746"/>
      <c r="BK11" s="1673">
        <f>+BK$8-((Growth_Drivers!BK254*Growth_Drivers!BE253*Growth_Drivers!BK231)/RevBuild!BE$32)</f>
        <v>6.5412285556170451E-3</v>
      </c>
      <c r="BL11" s="1672">
        <f>+BL$8-((Growth_Drivers!BL254*Growth_Drivers!BF253*Growth_Drivers!BL231)/RevBuild!BF$32)</f>
        <v>7.9274389603634837E-2</v>
      </c>
      <c r="BM11" s="1672">
        <f>+BM$8-((Growth_Drivers!BM254*Growth_Drivers!BG253*Growth_Drivers!BM231)/RevBuild!BG$32)</f>
        <v>0.06</v>
      </c>
      <c r="BN11" s="1744">
        <f>+BN$8-((Growth_Drivers!BN254*Growth_Drivers!BH253*Growth_Drivers!BN231)/RevBuild!BH$32)</f>
        <v>0.03</v>
      </c>
      <c r="BO11" s="1747">
        <f>+BO$8-((Growth_Drivers!BO254*Growth_Drivers!BI253*Growth_Drivers!BO231)/RevBuild!BI$32)</f>
        <v>3.9029520598094204E-2</v>
      </c>
      <c r="BP11" s="1746"/>
      <c r="BQ11" s="1673">
        <f>+BQ$8-((Growth_Drivers!BQ254*Growth_Drivers!BK253*Growth_Drivers!BQ231)/RevBuild!BK$32)</f>
        <v>5.2997181517633564E-3</v>
      </c>
      <c r="BR11" s="1672">
        <f>+BR$8-((Growth_Drivers!BR254*Growth_Drivers!BL253*Growth_Drivers!BR231)/RevBuild!BL$32)</f>
        <v>2.192264716626393E-2</v>
      </c>
      <c r="BS11" s="1672">
        <f>+BS$8-((Growth_Drivers!BS254*Growth_Drivers!BM253*Growth_Drivers!BS231)/RevBuild!BM$32)</f>
        <v>-3.7138221785578782E-2</v>
      </c>
      <c r="BT11" s="1744">
        <f>+BT$8-((Growth_Drivers!BT254*Growth_Drivers!BN253*Growth_Drivers!BT231)/RevBuild!BN$32)</f>
        <v>-8.445322642790104E-3</v>
      </c>
      <c r="BU11" s="1747">
        <f>+BU$8-((Growth_Drivers!BU254*Growth_Drivers!BO253*Growth_Drivers!BU231)/RevBuild!BO$32)</f>
        <v>-5.1638771877447337E-3</v>
      </c>
      <c r="BV11" s="1746"/>
      <c r="BW11" s="1673">
        <f>+BW$8-((Growth_Drivers!BW254*Growth_Drivers!BQ253*Growth_Drivers!BW231)/RevBuild!BQ$32)</f>
        <v>1.5833333333333335E-2</v>
      </c>
      <c r="BX11" s="1672">
        <f>+BX$8-((Growth_Drivers!BX254*Growth_Drivers!BR253*Growth_Drivers!BX231)/RevBuild!BR$32)</f>
        <v>3.7999999999999999E-2</v>
      </c>
      <c r="BY11" s="1672">
        <f>+BY$8-((Growth_Drivers!BY254*Growth_Drivers!BS253*Growth_Drivers!BY231)/RevBuild!BS$32)</f>
        <v>8.2951612058762295E-2</v>
      </c>
      <c r="BZ11" s="1744">
        <f>+BZ$8-((Growth_Drivers!BZ254*Growth_Drivers!BT253*Growth_Drivers!BZ231)/RevBuild!BT$32)</f>
        <v>0.10291497086639534</v>
      </c>
      <c r="CA11" s="1747">
        <f>+CA$8-((Growth_Drivers!CA254*Growth_Drivers!BU253*Growth_Drivers!CA231)/RevBuild!BU$32)</f>
        <v>6.1622483285943754E-2</v>
      </c>
      <c r="CB11" s="1746"/>
      <c r="CC11" s="1673">
        <f>+CC$8-((Growth_Drivers!CC254*Growth_Drivers!BW253*Growth_Drivers!CC231)/RevBuild!BW$32)</f>
        <v>1.6618686770210972E-2</v>
      </c>
      <c r="CD11" s="1672">
        <f>+CD$8-((Growth_Drivers!CD254*Growth_Drivers!BX253*Growth_Drivers!CD231)/RevBuild!BX$32)</f>
        <v>5.8739576419663909E-2</v>
      </c>
      <c r="CE11" s="1672">
        <f>+CE$8-((Growth_Drivers!CE254*Growth_Drivers!BY253*Growth_Drivers!CE231)/RevBuild!BY$32)</f>
        <v>8.1999109023647099E-2</v>
      </c>
      <c r="CF11" s="1744">
        <f>+CF$8-((Growth_Drivers!CF254*Growth_Drivers!BZ253*Growth_Drivers!CF231)/RevBuild!BZ$32)</f>
        <v>3.2483913425762234E-2</v>
      </c>
      <c r="CG11" s="1747">
        <f>+CG$8-((Growth_Drivers!CG254*Growth_Drivers!CA253*Growth_Drivers!CG231)/RevBuild!CA$32)</f>
        <v>4.827470296427587E-2</v>
      </c>
      <c r="CH11" s="1746"/>
      <c r="CI11" s="1673">
        <f>+CI$8-((Growth_Drivers!CI254*Growth_Drivers!CC253*Growth_Drivers!CI231)/RevBuild!CC$32)</f>
        <v>8.0091529223834446E-2</v>
      </c>
      <c r="CJ11" s="1672">
        <f>+CJ$8-((Growth_Drivers!CJ254*Growth_Drivers!CD253*Growth_Drivers!CJ231)/RevBuild!CD$32)</f>
        <v>8.996218361540903E-2</v>
      </c>
      <c r="CK11" s="1672">
        <f>+CK$8-((Growth_Drivers!CK254*Growth_Drivers!CE253*Growth_Drivers!CK231)/RevBuild!CE$32)</f>
        <v>8.5058212227151875E-2</v>
      </c>
      <c r="CL11" s="1744">
        <f>+CL$8-((Growth_Drivers!CL254*Growth_Drivers!CF253*Growth_Drivers!CL231)/RevBuild!CF$32)</f>
        <v>5.9521052604279631E-2</v>
      </c>
      <c r="CM11" s="1747">
        <f>+CM$8-((Growth_Drivers!CM254*Growth_Drivers!CG253*Growth_Drivers!CM231)/RevBuild!CG$32)</f>
        <v>7.8034128154562885E-2</v>
      </c>
      <c r="CN11" s="1746"/>
      <c r="CO11" s="1673">
        <f>+CO$8-((Growth_Drivers!CO254*Growth_Drivers!CI253*Growth_Drivers!CO231)/RevBuild!CI$32)</f>
        <v>0.14422555113560334</v>
      </c>
      <c r="CP11" s="1672">
        <f>+CP$8-((Growth_Drivers!CP254*Growth_Drivers!CJ253*Growth_Drivers!CP231)/RevBuild!CJ$32)</f>
        <v>5.4279584668171107E-2</v>
      </c>
      <c r="CQ11" s="1672">
        <f>+CQ$8-((Growth_Drivers!CQ254*Growth_Drivers!CK253*Growth_Drivers!CQ231)/RevBuild!CK$32)</f>
        <v>5.7526862852850261E-2</v>
      </c>
      <c r="CR11" s="1744">
        <f>+CR$8-((Growth_Drivers!CR254*Growth_Drivers!CL253*Growth_Drivers!CR231)/RevBuild!CL$32)</f>
        <v>0.11582601241663816</v>
      </c>
      <c r="CS11" s="1747">
        <f>+CS$8-((Growth_Drivers!CS254*Growth_Drivers!CM253*Growth_Drivers!CS231)/RevBuild!CM$32)</f>
        <v>9.1111227743091716E-2</v>
      </c>
      <c r="CT11" s="1746"/>
      <c r="CU11" s="1673">
        <f>+CU$8-((Growth_Drivers!CU254*Growth_Drivers!CO253*Growth_Drivers!CU231)/RevBuild!CO$32)</f>
        <v>0.15244941432057807</v>
      </c>
      <c r="CV11" s="1672">
        <f>+CV$8-((Growth_Drivers!CV254*Growth_Drivers!CP253*Growth_Drivers!CV231)/RevBuild!CP$32)</f>
        <v>0.13964286111202839</v>
      </c>
      <c r="CW11" s="1672">
        <f>+CW$8-((Growth_Drivers!CW254*Growth_Drivers!CQ253*Growth_Drivers!CW231)/RevBuild!CQ$32)</f>
        <v>0.13410625802655657</v>
      </c>
      <c r="CX11" s="1744">
        <f>+CX$8-((Growth_Drivers!CX254*Growth_Drivers!CR253*Growth_Drivers!CX231)/RevBuild!CR$32)</f>
        <v>0.13207978078494698</v>
      </c>
      <c r="CY11" s="1747">
        <f>+CY$8-((Growth_Drivers!CY254*Growth_Drivers!CS253*Growth_Drivers!CY231)/RevBuild!CS$32)</f>
        <v>0.1389765040905474</v>
      </c>
      <c r="DD11" s="1441" t="str">
        <f>A19</f>
        <v>Academic</v>
      </c>
      <c r="DE11" s="1490">
        <f>BE19</f>
        <v>-0.04</v>
      </c>
      <c r="DF11" s="1490">
        <f>BF19</f>
        <v>2.5253022061783408E-2</v>
      </c>
      <c r="DG11" s="1490">
        <f>BG19</f>
        <v>-2.7155691902544399E-2</v>
      </c>
      <c r="DH11" s="1490">
        <f>BH19</f>
        <v>-1.0657220187708372E-2</v>
      </c>
      <c r="DI11" s="1490">
        <f>BK19</f>
        <v>6.7990376929225854E-2</v>
      </c>
      <c r="DJ11" s="1490">
        <f>BL19</f>
        <v>-4.9017549491059811E-2</v>
      </c>
      <c r="DK11" s="1490">
        <f>BM19</f>
        <v>0</v>
      </c>
      <c r="DL11" s="1490">
        <f>BN19</f>
        <v>0.06</v>
      </c>
      <c r="DM11" s="1490">
        <f>BQ19</f>
        <v>2.0403591226516853E-2</v>
      </c>
      <c r="DN11" s="1490">
        <f>BR19</f>
        <v>5.1275227521793657E-2</v>
      </c>
      <c r="DO11" s="1490">
        <f>BS19</f>
        <v>4.2324403197614442E-2</v>
      </c>
      <c r="DP11" s="1490">
        <f>BT19</f>
        <v>5.0422206600804764E-2</v>
      </c>
      <c r="DQ11" s="1490">
        <f>BW19</f>
        <v>6.9565217391304376E-3</v>
      </c>
      <c r="DR11" s="1490">
        <f>BX19</f>
        <v>3.6571428571428574E-2</v>
      </c>
      <c r="DS11" s="1490">
        <f>BY19</f>
        <v>-6.4407004740515972E-4</v>
      </c>
      <c r="DT11" s="1490">
        <f>BZ19</f>
        <v>-3.7923866259122946E-2</v>
      </c>
      <c r="DU11" s="1490">
        <f>CC19</f>
        <v>-5.7001461665984396E-3</v>
      </c>
      <c r="DV11" s="1490">
        <f>CD19</f>
        <v>7.5683175845833658E-3</v>
      </c>
      <c r="DW11" s="1490">
        <f>CE19</f>
        <v>3.1602619936913282E-4</v>
      </c>
      <c r="DX11" s="1490">
        <f>CF19</f>
        <v>3.2637446315604099E-2</v>
      </c>
      <c r="DY11" s="1490">
        <f>CI19</f>
        <v>0.02</v>
      </c>
      <c r="DZ11" s="1490">
        <f>CJ19</f>
        <v>0.01</v>
      </c>
      <c r="EA11" s="1490">
        <f>CK19</f>
        <v>0.02</v>
      </c>
      <c r="EB11" s="1490">
        <f>CL19</f>
        <v>-0.02</v>
      </c>
      <c r="EF11" s="2033"/>
      <c r="EG11" s="2034"/>
      <c r="EH11" s="2035"/>
      <c r="EI11" s="2035"/>
      <c r="EJ11" s="2035"/>
      <c r="EK11" s="2036"/>
      <c r="EL11" s="2034"/>
      <c r="EM11" s="2035"/>
      <c r="EN11" s="2035"/>
      <c r="EO11" s="2035"/>
      <c r="EP11" s="2036"/>
      <c r="EQ11" s="2034"/>
      <c r="ER11" s="2035"/>
      <c r="ES11" s="2035"/>
      <c r="ET11" s="2035"/>
      <c r="EU11" s="2036"/>
      <c r="EV11" s="2034"/>
      <c r="EW11" s="2035"/>
      <c r="EX11" s="2035"/>
      <c r="EY11" s="2035"/>
      <c r="EZ11" s="2036"/>
    </row>
    <row r="12" spans="1:176" x14ac:dyDescent="0.2">
      <c r="A12" s="1819" t="s">
        <v>663</v>
      </c>
      <c r="B12" s="1856"/>
      <c r="C12" s="1857"/>
      <c r="D12" s="1858"/>
      <c r="E12" s="1858"/>
      <c r="F12" s="1858"/>
      <c r="G12" s="1859"/>
      <c r="H12" s="1858"/>
      <c r="I12" s="1857"/>
      <c r="J12" s="1858"/>
      <c r="K12" s="1858"/>
      <c r="L12" s="1858"/>
      <c r="M12" s="1859"/>
      <c r="N12" s="1858"/>
      <c r="O12" s="1857"/>
      <c r="P12" s="1858"/>
      <c r="Q12" s="1858"/>
      <c r="R12" s="1858"/>
      <c r="S12" s="1859"/>
      <c r="T12" s="1858"/>
      <c r="U12" s="1857"/>
      <c r="V12" s="1858"/>
      <c r="W12" s="1858"/>
      <c r="X12" s="1858"/>
      <c r="Y12" s="1859"/>
      <c r="Z12" s="1858"/>
      <c r="AA12" s="1857"/>
      <c r="AB12" s="1858"/>
      <c r="AC12" s="1858"/>
      <c r="AD12" s="1858"/>
      <c r="AE12" s="1859"/>
      <c r="AF12" s="1858"/>
      <c r="AG12" s="1857"/>
      <c r="AH12" s="1858"/>
      <c r="AI12" s="1858"/>
      <c r="AJ12" s="1858"/>
      <c r="AK12" s="1859"/>
      <c r="AL12" s="1858"/>
      <c r="AM12" s="1850">
        <f t="shared" ref="AM12:AP12" si="0">+AM9-(AM8-AM10)-(AM8-AM11)</f>
        <v>0.15</v>
      </c>
      <c r="AN12" s="1851">
        <f t="shared" si="0"/>
        <v>0.12</v>
      </c>
      <c r="AO12" s="1851">
        <f t="shared" si="0"/>
        <v>0.09</v>
      </c>
      <c r="AP12" s="1851">
        <f t="shared" si="0"/>
        <v>7.0000000000000007E-2</v>
      </c>
      <c r="AQ12" s="1852">
        <f>+AQ9-(AQ8-AQ10)-(AQ8-AQ11)</f>
        <v>0.08</v>
      </c>
      <c r="AR12" s="1861"/>
      <c r="AS12" s="1850">
        <f t="shared" ref="AS12:AV12" si="1">+AS9-(AS8-AS10)-(AS8-AS11)</f>
        <v>4.1986174936282775E-2</v>
      </c>
      <c r="AT12" s="1851">
        <f t="shared" si="1"/>
        <v>7.9720299703969905E-2</v>
      </c>
      <c r="AU12" s="1851">
        <f t="shared" si="1"/>
        <v>-5.6895504705250101E-2</v>
      </c>
      <c r="AV12" s="1851">
        <f t="shared" si="1"/>
        <v>0.24556161925563219</v>
      </c>
      <c r="AW12" s="1852">
        <f>+AW9-(AW8-AW10)-(AW8-AW11)</f>
        <v>8.2242924002725787E-2</v>
      </c>
      <c r="AX12" s="1865"/>
      <c r="AY12" s="1850">
        <f t="shared" ref="AY12:BB12" si="2">+AY9-(AY8-AY10)-(AY8-AY11)</f>
        <v>6.8955887871865587E-2</v>
      </c>
      <c r="AZ12" s="1851">
        <f t="shared" si="2"/>
        <v>0.115578716684217</v>
      </c>
      <c r="BA12" s="1851">
        <f t="shared" si="2"/>
        <v>9.7608479314792704E-2</v>
      </c>
      <c r="BB12" s="1851">
        <f t="shared" si="2"/>
        <v>3.1356007352871702E-2</v>
      </c>
      <c r="BC12" s="1852">
        <f>+BC9-(BC8-BC10)-(BC8-BC11)</f>
        <v>7.7227945118618802E-2</v>
      </c>
      <c r="BD12" s="1866"/>
      <c r="BE12" s="1850">
        <f t="shared" ref="BE12" si="3">+BE9-(BE8-BE10)-(BE8-BE11)</f>
        <v>6.3325080213736951E-2</v>
      </c>
      <c r="BF12" s="1851">
        <f t="shared" ref="BF12" si="4">+BF9-(BF8-BF10)-(BF8-BF11)</f>
        <v>6.4654347433847015E-2</v>
      </c>
      <c r="BG12" s="1851">
        <f t="shared" ref="BG12" si="5">+BG9-(BG8-BG10)-(BG8-BG11)</f>
        <v>9.9990451824690157E-2</v>
      </c>
      <c r="BH12" s="1851">
        <f t="shared" ref="BH12" si="6">+BH9-(BH8-BH10)-(BH8-BH11)</f>
        <v>4.4745473315980278E-2</v>
      </c>
      <c r="BI12" s="1852">
        <f>+BI9-(BI8-BI10)-(BI8-BI11)</f>
        <v>6.8337548019290262E-2</v>
      </c>
      <c r="BJ12" s="1866"/>
      <c r="BK12" s="1850">
        <f t="shared" ref="BK12" si="7">+BK9-(BK8-BK10)-(BK8-BK11)</f>
        <v>4.1261714017788206E-2</v>
      </c>
      <c r="BL12" s="1851">
        <f t="shared" ref="BL12" si="8">+BL9-(BL8-BL10)-(BL8-BL11)</f>
        <v>0.12736778226816356</v>
      </c>
      <c r="BM12" s="1851">
        <f t="shared" ref="BM12" si="9">+BM9-(BM8-BM10)-(BM8-BM11)</f>
        <v>0.13670566422858926</v>
      </c>
      <c r="BN12" s="1851">
        <f t="shared" ref="BN12" si="10">+BN9-(BN8-BN10)-(BN8-BN11)</f>
        <v>0.11345859720280582</v>
      </c>
      <c r="BO12" s="1852">
        <f>+BO9-(BO8-BO10)-(BO8-BO11)</f>
        <v>9.970847695919749E-2</v>
      </c>
      <c r="BP12" s="1866"/>
      <c r="BQ12" s="1850">
        <f t="shared" ref="BQ12" si="11">+BQ9-(BQ8-BQ10)-(BQ8-BQ11)</f>
        <v>7.8606533262302061E-2</v>
      </c>
      <c r="BR12" s="1851">
        <f t="shared" ref="BR12" si="12">+BR9-(BR8-BR10)-(BR8-BR11)</f>
        <v>5.3579589004304026E-2</v>
      </c>
      <c r="BS12" s="1851">
        <f t="shared" ref="BS12" si="13">+BS9-(BS8-BS10)-(BS8-BS11)</f>
        <v>-1.8414765609733194E-2</v>
      </c>
      <c r="BT12" s="1851">
        <f t="shared" ref="BT12" si="14">+BT9-(BT8-BT10)-(BT8-BT11)</f>
        <v>-1.5869027578617936E-2</v>
      </c>
      <c r="BU12" s="1852">
        <f>+BU9-(BU8-BU10)-(BU8-BU11)</f>
        <v>1.4037593866581551E-2</v>
      </c>
      <c r="BV12" s="1866"/>
      <c r="BW12" s="1850">
        <f t="shared" ref="BW12" si="15">+BW9-(BW8-BW10)-(BW8-BW11)</f>
        <v>1.5322883690080197E-2</v>
      </c>
      <c r="BX12" s="1851">
        <f t="shared" ref="BX12" si="16">+BX9-(BX8-BX10)-(BX8-BX11)</f>
        <v>2.1759560584627975E-2</v>
      </c>
      <c r="BY12" s="1851">
        <f t="shared" ref="BY12" si="17">+BY9-(BY8-BY10)-(BY8-BY11)</f>
        <v>4.7578841928307185E-2</v>
      </c>
      <c r="BZ12" s="1851">
        <f t="shared" ref="BZ12" si="18">+BZ9-(BZ8-BZ10)-(BZ8-BZ11)</f>
        <v>4.5885819090940076E-2</v>
      </c>
      <c r="CA12" s="1852">
        <f>+CA9-(CA8-CA10)-(CA8-CA11)</f>
        <v>3.2547715877438245E-2</v>
      </c>
      <c r="CB12" s="1866"/>
      <c r="CC12" s="1850">
        <f t="shared" ref="CC12:CF12" si="19">+CC9-(CC8-CC10)-(CC8-CC11)</f>
        <v>1.289061321766323E-4</v>
      </c>
      <c r="CD12" s="1851">
        <f t="shared" si="19"/>
        <v>-1.9544653015031568E-2</v>
      </c>
      <c r="CE12" s="1851">
        <f t="shared" si="19"/>
        <v>9.8325371262450584E-3</v>
      </c>
      <c r="CF12" s="1851">
        <f t="shared" si="19"/>
        <v>-2.4473764040770715E-3</v>
      </c>
      <c r="CG12" s="1852">
        <f>+CG9-(CG8-CG10)-(CG8-CG11)</f>
        <v>-3.2258178032019413E-3</v>
      </c>
      <c r="CH12" s="1866"/>
      <c r="CI12" s="1850">
        <f t="shared" ref="CI12" si="20">+CI9-(CI8-CI10)-(CI8-CI11)</f>
        <v>3.5491332402849275E-2</v>
      </c>
      <c r="CJ12" s="1851">
        <f t="shared" ref="CJ12" si="21">+CJ9-(CJ8-CJ10)-(CJ8-CJ11)</f>
        <v>5.4310600398783056E-2</v>
      </c>
      <c r="CK12" s="1851">
        <f t="shared" ref="CK12" si="22">+CK9-(CK8-CK10)-(CK8-CK11)</f>
        <v>2.7055807062683276E-2</v>
      </c>
      <c r="CL12" s="1851">
        <f t="shared" ref="CL12" si="23">+CL9-(CL8-CL10)-(CL8-CL11)</f>
        <v>4.9606269915614107E-2</v>
      </c>
      <c r="CM12" s="1852">
        <f>+CM9-(CM8-CM10)-(CM8-CM11)</f>
        <v>4.2010097088150206E-2</v>
      </c>
      <c r="CN12" s="1866"/>
      <c r="CO12" s="1850">
        <f t="shared" ref="CO12" si="24">+CO9-(CO8-CO10)-(CO8-CO11)</f>
        <v>1.2982210302906916E-2</v>
      </c>
      <c r="CP12" s="1851">
        <f t="shared" ref="CP12" si="25">+CP9-(CP8-CP10)-(CP8-CP11)</f>
        <v>-1.5098230496364898E-3</v>
      </c>
      <c r="CQ12" s="1851">
        <f t="shared" ref="CQ12" si="26">+CQ9-(CQ8-CQ10)-(CQ8-CQ11)</f>
        <v>5.9372586541527037E-2</v>
      </c>
      <c r="CR12" s="1851">
        <f t="shared" ref="CR12" si="27">+CR9-(CR8-CR10)-(CR8-CR11)</f>
        <v>6.5400667366643711E-2</v>
      </c>
      <c r="CS12" s="1852">
        <f>+CS9-(CS8-CS10)-(CS8-CS11)</f>
        <v>3.6105795552850942E-2</v>
      </c>
      <c r="CT12" s="1866"/>
      <c r="CU12" s="1850">
        <f t="shared" ref="CU12" si="28">+CU9-(CU8-CU10)-(CU8-CU11)</f>
        <v>9.9742577827747203E-2</v>
      </c>
      <c r="CV12" s="1851">
        <f t="shared" ref="CV12" si="29">+CV9-(CV8-CV10)-(CV8-CV11)</f>
        <v>9.0783585462176256E-2</v>
      </c>
      <c r="CW12" s="1851">
        <f t="shared" ref="CW12" si="30">+CW9-(CW8-CW10)-(CW8-CW11)</f>
        <v>8.6866921536990882E-2</v>
      </c>
      <c r="CX12" s="1851">
        <f t="shared" ref="CX12" si="31">+CX9-(CX8-CX10)-(CX8-CX11)</f>
        <v>8.8936983224254598E-2</v>
      </c>
      <c r="CY12" s="1852">
        <f>+CY9-(CY8-CY10)-(CY8-CY11)</f>
        <v>9.1269815627732342E-2</v>
      </c>
      <c r="DD12" s="1443" t="s">
        <v>600</v>
      </c>
      <c r="DE12" s="1492">
        <f>BE21</f>
        <v>1.9999999999999997E-2</v>
      </c>
      <c r="DF12" s="1492">
        <f>BF21</f>
        <v>9.9999999999999985E-3</v>
      </c>
      <c r="DG12" s="1492">
        <f>BG21</f>
        <v>3.4999999999999989E-2</v>
      </c>
      <c r="DH12" s="1492">
        <f>BH21</f>
        <v>2.0000000000000004E-2</v>
      </c>
      <c r="DI12" s="1492">
        <f>BK21</f>
        <v>2.0000000000000004E-2</v>
      </c>
      <c r="DJ12" s="1492">
        <f>BL21</f>
        <v>1.3333333333333336E-2</v>
      </c>
      <c r="DK12" s="1492">
        <f>BM21</f>
        <v>0.03</v>
      </c>
      <c r="DL12" s="1492">
        <f>BN21</f>
        <v>3.2999999999999995E-2</v>
      </c>
      <c r="DM12" s="1492">
        <f>BQ21</f>
        <v>0</v>
      </c>
      <c r="DN12" s="1492">
        <f>BR21</f>
        <v>2.8999999999999995E-2</v>
      </c>
      <c r="DO12" s="1492">
        <f>BS21</f>
        <v>8.2414708528700514E-3</v>
      </c>
      <c r="DP12" s="1492">
        <f>BT21</f>
        <v>1.1653862143510448E-2</v>
      </c>
      <c r="DQ12" s="1492">
        <f>BW21</f>
        <v>3.2432609488867836E-2</v>
      </c>
      <c r="DR12" s="1492">
        <f>BX21</f>
        <v>7.8303215466292694E-2</v>
      </c>
      <c r="DS12" s="1492">
        <f>BY21</f>
        <v>7.9074201824129511E-2</v>
      </c>
      <c r="DT12" s="1492">
        <f>BZ21</f>
        <v>7.5977761836441893E-2</v>
      </c>
      <c r="DU12" s="1492">
        <f>CC21</f>
        <v>5.164855770680913E-2</v>
      </c>
      <c r="DV12" s="1492">
        <f>CD21</f>
        <v>7.4519353372486635E-2</v>
      </c>
      <c r="DW12" s="1492">
        <f>CE21</f>
        <v>7.2952596070094633E-2</v>
      </c>
      <c r="DX12" s="1492">
        <f>CF21</f>
        <v>6.8185203879786632E-2</v>
      </c>
      <c r="DY12" s="1492">
        <f>CI21</f>
        <v>6.9656991542681956E-2</v>
      </c>
      <c r="DZ12" s="1492">
        <f>CJ21</f>
        <v>7.6284398728260372E-2</v>
      </c>
      <c r="EA12" s="1492">
        <f>CK21</f>
        <v>7.8262425674923586E-2</v>
      </c>
      <c r="EB12" s="1492">
        <f>CL21</f>
        <v>5.5348118836374541E-2</v>
      </c>
      <c r="EF12" s="2026"/>
      <c r="EG12" s="2027"/>
      <c r="EH12" s="2028"/>
      <c r="EI12" s="2028"/>
      <c r="EJ12" s="2028"/>
      <c r="EK12" s="2029"/>
      <c r="EL12" s="2027"/>
      <c r="EM12" s="2028"/>
      <c r="EN12" s="2028"/>
      <c r="EO12" s="2028"/>
      <c r="EP12" s="2029"/>
      <c r="EQ12" s="2027"/>
      <c r="ER12" s="2028"/>
      <c r="ES12" s="2028"/>
      <c r="ET12" s="2028"/>
      <c r="EU12" s="2029"/>
      <c r="EV12" s="2027"/>
      <c r="EW12" s="2028"/>
      <c r="EX12" s="2028"/>
      <c r="EY12" s="2028"/>
      <c r="EZ12" s="2029"/>
    </row>
    <row r="13" spans="1:176" s="39" customFormat="1" x14ac:dyDescent="0.2">
      <c r="A13" s="189" t="s">
        <v>190</v>
      </c>
      <c r="B13" s="1501"/>
      <c r="C13" s="764"/>
      <c r="D13" s="765"/>
      <c r="E13" s="765"/>
      <c r="F13" s="765"/>
      <c r="G13" s="767"/>
      <c r="H13" s="765"/>
      <c r="I13" s="764" t="s">
        <v>251</v>
      </c>
      <c r="J13" s="765" t="s">
        <v>251</v>
      </c>
      <c r="K13" s="765" t="s">
        <v>251</v>
      </c>
      <c r="L13" s="765" t="s">
        <v>251</v>
      </c>
      <c r="M13" s="767" t="s">
        <v>251</v>
      </c>
      <c r="N13" s="765"/>
      <c r="O13" s="764" t="s">
        <v>251</v>
      </c>
      <c r="P13" s="765" t="s">
        <v>251</v>
      </c>
      <c r="Q13" s="765" t="s">
        <v>251</v>
      </c>
      <c r="R13" s="765" t="s">
        <v>251</v>
      </c>
      <c r="S13" s="767" t="s">
        <v>251</v>
      </c>
      <c r="T13" s="765"/>
      <c r="U13" s="764" t="s">
        <v>251</v>
      </c>
      <c r="V13" s="765" t="s">
        <v>251</v>
      </c>
      <c r="W13" s="765" t="s">
        <v>251</v>
      </c>
      <c r="X13" s="765" t="s">
        <v>251</v>
      </c>
      <c r="Y13" s="767" t="s">
        <v>251</v>
      </c>
      <c r="Z13" s="765"/>
      <c r="AA13" s="764" t="s">
        <v>251</v>
      </c>
      <c r="AB13" s="765" t="s">
        <v>251</v>
      </c>
      <c r="AC13" s="765" t="s">
        <v>251</v>
      </c>
      <c r="AD13" s="765" t="s">
        <v>251</v>
      </c>
      <c r="AE13" s="767" t="s">
        <v>251</v>
      </c>
      <c r="AF13" s="765"/>
      <c r="AG13" s="764" t="s">
        <v>251</v>
      </c>
      <c r="AH13" s="765" t="s">
        <v>251</v>
      </c>
      <c r="AI13" s="765" t="s">
        <v>251</v>
      </c>
      <c r="AJ13" s="765" t="s">
        <v>251</v>
      </c>
      <c r="AK13" s="767" t="s">
        <v>251</v>
      </c>
      <c r="AL13" s="765"/>
      <c r="AM13" s="764">
        <v>0.28000000000000003</v>
      </c>
      <c r="AN13" s="765">
        <v>0.15</v>
      </c>
      <c r="AO13" s="765">
        <v>0.2</v>
      </c>
      <c r="AP13" s="766">
        <v>0.05</v>
      </c>
      <c r="AQ13" s="424">
        <v>0.15</v>
      </c>
      <c r="AR13" s="1502"/>
      <c r="AS13" s="1673">
        <f>+RevBuild!AS44</f>
        <v>-0.13</v>
      </c>
      <c r="AT13" s="1672">
        <f>+RevBuild!AT44</f>
        <v>0.01</v>
      </c>
      <c r="AU13" s="1672">
        <f>+RevBuild!AU44</f>
        <v>0</v>
      </c>
      <c r="AV13" s="1744">
        <f>+RevBuild!AV44</f>
        <v>0.18</v>
      </c>
      <c r="AW13" s="1674">
        <f>+RevBuild!AW44</f>
        <v>0.01</v>
      </c>
      <c r="AX13" s="1745"/>
      <c r="AY13" s="1673">
        <f>+RevBuild!AY44</f>
        <v>0.23</v>
      </c>
      <c r="AZ13" s="1672">
        <f>+RevBuild!AZ44</f>
        <v>0.28000000000000003</v>
      </c>
      <c r="BA13" s="1672">
        <f>+RevBuild!BA44</f>
        <v>0.21</v>
      </c>
      <c r="BB13" s="1744">
        <f>+RevBuild!BB44</f>
        <v>0.16</v>
      </c>
      <c r="BC13" s="1674">
        <f>+RevBuild!BC44</f>
        <v>0.22</v>
      </c>
      <c r="BD13" s="1746"/>
      <c r="BE13" s="1673">
        <f>+RevBuild!BE44</f>
        <v>0.05</v>
      </c>
      <c r="BF13" s="1672">
        <f>+RevBuild!BF44</f>
        <v>-0.04</v>
      </c>
      <c r="BG13" s="1672">
        <f>+RevBuild!BG44</f>
        <v>0.06</v>
      </c>
      <c r="BH13" s="1672">
        <f>+RevBuild!BH44</f>
        <v>0.17</v>
      </c>
      <c r="BI13" s="1747">
        <f>+RevBuild!BI44</f>
        <v>0.06</v>
      </c>
      <c r="BJ13" s="1746"/>
      <c r="BK13" s="1673">
        <f>+RevBuild!BK44</f>
        <v>0.12558845231507104</v>
      </c>
      <c r="BL13" s="1672">
        <f>+RevBuild!BL44</f>
        <v>1.7037090881508919E-2</v>
      </c>
      <c r="BM13" s="1672">
        <f>+RevBuild!BM44</f>
        <v>7.0000000000000007E-2</v>
      </c>
      <c r="BN13" s="1672">
        <f>+RevBuild!BN44</f>
        <v>0.13</v>
      </c>
      <c r="BO13" s="1747">
        <f>+RevBuild!BO44</f>
        <v>8.5933431517838554E-2</v>
      </c>
      <c r="BP13" s="1746"/>
      <c r="BQ13" s="1673">
        <f>+RevBuild!BQ44</f>
        <v>4.1210773679550561E-2</v>
      </c>
      <c r="BR13" s="1672">
        <f>+RevBuild!BR44</f>
        <v>5.8506875684932541E-2</v>
      </c>
      <c r="BS13" s="1672">
        <f>+RevBuild!BS44</f>
        <v>1.3601558393737917E-2</v>
      </c>
      <c r="BT13" s="1672">
        <f>+RevBuild!BT44</f>
        <v>2.2143171690856077E-2</v>
      </c>
      <c r="BU13" s="1747">
        <f>+RevBuild!BU44</f>
        <v>3.3082822473685616E-2</v>
      </c>
      <c r="BV13" s="1746"/>
      <c r="BW13" s="1673">
        <f>+RevBuild!BW44</f>
        <v>-8.3333333333333329E-2</v>
      </c>
      <c r="BX13" s="1672">
        <f>+RevBuild!BX44</f>
        <v>4.6000000000000006E-2</v>
      </c>
      <c r="BY13" s="1672">
        <f>+RevBuild!BY44</f>
        <v>6.2438165146558755E-2</v>
      </c>
      <c r="BZ13" s="1672">
        <f>+RevBuild!BZ44</f>
        <v>4.2138928742228604E-2</v>
      </c>
      <c r="CA13" s="1747">
        <f>+RevBuild!CA44</f>
        <v>1.8830826398677544E-2</v>
      </c>
      <c r="CB13" s="1746"/>
      <c r="CC13" s="1673">
        <f>+RevBuild!CC44</f>
        <v>0.18486418280106842</v>
      </c>
      <c r="CD13" s="1672">
        <f>+RevBuild!CD44</f>
        <v>0.10756181850217209</v>
      </c>
      <c r="CE13" s="1672">
        <f>+RevBuild!CE44</f>
        <v>0.15</v>
      </c>
      <c r="CF13" s="1672">
        <f>+RevBuild!CF44</f>
        <v>0.09</v>
      </c>
      <c r="CG13" s="1747">
        <f>+RevBuild!CG44</f>
        <v>0.12816964448714147</v>
      </c>
      <c r="CH13" s="1746"/>
      <c r="CI13" s="1673">
        <f>+RevBuild!CI44</f>
        <v>0.04</v>
      </c>
      <c r="CJ13" s="1672">
        <f>+RevBuild!CJ44</f>
        <v>0.1</v>
      </c>
      <c r="CK13" s="1672">
        <f>+RevBuild!CK44</f>
        <v>7.0000000000000007E-2</v>
      </c>
      <c r="CL13" s="1672">
        <f>+RevBuild!CL44</f>
        <v>0.11</v>
      </c>
      <c r="CM13" s="1747">
        <f>+RevBuild!CM44</f>
        <v>8.2527284138855087E-2</v>
      </c>
      <c r="CN13" s="1746"/>
      <c r="CO13" s="1673">
        <f>+RevBuild!CO44</f>
        <v>0.09</v>
      </c>
      <c r="CP13" s="1672">
        <f>+RevBuild!CP44</f>
        <v>0.09</v>
      </c>
      <c r="CQ13" s="1672">
        <f>+RevBuild!CQ44</f>
        <v>0.09</v>
      </c>
      <c r="CR13" s="1672">
        <f>+RevBuild!CR44</f>
        <v>0.09</v>
      </c>
      <c r="CS13" s="1747">
        <f>+RevBuild!CS44</f>
        <v>9.0000000000000011E-2</v>
      </c>
      <c r="CT13" s="1746"/>
      <c r="CU13" s="1673">
        <f>+RevBuild!CU44</f>
        <v>0.06</v>
      </c>
      <c r="CV13" s="1672">
        <f>+RevBuild!CV44</f>
        <v>0.06</v>
      </c>
      <c r="CW13" s="1672">
        <f>+RevBuild!CW44</f>
        <v>0.06</v>
      </c>
      <c r="CX13" s="1672">
        <f>+RevBuild!CX44</f>
        <v>0.06</v>
      </c>
      <c r="CY13" s="1747">
        <f>+RevBuild!CY44</f>
        <v>6.0000000000000005E-2</v>
      </c>
      <c r="DE13" s="1493"/>
      <c r="DF13" s="1493"/>
      <c r="DG13" s="1493"/>
      <c r="DH13" s="1493"/>
      <c r="DI13" s="1494"/>
      <c r="DJ13" s="1494"/>
      <c r="DK13" s="1494"/>
      <c r="DL13" s="771"/>
      <c r="DM13" s="771"/>
      <c r="DN13" s="771"/>
      <c r="DO13" s="771"/>
      <c r="DP13" s="771"/>
      <c r="DQ13" s="771"/>
      <c r="DR13" s="771"/>
      <c r="DS13" s="771"/>
      <c r="DT13" s="771"/>
      <c r="DU13" s="771"/>
      <c r="DV13" s="771"/>
      <c r="DW13" s="771"/>
      <c r="DX13" s="771"/>
      <c r="DY13" s="771"/>
      <c r="DZ13" s="771"/>
      <c r="EA13" s="771"/>
      <c r="EB13" s="771"/>
      <c r="EF13" s="2022"/>
      <c r="EG13" s="2023"/>
      <c r="EH13" s="2024"/>
      <c r="EI13" s="2024"/>
      <c r="EJ13" s="2024"/>
      <c r="EK13" s="2025"/>
      <c r="EL13" s="2023"/>
      <c r="EM13" s="2024"/>
      <c r="EN13" s="2024"/>
      <c r="EO13" s="2024"/>
      <c r="EP13" s="2025"/>
      <c r="EQ13" s="2023"/>
      <c r="ER13" s="2024"/>
      <c r="ES13" s="2024"/>
      <c r="ET13" s="2024"/>
      <c r="EU13" s="2025"/>
      <c r="EV13" s="2023"/>
      <c r="EW13" s="2024"/>
      <c r="EX13" s="2024"/>
      <c r="EY13" s="2024"/>
      <c r="EZ13" s="2025"/>
    </row>
    <row r="14" spans="1:176" s="39" customFormat="1" x14ac:dyDescent="0.2">
      <c r="A14" s="1855" t="s">
        <v>669</v>
      </c>
      <c r="B14" s="1856"/>
      <c r="C14" s="1857"/>
      <c r="D14" s="1858"/>
      <c r="E14" s="1858"/>
      <c r="F14" s="1858"/>
      <c r="G14" s="1859"/>
      <c r="H14" s="1858"/>
      <c r="I14" s="1857"/>
      <c r="J14" s="1858"/>
      <c r="K14" s="1858"/>
      <c r="L14" s="1858"/>
      <c r="M14" s="1859"/>
      <c r="N14" s="1858"/>
      <c r="O14" s="1857"/>
      <c r="P14" s="1858"/>
      <c r="Q14" s="1858"/>
      <c r="R14" s="1858"/>
      <c r="S14" s="1859"/>
      <c r="T14" s="1858"/>
      <c r="U14" s="1857"/>
      <c r="V14" s="1858"/>
      <c r="W14" s="1858"/>
      <c r="X14" s="1858"/>
      <c r="Y14" s="1859"/>
      <c r="Z14" s="1858"/>
      <c r="AA14" s="1857"/>
      <c r="AB14" s="1858"/>
      <c r="AC14" s="1858"/>
      <c r="AD14" s="1858"/>
      <c r="AE14" s="1859"/>
      <c r="AF14" s="1858"/>
      <c r="AG14" s="1857"/>
      <c r="AH14" s="1858"/>
      <c r="AI14" s="1858"/>
      <c r="AJ14" s="1858"/>
      <c r="AK14" s="1859"/>
      <c r="AL14" s="1858"/>
      <c r="AM14" s="1857"/>
      <c r="AN14" s="1858"/>
      <c r="AO14" s="1858"/>
      <c r="AP14" s="1858"/>
      <c r="AQ14" s="1860"/>
      <c r="AR14" s="1861"/>
      <c r="AS14" s="1862"/>
      <c r="AT14" s="1863"/>
      <c r="AU14" s="1863"/>
      <c r="AV14" s="1863"/>
      <c r="AW14" s="1864"/>
      <c r="AX14" s="1865"/>
      <c r="AY14" s="1862"/>
      <c r="AZ14" s="1863"/>
      <c r="BA14" s="1863"/>
      <c r="BB14" s="1863"/>
      <c r="BC14" s="1864"/>
      <c r="BD14" s="1866"/>
      <c r="BE14" s="1850">
        <f>+BE$13-((Growth_Drivers!BE$254*Growth_Drivers!AY$253*Growth_Drivers!BE$234)/RevBuild!AY$39)</f>
        <v>0.05</v>
      </c>
      <c r="BF14" s="1851">
        <f>+BF$13-((Growth_Drivers!BF$254*Growth_Drivers!AZ$253*Growth_Drivers!BF$234)/RevBuild!AZ$39)</f>
        <v>-0.04</v>
      </c>
      <c r="BG14" s="1851">
        <f>+BG$13-((Growth_Drivers!BG$254*Growth_Drivers!BA$253*Growth_Drivers!BG$234)/RevBuild!BA$39)</f>
        <v>0.06</v>
      </c>
      <c r="BH14" s="1851">
        <f>+BH$13-((Growth_Drivers!BH$254*Growth_Drivers!BB$253*Growth_Drivers!BH$234)/RevBuild!BB$39)</f>
        <v>0.17</v>
      </c>
      <c r="BI14" s="1852">
        <f>+BI$13-((Growth_Drivers!BI$254*Growth_Drivers!BC$253*Growth_Drivers!BI$234)/RevBuild!BC$39)</f>
        <v>0.06</v>
      </c>
      <c r="BJ14" s="1849"/>
      <c r="BK14" s="1850">
        <f>+BK$13-((Growth_Drivers!BK$254*Growth_Drivers!BE$253*Growth_Drivers!BK$234)/RevBuild!BE$39)</f>
        <v>0.12558845231507104</v>
      </c>
      <c r="BL14" s="1851">
        <f>+BL$13-((Growth_Drivers!BL$254*Growth_Drivers!BF$253*Growth_Drivers!BL$234)/RevBuild!BF$39)</f>
        <v>1.7037090881508919E-2</v>
      </c>
      <c r="BM14" s="1851">
        <f>+BM$13-((Growth_Drivers!BM$254*Growth_Drivers!BG$253*Growth_Drivers!BM$234)/RevBuild!BG$39)</f>
        <v>7.0000000000000007E-2</v>
      </c>
      <c r="BN14" s="1851">
        <f>+BN$13-((Growth_Drivers!BN$254*Growth_Drivers!BH$253*Growth_Drivers!BN$234)/RevBuild!BH$39)</f>
        <v>0.13</v>
      </c>
      <c r="BO14" s="1852">
        <f>+BO$13-((Growth_Drivers!BO$254*Growth_Drivers!BI$253*Growth_Drivers!BO$234)/RevBuild!BI$39)</f>
        <v>8.5933431517838554E-2</v>
      </c>
      <c r="BP14" s="1849"/>
      <c r="BQ14" s="1850">
        <f>+BQ$13-((Growth_Drivers!BQ$254*Growth_Drivers!BK$253*Growth_Drivers!BQ$234)/RevBuild!BK$39)</f>
        <v>4.1210773679550561E-2</v>
      </c>
      <c r="BR14" s="1851">
        <f>+BR$13-((Growth_Drivers!BR$254*Growth_Drivers!BL$253*Growth_Drivers!BR$234)/RevBuild!BL$39)</f>
        <v>5.8506875684932541E-2</v>
      </c>
      <c r="BS14" s="1851">
        <f>+BS$13-((Growth_Drivers!BS$254*Growth_Drivers!BM$253*Growth_Drivers!BS$234)/RevBuild!BM$39)</f>
        <v>1.3601558393737917E-2</v>
      </c>
      <c r="BT14" s="1851">
        <f>+BT$13-((Growth_Drivers!BT$254*Growth_Drivers!BN$253*Growth_Drivers!BT$234)/RevBuild!BN$39)</f>
        <v>2.2143171690856077E-2</v>
      </c>
      <c r="BU14" s="1852">
        <f>+BU$13-((Growth_Drivers!BU$254*Growth_Drivers!BO$253*Growth_Drivers!BU$234)/RevBuild!BO$39)</f>
        <v>3.3082822473685616E-2</v>
      </c>
      <c r="BV14" s="1849"/>
      <c r="BW14" s="1850">
        <f>+BW$13-((Growth_Drivers!BW$254*Growth_Drivers!BQ$253*Growth_Drivers!BW$234)/RevBuild!BQ$39)</f>
        <v>-8.3333333333333329E-2</v>
      </c>
      <c r="BX14" s="1851">
        <f>+BX$13-((Growth_Drivers!BX$254*Growth_Drivers!BR$253*Growth_Drivers!BX$234)/RevBuild!BR$39)</f>
        <v>4.6000000000000006E-2</v>
      </c>
      <c r="BY14" s="1851">
        <f>+BY$13-((Growth_Drivers!BY$254*Growth_Drivers!BS$253*Growth_Drivers!BY$234)/RevBuild!BS$39)</f>
        <v>6.2438165146558755E-2</v>
      </c>
      <c r="BZ14" s="1851">
        <f>+BZ$13-((Growth_Drivers!BZ$254*Growth_Drivers!BT$253*Growth_Drivers!BZ$234)/RevBuild!BT$39)</f>
        <v>4.2138928742228604E-2</v>
      </c>
      <c r="CA14" s="1852">
        <f>+CA$13-((Growth_Drivers!CA$254*Growth_Drivers!BU$253*Growth_Drivers!CA$234)/RevBuild!BU$39)</f>
        <v>1.8830826398677544E-2</v>
      </c>
      <c r="CB14" s="1849"/>
      <c r="CC14" s="1850">
        <f>+CC$13-((Growth_Drivers!CC$254*Growth_Drivers!BW$253*Growth_Drivers!CC$234)/RevBuild!BW$39)</f>
        <v>0.18486418280106842</v>
      </c>
      <c r="CD14" s="1851">
        <f>+CD$13-((Growth_Drivers!CD$254*Growth_Drivers!BX$253*Growth_Drivers!CD$234)/RevBuild!BX$39)</f>
        <v>0.10756181850217209</v>
      </c>
      <c r="CE14" s="1851">
        <f>+CE$13-((Growth_Drivers!CE$254*Growth_Drivers!BY$253*Growth_Drivers!CE$234)/RevBuild!BY$39)</f>
        <v>0.15</v>
      </c>
      <c r="CF14" s="1851">
        <f>+CF$13-((Growth_Drivers!CF$254*Growth_Drivers!BZ$253*Growth_Drivers!CF$234)/RevBuild!BZ$39)</f>
        <v>0.09</v>
      </c>
      <c r="CG14" s="1852">
        <f>+CG$13-((Growth_Drivers!CG$254*Growth_Drivers!CA$253*Growth_Drivers!CG$234)/RevBuild!CA$39)</f>
        <v>0.12816964448714147</v>
      </c>
      <c r="CH14" s="1849"/>
      <c r="CI14" s="1850">
        <f>+CI$13-((Growth_Drivers!CI$254*Growth_Drivers!CC$253*Growth_Drivers!CI$234)/RevBuild!CC$39)</f>
        <v>0.04</v>
      </c>
      <c r="CJ14" s="1851">
        <f>+CJ$13-((Growth_Drivers!CJ$254*Growth_Drivers!CD$253*Growth_Drivers!CJ$234)/RevBuild!CD$39)</f>
        <v>0.1</v>
      </c>
      <c r="CK14" s="1851">
        <f>+CK$13-((Growth_Drivers!CK$254*Growth_Drivers!CE$253*Growth_Drivers!CK$234)/RevBuild!CE$39)</f>
        <v>7.0000000000000007E-2</v>
      </c>
      <c r="CL14" s="1851">
        <f>+CL$13-((Growth_Drivers!CL$254*Growth_Drivers!CF$253*Growth_Drivers!CL$234)/RevBuild!CF$39)</f>
        <v>0.11</v>
      </c>
      <c r="CM14" s="1852">
        <f>+CM$13-((Growth_Drivers!CM$254*Growth_Drivers!CG$253*Growth_Drivers!CM$234)/RevBuild!CG$39)</f>
        <v>8.2527284138855087E-2</v>
      </c>
      <c r="CN14" s="1849"/>
      <c r="CO14" s="1850">
        <f>+CO$13-((Growth_Drivers!CO$254*Growth_Drivers!CI$253*Growth_Drivers!CO$234)/RevBuild!CI$39)</f>
        <v>0.09</v>
      </c>
      <c r="CP14" s="1851">
        <f>+CP$13-((Growth_Drivers!CP$254*Growth_Drivers!CJ$253*Growth_Drivers!CP$234)/RevBuild!CJ$39)</f>
        <v>0.09</v>
      </c>
      <c r="CQ14" s="1851">
        <f>+CQ$13-((Growth_Drivers!CQ$254*Growth_Drivers!CK$253*Growth_Drivers!CQ$234)/RevBuild!CK$39)</f>
        <v>0.09</v>
      </c>
      <c r="CR14" s="1851">
        <f>+CR$13-((Growth_Drivers!CR$254*Growth_Drivers!CL$253*Growth_Drivers!CR$234)/RevBuild!CL$39)</f>
        <v>0.09</v>
      </c>
      <c r="CS14" s="1852">
        <f>+CS$13-((Growth_Drivers!CS$254*Growth_Drivers!CM$253*Growth_Drivers!CS$234)/RevBuild!CM$39)</f>
        <v>9.0000000000000011E-2</v>
      </c>
      <c r="CT14" s="1849"/>
      <c r="CU14" s="1850">
        <f>+CU$13-((Growth_Drivers!CU$254*Growth_Drivers!CO$253*Growth_Drivers!CU$234)/RevBuild!CO$39)</f>
        <v>0.06</v>
      </c>
      <c r="CV14" s="1851">
        <f>+CV$13-((Growth_Drivers!CV$254*Growth_Drivers!CP$253*Growth_Drivers!CV$234)/RevBuild!CP$39)</f>
        <v>0.06</v>
      </c>
      <c r="CW14" s="1851">
        <f>+CW$13-((Growth_Drivers!CW$254*Growth_Drivers!CQ$253*Growth_Drivers!CW$234)/RevBuild!CQ$39)</f>
        <v>0.06</v>
      </c>
      <c r="CX14" s="1851">
        <f>+CX$13-((Growth_Drivers!CX$254*Growth_Drivers!CR$253*Growth_Drivers!CX$234)/RevBuild!CR$39)</f>
        <v>0.06</v>
      </c>
      <c r="CY14" s="1852">
        <f>+CY$13-((Growth_Drivers!CY$254*Growth_Drivers!CS$253*Growth_Drivers!CY$234)/RevBuild!CS$39)</f>
        <v>6.0000000000000005E-2</v>
      </c>
      <c r="DD14" s="895" t="s">
        <v>602</v>
      </c>
      <c r="DE14" s="1493"/>
      <c r="DF14" s="1493"/>
      <c r="DG14" s="1493"/>
      <c r="DH14" s="1493"/>
      <c r="DI14" s="1494"/>
      <c r="DJ14" s="1494"/>
      <c r="DK14" s="1494"/>
      <c r="DL14" s="1814"/>
      <c r="DM14" s="1814"/>
      <c r="DN14" s="1814"/>
      <c r="DO14" s="1814"/>
      <c r="DP14" s="1814"/>
      <c r="DQ14" s="1814"/>
      <c r="DR14" s="1814"/>
      <c r="DS14" s="1814"/>
      <c r="DT14" s="1814"/>
      <c r="DU14" s="1814"/>
      <c r="DV14" s="1814"/>
      <c r="DW14" s="1814"/>
      <c r="DX14" s="1814"/>
      <c r="DY14" s="1814"/>
      <c r="DZ14" s="1814"/>
      <c r="EA14" s="1814"/>
      <c r="EB14" s="1814"/>
      <c r="EF14" s="2022"/>
      <c r="EG14" s="2023"/>
      <c r="EH14" s="2024"/>
      <c r="EI14" s="2024"/>
      <c r="EJ14" s="2024"/>
      <c r="EK14" s="2024"/>
      <c r="EL14" s="2023"/>
      <c r="EM14" s="2024"/>
      <c r="EN14" s="2024"/>
      <c r="EO14" s="2024"/>
      <c r="EP14" s="2024"/>
      <c r="EQ14" s="2023"/>
      <c r="ER14" s="2024"/>
      <c r="ES14" s="2024"/>
      <c r="ET14" s="2024"/>
      <c r="EU14" s="2024"/>
      <c r="EV14" s="2023"/>
      <c r="EW14" s="2024"/>
      <c r="EX14" s="2024"/>
      <c r="EY14" s="2024"/>
      <c r="EZ14" s="2024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48"/>
      <c r="FM14" s="48"/>
      <c r="FN14" s="48"/>
      <c r="FO14" s="48"/>
      <c r="FP14" s="48"/>
      <c r="FQ14" s="48"/>
      <c r="FR14" s="48"/>
      <c r="FS14" s="48"/>
      <c r="FT14" s="48"/>
    </row>
    <row r="15" spans="1:176" x14ac:dyDescent="0.2">
      <c r="A15" s="189" t="s">
        <v>404</v>
      </c>
      <c r="B15" s="1501"/>
      <c r="C15" s="764"/>
      <c r="D15" s="765"/>
      <c r="E15" s="765"/>
      <c r="F15" s="765"/>
      <c r="G15" s="767"/>
      <c r="H15" s="765"/>
      <c r="I15" s="764" t="s">
        <v>251</v>
      </c>
      <c r="J15" s="765" t="s">
        <v>251</v>
      </c>
      <c r="K15" s="765" t="s">
        <v>251</v>
      </c>
      <c r="L15" s="765" t="s">
        <v>251</v>
      </c>
      <c r="M15" s="767" t="s">
        <v>251</v>
      </c>
      <c r="N15" s="765"/>
      <c r="O15" s="764" t="s">
        <v>251</v>
      </c>
      <c r="P15" s="765" t="s">
        <v>251</v>
      </c>
      <c r="Q15" s="765" t="s">
        <v>251</v>
      </c>
      <c r="R15" s="765" t="s">
        <v>251</v>
      </c>
      <c r="S15" s="767" t="s">
        <v>251</v>
      </c>
      <c r="T15" s="765"/>
      <c r="U15" s="764" t="s">
        <v>251</v>
      </c>
      <c r="V15" s="765" t="s">
        <v>251</v>
      </c>
      <c r="W15" s="765" t="s">
        <v>251</v>
      </c>
      <c r="X15" s="765" t="s">
        <v>251</v>
      </c>
      <c r="Y15" s="767" t="s">
        <v>251</v>
      </c>
      <c r="Z15" s="765"/>
      <c r="AA15" s="764" t="s">
        <v>251</v>
      </c>
      <c r="AB15" s="765" t="s">
        <v>251</v>
      </c>
      <c r="AC15" s="765" t="s">
        <v>251</v>
      </c>
      <c r="AD15" s="765" t="s">
        <v>251</v>
      </c>
      <c r="AE15" s="767" t="s">
        <v>251</v>
      </c>
      <c r="AF15" s="765"/>
      <c r="AG15" s="764" t="s">
        <v>251</v>
      </c>
      <c r="AH15" s="765" t="s">
        <v>251</v>
      </c>
      <c r="AI15" s="765" t="s">
        <v>251</v>
      </c>
      <c r="AJ15" s="765" t="s">
        <v>251</v>
      </c>
      <c r="AK15" s="767" t="s">
        <v>251</v>
      </c>
      <c r="AL15" s="765"/>
      <c r="AM15" s="764">
        <v>0.13</v>
      </c>
      <c r="AN15" s="765">
        <v>0.11</v>
      </c>
      <c r="AO15" s="765">
        <v>0.09</v>
      </c>
      <c r="AP15" s="765">
        <v>0.11</v>
      </c>
      <c r="AQ15" s="424">
        <v>0.06</v>
      </c>
      <c r="AR15" s="1502"/>
      <c r="AS15" s="1673">
        <f>+RevBuild!AS50</f>
        <v>0.02</v>
      </c>
      <c r="AT15" s="1672">
        <f>+RevBuild!AT50</f>
        <v>0</v>
      </c>
      <c r="AU15" s="1672">
        <f>+RevBuild!AU50</f>
        <v>1.0260392174017627E-3</v>
      </c>
      <c r="AV15" s="1672">
        <f>+RevBuild!AV50</f>
        <v>-6.8526198866860066E-3</v>
      </c>
      <c r="AW15" s="1674">
        <f>+RevBuild!AW50</f>
        <v>2.9675052001248495E-3</v>
      </c>
      <c r="AX15" s="1745"/>
      <c r="AY15" s="1673">
        <f>+RevBuild!AY50</f>
        <v>-9.5162053242012212E-4</v>
      </c>
      <c r="AZ15" s="1672">
        <f>+RevBuild!AZ50</f>
        <v>-5.0646934370979932E-2</v>
      </c>
      <c r="BA15" s="1672">
        <f>+RevBuild!BA50</f>
        <v>0.03</v>
      </c>
      <c r="BB15" s="1672">
        <f>+RevBuild!BB50</f>
        <v>0.01</v>
      </c>
      <c r="BC15" s="1674">
        <f>+RevBuild!BC50</f>
        <v>-5.8429395702106757E-3</v>
      </c>
      <c r="BD15" s="1746"/>
      <c r="BE15" s="1673">
        <f>+RevBuild!BE50</f>
        <v>-0.04</v>
      </c>
      <c r="BF15" s="1672">
        <f>+RevBuild!BF50</f>
        <v>3.4303626474140092E-2</v>
      </c>
      <c r="BG15" s="1672">
        <f>+RevBuild!BG50</f>
        <v>-2.9565084508477134E-2</v>
      </c>
      <c r="BH15" s="1672">
        <f>+RevBuild!BH50</f>
        <v>5.2713297601504061E-3</v>
      </c>
      <c r="BI15" s="1747">
        <f>+RevBuild!BI50</f>
        <v>-2.505917893029605E-3</v>
      </c>
      <c r="BJ15" s="1746"/>
      <c r="BK15" s="1673">
        <f>+RevBuild!BK50</f>
        <v>2.3955092336387304E-2</v>
      </c>
      <c r="BL15" s="1672">
        <f>+RevBuild!BL50</f>
        <v>-1.0370181914718784E-2</v>
      </c>
      <c r="BM15" s="1672">
        <f>+RevBuild!BM50</f>
        <v>0.04</v>
      </c>
      <c r="BN15" s="1672">
        <f>+RevBuild!BN50</f>
        <v>0.01</v>
      </c>
      <c r="BO15" s="1747">
        <f>+RevBuild!BO50</f>
        <v>1.4803780488417833E-2</v>
      </c>
      <c r="BP15" s="1746"/>
      <c r="BQ15" s="1673">
        <f>+RevBuild!BQ50</f>
        <v>7.8782204966528664E-3</v>
      </c>
      <c r="BR15" s="1672">
        <f>+RevBuild!BR50</f>
        <v>4.8318684498918976E-2</v>
      </c>
      <c r="BS15" s="1672">
        <f>+RevBuild!BS50</f>
        <v>4.0463814060521228E-2</v>
      </c>
      <c r="BT15" s="1672">
        <f>+RevBuild!BT50</f>
        <v>3.6071585845428036E-2</v>
      </c>
      <c r="BU15" s="1747">
        <f>+RevBuild!BU50</f>
        <v>3.3500729495026541E-2</v>
      </c>
      <c r="BV15" s="1746"/>
      <c r="BW15" s="1673">
        <f>+RevBuild!BW50</f>
        <v>6.0000000000000012E-2</v>
      </c>
      <c r="BX15" s="1672">
        <f>+RevBuild!BX50</f>
        <v>7.0999999999999994E-2</v>
      </c>
      <c r="BY15" s="1672">
        <f>+RevBuild!BY50</f>
        <v>2.8194348631902885E-2</v>
      </c>
      <c r="BZ15" s="1672">
        <f>+RevBuild!BZ50</f>
        <v>-4.8157517178886861E-3</v>
      </c>
      <c r="CA15" s="1747">
        <f>+RevBuild!CA50</f>
        <v>3.759365279929492E-2</v>
      </c>
      <c r="CB15" s="1746"/>
      <c r="CC15" s="1673">
        <f>+RevBuild!CC50</f>
        <v>2.9728365602136875E-2</v>
      </c>
      <c r="CD15" s="1672">
        <f>+RevBuild!CD50</f>
        <v>3.2584097943089779E-2</v>
      </c>
      <c r="CE15" s="1672">
        <f>+RevBuild!CE50</f>
        <v>1.1616251088769805E-2</v>
      </c>
      <c r="CF15" s="1672">
        <f>+RevBuild!CF50</f>
        <v>5.0589759097323578E-2</v>
      </c>
      <c r="CG15" s="1747">
        <f>+RevBuild!CG50</f>
        <v>3.1030630221481281E-2</v>
      </c>
      <c r="CH15" s="1746"/>
      <c r="CI15" s="1673">
        <f>+RevBuild!CI50</f>
        <v>0.05</v>
      </c>
      <c r="CJ15" s="1672">
        <f>+RevBuild!CJ50</f>
        <v>0.06</v>
      </c>
      <c r="CK15" s="1672">
        <f>+RevBuild!CK50</f>
        <v>0.1</v>
      </c>
      <c r="CL15" s="1672">
        <f>+RevBuild!CL50</f>
        <v>0.08</v>
      </c>
      <c r="CM15" s="1747">
        <f>+RevBuild!CM50</f>
        <v>7.296792198778089E-2</v>
      </c>
      <c r="CN15" s="1746"/>
      <c r="CO15" s="1673">
        <f>+RevBuild!CO50</f>
        <v>0.06</v>
      </c>
      <c r="CP15" s="1672">
        <f>+RevBuild!CP50</f>
        <v>0.06</v>
      </c>
      <c r="CQ15" s="1672">
        <f>+RevBuild!CQ50</f>
        <v>0.06</v>
      </c>
      <c r="CR15" s="1672">
        <f>+RevBuild!CR50</f>
        <v>0.06</v>
      </c>
      <c r="CS15" s="1747">
        <f>+RevBuild!CS50</f>
        <v>0.06</v>
      </c>
      <c r="CT15" s="1746"/>
      <c r="CU15" s="1673">
        <f>+RevBuild!CU50</f>
        <v>0.06</v>
      </c>
      <c r="CV15" s="1672">
        <f>+RevBuild!CV50</f>
        <v>0.06</v>
      </c>
      <c r="CW15" s="1672">
        <f>+RevBuild!CW50</f>
        <v>0.06</v>
      </c>
      <c r="CX15" s="1672">
        <f>+RevBuild!CX50</f>
        <v>0.06</v>
      </c>
      <c r="CY15" s="1747">
        <f>+RevBuild!CY50</f>
        <v>0.06</v>
      </c>
      <c r="DD15" s="1439"/>
      <c r="DE15" s="1486"/>
      <c r="DF15" s="1486"/>
      <c r="DG15" s="1486"/>
      <c r="DH15" s="1486"/>
      <c r="DI15" s="1487" t="str">
        <f t="shared" ref="DI15:DX15" si="32">DI7</f>
        <v>1Q14</v>
      </c>
      <c r="DJ15" s="1487" t="str">
        <f t="shared" si="32"/>
        <v>2Q14</v>
      </c>
      <c r="DK15" s="1487" t="str">
        <f t="shared" si="32"/>
        <v>3Q14</v>
      </c>
      <c r="DL15" s="1487" t="str">
        <f t="shared" si="32"/>
        <v>4Q14</v>
      </c>
      <c r="DM15" s="1487" t="str">
        <f t="shared" si="32"/>
        <v>1Q15</v>
      </c>
      <c r="DN15" s="1487" t="str">
        <f t="shared" si="32"/>
        <v>2Q15</v>
      </c>
      <c r="DO15" s="1487" t="str">
        <f t="shared" si="32"/>
        <v>3Q15</v>
      </c>
      <c r="DP15" s="1487" t="str">
        <f t="shared" si="32"/>
        <v>4Q15</v>
      </c>
      <c r="DQ15" s="1487" t="str">
        <f t="shared" si="32"/>
        <v>1Q16</v>
      </c>
      <c r="DR15" s="1487" t="str">
        <f t="shared" si="32"/>
        <v>2Q16</v>
      </c>
      <c r="DS15" s="1487" t="str">
        <f t="shared" si="32"/>
        <v>3Q16</v>
      </c>
      <c r="DT15" s="1487" t="str">
        <f t="shared" si="32"/>
        <v>4Q16</v>
      </c>
      <c r="DU15" s="1487" t="str">
        <f t="shared" si="32"/>
        <v>1Q17</v>
      </c>
      <c r="DV15" s="1487" t="str">
        <f t="shared" si="32"/>
        <v>2Q17</v>
      </c>
      <c r="DW15" s="1487" t="str">
        <f t="shared" si="32"/>
        <v>3Q17</v>
      </c>
      <c r="DX15" s="1487" t="str">
        <f t="shared" si="32"/>
        <v>4Q17</v>
      </c>
      <c r="DY15" s="1487" t="str">
        <f t="shared" ref="DY15:EB15" si="33">DY7</f>
        <v>1Q18E</v>
      </c>
      <c r="DZ15" s="1487" t="str">
        <f t="shared" si="33"/>
        <v>2Q18E</v>
      </c>
      <c r="EA15" s="1487" t="str">
        <f t="shared" si="33"/>
        <v>3Q18E</v>
      </c>
      <c r="EB15" s="1487" t="str">
        <f t="shared" si="33"/>
        <v>4Q18E</v>
      </c>
      <c r="EF15" s="2022"/>
      <c r="EG15" s="2023"/>
      <c r="EH15" s="2024"/>
      <c r="EI15" s="2024"/>
      <c r="EJ15" s="2024"/>
      <c r="EK15" s="2024"/>
      <c r="EL15" s="2023"/>
      <c r="EM15" s="2024"/>
      <c r="EN15" s="2024"/>
      <c r="EO15" s="2024"/>
      <c r="EP15" s="2024"/>
      <c r="EQ15" s="2023"/>
      <c r="ER15" s="2024"/>
      <c r="ES15" s="2024"/>
      <c r="ET15" s="2024"/>
      <c r="EU15" s="2024"/>
      <c r="EV15" s="2023"/>
      <c r="EW15" s="2024"/>
      <c r="EX15" s="2024"/>
      <c r="EY15" s="2024"/>
      <c r="EZ15" s="2024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</row>
    <row r="16" spans="1:176" x14ac:dyDescent="0.2">
      <c r="A16" s="354"/>
      <c r="B16" s="1519"/>
      <c r="C16" s="1524"/>
      <c r="D16" s="1525"/>
      <c r="E16" s="1525"/>
      <c r="F16" s="1525"/>
      <c r="G16" s="1526"/>
      <c r="H16" s="1525"/>
      <c r="I16" s="1524"/>
      <c r="J16" s="1525"/>
      <c r="K16" s="1525"/>
      <c r="L16" s="1525"/>
      <c r="M16" s="1526"/>
      <c r="N16" s="1525"/>
      <c r="O16" s="1524"/>
      <c r="P16" s="1525"/>
      <c r="Q16" s="1525"/>
      <c r="R16" s="1525"/>
      <c r="S16" s="1526"/>
      <c r="T16" s="1525"/>
      <c r="U16" s="1524"/>
      <c r="V16" s="1525"/>
      <c r="W16" s="1525"/>
      <c r="X16" s="1525"/>
      <c r="Y16" s="1526"/>
      <c r="Z16" s="1525"/>
      <c r="AA16" s="1524"/>
      <c r="AB16" s="1525"/>
      <c r="AC16" s="1525"/>
      <c r="AD16" s="1525"/>
      <c r="AE16" s="1526"/>
      <c r="AF16" s="1525"/>
      <c r="AG16" s="1524"/>
      <c r="AH16" s="1525"/>
      <c r="AI16" s="1525"/>
      <c r="AJ16" s="1525"/>
      <c r="AK16" s="1526"/>
      <c r="AL16" s="1525"/>
      <c r="AM16" s="1524"/>
      <c r="AN16" s="1525"/>
      <c r="AO16" s="1525"/>
      <c r="AP16" s="1525"/>
      <c r="AQ16" s="1098"/>
      <c r="AR16" s="1097"/>
      <c r="AS16" s="1524"/>
      <c r="AT16" s="1525"/>
      <c r="AU16" s="1525"/>
      <c r="AV16" s="1525"/>
      <c r="AW16" s="1098"/>
      <c r="AX16" s="1097"/>
      <c r="AY16" s="1524"/>
      <c r="AZ16" s="1525"/>
      <c r="BA16" s="1525"/>
      <c r="BB16" s="1525"/>
      <c r="BC16" s="1098"/>
      <c r="BD16" s="1519"/>
      <c r="BE16" s="1673">
        <f>+BE$15-((Growth_Drivers!BE$95*Growth_Drivers!AY$93*Growth_Drivers!BE82)/RevBuild!AY$45)</f>
        <v>-0.04</v>
      </c>
      <c r="BF16" s="1672">
        <f>+BF$15-((Growth_Drivers!BF$95*Growth_Drivers!AZ$93*Growth_Drivers!BF82)/RevBuild!AZ$45)</f>
        <v>3.4303626474140092E-2</v>
      </c>
      <c r="BG16" s="1672">
        <f>+BG$15-((Growth_Drivers!BG$95*Growth_Drivers!BA$93*Growth_Drivers!BG82)/RevBuild!BA$45)</f>
        <v>-2.9565084508477134E-2</v>
      </c>
      <c r="BH16" s="1672">
        <f>+BH$15-((Growth_Drivers!BH$95*Growth_Drivers!BB$93*Growth_Drivers!BH82)/RevBuild!BB$45)</f>
        <v>5.2713297601504061E-3</v>
      </c>
      <c r="BI16" s="1747">
        <f>+BI$15-((Growth_Drivers!BI$95*Growth_Drivers!BC$93*Growth_Drivers!BI82)/RevBuild!BC$45)</f>
        <v>-2.505917893029605E-3</v>
      </c>
      <c r="BJ16" s="1746"/>
      <c r="BK16" s="1673">
        <f>+BK$15-((Growth_Drivers!BK$95*Growth_Drivers!BE$93*Growth_Drivers!BK82)/RevBuild!BE$45)</f>
        <v>2.3955092336387304E-2</v>
      </c>
      <c r="BL16" s="1672">
        <f>+BL$15-((Growth_Drivers!BL$95*Growth_Drivers!BF$93*Growth_Drivers!BL82)/RevBuild!BF$45)</f>
        <v>-1.0370181914718784E-2</v>
      </c>
      <c r="BM16" s="1672">
        <f>+BM$15-((Growth_Drivers!BM$95*Growth_Drivers!BG$93*Growth_Drivers!BM82)/RevBuild!BG$45)</f>
        <v>0.04</v>
      </c>
      <c r="BN16" s="1672">
        <f>+BN$15-((Growth_Drivers!BN$95*Growth_Drivers!BH$93*Growth_Drivers!BN82)/RevBuild!BH$45)</f>
        <v>0.01</v>
      </c>
      <c r="BO16" s="1747">
        <f>+BO$15-((Growth_Drivers!BO$95*Growth_Drivers!BI$93*Growth_Drivers!BO82)/RevBuild!BI$45)</f>
        <v>1.4803780488417833E-2</v>
      </c>
      <c r="BP16" s="1746"/>
      <c r="BQ16" s="1673">
        <f>+BQ$15-((Growth_Drivers!BQ$95*Growth_Drivers!BK$93*Growth_Drivers!BQ82)/RevBuild!BK$45)</f>
        <v>7.8782204966528664E-3</v>
      </c>
      <c r="BR16" s="1672">
        <f>+BR$15-((Growth_Drivers!BR$95*Growth_Drivers!BL$93*Growth_Drivers!BR82)/RevBuild!BL$45)</f>
        <v>4.8318684498918976E-2</v>
      </c>
      <c r="BS16" s="1672">
        <f>+BS$15-((Growth_Drivers!BS$95*Growth_Drivers!BM$93*Growth_Drivers!BS82)/RevBuild!BM$45)</f>
        <v>4.0463814060521228E-2</v>
      </c>
      <c r="BT16" s="1672">
        <f>+BT$15-((Growth_Drivers!BT$95*Growth_Drivers!BN$93*Growth_Drivers!BT82)/RevBuild!BN$45)</f>
        <v>3.6071585845428036E-2</v>
      </c>
      <c r="BU16" s="1747">
        <f>+BU$15-((Growth_Drivers!BU$95*Growth_Drivers!BO$93*Growth_Drivers!BU82)/RevBuild!BO$45)</f>
        <v>3.3500729495026541E-2</v>
      </c>
      <c r="BV16" s="1746"/>
      <c r="BW16" s="1673">
        <f>+BW$15-((Growth_Drivers!BW$95*Growth_Drivers!BQ$93*Growth_Drivers!BW82)/RevBuild!BQ$45)</f>
        <v>6.0000000000000012E-2</v>
      </c>
      <c r="BX16" s="1672">
        <f>+BX$15-((Growth_Drivers!BX$95*Growth_Drivers!BR$93*Growth_Drivers!BX82)/RevBuild!BR$45)</f>
        <v>7.0999999999999994E-2</v>
      </c>
      <c r="BY16" s="1672">
        <f>+BY$15-((Growth_Drivers!BY$95*Growth_Drivers!BS$93*Growth_Drivers!BY82)/RevBuild!BS$45)</f>
        <v>2.8194348631902885E-2</v>
      </c>
      <c r="BZ16" s="1672">
        <f>+BZ$15-((Growth_Drivers!BZ$95*Growth_Drivers!BT$93*Growth_Drivers!BZ82)/RevBuild!BT$45)</f>
        <v>-4.8157517178886861E-3</v>
      </c>
      <c r="CA16" s="1747">
        <f>+CA$15-((Growth_Drivers!CA$95*Growth_Drivers!BU$93*Growth_Drivers!CA82)/RevBuild!BU$45)</f>
        <v>3.759365279929492E-2</v>
      </c>
      <c r="CB16" s="1746"/>
      <c r="CC16" s="1673">
        <f>+CC$15-((Growth_Drivers!CC$95*Growth_Drivers!BW$93*Growth_Drivers!CC82)/RevBuild!BW$45)</f>
        <v>2.9728365602136875E-2</v>
      </c>
      <c r="CD16" s="1672">
        <f>+CD$15-((Growth_Drivers!CD$95*Growth_Drivers!BX$93*Growth_Drivers!CD82)/RevBuild!BX$45)</f>
        <v>3.2584097943089779E-2</v>
      </c>
      <c r="CE16" s="1672">
        <f>+CE$15-((Growth_Drivers!CE$95*Growth_Drivers!BY$93*Growth_Drivers!CE82)/RevBuild!BY$45)</f>
        <v>1.1616251088769805E-2</v>
      </c>
      <c r="CF16" s="1672">
        <f>+CF$15-((Growth_Drivers!CF$95*Growth_Drivers!BZ$93*Growth_Drivers!CF82)/RevBuild!BZ$45)</f>
        <v>5.0589759097323578E-2</v>
      </c>
      <c r="CG16" s="1747">
        <f>+CG$15-((Growth_Drivers!CG$95*Growth_Drivers!CA$93*Growth_Drivers!CG82)/RevBuild!CA$45)</f>
        <v>3.1030630221481281E-2</v>
      </c>
      <c r="CH16" s="1746"/>
      <c r="CI16" s="1673">
        <f>+CI$15-((Growth_Drivers!CI$95*Growth_Drivers!CC$93*Growth_Drivers!CI82)/RevBuild!CC$45)</f>
        <v>0.05</v>
      </c>
      <c r="CJ16" s="1672">
        <f>+CJ$15-((Growth_Drivers!CJ$95*Growth_Drivers!CD$93*Growth_Drivers!CJ82)/RevBuild!CD$45)</f>
        <v>0.06</v>
      </c>
      <c r="CK16" s="1672">
        <f>+CK$15-((Growth_Drivers!CK$95*Growth_Drivers!CE$93*Growth_Drivers!CK82)/RevBuild!CE$45)</f>
        <v>0.1</v>
      </c>
      <c r="CL16" s="1672">
        <f>+CL$15-((Growth_Drivers!CL$95*Growth_Drivers!CF$93*Growth_Drivers!CL82)/RevBuild!CF$45)</f>
        <v>0.08</v>
      </c>
      <c r="CM16" s="1747">
        <f>+CM$15-((Growth_Drivers!CM$95*Growth_Drivers!CG$93*Growth_Drivers!CM82)/RevBuild!CG$45)</f>
        <v>7.296792198778089E-2</v>
      </c>
      <c r="CN16" s="1746"/>
      <c r="CO16" s="1673">
        <f>+CO$15-((Growth_Drivers!CO$95*Growth_Drivers!CI$93*Growth_Drivers!CO82)/RevBuild!CI$45)</f>
        <v>0.06</v>
      </c>
      <c r="CP16" s="1672">
        <f>+CP$15-((Growth_Drivers!CP$95*Growth_Drivers!CJ$93*Growth_Drivers!CP82)/RevBuild!CJ$45)</f>
        <v>0.06</v>
      </c>
      <c r="CQ16" s="1672">
        <f>+CQ$15-((Growth_Drivers!CQ$95*Growth_Drivers!CK$93*Growth_Drivers!CQ82)/RevBuild!CK$45)</f>
        <v>0.06</v>
      </c>
      <c r="CR16" s="1672">
        <f>+CR$15-((Growth_Drivers!CR$95*Growth_Drivers!CL$93*Growth_Drivers!CR82)/RevBuild!CL$45)</f>
        <v>0.06</v>
      </c>
      <c r="CS16" s="1747">
        <f>+CS$15-((Growth_Drivers!CS$95*Growth_Drivers!CM$93*Growth_Drivers!CS82)/RevBuild!CM$45)</f>
        <v>0.06</v>
      </c>
      <c r="CT16" s="1746"/>
      <c r="CU16" s="1673">
        <f>+CU$15-((Growth_Drivers!CU$95*Growth_Drivers!CO$93*Growth_Drivers!CU82)/RevBuild!CO$45)</f>
        <v>0.06</v>
      </c>
      <c r="CV16" s="1672">
        <f>+CV$15-((Growth_Drivers!CV$95*Growth_Drivers!CP$93*Growth_Drivers!CV82)/RevBuild!CP$45)</f>
        <v>0.06</v>
      </c>
      <c r="CW16" s="1672">
        <f>+CW$15-((Growth_Drivers!CW$95*Growth_Drivers!CQ$93*Growth_Drivers!CW82)/RevBuild!CQ$45)</f>
        <v>0.06</v>
      </c>
      <c r="CX16" s="1672">
        <f>+CX$15-((Growth_Drivers!CX$95*Growth_Drivers!CR$93*Growth_Drivers!CX82)/RevBuild!CR$45)</f>
        <v>0.06</v>
      </c>
      <c r="CY16" s="1747">
        <f>+CY$15-((Growth_Drivers!CY$95*Growth_Drivers!CS$93*Growth_Drivers!CY82)/RevBuild!CS$45)</f>
        <v>0.06</v>
      </c>
      <c r="DD16" s="48" t="str">
        <f>A38</f>
        <v xml:space="preserve">Molecular Diagnostics </v>
      </c>
      <c r="DE16" s="771"/>
      <c r="DF16" s="771"/>
      <c r="DG16" s="771"/>
      <c r="DH16" s="771"/>
      <c r="DI16" s="1488">
        <f t="shared" ref="DI16:DW20" si="34">+DI8+DE8</f>
        <v>8.8881654087531944E-2</v>
      </c>
      <c r="DJ16" s="1488">
        <f t="shared" si="34"/>
        <v>0.11927438960363484</v>
      </c>
      <c r="DK16" s="1488">
        <f t="shared" si="34"/>
        <v>0.15756877206087849</v>
      </c>
      <c r="DL16" s="1488">
        <f t="shared" si="34"/>
        <v>5.7641465456847583E-2</v>
      </c>
      <c r="DM16" s="1488">
        <f t="shared" si="34"/>
        <v>1.1840946707380402E-2</v>
      </c>
      <c r="DN16" s="1488">
        <f t="shared" si="34"/>
        <v>0.10119703676989877</v>
      </c>
      <c r="DO16" s="1488">
        <f t="shared" si="34"/>
        <v>2.2861778214421216E-2</v>
      </c>
      <c r="DP16" s="1488">
        <f t="shared" si="34"/>
        <v>2.1554677357209895E-2</v>
      </c>
      <c r="DQ16" s="1488">
        <f t="shared" si="34"/>
        <v>2.1133051485096692E-2</v>
      </c>
      <c r="DR16" s="1488">
        <f t="shared" si="34"/>
        <v>5.9922647166263929E-2</v>
      </c>
      <c r="DS16" s="1488">
        <f t="shared" si="34"/>
        <v>4.5813390273183513E-2</v>
      </c>
      <c r="DT16" s="1488">
        <f t="shared" si="34"/>
        <v>9.4469648223605235E-2</v>
      </c>
      <c r="DU16" s="1488">
        <f t="shared" si="34"/>
        <v>4.024759617801521E-2</v>
      </c>
      <c r="DV16" s="1488">
        <f t="shared" si="34"/>
        <v>0.10446870801231722</v>
      </c>
      <c r="DW16" s="1488">
        <f t="shared" si="34"/>
        <v>0.17295161205876231</v>
      </c>
      <c r="DX16" s="1488">
        <f t="shared" ref="DX16:DX20" si="35">+DX8+DT8</f>
        <v>0.14291497086639535</v>
      </c>
      <c r="DY16" s="1488">
        <f t="shared" ref="DY16:DY20" si="36">+DY8+DU8</f>
        <v>0.11358215700756964</v>
      </c>
      <c r="DZ16" s="1488">
        <f t="shared" ref="DZ16:DZ20" si="37">+DZ8+DV8</f>
        <v>0.16389302699444872</v>
      </c>
      <c r="EA16" s="1488">
        <f t="shared" ref="EA16:EA20" si="38">+EA8+DW8</f>
        <v>0.18190301941752157</v>
      </c>
      <c r="EB16" s="1488">
        <f t="shared" ref="EB16:EB20" si="39">+EB8+DX8</f>
        <v>0.10565832080007215</v>
      </c>
      <c r="EF16" s="2037"/>
      <c r="EG16" s="2038"/>
      <c r="EH16" s="2039"/>
      <c r="EI16" s="2039"/>
      <c r="EJ16" s="2039"/>
      <c r="EK16" s="2040"/>
      <c r="EL16" s="2038"/>
      <c r="EM16" s="2039"/>
      <c r="EN16" s="2039"/>
      <c r="EO16" s="2039"/>
      <c r="EP16" s="2040"/>
      <c r="EQ16" s="2038"/>
      <c r="ER16" s="2039"/>
      <c r="ES16" s="2039"/>
      <c r="ET16" s="2039"/>
      <c r="EU16" s="2040"/>
      <c r="EV16" s="2038"/>
      <c r="EW16" s="2039"/>
      <c r="EX16" s="2039"/>
      <c r="EY16" s="2039"/>
      <c r="EZ16" s="2040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</row>
    <row r="17" spans="1:225" x14ac:dyDescent="0.2">
      <c r="A17" s="354" t="s">
        <v>669</v>
      </c>
      <c r="B17" s="1501"/>
      <c r="C17" s="764"/>
      <c r="D17" s="765"/>
      <c r="E17" s="765"/>
      <c r="F17" s="765"/>
      <c r="G17" s="767"/>
      <c r="H17" s="765"/>
      <c r="I17" s="764"/>
      <c r="J17" s="765"/>
      <c r="K17" s="765"/>
      <c r="L17" s="765"/>
      <c r="M17" s="767"/>
      <c r="N17" s="765"/>
      <c r="O17" s="764"/>
      <c r="P17" s="765"/>
      <c r="Q17" s="765"/>
      <c r="R17" s="765"/>
      <c r="S17" s="767"/>
      <c r="T17" s="765"/>
      <c r="U17" s="764"/>
      <c r="V17" s="765"/>
      <c r="W17" s="765"/>
      <c r="X17" s="765"/>
      <c r="Y17" s="767"/>
      <c r="Z17" s="765"/>
      <c r="AA17" s="764"/>
      <c r="AB17" s="765"/>
      <c r="AC17" s="765"/>
      <c r="AD17" s="765"/>
      <c r="AE17" s="767"/>
      <c r="AF17" s="765"/>
      <c r="AG17" s="764"/>
      <c r="AH17" s="765"/>
      <c r="AI17" s="765"/>
      <c r="AJ17" s="765"/>
      <c r="AK17" s="767"/>
      <c r="AL17" s="765"/>
      <c r="AM17" s="764"/>
      <c r="AN17" s="765"/>
      <c r="AO17" s="765"/>
      <c r="AP17" s="765"/>
      <c r="AQ17" s="424"/>
      <c r="AR17" s="1502"/>
      <c r="AS17" s="1673"/>
      <c r="AT17" s="1672"/>
      <c r="AU17" s="1672"/>
      <c r="AV17" s="1672"/>
      <c r="AW17" s="1674"/>
      <c r="AX17" s="1745"/>
      <c r="AY17" s="1673"/>
      <c r="AZ17" s="1672"/>
      <c r="BA17" s="1672"/>
      <c r="BB17" s="1672"/>
      <c r="BC17" s="1674"/>
      <c r="BD17" s="1746"/>
      <c r="BE17" s="1673">
        <f>+BE$15-((Growth_Drivers!BE$254*Growth_Drivers!AY$253*Growth_Drivers!BE$232)/RevBuild!AY$45)</f>
        <v>-0.04</v>
      </c>
      <c r="BF17" s="1672">
        <f>+BF$15-((Growth_Drivers!BF$254*Growth_Drivers!AZ$253*Growth_Drivers!BF$232)/RevBuild!AZ$45)</f>
        <v>3.4303626474140092E-2</v>
      </c>
      <c r="BG17" s="1672">
        <f>+BG$15-((Growth_Drivers!BG$254*Growth_Drivers!BA$253*Growth_Drivers!BG$232)/RevBuild!BA$45)</f>
        <v>-2.9565084508477134E-2</v>
      </c>
      <c r="BH17" s="1672">
        <f>+BH$15-((Growth_Drivers!BH$254*Growth_Drivers!BB$253*Growth_Drivers!BH$232)/RevBuild!BB$45)</f>
        <v>5.2713297601504061E-3</v>
      </c>
      <c r="BI17" s="1747">
        <f>+BI$15-((Growth_Drivers!BI$254*Growth_Drivers!BC$253*Growth_Drivers!BI$232)/RevBuild!BC$45)</f>
        <v>-2.505917893029605E-3</v>
      </c>
      <c r="BJ17" s="1746"/>
      <c r="BK17" s="1673">
        <f>+BK$15-((Growth_Drivers!BK$254*Growth_Drivers!BE$253*Growth_Drivers!BK$232)/RevBuild!BE$45)</f>
        <v>2.3955092336387304E-2</v>
      </c>
      <c r="BL17" s="1672">
        <f>+BL$15-((Growth_Drivers!BL$254*Growth_Drivers!BF$253*Growth_Drivers!BL$232)/RevBuild!BF$45)</f>
        <v>-1.0370181914718784E-2</v>
      </c>
      <c r="BM17" s="1672">
        <f>+BM$15-((Growth_Drivers!BM$254*Growth_Drivers!BG$253*Growth_Drivers!BM$232)/RevBuild!BG$45)</f>
        <v>0.04</v>
      </c>
      <c r="BN17" s="1672">
        <f>+BN$15-((Growth_Drivers!BN$254*Growth_Drivers!BH$253*Growth_Drivers!BN$232)/RevBuild!BH$45)</f>
        <v>0.01</v>
      </c>
      <c r="BO17" s="1747">
        <f>+BO$15-((Growth_Drivers!BO$254*Growth_Drivers!BI$253*Growth_Drivers!BO$232)/RevBuild!BI$45)</f>
        <v>1.4803780488417833E-2</v>
      </c>
      <c r="BP17" s="1746"/>
      <c r="BQ17" s="1673">
        <f>+BQ$15-((Growth_Drivers!BQ$254*Growth_Drivers!BK$253*Growth_Drivers!BQ$232)/RevBuild!BK$45)</f>
        <v>7.8782204966528664E-3</v>
      </c>
      <c r="BR17" s="1672">
        <f>+BR$15-((Growth_Drivers!BR$254*Growth_Drivers!BL$253*Growth_Drivers!BR$232)/RevBuild!BL$45)</f>
        <v>4.8318684498918976E-2</v>
      </c>
      <c r="BS17" s="1672">
        <f>+BS$15-((Growth_Drivers!BS$254*Growth_Drivers!BM$253*Growth_Drivers!BS$232)/RevBuild!BM$45)</f>
        <v>4.0463814060521228E-2</v>
      </c>
      <c r="BT17" s="1672">
        <f>+BT$15-((Growth_Drivers!BT$254*Growth_Drivers!BN$253*Growth_Drivers!BT$232)/RevBuild!BN$45)</f>
        <v>3.6071585845428036E-2</v>
      </c>
      <c r="BU17" s="1747">
        <f>+BU$15-((Growth_Drivers!BU$254*Growth_Drivers!BO$253*Growth_Drivers!BU$232)/RevBuild!BO$45)</f>
        <v>3.3500729495026541E-2</v>
      </c>
      <c r="BV17" s="1746"/>
      <c r="BW17" s="1673">
        <f>+BW$15-((Growth_Drivers!BW$254*Growth_Drivers!BQ$253*Growth_Drivers!BW$232)/RevBuild!BQ$45)</f>
        <v>6.0000000000000012E-2</v>
      </c>
      <c r="BX17" s="1672">
        <f>+BX$15-((Growth_Drivers!BX$254*Growth_Drivers!BR$253*Growth_Drivers!BX$232)/RevBuild!BR$45)</f>
        <v>7.0999999999999994E-2</v>
      </c>
      <c r="BY17" s="1672">
        <f>+BY$15-((Growth_Drivers!BY$254*Growth_Drivers!BS$253*Growth_Drivers!BY$232)/RevBuild!BS$45)</f>
        <v>2.8194348631902885E-2</v>
      </c>
      <c r="BZ17" s="1672">
        <f>+BZ$15-((Growth_Drivers!BZ$254*Growth_Drivers!BT$253*Growth_Drivers!BZ$232)/RevBuild!BT$45)</f>
        <v>-4.8157517178886861E-3</v>
      </c>
      <c r="CA17" s="1747">
        <f>+CA$15-((Growth_Drivers!CA$254*Growth_Drivers!BU$253*Growth_Drivers!CA$232)/RevBuild!BU$45)</f>
        <v>3.759365279929492E-2</v>
      </c>
      <c r="CB17" s="1746"/>
      <c r="CC17" s="1673">
        <f>+CC$15-((Growth_Drivers!CC$254*Growth_Drivers!BW$253*Growth_Drivers!CC$232)/RevBuild!BW$45)</f>
        <v>1.1909906003346231E-2</v>
      </c>
      <c r="CD17" s="1672">
        <f>+CD$15-((Growth_Drivers!CD$254*Growth_Drivers!BX$253*Growth_Drivers!CD$232)/RevBuild!BX$45)</f>
        <v>1.3856650246604842E-2</v>
      </c>
      <c r="CE17" s="1672">
        <f>+CE$15-((Growth_Drivers!CE$254*Growth_Drivers!BY$253*Growth_Drivers!CE$232)/RevBuild!BY$45)</f>
        <v>-8.3859763521124363E-3</v>
      </c>
      <c r="CF17" s="1672">
        <f>+CF$15-((Growth_Drivers!CF$254*Growth_Drivers!BZ$253*Growth_Drivers!CF$232)/RevBuild!BZ$45)</f>
        <v>2.9711740835551999E-2</v>
      </c>
      <c r="CG17" s="1747">
        <f>+CG$15-((Growth_Drivers!CG$254*Growth_Drivers!CA$253*Growth_Drivers!CG$232)/RevBuild!CA$45)</f>
        <v>1.1586684779125486E-2</v>
      </c>
      <c r="CH17" s="1746"/>
      <c r="CI17" s="1673">
        <f>+CI$15-((Growth_Drivers!CI$254*Growth_Drivers!CC$253*Growth_Drivers!CI$232)/RevBuild!CC$45)</f>
        <v>2.9688328947069999E-2</v>
      </c>
      <c r="CJ17" s="1672">
        <f>+CJ$15-((Growth_Drivers!CJ$254*Growth_Drivers!CD$253*Growth_Drivers!CJ$232)/RevBuild!CD$45)</f>
        <v>4.217997524364786E-2</v>
      </c>
      <c r="CK17" s="1672">
        <f>+CK$15-((Growth_Drivers!CK$254*Growth_Drivers!CE$253*Growth_Drivers!CK$232)/RevBuild!CE$45)</f>
        <v>8.2145555847342497E-2</v>
      </c>
      <c r="CL17" s="1672">
        <f>+CL$15-((Growth_Drivers!CL$254*Growth_Drivers!CF$253*Growth_Drivers!CL$232)/RevBuild!CF$45)</f>
        <v>6.3611470642004619E-2</v>
      </c>
      <c r="CM17" s="1747">
        <f>+CM$15-((Growth_Drivers!CM$254*Growth_Drivers!CG$253*Growth_Drivers!CM$232)/RevBuild!CG$45)</f>
        <v>5.5001912162157551E-2</v>
      </c>
      <c r="CN17" s="1746"/>
      <c r="CO17" s="1673">
        <f>+CO$15-((Growth_Drivers!CO$254*Growth_Drivers!CI$253*Growth_Drivers!CO$232)/RevBuild!CI$45)</f>
        <v>3.8585609663122848E-2</v>
      </c>
      <c r="CP17" s="1672">
        <f>+CP$15-((Growth_Drivers!CP$254*Growth_Drivers!CJ$253*Growth_Drivers!CP$232)/RevBuild!CJ$45)</f>
        <v>3.9488595127018446E-2</v>
      </c>
      <c r="CQ17" s="1672">
        <f>+CQ$15-((Growth_Drivers!CQ$254*Growth_Drivers!CK$253*Growth_Drivers!CQ$232)/RevBuild!CK$45)</f>
        <v>3.7956565331671896E-2</v>
      </c>
      <c r="CR17" s="1672">
        <f>+CR$15-((Growth_Drivers!CR$254*Growth_Drivers!CL$253*Growth_Drivers!CR$232)/RevBuild!CL$45)</f>
        <v>3.7460962657882728E-2</v>
      </c>
      <c r="CS17" s="1747">
        <f>+CS$15-((Growth_Drivers!CS$254*Growth_Drivers!CM$253*Growth_Drivers!CS$232)/RevBuild!CM$45)</f>
        <v>3.8362175745309104E-2</v>
      </c>
      <c r="CT17" s="1746"/>
      <c r="CU17" s="1673">
        <f>+CU$15-((Growth_Drivers!CU$254*Growth_Drivers!CO$253*Growth_Drivers!CU$232)/RevBuild!CO$45)</f>
        <v>3.3542284500656452E-2</v>
      </c>
      <c r="CV17" s="1672">
        <f>+CV$15-((Growth_Drivers!CV$254*Growth_Drivers!CP$253*Growth_Drivers!CV$232)/RevBuild!CP$45)</f>
        <v>3.5782748761821852E-2</v>
      </c>
      <c r="CW17" s="1672">
        <f>+CW$15-((Growth_Drivers!CW$254*Growth_Drivers!CQ$253*Growth_Drivers!CW$232)/RevBuild!CQ$45)</f>
        <v>3.5046885204846875E-2</v>
      </c>
      <c r="CX17" s="1672">
        <f>+CX$15-((Growth_Drivers!CX$254*Growth_Drivers!CR$253*Growth_Drivers!CX$232)/RevBuild!CR$45)</f>
        <v>3.5451887303094856E-2</v>
      </c>
      <c r="CY17" s="1747">
        <f>+CY$15-((Growth_Drivers!CY$254*Growth_Drivers!CS$253*Growth_Drivers!CY$232)/RevBuild!CS$45)</f>
        <v>3.4995071722452822E-2</v>
      </c>
      <c r="DD17" s="1441" t="str">
        <f>A43</f>
        <v>Applied Testing</v>
      </c>
      <c r="DE17" s="1489"/>
      <c r="DF17" s="1489"/>
      <c r="DG17" s="1489"/>
      <c r="DH17" s="1489"/>
      <c r="DI17" s="1490">
        <f t="shared" si="34"/>
        <v>0.17558845231507103</v>
      </c>
      <c r="DJ17" s="1490">
        <f t="shared" si="34"/>
        <v>-2.2962909118491082E-2</v>
      </c>
      <c r="DK17" s="1490">
        <f t="shared" si="34"/>
        <v>0.13</v>
      </c>
      <c r="DL17" s="1490">
        <f t="shared" si="34"/>
        <v>0.30000000000000004</v>
      </c>
      <c r="DM17" s="1490">
        <f t="shared" si="34"/>
        <v>0.1667992259946216</v>
      </c>
      <c r="DN17" s="1490">
        <f t="shared" si="34"/>
        <v>7.5543966566441467E-2</v>
      </c>
      <c r="DO17" s="1490">
        <f t="shared" si="34"/>
        <v>8.3601558393737924E-2</v>
      </c>
      <c r="DP17" s="1490">
        <f t="shared" si="34"/>
        <v>0.15214317169085609</v>
      </c>
      <c r="DQ17" s="1490">
        <f t="shared" si="34"/>
        <v>-4.2122559653782768E-2</v>
      </c>
      <c r="DR17" s="1490">
        <f t="shared" si="34"/>
        <v>0.10450687568493255</v>
      </c>
      <c r="DS17" s="1490">
        <f t="shared" si="34"/>
        <v>7.6039723540296672E-2</v>
      </c>
      <c r="DT17" s="1490">
        <f t="shared" si="34"/>
        <v>6.4282100433084688E-2</v>
      </c>
      <c r="DU17" s="1490">
        <f t="shared" si="34"/>
        <v>0.10153084946773509</v>
      </c>
      <c r="DV17" s="1490">
        <f t="shared" si="34"/>
        <v>0.1535618185021721</v>
      </c>
      <c r="DW17" s="1490">
        <f t="shared" si="34"/>
        <v>0.21243816514655875</v>
      </c>
      <c r="DX17" s="1490">
        <f t="shared" si="35"/>
        <v>0.1321389287422286</v>
      </c>
      <c r="DY17" s="1490">
        <f t="shared" si="36"/>
        <v>0.22486418280106843</v>
      </c>
      <c r="DZ17" s="1490">
        <f t="shared" si="37"/>
        <v>0.20756181850217209</v>
      </c>
      <c r="EA17" s="1490">
        <f t="shared" si="38"/>
        <v>0.22</v>
      </c>
      <c r="EB17" s="1490">
        <f t="shared" si="39"/>
        <v>0.2</v>
      </c>
      <c r="EF17" s="166"/>
      <c r="EG17" s="2041"/>
      <c r="EH17" s="2042"/>
      <c r="EI17" s="2042"/>
      <c r="EJ17" s="2042"/>
      <c r="EK17" s="2040"/>
      <c r="EL17" s="2041"/>
      <c r="EM17" s="2042"/>
      <c r="EN17" s="2042"/>
      <c r="EO17" s="2042"/>
      <c r="EP17" s="2040"/>
      <c r="EQ17" s="2041"/>
      <c r="ER17" s="2042"/>
      <c r="ES17" s="2042"/>
      <c r="ET17" s="2042"/>
      <c r="EU17" s="2040"/>
      <c r="EV17" s="2041"/>
      <c r="EW17" s="2042"/>
      <c r="EX17" s="2042"/>
      <c r="EY17" s="2042"/>
      <c r="EZ17" s="2040"/>
    </row>
    <row r="18" spans="1:225" x14ac:dyDescent="0.2">
      <c r="A18" s="1819" t="s">
        <v>665</v>
      </c>
      <c r="B18" s="1849"/>
      <c r="C18" s="1850"/>
      <c r="D18" s="1851"/>
      <c r="E18" s="1851"/>
      <c r="F18" s="1851"/>
      <c r="G18" s="1852"/>
      <c r="H18" s="1851"/>
      <c r="I18" s="1850"/>
      <c r="J18" s="1851"/>
      <c r="K18" s="1851"/>
      <c r="L18" s="1851"/>
      <c r="M18" s="1852"/>
      <c r="N18" s="1851"/>
      <c r="O18" s="1850"/>
      <c r="P18" s="1851"/>
      <c r="Q18" s="1851"/>
      <c r="R18" s="1851"/>
      <c r="S18" s="1852"/>
      <c r="T18" s="1851"/>
      <c r="U18" s="1850"/>
      <c r="V18" s="1851"/>
      <c r="W18" s="1851"/>
      <c r="X18" s="1851"/>
      <c r="Y18" s="1852"/>
      <c r="Z18" s="1851"/>
      <c r="AA18" s="1850"/>
      <c r="AB18" s="1851"/>
      <c r="AC18" s="1851"/>
      <c r="AD18" s="1851"/>
      <c r="AE18" s="1852"/>
      <c r="AF18" s="1851"/>
      <c r="AG18" s="1850"/>
      <c r="AH18" s="1851"/>
      <c r="AI18" s="1851"/>
      <c r="AJ18" s="1851"/>
      <c r="AK18" s="1852"/>
      <c r="AL18" s="1851"/>
      <c r="AM18" s="1850"/>
      <c r="AN18" s="1851"/>
      <c r="AO18" s="1851"/>
      <c r="AP18" s="1851"/>
      <c r="AQ18" s="1853"/>
      <c r="AR18" s="1854"/>
      <c r="AS18" s="1850"/>
      <c r="AT18" s="1851"/>
      <c r="AU18" s="1851"/>
      <c r="AV18" s="1851"/>
      <c r="AW18" s="1853"/>
      <c r="AX18" s="1854"/>
      <c r="AY18" s="1850"/>
      <c r="AZ18" s="1851"/>
      <c r="BA18" s="1851"/>
      <c r="BB18" s="1851"/>
      <c r="BC18" s="1853"/>
      <c r="BD18" s="1849"/>
      <c r="BE18" s="1850">
        <f>+BE15-(BE15-BE16)-(BE15-BE17)</f>
        <v>-0.04</v>
      </c>
      <c r="BF18" s="1851">
        <f t="shared" ref="BF18:BI18" si="40">+BF15-(BF15-BF16)-(BF15-BF17)</f>
        <v>3.4303626474140092E-2</v>
      </c>
      <c r="BG18" s="1851">
        <f t="shared" si="40"/>
        <v>-2.9565084508477134E-2</v>
      </c>
      <c r="BH18" s="1851">
        <f t="shared" si="40"/>
        <v>5.2713297601504061E-3</v>
      </c>
      <c r="BI18" s="1852">
        <f t="shared" si="40"/>
        <v>-2.505917893029605E-3</v>
      </c>
      <c r="BJ18" s="1849"/>
      <c r="BK18" s="1850">
        <f>+BK15-(BK15-BK16)-(BK15-BK17)</f>
        <v>2.3955092336387304E-2</v>
      </c>
      <c r="BL18" s="1851">
        <f t="shared" ref="BL18" si="41">+BL15-(BL15-BL16)-(BL15-BL17)</f>
        <v>-1.0370181914718784E-2</v>
      </c>
      <c r="BM18" s="1851">
        <f t="shared" ref="BM18" si="42">+BM15-(BM15-BM16)-(BM15-BM17)</f>
        <v>0.04</v>
      </c>
      <c r="BN18" s="1851">
        <f t="shared" ref="BN18" si="43">+BN15-(BN15-BN16)-(BN15-BN17)</f>
        <v>0.01</v>
      </c>
      <c r="BO18" s="1852">
        <f t="shared" ref="BO18" si="44">+BO15-(BO15-BO16)-(BO15-BO17)</f>
        <v>1.4803780488417833E-2</v>
      </c>
      <c r="BP18" s="1849"/>
      <c r="BQ18" s="1850">
        <f>+BQ15-(BQ15-BQ16)-(BQ15-BQ17)</f>
        <v>7.8782204966528664E-3</v>
      </c>
      <c r="BR18" s="1851">
        <f t="shared" ref="BR18" si="45">+BR15-(BR15-BR16)-(BR15-BR17)</f>
        <v>4.8318684498918976E-2</v>
      </c>
      <c r="BS18" s="1851">
        <f t="shared" ref="BS18" si="46">+BS15-(BS15-BS16)-(BS15-BS17)</f>
        <v>4.0463814060521228E-2</v>
      </c>
      <c r="BT18" s="1851">
        <f t="shared" ref="BT18" si="47">+BT15-(BT15-BT16)-(BT15-BT17)</f>
        <v>3.6071585845428036E-2</v>
      </c>
      <c r="BU18" s="1852">
        <f t="shared" ref="BU18" si="48">+BU15-(BU15-BU16)-(BU15-BU17)</f>
        <v>3.3500729495026541E-2</v>
      </c>
      <c r="BV18" s="1849"/>
      <c r="BW18" s="1850">
        <f>+BW15-(BW15-BW16)-(BW15-BW17)</f>
        <v>6.0000000000000012E-2</v>
      </c>
      <c r="BX18" s="1851">
        <f t="shared" ref="BX18" si="49">+BX15-(BX15-BX16)-(BX15-BX17)</f>
        <v>7.0999999999999994E-2</v>
      </c>
      <c r="BY18" s="1851">
        <f t="shared" ref="BY18" si="50">+BY15-(BY15-BY16)-(BY15-BY17)</f>
        <v>2.8194348631902885E-2</v>
      </c>
      <c r="BZ18" s="1851">
        <f t="shared" ref="BZ18" si="51">+BZ15-(BZ15-BZ16)-(BZ15-BZ17)</f>
        <v>-4.8157517178886861E-3</v>
      </c>
      <c r="CA18" s="1852">
        <f t="shared" ref="CA18" si="52">+CA15-(CA15-CA16)-(CA15-CA17)</f>
        <v>3.759365279929492E-2</v>
      </c>
      <c r="CB18" s="1849"/>
      <c r="CC18" s="1850">
        <f>+CC15-(CC15-CC16)-(CC15-CC17)</f>
        <v>1.1909906003346231E-2</v>
      </c>
      <c r="CD18" s="1851">
        <f t="shared" ref="CD18" si="53">+CD15-(CD15-CD16)-(CD15-CD17)</f>
        <v>1.3856650246604842E-2</v>
      </c>
      <c r="CE18" s="1851">
        <f t="shared" ref="CE18" si="54">+CE15-(CE15-CE16)-(CE15-CE17)</f>
        <v>-8.3859763521124363E-3</v>
      </c>
      <c r="CF18" s="1851">
        <f t="shared" ref="CF18" si="55">+CF15-(CF15-CF16)-(CF15-CF17)</f>
        <v>2.9711740835551999E-2</v>
      </c>
      <c r="CG18" s="1852">
        <f t="shared" ref="CG18" si="56">+CG15-(CG15-CG16)-(CG15-CG17)</f>
        <v>1.1586684779125486E-2</v>
      </c>
      <c r="CH18" s="1849"/>
      <c r="CI18" s="1850">
        <f>+CI15-(CI15-CI16)-(CI15-CI17)</f>
        <v>2.9688328947069999E-2</v>
      </c>
      <c r="CJ18" s="1851">
        <f t="shared" ref="CJ18" si="57">+CJ15-(CJ15-CJ16)-(CJ15-CJ17)</f>
        <v>4.217997524364786E-2</v>
      </c>
      <c r="CK18" s="1851">
        <f t="shared" ref="CK18" si="58">+CK15-(CK15-CK16)-(CK15-CK17)</f>
        <v>8.2145555847342497E-2</v>
      </c>
      <c r="CL18" s="1851">
        <f t="shared" ref="CL18" si="59">+CL15-(CL15-CL16)-(CL15-CL17)</f>
        <v>6.3611470642004619E-2</v>
      </c>
      <c r="CM18" s="1852">
        <f t="shared" ref="CM18" si="60">+CM15-(CM15-CM16)-(CM15-CM17)</f>
        <v>5.5001912162157551E-2</v>
      </c>
      <c r="CN18" s="1849"/>
      <c r="CO18" s="1850">
        <f>+CO15-(CO15-CO16)-(CO15-CO17)</f>
        <v>3.8585609663122848E-2</v>
      </c>
      <c r="CP18" s="1851">
        <f t="shared" ref="CP18" si="61">+CP15-(CP15-CP16)-(CP15-CP17)</f>
        <v>3.9488595127018446E-2</v>
      </c>
      <c r="CQ18" s="1851">
        <f t="shared" ref="CQ18" si="62">+CQ15-(CQ15-CQ16)-(CQ15-CQ17)</f>
        <v>3.7956565331671896E-2</v>
      </c>
      <c r="CR18" s="1851">
        <f t="shared" ref="CR18" si="63">+CR15-(CR15-CR16)-(CR15-CR17)</f>
        <v>3.7460962657882728E-2</v>
      </c>
      <c r="CS18" s="1852">
        <f t="shared" ref="CS18" si="64">+CS15-(CS15-CS16)-(CS15-CS17)</f>
        <v>3.8362175745309104E-2</v>
      </c>
      <c r="CT18" s="1810"/>
      <c r="CU18" s="1811">
        <f>+CU15-(CU15-CU16)-(CU15-CU17)</f>
        <v>3.3542284500656452E-2</v>
      </c>
      <c r="CV18" s="1812">
        <f t="shared" ref="CV18" si="65">+CV15-(CV15-CV16)-(CV15-CV17)</f>
        <v>3.5782748761821852E-2</v>
      </c>
      <c r="CW18" s="1812">
        <f t="shared" ref="CW18" si="66">+CW15-(CW15-CW16)-(CW15-CW17)</f>
        <v>3.5046885204846875E-2</v>
      </c>
      <c r="CX18" s="1812">
        <f t="shared" ref="CX18" si="67">+CX15-(CX15-CX16)-(CX15-CX17)</f>
        <v>3.5451887303094856E-2</v>
      </c>
      <c r="CY18" s="1813">
        <f t="shared" ref="CY18" si="68">+CY15-(CY15-CY16)-(CY15-CY17)</f>
        <v>3.4995071722452822E-2</v>
      </c>
      <c r="DD18" s="48" t="str">
        <f>A45</f>
        <v xml:space="preserve">Pharma </v>
      </c>
      <c r="DE18" s="771"/>
      <c r="DF18" s="771"/>
      <c r="DG18" s="771"/>
      <c r="DH18" s="771"/>
      <c r="DI18" s="1488">
        <f t="shared" si="34"/>
        <v>-1.6044907663612697E-2</v>
      </c>
      <c r="DJ18" s="1488">
        <f t="shared" si="34"/>
        <v>2.3933444559421306E-2</v>
      </c>
      <c r="DK18" s="1488">
        <f t="shared" si="34"/>
        <v>1.0434915491522867E-2</v>
      </c>
      <c r="DL18" s="1488">
        <f t="shared" si="34"/>
        <v>1.5271329760150406E-2</v>
      </c>
      <c r="DM18" s="1488">
        <f t="shared" si="34"/>
        <v>3.1833312833040167E-2</v>
      </c>
      <c r="DN18" s="1488">
        <f t="shared" si="34"/>
        <v>3.794850258420019E-2</v>
      </c>
      <c r="DO18" s="1488">
        <f t="shared" si="34"/>
        <v>8.0463814060521222E-2</v>
      </c>
      <c r="DP18" s="1488">
        <f t="shared" si="34"/>
        <v>4.6071585845428038E-2</v>
      </c>
      <c r="DQ18" s="1488">
        <f t="shared" si="34"/>
        <v>6.7878220496652875E-2</v>
      </c>
      <c r="DR18" s="1488">
        <f t="shared" si="34"/>
        <v>0.11931868449891897</v>
      </c>
      <c r="DS18" s="1488">
        <f t="shared" si="34"/>
        <v>6.8658162692424113E-2</v>
      </c>
      <c r="DT18" s="1488">
        <f t="shared" si="34"/>
        <v>3.125583412753935E-2</v>
      </c>
      <c r="DU18" s="1488">
        <f t="shared" si="34"/>
        <v>8.9728365602136886E-2</v>
      </c>
      <c r="DV18" s="1488">
        <f t="shared" si="34"/>
        <v>0.10358409794308977</v>
      </c>
      <c r="DW18" s="1488">
        <f t="shared" si="34"/>
        <v>3.981059972067269E-2</v>
      </c>
      <c r="DX18" s="1488">
        <f t="shared" si="35"/>
        <v>4.5774007379434892E-2</v>
      </c>
      <c r="DY18" s="1488">
        <f t="shared" si="36"/>
        <v>7.9728365602136878E-2</v>
      </c>
      <c r="DZ18" s="1488">
        <f t="shared" si="37"/>
        <v>9.2584097943089777E-2</v>
      </c>
      <c r="EA18" s="1488">
        <f t="shared" si="38"/>
        <v>0.11161625108876981</v>
      </c>
      <c r="EB18" s="1488">
        <f t="shared" si="39"/>
        <v>0.13058975909732357</v>
      </c>
      <c r="EF18" s="2043"/>
      <c r="EG18" s="2044"/>
      <c r="EH18" s="2045"/>
      <c r="EI18" s="2045"/>
      <c r="EJ18" s="2045"/>
      <c r="EK18" s="2046"/>
      <c r="EL18" s="2044"/>
      <c r="EM18" s="2045"/>
      <c r="EN18" s="2045"/>
      <c r="EO18" s="2045"/>
      <c r="EP18" s="2046"/>
      <c r="EQ18" s="2044"/>
      <c r="ER18" s="2045"/>
      <c r="ES18" s="2045"/>
      <c r="ET18" s="2045"/>
      <c r="EU18" s="2046"/>
      <c r="EV18" s="2044"/>
      <c r="EW18" s="2045"/>
      <c r="EX18" s="2045"/>
      <c r="EY18" s="2045"/>
      <c r="EZ18" s="2046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</row>
    <row r="19" spans="1:225" s="2" customFormat="1" x14ac:dyDescent="0.2">
      <c r="A19" s="189" t="s">
        <v>235</v>
      </c>
      <c r="B19" s="1501"/>
      <c r="C19" s="764"/>
      <c r="D19" s="765"/>
      <c r="E19" s="765"/>
      <c r="F19" s="765"/>
      <c r="G19" s="767"/>
      <c r="H19" s="765"/>
      <c r="I19" s="764" t="s">
        <v>251</v>
      </c>
      <c r="J19" s="765" t="s">
        <v>251</v>
      </c>
      <c r="K19" s="765" t="s">
        <v>251</v>
      </c>
      <c r="L19" s="765" t="s">
        <v>251</v>
      </c>
      <c r="M19" s="767" t="s">
        <v>251</v>
      </c>
      <c r="N19" s="765"/>
      <c r="O19" s="764" t="s">
        <v>251</v>
      </c>
      <c r="P19" s="765" t="s">
        <v>251</v>
      </c>
      <c r="Q19" s="765" t="s">
        <v>251</v>
      </c>
      <c r="R19" s="765" t="s">
        <v>251</v>
      </c>
      <c r="S19" s="767" t="s">
        <v>251</v>
      </c>
      <c r="T19" s="765"/>
      <c r="U19" s="764" t="s">
        <v>251</v>
      </c>
      <c r="V19" s="765" t="s">
        <v>251</v>
      </c>
      <c r="W19" s="765" t="s">
        <v>251</v>
      </c>
      <c r="X19" s="765" t="s">
        <v>251</v>
      </c>
      <c r="Y19" s="767" t="s">
        <v>251</v>
      </c>
      <c r="Z19" s="765"/>
      <c r="AA19" s="764" t="s">
        <v>251</v>
      </c>
      <c r="AB19" s="765" t="s">
        <v>251</v>
      </c>
      <c r="AC19" s="765" t="s">
        <v>251</v>
      </c>
      <c r="AD19" s="765" t="s">
        <v>251</v>
      </c>
      <c r="AE19" s="767" t="s">
        <v>251</v>
      </c>
      <c r="AF19" s="765"/>
      <c r="AG19" s="764" t="s">
        <v>251</v>
      </c>
      <c r="AH19" s="765" t="s">
        <v>251</v>
      </c>
      <c r="AI19" s="765" t="s">
        <v>251</v>
      </c>
      <c r="AJ19" s="765" t="s">
        <v>251</v>
      </c>
      <c r="AK19" s="767" t="s">
        <v>251</v>
      </c>
      <c r="AL19" s="765"/>
      <c r="AM19" s="764">
        <v>0.12</v>
      </c>
      <c r="AN19" s="765">
        <v>7.0000000000000007E-2</v>
      </c>
      <c r="AO19" s="765">
        <v>0</v>
      </c>
      <c r="AP19" s="765">
        <v>0.05</v>
      </c>
      <c r="AQ19" s="424">
        <v>7.0000000000000007E-2</v>
      </c>
      <c r="AR19" s="1502"/>
      <c r="AS19" s="1673">
        <f>+RevBuild!AS56</f>
        <v>-0.02</v>
      </c>
      <c r="AT19" s="1672">
        <f>+RevBuild!AT56</f>
        <v>0.01</v>
      </c>
      <c r="AU19" s="1672">
        <f>+RevBuild!AU56</f>
        <v>7.0000000000000007E-2</v>
      </c>
      <c r="AV19" s="1672">
        <f>+RevBuild!AV56</f>
        <v>0.03</v>
      </c>
      <c r="AW19" s="1674">
        <f>+RevBuild!AW56</f>
        <v>0.02</v>
      </c>
      <c r="AX19" s="1745"/>
      <c r="AY19" s="1673">
        <f>+RevBuild!AY56</f>
        <v>0.03</v>
      </c>
      <c r="AZ19" s="1672">
        <f>+RevBuild!AZ56</f>
        <v>0.01</v>
      </c>
      <c r="BA19" s="1672">
        <f>+RevBuild!BA56</f>
        <v>0.02</v>
      </c>
      <c r="BB19" s="1672">
        <f>+RevBuild!BB56</f>
        <v>0</v>
      </c>
      <c r="BC19" s="1674">
        <f>+RevBuild!BC56</f>
        <v>0.01</v>
      </c>
      <c r="BD19" s="1746"/>
      <c r="BE19" s="1673">
        <f>+RevBuild!BE56</f>
        <v>-0.04</v>
      </c>
      <c r="BF19" s="1672">
        <f>+RevBuild!BF56</f>
        <v>2.5253022061783408E-2</v>
      </c>
      <c r="BG19" s="1672">
        <f>+RevBuild!BG56</f>
        <v>-2.7155691902544399E-2</v>
      </c>
      <c r="BH19" s="1672">
        <f>+RevBuild!BH56</f>
        <v>-1.0657220187708372E-2</v>
      </c>
      <c r="BI19" s="1747">
        <f>+RevBuild!BI56</f>
        <v>-1.5800362241204041E-2</v>
      </c>
      <c r="BJ19" s="1746"/>
      <c r="BK19" s="1673">
        <f>+RevBuild!BK56</f>
        <v>6.7990376929225854E-2</v>
      </c>
      <c r="BL19" s="1672">
        <f>+RevBuild!BL56</f>
        <v>-4.9017549491059811E-2</v>
      </c>
      <c r="BM19" s="1672">
        <f>+RevBuild!BM56</f>
        <v>0</v>
      </c>
      <c r="BN19" s="1672">
        <f>+RevBuild!BN56</f>
        <v>0.06</v>
      </c>
      <c r="BO19" s="1747">
        <f>+RevBuild!BO56</f>
        <v>1.4900354509037438E-2</v>
      </c>
      <c r="BP19" s="1746"/>
      <c r="BQ19" s="1673">
        <f>+RevBuild!BQ56</f>
        <v>2.0403591226516853E-2</v>
      </c>
      <c r="BR19" s="1672">
        <f>+RevBuild!BR56</f>
        <v>5.1275227521793657E-2</v>
      </c>
      <c r="BS19" s="1672">
        <f>+RevBuild!BS56</f>
        <v>4.2324403197614442E-2</v>
      </c>
      <c r="BT19" s="1672">
        <f>+RevBuild!BT56</f>
        <v>5.0422206600804764E-2</v>
      </c>
      <c r="BU19" s="1747">
        <f>+RevBuild!BU56</f>
        <v>4.1071998270836324E-2</v>
      </c>
      <c r="BV19" s="1746"/>
      <c r="BW19" s="1673">
        <f>+RevBuild!BW56</f>
        <v>6.9565217391304376E-3</v>
      </c>
      <c r="BX19" s="1672">
        <f>+RevBuild!BX56</f>
        <v>3.6571428571428574E-2</v>
      </c>
      <c r="BY19" s="1672">
        <f>+RevBuild!BY56</f>
        <v>-6.4407004740515972E-4</v>
      </c>
      <c r="BZ19" s="1672">
        <f>+RevBuild!BZ56</f>
        <v>-3.7923866259122946E-2</v>
      </c>
      <c r="CA19" s="1747">
        <f>+RevBuild!CA56</f>
        <v>-5.3645406824467945E-4</v>
      </c>
      <c r="CB19" s="1746"/>
      <c r="CC19" s="1673">
        <f>+RevBuild!CC56</f>
        <v>-5.7001461665984396E-3</v>
      </c>
      <c r="CD19" s="1672">
        <f>+RevBuild!CD56</f>
        <v>7.5683175845833658E-3</v>
      </c>
      <c r="CE19" s="1672">
        <f>+RevBuild!CE56</f>
        <v>3.1602619936913282E-4</v>
      </c>
      <c r="CF19" s="1672">
        <f>+RevBuild!CF56</f>
        <v>3.2637446315604099E-2</v>
      </c>
      <c r="CG19" s="1747">
        <f>+RevBuild!CG56</f>
        <v>9.6166394972433053E-3</v>
      </c>
      <c r="CH19" s="1746"/>
      <c r="CI19" s="1673">
        <f>+RevBuild!CI56</f>
        <v>0.02</v>
      </c>
      <c r="CJ19" s="1672">
        <f>+RevBuild!CJ56</f>
        <v>0.01</v>
      </c>
      <c r="CK19" s="1672">
        <f>+RevBuild!CK56</f>
        <v>0.02</v>
      </c>
      <c r="CL19" s="1672">
        <f>+RevBuild!CL56</f>
        <v>-0.02</v>
      </c>
      <c r="CM19" s="1747">
        <f>+RevBuild!CM56</f>
        <v>6.2190357113117174E-3</v>
      </c>
      <c r="CN19" s="1746"/>
      <c r="CO19" s="1673">
        <f>+RevBuild!CO56</f>
        <v>0.03</v>
      </c>
      <c r="CP19" s="1672">
        <f>+RevBuild!CP56</f>
        <v>0.03</v>
      </c>
      <c r="CQ19" s="1672">
        <f>+RevBuild!CQ56</f>
        <v>0.03</v>
      </c>
      <c r="CR19" s="1672">
        <f>+RevBuild!CR56</f>
        <v>0.03</v>
      </c>
      <c r="CS19" s="1747">
        <f>+RevBuild!CS56</f>
        <v>0.03</v>
      </c>
      <c r="CT19" s="1746"/>
      <c r="CU19" s="1673">
        <f>+RevBuild!CU56</f>
        <v>0.04</v>
      </c>
      <c r="CV19" s="1672">
        <f>+RevBuild!CV56</f>
        <v>0.04</v>
      </c>
      <c r="CW19" s="1672">
        <f>+RevBuild!CW56</f>
        <v>0.04</v>
      </c>
      <c r="CX19" s="1672">
        <f>+RevBuild!CX56</f>
        <v>0.04</v>
      </c>
      <c r="CY19" s="1747">
        <f>+RevBuild!CY56</f>
        <v>4.0000000000000008E-2</v>
      </c>
      <c r="DD19" s="1441" t="str">
        <f>A49</f>
        <v>Academic</v>
      </c>
      <c r="DE19" s="1489"/>
      <c r="DF19" s="1489"/>
      <c r="DG19" s="1489"/>
      <c r="DH19" s="1489"/>
      <c r="DI19" s="1490">
        <f t="shared" si="34"/>
        <v>2.7990376929225853E-2</v>
      </c>
      <c r="DJ19" s="1490">
        <f t="shared" si="34"/>
        <v>-2.3764527429276403E-2</v>
      </c>
      <c r="DK19" s="1490">
        <f t="shared" si="34"/>
        <v>-2.7155691902544399E-2</v>
      </c>
      <c r="DL19" s="1490">
        <f t="shared" si="34"/>
        <v>4.9342779812291626E-2</v>
      </c>
      <c r="DM19" s="1490">
        <f t="shared" si="34"/>
        <v>8.8393968155742714E-2</v>
      </c>
      <c r="DN19" s="1490">
        <f t="shared" si="34"/>
        <v>2.2576780307338451E-3</v>
      </c>
      <c r="DO19" s="1490">
        <f t="shared" si="34"/>
        <v>4.2324403197614442E-2</v>
      </c>
      <c r="DP19" s="1490">
        <f t="shared" si="34"/>
        <v>0.11042220660080476</v>
      </c>
      <c r="DQ19" s="1490">
        <f t="shared" si="34"/>
        <v>2.736011296564729E-2</v>
      </c>
      <c r="DR19" s="1490">
        <f t="shared" si="34"/>
        <v>8.7846656093222231E-2</v>
      </c>
      <c r="DS19" s="1490">
        <f t="shared" si="34"/>
        <v>4.1680333150209282E-2</v>
      </c>
      <c r="DT19" s="1490">
        <f t="shared" si="34"/>
        <v>1.2498340341681818E-2</v>
      </c>
      <c r="DU19" s="1490">
        <f t="shared" si="34"/>
        <v>1.2563755725319981E-3</v>
      </c>
      <c r="DV19" s="1490">
        <f t="shared" si="34"/>
        <v>4.413974615601194E-2</v>
      </c>
      <c r="DW19" s="1490">
        <f t="shared" si="34"/>
        <v>-3.280438480360269E-4</v>
      </c>
      <c r="DX19" s="1490">
        <f t="shared" si="35"/>
        <v>-5.2864199435188469E-3</v>
      </c>
      <c r="DY19" s="1490">
        <f t="shared" si="36"/>
        <v>1.4299853833401561E-2</v>
      </c>
      <c r="DZ19" s="1490">
        <f t="shared" si="37"/>
        <v>1.7568317584583368E-2</v>
      </c>
      <c r="EA19" s="1490">
        <f t="shared" si="38"/>
        <v>2.0316026199369133E-2</v>
      </c>
      <c r="EB19" s="1490">
        <f t="shared" si="39"/>
        <v>1.2637446315604099E-2</v>
      </c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</row>
    <row r="20" spans="1:225" s="4" customFormat="1" x14ac:dyDescent="0.2">
      <c r="A20" s="1834" t="s">
        <v>669</v>
      </c>
      <c r="B20" s="1835"/>
      <c r="C20" s="1836"/>
      <c r="D20" s="1837"/>
      <c r="E20" s="1837"/>
      <c r="F20" s="1837"/>
      <c r="G20" s="1838"/>
      <c r="H20" s="1837"/>
      <c r="I20" s="1836"/>
      <c r="J20" s="1837"/>
      <c r="K20" s="1837"/>
      <c r="L20" s="1837"/>
      <c r="M20" s="1838"/>
      <c r="N20" s="1837"/>
      <c r="O20" s="1836"/>
      <c r="P20" s="1837"/>
      <c r="Q20" s="1837"/>
      <c r="R20" s="1837"/>
      <c r="S20" s="1838"/>
      <c r="T20" s="1837"/>
      <c r="U20" s="1836"/>
      <c r="V20" s="1837"/>
      <c r="W20" s="1837"/>
      <c r="X20" s="1837"/>
      <c r="Y20" s="1838"/>
      <c r="Z20" s="1837"/>
      <c r="AA20" s="1836"/>
      <c r="AB20" s="1837"/>
      <c r="AC20" s="1837"/>
      <c r="AD20" s="1837"/>
      <c r="AE20" s="1838"/>
      <c r="AF20" s="1837"/>
      <c r="AG20" s="1836"/>
      <c r="AH20" s="1837"/>
      <c r="AI20" s="1837"/>
      <c r="AJ20" s="1837"/>
      <c r="AK20" s="1838"/>
      <c r="AL20" s="1837"/>
      <c r="AM20" s="1836"/>
      <c r="AN20" s="1837"/>
      <c r="AO20" s="1837"/>
      <c r="AP20" s="1837"/>
      <c r="AQ20" s="1839"/>
      <c r="AR20" s="1840"/>
      <c r="AS20" s="1841"/>
      <c r="AT20" s="1842"/>
      <c r="AU20" s="1842"/>
      <c r="AV20" s="1842"/>
      <c r="AW20" s="1843"/>
      <c r="AX20" s="1844"/>
      <c r="AY20" s="1841"/>
      <c r="AZ20" s="1842"/>
      <c r="BA20" s="1842"/>
      <c r="BB20" s="1842"/>
      <c r="BC20" s="1843"/>
      <c r="BD20" s="1845"/>
      <c r="BE20" s="1846">
        <f>+BE$19-((Growth_Drivers!BE$254*Growth_Drivers!AY$253*Growth_Drivers!BE$233)/RevBuild!AY$51)</f>
        <v>-0.04</v>
      </c>
      <c r="BF20" s="1847">
        <f>+BF$19-((Growth_Drivers!BF$254*Growth_Drivers!AZ$253*Growth_Drivers!BF$233)/RevBuild!AZ$51)</f>
        <v>2.5253022061783408E-2</v>
      </c>
      <c r="BG20" s="1847">
        <f>+BG$19-((Growth_Drivers!BG$254*Growth_Drivers!BA$253*Growth_Drivers!BG$233)/RevBuild!BA$51)</f>
        <v>-2.7155691902544399E-2</v>
      </c>
      <c r="BH20" s="1847">
        <f>+BH$19-((Growth_Drivers!BH$254*Growth_Drivers!BB$253*Growth_Drivers!BH$233)/RevBuild!BB$51)</f>
        <v>-1.0657220187708372E-2</v>
      </c>
      <c r="BI20" s="1848">
        <f>+BI$19-((Growth_Drivers!BI$254*Growth_Drivers!BC$253*Growth_Drivers!BI$233)/RevBuild!BC$51)</f>
        <v>-1.5800362241204041E-2</v>
      </c>
      <c r="BJ20" s="1845"/>
      <c r="BK20" s="1846">
        <f>+BK$19-((Growth_Drivers!BK$254*Growth_Drivers!BE$253*Growth_Drivers!BK$233)/RevBuild!BE$51)</f>
        <v>6.7990376929225854E-2</v>
      </c>
      <c r="BL20" s="1847">
        <f>+BL$19-((Growth_Drivers!BL$254*Growth_Drivers!BF$253*Growth_Drivers!BL$233)/RevBuild!BF$51)</f>
        <v>-4.9017549491059811E-2</v>
      </c>
      <c r="BM20" s="1847">
        <f>+BM$19-((Growth_Drivers!BM$254*Growth_Drivers!BG$253*Growth_Drivers!BM$233)/RevBuild!BG$51)</f>
        <v>0</v>
      </c>
      <c r="BN20" s="1847">
        <f>+BN$19-((Growth_Drivers!BN$254*Growth_Drivers!BH$253*Growth_Drivers!BN$233)/RevBuild!BH$51)</f>
        <v>0.06</v>
      </c>
      <c r="BO20" s="1848">
        <f>+BO$19-((Growth_Drivers!BO$254*Growth_Drivers!BI$253*Growth_Drivers!BO$233)/RevBuild!BI$51)</f>
        <v>1.4900354509037438E-2</v>
      </c>
      <c r="BP20" s="1845"/>
      <c r="BQ20" s="1846">
        <f>+BQ$19-((Growth_Drivers!BQ$254*Growth_Drivers!BK$253*Growth_Drivers!BQ$233)/RevBuild!BK$51)</f>
        <v>2.0403591226516853E-2</v>
      </c>
      <c r="BR20" s="1847">
        <f>+BR$19-((Growth_Drivers!BR$254*Growth_Drivers!BL$253*Growth_Drivers!BR$233)/RevBuild!BL$51)</f>
        <v>5.1275227521793657E-2</v>
      </c>
      <c r="BS20" s="1847">
        <f>+BS$19-((Growth_Drivers!BS$254*Growth_Drivers!BM$253*Growth_Drivers!BS$233)/RevBuild!BM$51)</f>
        <v>4.2324403197614442E-2</v>
      </c>
      <c r="BT20" s="1847">
        <f>+BT$19-((Growth_Drivers!BT$254*Growth_Drivers!BN$253*Growth_Drivers!BT$233)/RevBuild!BN$51)</f>
        <v>5.0422206600804764E-2</v>
      </c>
      <c r="BU20" s="1848">
        <f>+BU$19-((Growth_Drivers!BU$254*Growth_Drivers!BO$253*Growth_Drivers!BU$233)/RevBuild!BO$51)</f>
        <v>4.1071998270836324E-2</v>
      </c>
      <c r="BV20" s="1845"/>
      <c r="BW20" s="1846">
        <f>+BW$19-((Growth_Drivers!BW$254*Growth_Drivers!BQ$253*Growth_Drivers!BW$233)/RevBuild!BQ$51)</f>
        <v>6.9565217391304376E-3</v>
      </c>
      <c r="BX20" s="1847">
        <f>+BX$19-((Growth_Drivers!BX$254*Growth_Drivers!BR$253*Growth_Drivers!BX$233)/RevBuild!BR$51)</f>
        <v>3.6571428571428574E-2</v>
      </c>
      <c r="BY20" s="1847">
        <f>+BY$19-((Growth_Drivers!BY$254*Growth_Drivers!BS$253*Growth_Drivers!BY$233)/RevBuild!BS$51)</f>
        <v>-6.4407004740515972E-4</v>
      </c>
      <c r="BZ20" s="1847">
        <f>+BZ$19-((Growth_Drivers!BZ$254*Growth_Drivers!BT$253*Growth_Drivers!BZ$233)/RevBuild!BT$51)</f>
        <v>-3.7923866259122946E-2</v>
      </c>
      <c r="CA20" s="1848">
        <f>+CA$19-((Growth_Drivers!CA$254*Growth_Drivers!BU$253*Growth_Drivers!CA$233)/RevBuild!BU$51)</f>
        <v>-5.3645406824467945E-4</v>
      </c>
      <c r="CB20" s="1845"/>
      <c r="CC20" s="1846">
        <f>+CC$19-((Growth_Drivers!CC$254*Growth_Drivers!BW$253*Growth_Drivers!CC$233)/RevBuild!BW$51)</f>
        <v>-1.3834660331263732E-2</v>
      </c>
      <c r="CD20" s="1847">
        <f>+CD$19-((Growth_Drivers!CD$254*Growth_Drivers!BX$253*Growth_Drivers!CD$233)/RevBuild!BX$51)</f>
        <v>-1.5713937314044985E-3</v>
      </c>
      <c r="CE20" s="1847">
        <f>+CE$19-((Growth_Drivers!CE$254*Growth_Drivers!BY$253*Growth_Drivers!CE$233)/RevBuild!BY$51)</f>
        <v>-9.2088440105747918E-3</v>
      </c>
      <c r="CF20" s="1847">
        <f>+CF$19-((Growth_Drivers!CF$254*Growth_Drivers!BZ$253*Growth_Drivers!CF$233)/RevBuild!BZ$51)</f>
        <v>2.4096438844879362E-2</v>
      </c>
      <c r="CG20" s="1848">
        <f>+CG$19-((Growth_Drivers!CG$254*Growth_Drivers!CA$253*Growth_Drivers!CG$233)/RevBuild!CA$51)</f>
        <v>7.5451871219672784E-4</v>
      </c>
      <c r="CH20" s="1845"/>
      <c r="CI20" s="1846">
        <f>+CI$19-((Growth_Drivers!CI$254*Growth_Drivers!CC$253*Growth_Drivers!CI$233)/RevBuild!CC$51)</f>
        <v>1.1282907839784209E-2</v>
      </c>
      <c r="CJ20" s="1847">
        <f>+CJ$19-((Growth_Drivers!CJ$254*Growth_Drivers!CD$253*Growth_Drivers!CJ$233)/RevBuild!CD$51)</f>
        <v>2.0048549642259373E-3</v>
      </c>
      <c r="CK20" s="1847">
        <f>+CK$19-((Growth_Drivers!CK$254*Growth_Drivers!CE$253*Growth_Drivers!CK$233)/RevBuild!CE$51)</f>
        <v>1.229568505741491E-2</v>
      </c>
      <c r="CL20" s="1847">
        <f>+CL$19-((Growth_Drivers!CL$254*Growth_Drivers!CF$253*Growth_Drivers!CL$233)/RevBuild!CF$51)</f>
        <v>-2.6428259360248188E-2</v>
      </c>
      <c r="CM20" s="1848">
        <f>+CM$19-((Growth_Drivers!CM$254*Growth_Drivers!CG$253*Growth_Drivers!CM$233)/RevBuild!CG$51)</f>
        <v>-1.3978137316409374E-3</v>
      </c>
      <c r="CN20" s="1845"/>
      <c r="CO20" s="1846">
        <f>+CO$19-((Growth_Drivers!CO$254*Growth_Drivers!CI$253*Growth_Drivers!CO$233)/RevBuild!CI$51)</f>
        <v>2.0551984325669077E-2</v>
      </c>
      <c r="CP20" s="1847">
        <f>+CP$19-((Growth_Drivers!CP$254*Growth_Drivers!CJ$253*Growth_Drivers!CP$233)/RevBuild!CJ$51)</f>
        <v>2.0361193340991939E-2</v>
      </c>
      <c r="CQ20" s="1847">
        <f>+CQ$19-((Growth_Drivers!CQ$254*Growth_Drivers!CK$253*Growth_Drivers!CQ$233)/RevBuild!CK$51)</f>
        <v>1.9759923758813962E-2</v>
      </c>
      <c r="CR20" s="1847">
        <f>+CR$19-((Growth_Drivers!CR$254*Growth_Drivers!CL$253*Growth_Drivers!CR$233)/RevBuild!CL$51)</f>
        <v>2.0275182595060611E-2</v>
      </c>
      <c r="CS20" s="1848">
        <f>+CS$19-((Growth_Drivers!CS$254*Growth_Drivers!CM$253*Growth_Drivers!CS$233)/RevBuild!CM$51)</f>
        <v>2.0233831095373574E-2</v>
      </c>
      <c r="CT20" s="1845"/>
      <c r="CU20" s="1846">
        <f>+CU$19-((Growth_Drivers!CU$254*Growth_Drivers!CO$253*Growth_Drivers!CU$233)/RevBuild!CO$51)</f>
        <v>2.7986878398662554E-2</v>
      </c>
      <c r="CV20" s="1847">
        <f>+CV$19-((Growth_Drivers!CV$254*Growth_Drivers!CP$253*Growth_Drivers!CV$233)/RevBuild!CP$51)</f>
        <v>2.8288261963721043E-2</v>
      </c>
      <c r="CW20" s="1847">
        <f>+CW$19-((Growth_Drivers!CW$254*Growth_Drivers!CQ$253*Growth_Drivers!CW$233)/RevBuild!CQ$51)</f>
        <v>2.8070634890666982E-2</v>
      </c>
      <c r="CX20" s="1847">
        <f>+CX$19-((Growth_Drivers!CX$254*Growth_Drivers!CR$253*Growth_Drivers!CX$233)/RevBuild!CR$51)</f>
        <v>2.9099840785831034E-2</v>
      </c>
      <c r="CY20" s="1848">
        <f>+CY$19-((Growth_Drivers!CY$254*Growth_Drivers!CS$253*Growth_Drivers!CY$233)/RevBuild!CS$51)</f>
        <v>2.8385382932135234E-2</v>
      </c>
      <c r="DD20" s="1443" t="str">
        <f>DD12</f>
        <v xml:space="preserve">Qiagen </v>
      </c>
      <c r="DE20" s="1491"/>
      <c r="DF20" s="1491"/>
      <c r="DG20" s="1491"/>
      <c r="DH20" s="1491"/>
      <c r="DI20" s="1492">
        <f t="shared" si="34"/>
        <v>0.04</v>
      </c>
      <c r="DJ20" s="1492">
        <f t="shared" si="34"/>
        <v>2.3333333333333334E-2</v>
      </c>
      <c r="DK20" s="1492">
        <f t="shared" si="34"/>
        <v>6.4999999999999988E-2</v>
      </c>
      <c r="DL20" s="1492">
        <f t="shared" si="34"/>
        <v>5.2999999999999999E-2</v>
      </c>
      <c r="DM20" s="1492">
        <f t="shared" si="34"/>
        <v>2.0000000000000004E-2</v>
      </c>
      <c r="DN20" s="1492">
        <f t="shared" si="34"/>
        <v>4.2333333333333334E-2</v>
      </c>
      <c r="DO20" s="1492">
        <f t="shared" si="34"/>
        <v>3.8241470852870052E-2</v>
      </c>
      <c r="DP20" s="1492">
        <f t="shared" si="34"/>
        <v>4.4653862143510442E-2</v>
      </c>
      <c r="DQ20" s="1492">
        <f t="shared" si="34"/>
        <v>3.2432609488867836E-2</v>
      </c>
      <c r="DR20" s="1492">
        <f t="shared" si="34"/>
        <v>0.10730321546629269</v>
      </c>
      <c r="DS20" s="1492">
        <f t="shared" si="34"/>
        <v>8.7315672676999564E-2</v>
      </c>
      <c r="DT20" s="1492">
        <f t="shared" si="34"/>
        <v>8.7631623979952333E-2</v>
      </c>
      <c r="DU20" s="1492">
        <f t="shared" si="34"/>
        <v>8.4081167195676959E-2</v>
      </c>
      <c r="DV20" s="1492">
        <f t="shared" si="34"/>
        <v>0.15282256883877932</v>
      </c>
      <c r="DW20" s="1492">
        <f t="shared" si="34"/>
        <v>0.15202679789422413</v>
      </c>
      <c r="DX20" s="1492">
        <f t="shared" si="35"/>
        <v>0.14416296571622852</v>
      </c>
      <c r="DY20" s="1492">
        <f t="shared" si="36"/>
        <v>0.12130554924949108</v>
      </c>
      <c r="DZ20" s="1492">
        <f t="shared" si="37"/>
        <v>0.15080375210074701</v>
      </c>
      <c r="EA20" s="1492">
        <f t="shared" si="38"/>
        <v>0.15121502174501822</v>
      </c>
      <c r="EB20" s="1492">
        <f t="shared" si="39"/>
        <v>0.12353332271616117</v>
      </c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</row>
    <row r="21" spans="1:225" s="2" customFormat="1" x14ac:dyDescent="0.2">
      <c r="A21" s="1436" t="s">
        <v>658</v>
      </c>
      <c r="B21" s="1529"/>
      <c r="C21" s="1530"/>
      <c r="D21" s="1531"/>
      <c r="E21" s="1531"/>
      <c r="F21" s="1531"/>
      <c r="G21" s="1532"/>
      <c r="H21" s="1531"/>
      <c r="I21" s="1530"/>
      <c r="J21" s="1531"/>
      <c r="K21" s="1531"/>
      <c r="L21" s="1531"/>
      <c r="M21" s="1532"/>
      <c r="N21" s="1531"/>
      <c r="O21" s="1530"/>
      <c r="P21" s="1531"/>
      <c r="Q21" s="1531"/>
      <c r="R21" s="1531"/>
      <c r="S21" s="1532"/>
      <c r="T21" s="1531"/>
      <c r="U21" s="1533">
        <v>0.11000000000000001</v>
      </c>
      <c r="V21" s="1534">
        <v>0.11000000000000001</v>
      </c>
      <c r="W21" s="1534">
        <v>0.1</v>
      </c>
      <c r="X21" s="1534">
        <v>0.13</v>
      </c>
      <c r="Y21" s="1535">
        <v>0.12</v>
      </c>
      <c r="Z21" s="1531"/>
      <c r="AA21" s="1533">
        <v>0.1</v>
      </c>
      <c r="AB21" s="1534">
        <v>0.11000000000000001</v>
      </c>
      <c r="AC21" s="1534">
        <v>0.14000000000000001</v>
      </c>
      <c r="AD21" s="1534">
        <v>0.14000000000000001</v>
      </c>
      <c r="AE21" s="1535">
        <v>0.13</v>
      </c>
      <c r="AF21" s="1534"/>
      <c r="AG21" s="1533">
        <v>0.11</v>
      </c>
      <c r="AH21" s="1534">
        <v>0.12</v>
      </c>
      <c r="AI21" s="1534">
        <v>0.15000000000000002</v>
      </c>
      <c r="AJ21" s="1534">
        <v>0.14000000000000001</v>
      </c>
      <c r="AK21" s="1535">
        <v>0.13</v>
      </c>
      <c r="AL21" s="1531"/>
      <c r="AM21" s="1533">
        <v>0.11000000000000001</v>
      </c>
      <c r="AN21" s="1534">
        <v>5.2999999999999999E-2</v>
      </c>
      <c r="AO21" s="1534">
        <v>0.03</v>
      </c>
      <c r="AP21" s="1534">
        <v>-0.03</v>
      </c>
      <c r="AQ21" s="1536">
        <v>0.04</v>
      </c>
      <c r="AR21" s="1537"/>
      <c r="AS21" s="1533">
        <v>-0.02</v>
      </c>
      <c r="AT21" s="1534">
        <v>0.01</v>
      </c>
      <c r="AU21" s="1534">
        <v>-0.03</v>
      </c>
      <c r="AV21" s="1534">
        <v>0.11</v>
      </c>
      <c r="AW21" s="1536">
        <v>0.02</v>
      </c>
      <c r="AX21" s="1537"/>
      <c r="AY21" s="1533">
        <v>0.06</v>
      </c>
      <c r="AZ21" s="1534">
        <v>0.05</v>
      </c>
      <c r="BA21" s="1534">
        <v>-0.05</v>
      </c>
      <c r="BB21" s="1534">
        <v>-0.01</v>
      </c>
      <c r="BC21" s="1538">
        <v>-7.5842939570210682E-2</v>
      </c>
      <c r="BD21" s="1539"/>
      <c r="BE21" s="1751">
        <f>+RevBuild!BE62</f>
        <v>1.9999999999999997E-2</v>
      </c>
      <c r="BF21" s="1752">
        <f>+RevBuild!BF62</f>
        <v>9.9999999999999985E-3</v>
      </c>
      <c r="BG21" s="1752">
        <f>+RevBuild!BG62</f>
        <v>3.4999999999999989E-2</v>
      </c>
      <c r="BH21" s="1752">
        <f>+RevBuild!BH62</f>
        <v>2.0000000000000004E-2</v>
      </c>
      <c r="BI21" s="1753">
        <f>+RevBuild!BI62</f>
        <v>2.6250000000000002E-2</v>
      </c>
      <c r="BJ21" s="1754"/>
      <c r="BK21" s="1755">
        <f>RevBuild!BK62</f>
        <v>2.0000000000000004E-2</v>
      </c>
      <c r="BL21" s="1756">
        <f>RevBuild!BL62</f>
        <v>1.3333333333333336E-2</v>
      </c>
      <c r="BM21" s="1756">
        <f>RevBuild!BM62</f>
        <v>0.03</v>
      </c>
      <c r="BN21" s="1756">
        <f>RevBuild!BN62</f>
        <v>3.2999999999999995E-2</v>
      </c>
      <c r="BO21" s="1757">
        <f>RevBuild!BO62</f>
        <v>0.02</v>
      </c>
      <c r="BP21" s="1754"/>
      <c r="BQ21" s="1755">
        <f>RevBuild!BQ62</f>
        <v>0</v>
      </c>
      <c r="BR21" s="1756">
        <f>RevBuild!BR62</f>
        <v>2.8999999999999995E-2</v>
      </c>
      <c r="BS21" s="1756">
        <f>RevBuild!BS62</f>
        <v>8.2414708528700514E-3</v>
      </c>
      <c r="BT21" s="1756">
        <f>RevBuild!BT62</f>
        <v>1.1653862143510448E-2</v>
      </c>
      <c r="BU21" s="1757">
        <f>RevBuild!BU62</f>
        <v>1.7458054835285328E-2</v>
      </c>
      <c r="BV21" s="1768"/>
      <c r="BW21" s="1751">
        <f>RevBuild!BW62</f>
        <v>3.2432609488867836E-2</v>
      </c>
      <c r="BX21" s="1752">
        <f>RevBuild!BX62</f>
        <v>7.8303215466292694E-2</v>
      </c>
      <c r="BY21" s="1752">
        <f>RevBuild!BY62</f>
        <v>7.9074201824129511E-2</v>
      </c>
      <c r="BZ21" s="1752">
        <f>RevBuild!BZ62</f>
        <v>7.5977761836441893E-2</v>
      </c>
      <c r="CA21" s="1753">
        <f>RevBuild!CA62</f>
        <v>6.7046457803490944E-2</v>
      </c>
      <c r="CB21" s="1754"/>
      <c r="CC21" s="1751">
        <f>RevBuild!CC62</f>
        <v>5.164855770680913E-2</v>
      </c>
      <c r="CD21" s="1752">
        <f>RevBuild!CD62</f>
        <v>7.4519353372486635E-2</v>
      </c>
      <c r="CE21" s="1752">
        <f>RevBuild!CE62</f>
        <v>7.2952596070094633E-2</v>
      </c>
      <c r="CF21" s="1758">
        <f>RevBuild!CF62</f>
        <v>6.8185203879786632E-2</v>
      </c>
      <c r="CG21" s="1753">
        <f>RevBuild!CG62</f>
        <v>6.8455886085133644E-2</v>
      </c>
      <c r="CH21" s="1754"/>
      <c r="CI21" s="1751">
        <f>RevBuild!CI62</f>
        <v>6.9656991542681956E-2</v>
      </c>
      <c r="CJ21" s="1752">
        <f>RevBuild!CJ62</f>
        <v>7.6284398728260372E-2</v>
      </c>
      <c r="CK21" s="1752">
        <f>RevBuild!CK62</f>
        <v>7.8262425674923586E-2</v>
      </c>
      <c r="CL21" s="1758">
        <f>RevBuild!CL62</f>
        <v>5.5348118836374541E-2</v>
      </c>
      <c r="CM21" s="1753">
        <f>RevBuild!CM62</f>
        <v>6.8452642702334823E-2</v>
      </c>
      <c r="CN21" s="1754"/>
      <c r="CO21" s="1751">
        <f>RevBuild!CO62</f>
        <v>0.10002174201619536</v>
      </c>
      <c r="CP21" s="1752">
        <f>RevBuild!CP62</f>
        <v>5.7841869144899388E-2</v>
      </c>
      <c r="CQ21" s="1752">
        <f>RevBuild!CQ62</f>
        <v>5.9727327215515436E-2</v>
      </c>
      <c r="CR21" s="1758">
        <f>RevBuild!CR62</f>
        <v>8.8559811828410773E-2</v>
      </c>
      <c r="CS21" s="1753">
        <f>RevBuild!CS62</f>
        <v>7.5984663354479606E-2</v>
      </c>
      <c r="CT21" s="1754"/>
      <c r="CU21" s="1751">
        <f>RevBuild!CU62</f>
        <v>0.10716111531395711</v>
      </c>
      <c r="CV21" s="1752">
        <f>RevBuild!CV62</f>
        <v>0.10068286776811153</v>
      </c>
      <c r="CW21" s="1752">
        <f>RevBuild!CW62</f>
        <v>9.8252661586370804E-2</v>
      </c>
      <c r="CX21" s="1758">
        <f>RevBuild!CX62</f>
        <v>9.7287285172686699E-2</v>
      </c>
      <c r="CY21" s="1753">
        <f>RevBuild!CY62</f>
        <v>0.10058587035887401</v>
      </c>
      <c r="EF21" s="207"/>
      <c r="EG21" s="2041"/>
      <c r="EH21" s="2041"/>
      <c r="EI21" s="2041"/>
      <c r="EJ21" s="2041"/>
      <c r="EK21" s="2041"/>
      <c r="EL21" s="2041"/>
      <c r="EM21" s="2041"/>
      <c r="EN21" s="2041"/>
      <c r="EO21" s="2041"/>
      <c r="EP21" s="2041"/>
      <c r="EQ21" s="2041"/>
      <c r="ER21" s="2041"/>
      <c r="ES21" s="2041"/>
      <c r="ET21" s="2041"/>
      <c r="EU21" s="2041"/>
      <c r="EV21" s="2041"/>
      <c r="EW21" s="2041"/>
      <c r="EX21" s="2041"/>
      <c r="EY21" s="2041"/>
      <c r="EZ21" s="2041"/>
      <c r="FA21" s="3"/>
      <c r="FB21" s="3"/>
      <c r="FC21" s="3"/>
    </row>
    <row r="22" spans="1:225" x14ac:dyDescent="0.2">
      <c r="A22" s="991" t="s">
        <v>607</v>
      </c>
      <c r="B22" s="1541"/>
      <c r="C22" s="1769">
        <f>RevBuild!C63</f>
        <v>0</v>
      </c>
      <c r="D22" s="1770">
        <f>RevBuild!D63</f>
        <v>0</v>
      </c>
      <c r="E22" s="1770">
        <f>RevBuild!E63</f>
        <v>0</v>
      </c>
      <c r="F22" s="1770">
        <f>RevBuild!F63</f>
        <v>0</v>
      </c>
      <c r="G22" s="1771">
        <f>RevBuild!G63</f>
        <v>0</v>
      </c>
      <c r="H22" s="1541"/>
      <c r="I22" s="1769">
        <f>RevBuild!I63</f>
        <v>0</v>
      </c>
      <c r="J22" s="1770">
        <f>RevBuild!J63</f>
        <v>0</v>
      </c>
      <c r="K22" s="1770">
        <f>RevBuild!K63</f>
        <v>0</v>
      </c>
      <c r="L22" s="1770">
        <f>RevBuild!L63</f>
        <v>0</v>
      </c>
      <c r="M22" s="1771">
        <f>RevBuild!M63</f>
        <v>0</v>
      </c>
      <c r="N22" s="1541"/>
      <c r="O22" s="1769">
        <f>RevBuild!O63</f>
        <v>0</v>
      </c>
      <c r="P22" s="1770">
        <f>RevBuild!P63</f>
        <v>0</v>
      </c>
      <c r="Q22" s="1770">
        <f>RevBuild!Q63</f>
        <v>0</v>
      </c>
      <c r="R22" s="1770">
        <f>RevBuild!R63</f>
        <v>0</v>
      </c>
      <c r="S22" s="1771">
        <f>RevBuild!S63</f>
        <v>0</v>
      </c>
      <c r="T22" s="1541"/>
      <c r="U22" s="1769">
        <f>RevBuild!U63</f>
        <v>0</v>
      </c>
      <c r="V22" s="1770">
        <f>RevBuild!V63</f>
        <v>0</v>
      </c>
      <c r="W22" s="1770">
        <f>RevBuild!W63</f>
        <v>0</v>
      </c>
      <c r="X22" s="1770">
        <f>RevBuild!X63</f>
        <v>0</v>
      </c>
      <c r="Y22" s="1771">
        <f>RevBuild!Y63</f>
        <v>0</v>
      </c>
      <c r="Z22" s="1541"/>
      <c r="AA22" s="1769">
        <f>RevBuild!AA63</f>
        <v>0</v>
      </c>
      <c r="AB22" s="1770">
        <f>RevBuild!AB63</f>
        <v>0</v>
      </c>
      <c r="AC22" s="1770">
        <f>RevBuild!AC63</f>
        <v>0</v>
      </c>
      <c r="AD22" s="1770">
        <f>RevBuild!AD63</f>
        <v>0</v>
      </c>
      <c r="AE22" s="1771">
        <f>RevBuild!AE63</f>
        <v>0</v>
      </c>
      <c r="AF22" s="1541"/>
      <c r="AG22" s="1769">
        <f>RevBuild!AG63</f>
        <v>0</v>
      </c>
      <c r="AH22" s="1770">
        <f>RevBuild!AH63</f>
        <v>0</v>
      </c>
      <c r="AI22" s="1770">
        <f>RevBuild!AI63</f>
        <v>0</v>
      </c>
      <c r="AJ22" s="1770">
        <f>RevBuild!AJ63</f>
        <v>0</v>
      </c>
      <c r="AK22" s="1771">
        <f>RevBuild!AK63</f>
        <v>0</v>
      </c>
      <c r="AL22" s="1541"/>
      <c r="AM22" s="1769">
        <f>RevBuild!AM63</f>
        <v>0</v>
      </c>
      <c r="AN22" s="1770">
        <f>RevBuild!AN63</f>
        <v>0</v>
      </c>
      <c r="AO22" s="1770">
        <f>RevBuild!AO63</f>
        <v>0</v>
      </c>
      <c r="AP22" s="1770">
        <f>RevBuild!AP63</f>
        <v>0</v>
      </c>
      <c r="AQ22" s="1771">
        <f>RevBuild!AQ63</f>
        <v>0</v>
      </c>
      <c r="AR22" s="1541"/>
      <c r="AS22" s="1769">
        <f>RevBuild!AS63</f>
        <v>0</v>
      </c>
      <c r="AT22" s="1770">
        <f>RevBuild!AT63</f>
        <v>0</v>
      </c>
      <c r="AU22" s="1770">
        <f>RevBuild!AU63</f>
        <v>0</v>
      </c>
      <c r="AV22" s="1770">
        <f>RevBuild!AV63</f>
        <v>0</v>
      </c>
      <c r="AW22" s="1771">
        <f>RevBuild!AW63</f>
        <v>4.712488762187194E-2</v>
      </c>
      <c r="AX22" s="1541"/>
      <c r="AY22" s="1769">
        <f>RevBuild!AY63</f>
        <v>5.5258677432583843E-2</v>
      </c>
      <c r="AZ22" s="1770">
        <f>RevBuild!AZ63</f>
        <v>7.2515554235068988E-2</v>
      </c>
      <c r="BA22" s="1770">
        <f>RevBuild!BA63</f>
        <v>4.2034867686286212E-2</v>
      </c>
      <c r="BB22" s="1770">
        <f>RevBuild!BB63</f>
        <v>3.0721362327234249E-2</v>
      </c>
      <c r="BC22" s="1771">
        <f>RevBuild!BC63</f>
        <v>4.870413093276757E-2</v>
      </c>
      <c r="BD22" s="1541"/>
      <c r="BE22" s="1772">
        <f>RevBuild!BE63</f>
        <v>2.7761953079544283E-2</v>
      </c>
      <c r="BF22" s="1773">
        <f>RevBuild!BF63</f>
        <v>4.0095032756860327E-2</v>
      </c>
      <c r="BG22" s="1773">
        <f>RevBuild!BG63</f>
        <v>5.3719014379187469E-2</v>
      </c>
      <c r="BH22" s="1773">
        <f>RevBuild!BH63</f>
        <v>4.6154801960108245E-2</v>
      </c>
      <c r="BI22" s="1774">
        <f>RevBuild!BI63</f>
        <v>4.6775606602325992E-2</v>
      </c>
      <c r="BJ22" s="1759"/>
      <c r="BK22" s="1816">
        <f>RevBuild!BK63</f>
        <v>5.4290000000000005E-2</v>
      </c>
      <c r="BL22" s="1817">
        <f>RevBuild!BL63</f>
        <v>4.4333333333333336E-2</v>
      </c>
      <c r="BM22" s="1817">
        <f>RevBuild!BM63</f>
        <v>8.0600000000000005E-2</v>
      </c>
      <c r="BN22" s="1817">
        <f>RevBuild!BN63</f>
        <v>8.1896481266461651E-2</v>
      </c>
      <c r="BO22" s="1818">
        <f>RevBuild!BO63</f>
        <v>6.0681651320409355E-2</v>
      </c>
      <c r="BP22" s="1759"/>
      <c r="BQ22" s="1816">
        <f>RevBuild!BQ63</f>
        <v>4.530302405111309E-2</v>
      </c>
      <c r="BR22" s="1817">
        <f>RevBuild!BR63</f>
        <v>5.4464423655103789E-2</v>
      </c>
      <c r="BS22" s="1817">
        <f>RevBuild!BS63</f>
        <v>3.8481470852870049E-2</v>
      </c>
      <c r="BT22" s="1817">
        <f>RevBuild!BT63</f>
        <v>2.3127518578716595E-2</v>
      </c>
      <c r="BU22" s="1818">
        <f>RevBuild!BU63</f>
        <v>4.0929145815912102E-2</v>
      </c>
      <c r="BV22" s="1759"/>
      <c r="BW22" s="1772">
        <f>RevBuild!BW63</f>
        <v>4.9652609488867842E-2</v>
      </c>
      <c r="BX22" s="1773">
        <f>RevBuild!BX63</f>
        <v>9.2653215466292696E-2</v>
      </c>
      <c r="BY22" s="1773">
        <f>RevBuild!BY63</f>
        <v>9.1699979829667391E-2</v>
      </c>
      <c r="BZ22" s="1773">
        <f>RevBuild!BZ63</f>
        <v>7.7262447009606175E-2</v>
      </c>
      <c r="CA22" s="1774">
        <f>RevBuild!CA63</f>
        <v>7.7808099823121937E-2</v>
      </c>
      <c r="CB22" s="1759"/>
      <c r="CC22" s="1772">
        <f>RevBuild!CC63</f>
        <v>6.1171715328491624E-2</v>
      </c>
      <c r="CD22" s="1773">
        <f>RevBuild!CD63</f>
        <v>7.2349442292740693E-2</v>
      </c>
      <c r="CE22" s="1773">
        <f>RevBuild!CE63</f>
        <v>7.2118714207620657E-2</v>
      </c>
      <c r="CF22" s="1773">
        <f>RevBuild!CF63</f>
        <v>7.461026471680432E-2</v>
      </c>
      <c r="CG22" s="1774">
        <f>RevBuild!CG63</f>
        <v>7.1503327383042006E-2</v>
      </c>
      <c r="CH22" s="1759"/>
      <c r="CI22" s="1772">
        <f>RevBuild!CI63</f>
        <v>6.9656991542681956E-2</v>
      </c>
      <c r="CJ22" s="1773">
        <f>RevBuild!CJ63</f>
        <v>8.6280461938446254E-2</v>
      </c>
      <c r="CK22" s="1773">
        <f>RevBuild!CK63</f>
        <v>8.8035698737804619E-2</v>
      </c>
      <c r="CL22" s="1773">
        <f>RevBuild!CL63</f>
        <v>6.740408569753871E-2</v>
      </c>
      <c r="CM22" s="1774">
        <f>RevBuild!CM63</f>
        <v>7.682501265261428E-2</v>
      </c>
      <c r="CN22" s="1759"/>
      <c r="CO22" s="1772">
        <f>RevBuild!CO63</f>
        <v>0.10121618732823992</v>
      </c>
      <c r="CP22" s="1773">
        <f>RevBuild!CP63</f>
        <v>5.881856901078094E-2</v>
      </c>
      <c r="CQ22" s="1773">
        <f>RevBuild!CQ63</f>
        <v>6.0655279127693702E-2</v>
      </c>
      <c r="CR22" s="1773">
        <f>RevBuild!CR63</f>
        <v>8.9339984335525702E-2</v>
      </c>
      <c r="CS22" s="1774">
        <f>RevBuild!CS63</f>
        <v>7.6942476544820573E-2</v>
      </c>
      <c r="CT22" s="1759"/>
      <c r="CU22" s="1772">
        <f>RevBuild!CU63</f>
        <v>0.10812935386980216</v>
      </c>
      <c r="CV22" s="1773">
        <f>RevBuild!CV63</f>
        <v>0.10150015438518314</v>
      </c>
      <c r="CW22" s="1773">
        <f>RevBuild!CW63</f>
        <v>9.9040748011541002E-2</v>
      </c>
      <c r="CX22" s="1773">
        <f>RevBuild!CX63</f>
        <v>9.7932316569927111E-2</v>
      </c>
      <c r="CY22" s="1774">
        <f>RevBuild!CY63</f>
        <v>0.10138210350414806</v>
      </c>
      <c r="EF22" s="207"/>
      <c r="EG22" s="2034"/>
      <c r="EH22" s="2034"/>
      <c r="EI22" s="2034"/>
      <c r="EJ22" s="2034"/>
      <c r="EK22" s="2034"/>
      <c r="EL22" s="2034"/>
      <c r="EM22" s="2034"/>
      <c r="EN22" s="2034"/>
      <c r="EO22" s="2034"/>
      <c r="EP22" s="2034"/>
      <c r="EQ22" s="2034"/>
      <c r="ER22" s="2034"/>
      <c r="ES22" s="2034"/>
      <c r="ET22" s="2034"/>
      <c r="EU22" s="2034"/>
      <c r="EV22" s="2034"/>
      <c r="EW22" s="2034"/>
      <c r="EX22" s="2034"/>
      <c r="EY22" s="2034"/>
      <c r="EZ22" s="2034"/>
    </row>
    <row r="23" spans="1:225" s="39" customFormat="1" x14ac:dyDescent="0.2">
      <c r="A23" s="991" t="s">
        <v>664</v>
      </c>
      <c r="B23" s="1541"/>
      <c r="C23" s="1769"/>
      <c r="D23" s="1770"/>
      <c r="E23" s="1770"/>
      <c r="F23" s="1770"/>
      <c r="G23" s="1771"/>
      <c r="H23" s="1541"/>
      <c r="I23" s="1769"/>
      <c r="J23" s="1770"/>
      <c r="K23" s="1770"/>
      <c r="L23" s="1770"/>
      <c r="M23" s="1771"/>
      <c r="N23" s="1541"/>
      <c r="O23" s="1769"/>
      <c r="P23" s="1770"/>
      <c r="Q23" s="1770"/>
      <c r="R23" s="1770"/>
      <c r="S23" s="1771"/>
      <c r="T23" s="1541"/>
      <c r="U23" s="1769"/>
      <c r="V23" s="1770"/>
      <c r="W23" s="1770"/>
      <c r="X23" s="1770"/>
      <c r="Y23" s="1771"/>
      <c r="Z23" s="1541"/>
      <c r="AA23" s="1769"/>
      <c r="AB23" s="1770"/>
      <c r="AC23" s="1770"/>
      <c r="AD23" s="1770"/>
      <c r="AE23" s="1771"/>
      <c r="AF23" s="1541"/>
      <c r="AG23" s="1769"/>
      <c r="AH23" s="1770"/>
      <c r="AI23" s="1770"/>
      <c r="AJ23" s="1770"/>
      <c r="AK23" s="1771"/>
      <c r="AL23" s="1541"/>
      <c r="AM23" s="1769"/>
      <c r="AN23" s="1770"/>
      <c r="AO23" s="1770"/>
      <c r="AP23" s="1770"/>
      <c r="AQ23" s="1771"/>
      <c r="AR23" s="1541"/>
      <c r="AS23" s="1769"/>
      <c r="AT23" s="1770"/>
      <c r="AU23" s="1770"/>
      <c r="AV23" s="1770"/>
      <c r="AW23" s="1771"/>
      <c r="AX23" s="1541"/>
      <c r="AY23" s="1769"/>
      <c r="AZ23" s="1770"/>
      <c r="BA23" s="1770"/>
      <c r="BB23" s="1770"/>
      <c r="BC23" s="1774">
        <f>+BC$21-((Growth_Drivers!BC$95*Growth_Drivers!AW$93)/RevBuild!AW$17)</f>
        <v>-8.1419658513449705E-2</v>
      </c>
      <c r="BD23" s="1541"/>
      <c r="BE23" s="1772">
        <f>+BE$21-((Growth_Drivers!BE$95*Growth_Drivers!AY$93)/RevBuild!AY$17)</f>
        <v>3.3008346209120742E-3</v>
      </c>
      <c r="BF23" s="1773">
        <f>+BF$21-((Growth_Drivers!BF$95*Growth_Drivers!AZ$93)/RevBuild!AZ$17)</f>
        <v>-8.2609459886137659E-3</v>
      </c>
      <c r="BG23" s="1773">
        <f>+BG$21-((Growth_Drivers!BG$95*Growth_Drivers!BA$93)/RevBuild!BA$17)</f>
        <v>1.7467608705080233E-2</v>
      </c>
      <c r="BH23" s="1773">
        <f>+BH$21-((Growth_Drivers!BH$95*Growth_Drivers!BB$93)/RevBuild!BB$17)</f>
        <v>2.7392821266407665E-3</v>
      </c>
      <c r="BI23" s="1774">
        <f>+BI$21-((Growth_Drivers!BI$95*Growth_Drivers!BC$93)/RevBuild!BC$17)</f>
        <v>8.6075431684058332E-3</v>
      </c>
      <c r="BJ23" s="1759"/>
      <c r="BK23" s="1772">
        <f>+BK$21-((Growth_Drivers!BK$95*Growth_Drivers!BE$93)/RevBuild!BE$17)</f>
        <v>3.0702427310855818E-3</v>
      </c>
      <c r="BL23" s="1773">
        <f>+BL$21-((Growth_Drivers!BL$95*Growth_Drivers!BF$93)/RevBuild!BF$17)</f>
        <v>5.8990957389524088E-3</v>
      </c>
      <c r="BM23" s="1773">
        <f>+BM$21-((Growth_Drivers!BM$95*Growth_Drivers!BG$93)/RevBuild!BG$17)</f>
        <v>1.8519888756580533E-2</v>
      </c>
      <c r="BN23" s="1773">
        <f>+BN$21-((Growth_Drivers!BN$95*Growth_Drivers!BH$93)/RevBuild!BH$17)</f>
        <v>2.6667403306969307E-2</v>
      </c>
      <c r="BO23" s="1774">
        <f>+BO$21-((Growth_Drivers!BO$95*Growth_Drivers!BI$93)/RevBuild!BI$17)</f>
        <v>9.829677120022277E-3</v>
      </c>
      <c r="BP23" s="1759"/>
      <c r="BQ23" s="1772">
        <f>+BQ$21-((Growth_Drivers!BQ$95*Growth_Drivers!BK$93)/RevBuild!BK$17)</f>
        <v>-9.382684646949125E-3</v>
      </c>
      <c r="BR23" s="1773">
        <f>+BR$21-((Growth_Drivers!BR$95*Growth_Drivers!BL$93)/RevBuild!BL$17)</f>
        <v>1.9680616682296655E-2</v>
      </c>
      <c r="BS23" s="1773">
        <f>+BS$21-((Growth_Drivers!BS$95*Growth_Drivers!BM$93)/RevBuild!BM$17)</f>
        <v>-1.2262331935690244E-2</v>
      </c>
      <c r="BT23" s="1773">
        <f>+BT$21-((Growth_Drivers!BT$95*Growth_Drivers!BN$93)/RevBuild!BN$17)</f>
        <v>-3.6058838089678986E-3</v>
      </c>
      <c r="BU23" s="1774">
        <f>+BU$21-((Growth_Drivers!BU$95*Growth_Drivers!BO$93)/RevBuild!BO$17)</f>
        <v>3.7372098216932118E-3</v>
      </c>
      <c r="BV23" s="1759"/>
      <c r="BW23" s="1772">
        <f>+BW$21-((Growth_Drivers!BW$95*Growth_Drivers!BQ$93)/RevBuild!BQ$17)</f>
        <v>1.4967593660106322E-2</v>
      </c>
      <c r="BX23" s="1773">
        <f>+BX$21-((Growth_Drivers!BX$95*Growth_Drivers!BR$93)/RevBuild!BR$17)</f>
        <v>5.5832995758606674E-2</v>
      </c>
      <c r="BY23" s="1773">
        <f>+BY$21-((Growth_Drivers!BY$95*Growth_Drivers!BS$93)/RevBuild!BS$17)</f>
        <v>4.9115766454668627E-2</v>
      </c>
      <c r="BZ23" s="1773">
        <f>+BZ$21-((Growth_Drivers!BZ$95*Growth_Drivers!BT$93)/RevBuild!BT$17)</f>
        <v>4.6748792293304538E-2</v>
      </c>
      <c r="CA23" s="1774">
        <f>+CA$21-((Growth_Drivers!CA$95*Growth_Drivers!BU$93)/RevBuild!BU$17)</f>
        <v>4.2033476264244668E-2</v>
      </c>
      <c r="CB23" s="1759"/>
      <c r="CC23" s="1772">
        <f>+CC$21-((Growth_Drivers!CC$95*Growth_Drivers!BW$93)/RevBuild!BW$17)</f>
        <v>3.4210305378870154E-2</v>
      </c>
      <c r="CD23" s="1773">
        <f>+CD$21-((Growth_Drivers!CD$95*Growth_Drivers!BX$93)/RevBuild!BX$17)</f>
        <v>3.787582997482359E-2</v>
      </c>
      <c r="CE23" s="1773">
        <f>+CE$21-((Growth_Drivers!CE$95*Growth_Drivers!BY$93)/RevBuild!BY$17)</f>
        <v>3.7703191983867602E-2</v>
      </c>
      <c r="CF23" s="1773">
        <f>+CF$21-((Growth_Drivers!CF$95*Growth_Drivers!BZ$93)/RevBuild!BZ$17)</f>
        <v>4.4294498127849288E-2</v>
      </c>
      <c r="CG23" s="1774">
        <f>+CG$21-((Growth_Drivers!CG$95*Growth_Drivers!CA$93)/RevBuild!CA$17)</f>
        <v>3.9941925138472473E-2</v>
      </c>
      <c r="CH23" s="1759"/>
      <c r="CI23" s="1772">
        <f>+CI$21-((Growth_Drivers!CI$95*Growth_Drivers!CC$93)/RevBuild!CC$17)</f>
        <v>4.9096300808207795E-2</v>
      </c>
      <c r="CJ23" s="1773">
        <f>+CJ$21-((Growth_Drivers!CJ$95*Growth_Drivers!CD$93)/RevBuild!CD$17)</f>
        <v>4.9175575574094021E-2</v>
      </c>
      <c r="CK23" s="1773">
        <f>+CK$21-((Growth_Drivers!CK$95*Growth_Drivers!CE$93)/RevBuild!CE$17)</f>
        <v>3.9893966865959536E-2</v>
      </c>
      <c r="CL23" s="1773">
        <f>+CL$21-((Growth_Drivers!CL$95*Growth_Drivers!CF$93)/RevBuild!CF$17)</f>
        <v>3.8473567588518928E-2</v>
      </c>
      <c r="CM23" s="1774">
        <f>+CM$21-((Growth_Drivers!CM$95*Growth_Drivers!CG$93)/RevBuild!CG$17)</f>
        <v>4.275670752315186E-2</v>
      </c>
      <c r="CN23" s="1759"/>
      <c r="CO23" s="1772">
        <f>+CO$21-((Growth_Drivers!CO$95*Growth_Drivers!CI$93)/RevBuild!CI$17)</f>
        <v>3.6730133918416966E-2</v>
      </c>
      <c r="CP23" s="1773">
        <f>+CP$21-((Growth_Drivers!CP$95*Growth_Drivers!CJ$93)/RevBuild!CJ$17)</f>
        <v>2.9441468351646276E-2</v>
      </c>
      <c r="CQ23" s="1773">
        <f>+CQ$21-((Growth_Drivers!CQ$95*Growth_Drivers!CK$93)/RevBuild!CK$17)</f>
        <v>5.9727327215515436E-2</v>
      </c>
      <c r="CR23" s="1773">
        <f>+CR$21-((Growth_Drivers!CR$95*Growth_Drivers!CL$93)/RevBuild!CL$17)</f>
        <v>6.2769596715794615E-2</v>
      </c>
      <c r="CS23" s="1774">
        <f>+CS$21-((Growth_Drivers!CS$95*Growth_Drivers!CM$93)/RevBuild!CM$17)</f>
        <v>4.7984536201047819E-2</v>
      </c>
      <c r="CT23" s="1759"/>
      <c r="CU23" s="1772">
        <f>+CU$21-((Growth_Drivers!CU$95*Growth_Drivers!CO$93)/RevBuild!CO$17)</f>
        <v>7.9798288578677531E-2</v>
      </c>
      <c r="CV23" s="1773">
        <f>+CV$21-((Growth_Drivers!CV$95*Growth_Drivers!CP$93)/RevBuild!CP$17)</f>
        <v>7.5333539704091623E-2</v>
      </c>
      <c r="CW23" s="1773">
        <f>+CW$21-((Growth_Drivers!CW$95*Growth_Drivers!CQ$93)/RevBuild!CQ$17)</f>
        <v>7.3575018133437017E-2</v>
      </c>
      <c r="CX23" s="1773">
        <f>+CX$21-((Growth_Drivers!CX$95*Growth_Drivers!CR$93)/RevBuild!CR$17)</f>
        <v>7.4542915741552362E-2</v>
      </c>
      <c r="CY23" s="1774">
        <f>+CY$21-((Growth_Drivers!CY$95*Growth_Drivers!CS$93)/RevBuild!CS$17)</f>
        <v>7.5673328181321733E-2</v>
      </c>
      <c r="EF23" s="207"/>
      <c r="EG23" s="2034"/>
      <c r="EH23" s="2034"/>
      <c r="EI23" s="2034"/>
      <c r="EJ23" s="2034"/>
      <c r="EK23" s="2034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48"/>
      <c r="EW23" s="48"/>
      <c r="EX23" s="48"/>
      <c r="EY23" s="48"/>
      <c r="EZ23" s="48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</row>
    <row r="24" spans="1:225" s="39" customFormat="1" x14ac:dyDescent="0.2">
      <c r="A24" s="992" t="s">
        <v>662</v>
      </c>
      <c r="B24" s="1539"/>
      <c r="C24" s="2054"/>
      <c r="D24" s="2055"/>
      <c r="E24" s="2055"/>
      <c r="F24" s="2055"/>
      <c r="G24" s="2056"/>
      <c r="H24" s="1539"/>
      <c r="I24" s="2054"/>
      <c r="J24" s="2055"/>
      <c r="K24" s="2055"/>
      <c r="L24" s="2055"/>
      <c r="M24" s="2056"/>
      <c r="N24" s="1539"/>
      <c r="O24" s="2054"/>
      <c r="P24" s="2055"/>
      <c r="Q24" s="2055"/>
      <c r="R24" s="2055"/>
      <c r="S24" s="2056"/>
      <c r="T24" s="1539"/>
      <c r="U24" s="2054"/>
      <c r="V24" s="2055"/>
      <c r="W24" s="2055"/>
      <c r="X24" s="2055"/>
      <c r="Y24" s="2056"/>
      <c r="Z24" s="1539"/>
      <c r="AA24" s="2054"/>
      <c r="AB24" s="2055"/>
      <c r="AC24" s="2055"/>
      <c r="AD24" s="2055"/>
      <c r="AE24" s="2056"/>
      <c r="AF24" s="1539"/>
      <c r="AG24" s="2054"/>
      <c r="AH24" s="2055"/>
      <c r="AI24" s="2055"/>
      <c r="AJ24" s="2055"/>
      <c r="AK24" s="2056"/>
      <c r="AL24" s="1539"/>
      <c r="AM24" s="2054"/>
      <c r="AN24" s="2055"/>
      <c r="AO24" s="2055"/>
      <c r="AP24" s="2055"/>
      <c r="AQ24" s="2056"/>
      <c r="AR24" s="1539"/>
      <c r="AS24" s="2054"/>
      <c r="AT24" s="2055"/>
      <c r="AU24" s="2055"/>
      <c r="AV24" s="2055"/>
      <c r="AW24" s="2056"/>
      <c r="AX24" s="1539"/>
      <c r="AY24" s="2054"/>
      <c r="AZ24" s="2055"/>
      <c r="BA24" s="2055"/>
      <c r="BB24" s="2055"/>
      <c r="BC24" s="2057">
        <f>+BC$21-((Growth_Drivers!BC$254*Growth_Drivers!AW$253)/RevBuild!AW$17)</f>
        <v>-7.5842939570210682E-2</v>
      </c>
      <c r="BD24" s="1539"/>
      <c r="BE24" s="2058">
        <f>+BE$21-((Growth_Drivers!BE$254*Growth_Drivers!AY$253)/RevBuild!AY$17)</f>
        <v>1.9999999999999997E-2</v>
      </c>
      <c r="BF24" s="2059">
        <f>+BF$21-((Growth_Drivers!BF$254*Growth_Drivers!AZ$253)/RevBuild!AZ$17)</f>
        <v>9.9999999999999985E-3</v>
      </c>
      <c r="BG24" s="2059">
        <f>+BG$21-((Growth_Drivers!BG$254*Growth_Drivers!BA$253)/RevBuild!BA$17)</f>
        <v>3.4999999999999989E-2</v>
      </c>
      <c r="BH24" s="2059">
        <f>+BH$21-((Growth_Drivers!BH$254*Growth_Drivers!BB$253)/RevBuild!BB$17)</f>
        <v>2.0000000000000004E-2</v>
      </c>
      <c r="BI24" s="2057">
        <f>+BI$21-((Growth_Drivers!BI$254*Growth_Drivers!BC$253)/RevBuild!BC$17)</f>
        <v>2.6250000000000002E-2</v>
      </c>
      <c r="BJ24" s="1754"/>
      <c r="BK24" s="2058">
        <f>+BK$21-((Growth_Drivers!BK$254*Growth_Drivers!BE$253)/RevBuild!BE$17)</f>
        <v>2.0000000000000004E-2</v>
      </c>
      <c r="BL24" s="2059">
        <f>+BL$21-((Growth_Drivers!BL$254*Growth_Drivers!BF$253)/RevBuild!BF$17)</f>
        <v>1.3333333333333336E-2</v>
      </c>
      <c r="BM24" s="2059">
        <f>+BM$21-((Growth_Drivers!BM$254*Growth_Drivers!BG$253)/RevBuild!BG$17)</f>
        <v>0.03</v>
      </c>
      <c r="BN24" s="2059">
        <f>+BN$21-((Growth_Drivers!BN$254*Growth_Drivers!BH$253)/RevBuild!BH$17)</f>
        <v>3.2999999999999995E-2</v>
      </c>
      <c r="BO24" s="2057">
        <f>+BO$21-((Growth_Drivers!BO$254*Growth_Drivers!BI$253)/RevBuild!BI$17)</f>
        <v>0.02</v>
      </c>
      <c r="BP24" s="1754"/>
      <c r="BQ24" s="2058">
        <f>+BQ$21-((Growth_Drivers!BQ$254*Growth_Drivers!BK$253)/RevBuild!BK$17)</f>
        <v>0</v>
      </c>
      <c r="BR24" s="2059">
        <f>+BR$21-((Growth_Drivers!BR$254*Growth_Drivers!BL$253)/RevBuild!BL$17)</f>
        <v>2.8999999999999995E-2</v>
      </c>
      <c r="BS24" s="2059">
        <f>+BS$21-((Growth_Drivers!BS$254*Growth_Drivers!BM$253)/RevBuild!BM$17)</f>
        <v>8.2414708528700514E-3</v>
      </c>
      <c r="BT24" s="2059">
        <f>+BT$21-((Growth_Drivers!BT$254*Growth_Drivers!BN$253)/RevBuild!BN$17)</f>
        <v>1.1653862143510448E-2</v>
      </c>
      <c r="BU24" s="2057">
        <f>+BU$21-((Growth_Drivers!BU$254*Growth_Drivers!BO$253)/RevBuild!BO$17)</f>
        <v>1.7458054835285328E-2</v>
      </c>
      <c r="BV24" s="1754"/>
      <c r="BW24" s="2058">
        <f>+BW$21-((Growth_Drivers!BW$254*Growth_Drivers!BQ$253)/RevBuild!BQ$17)</f>
        <v>3.2432609488867836E-2</v>
      </c>
      <c r="BX24" s="2059">
        <f>+BX$21-((Growth_Drivers!BX$254*Growth_Drivers!BR$253)/RevBuild!BR$17)</f>
        <v>7.8303215466292694E-2</v>
      </c>
      <c r="BY24" s="2059">
        <f>+BY$21-((Growth_Drivers!BY$254*Growth_Drivers!BS$253)/RevBuild!BS$17)</f>
        <v>7.9074201824129511E-2</v>
      </c>
      <c r="BZ24" s="2059">
        <f>+BZ$21-((Growth_Drivers!BZ$254*Growth_Drivers!BT$253)/RevBuild!BT$17)</f>
        <v>7.5977761836441893E-2</v>
      </c>
      <c r="CA24" s="2057">
        <f>+CA$21-((Growth_Drivers!CA$254*Growth_Drivers!BU$253)/RevBuild!BU$17)</f>
        <v>6.7046457803490944E-2</v>
      </c>
      <c r="CB24" s="1754"/>
      <c r="CC24" s="2058">
        <f>+CC$21-((Growth_Drivers!CC$254*Growth_Drivers!BW$253)/RevBuild!BW$17)</f>
        <v>4.2293866417444044E-2</v>
      </c>
      <c r="CD24" s="2059">
        <f>+CD$21-((Growth_Drivers!CD$254*Growth_Drivers!BX$253)/RevBuild!BX$17)</f>
        <v>6.4939066742438892E-2</v>
      </c>
      <c r="CE24" s="2059">
        <f>+CE$21-((Growth_Drivers!CE$254*Growth_Drivers!BY$253)/RevBuild!BY$17)</f>
        <v>6.2951482349653518E-2</v>
      </c>
      <c r="CF24" s="2059">
        <f>+CF$21-((Growth_Drivers!CF$254*Growth_Drivers!BZ$253)/RevBuild!BZ$17)</f>
        <v>5.8790095661989422E-2</v>
      </c>
      <c r="CG24" s="2057">
        <f>+CG$21-((Growth_Drivers!CG$254*Growth_Drivers!CA$253)/RevBuild!CA$17)</f>
        <v>5.8835626519071774E-2</v>
      </c>
      <c r="CH24" s="1754"/>
      <c r="CI24" s="2058">
        <f>+CI$21-((Growth_Drivers!CI$254*Growth_Drivers!CC$253)/RevBuild!CC$17)</f>
        <v>5.9196480950423007E-2</v>
      </c>
      <c r="CJ24" s="2059">
        <f>+CJ$21-((Growth_Drivers!CJ$254*Growth_Drivers!CD$253)/RevBuild!CD$17)</f>
        <v>6.7329836288193418E-2</v>
      </c>
      <c r="CK24" s="2059">
        <f>+CK$21-((Growth_Drivers!CK$254*Growth_Drivers!CE$253)/RevBuild!CE$17)</f>
        <v>6.9826200812792921E-2</v>
      </c>
      <c r="CL24" s="2059">
        <f>+CL$21-((Growth_Drivers!CL$254*Growth_Drivers!CF$253)/RevBuild!CF$17)</f>
        <v>4.7891337978486645E-2</v>
      </c>
      <c r="CM24" s="2057">
        <f>+CM$21-((Growth_Drivers!CM$254*Growth_Drivers!CG$253)/RevBuild!CG$17)</f>
        <v>5.9753064892540272E-2</v>
      </c>
      <c r="CN24" s="1754"/>
      <c r="CO24" s="2058">
        <f>+CO$21-((Growth_Drivers!CO$254*Growth_Drivers!CI$253)/RevBuild!CI$17)</f>
        <v>8.9091961325795208E-2</v>
      </c>
      <c r="CP24" s="2059">
        <f>+CP$21-((Growth_Drivers!CP$254*Growth_Drivers!CJ$253)/RevBuild!CJ$17)</f>
        <v>4.7632488700914313E-2</v>
      </c>
      <c r="CQ24" s="2059">
        <f>+CQ$21-((Growth_Drivers!CQ$254*Growth_Drivers!CK$253)/RevBuild!CK$17)</f>
        <v>4.9131625135930071E-2</v>
      </c>
      <c r="CR24" s="2059">
        <f>+CR$21-((Growth_Drivers!CR$254*Growth_Drivers!CL$253)/RevBuild!CL$17)</f>
        <v>7.8131115985377489E-2</v>
      </c>
      <c r="CS24" s="2057">
        <f>+CS$21-((Growth_Drivers!CS$254*Growth_Drivers!CM$253)/RevBuild!CM$17)</f>
        <v>6.5458037716659936E-2</v>
      </c>
      <c r="CT24" s="1754"/>
      <c r="CU24" s="2058">
        <f>+CU$21-((Growth_Drivers!CU$254*Growth_Drivers!CO$253)/RevBuild!CO$17)</f>
        <v>9.4268603638437282E-2</v>
      </c>
      <c r="CV24" s="2059">
        <f>+CV$21-((Growth_Drivers!CV$254*Growth_Drivers!CP$253)/RevBuild!CP$17)</f>
        <v>8.8803168599816656E-2</v>
      </c>
      <c r="CW24" s="2059">
        <f>+CW$21-((Growth_Drivers!CW$254*Growth_Drivers!CQ$253)/RevBuild!CQ$17)</f>
        <v>8.6255266236175257E-2</v>
      </c>
      <c r="CX24" s="2059">
        <f>+CX$21-((Growth_Drivers!CX$254*Growth_Drivers!CR$253)/RevBuild!CR$17)</f>
        <v>8.6227000244261456E-2</v>
      </c>
      <c r="CY24" s="2057">
        <f>+CY$21-((Growth_Drivers!CY$254*Growth_Drivers!CS$253)/RevBuild!CS$17)</f>
        <v>8.8675534813079049E-2</v>
      </c>
      <c r="EF24" s="207"/>
      <c r="EG24" s="2041"/>
      <c r="EH24" s="2041"/>
      <c r="EI24" s="2041"/>
      <c r="EJ24" s="2041"/>
      <c r="EK24" s="2041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2"/>
      <c r="EW24" s="2"/>
      <c r="EX24" s="2"/>
      <c r="EY24" s="2"/>
      <c r="EZ24" s="2"/>
      <c r="FA24" s="48"/>
      <c r="FB24" s="48"/>
      <c r="FC24" s="48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</row>
    <row r="25" spans="1:225" s="39" customFormat="1" x14ac:dyDescent="0.2">
      <c r="A25" s="1775" t="s">
        <v>674</v>
      </c>
      <c r="B25" s="2053"/>
      <c r="C25" s="1777"/>
      <c r="D25" s="1778"/>
      <c r="E25" s="1778"/>
      <c r="F25" s="1778"/>
      <c r="G25" s="1779"/>
      <c r="H25" s="1776"/>
      <c r="I25" s="1777"/>
      <c r="J25" s="1778"/>
      <c r="K25" s="1778"/>
      <c r="L25" s="1778"/>
      <c r="M25" s="1779"/>
      <c r="N25" s="1776"/>
      <c r="O25" s="1777"/>
      <c r="P25" s="1778"/>
      <c r="Q25" s="1778"/>
      <c r="R25" s="1778"/>
      <c r="S25" s="1779"/>
      <c r="T25" s="1776"/>
      <c r="U25" s="1777"/>
      <c r="V25" s="1778"/>
      <c r="W25" s="1778"/>
      <c r="X25" s="1778"/>
      <c r="Y25" s="1779"/>
      <c r="Z25" s="1776"/>
      <c r="AA25" s="1777"/>
      <c r="AB25" s="1778"/>
      <c r="AC25" s="1778"/>
      <c r="AD25" s="1778"/>
      <c r="AE25" s="1779"/>
      <c r="AF25" s="1776"/>
      <c r="AG25" s="1777"/>
      <c r="AH25" s="1778"/>
      <c r="AI25" s="1778"/>
      <c r="AJ25" s="1778"/>
      <c r="AK25" s="1779"/>
      <c r="AL25" s="1776"/>
      <c r="AM25" s="1777"/>
      <c r="AN25" s="1778"/>
      <c r="AO25" s="1778"/>
      <c r="AP25" s="1778"/>
      <c r="AQ25" s="1779"/>
      <c r="AR25" s="1776"/>
      <c r="AS25" s="1777"/>
      <c r="AT25" s="1778"/>
      <c r="AU25" s="1778"/>
      <c r="AV25" s="1778"/>
      <c r="AW25" s="1779"/>
      <c r="AX25" s="1776"/>
      <c r="AY25" s="1777"/>
      <c r="AZ25" s="1778"/>
      <c r="BA25" s="1778"/>
      <c r="BB25" s="1778"/>
      <c r="BC25" s="1779">
        <f>+BC22-(BC21-BC23)-(BC21-BC24)</f>
        <v>4.3127411989528547E-2</v>
      </c>
      <c r="BD25" s="1776"/>
      <c r="BE25" s="1777">
        <f t="shared" ref="BE25:BH25" si="69">+BE22-(BE21-BE23)-(BE21-BE24)</f>
        <v>1.1062787700456361E-2</v>
      </c>
      <c r="BF25" s="1778">
        <f t="shared" si="69"/>
        <v>2.1834086768246563E-2</v>
      </c>
      <c r="BG25" s="1778">
        <f t="shared" si="69"/>
        <v>3.6186623084267712E-2</v>
      </c>
      <c r="BH25" s="1778">
        <f t="shared" si="69"/>
        <v>2.8894084086749008E-2</v>
      </c>
      <c r="BI25" s="1779">
        <f>+BI22-(BI21-BI23)-(BI21-BI24)</f>
        <v>2.9133149770731823E-2</v>
      </c>
      <c r="BJ25" s="1776"/>
      <c r="BK25" s="1777">
        <f t="shared" ref="BK25" si="70">+BK22-(BK21-BK23)-(BK21-BK24)</f>
        <v>3.7360242731085583E-2</v>
      </c>
      <c r="BL25" s="1778">
        <f t="shared" ref="BL25" si="71">+BL22-(BL21-BL23)-(BL21-BL24)</f>
        <v>3.6899095738952406E-2</v>
      </c>
      <c r="BM25" s="1778">
        <f t="shared" ref="BM25" si="72">+BM22-(BM21-BM23)-(BM21-BM24)</f>
        <v>6.9119888756580539E-2</v>
      </c>
      <c r="BN25" s="1778">
        <f t="shared" ref="BN25" si="73">+BN22-(BN21-BN23)-(BN21-BN24)</f>
        <v>7.5563884573430967E-2</v>
      </c>
      <c r="BO25" s="1779">
        <f>+BO22-(BO21-BO23)-(BO21-BO24)</f>
        <v>5.051132844043163E-2</v>
      </c>
      <c r="BP25" s="1776"/>
      <c r="BQ25" s="1777">
        <f t="shared" ref="BQ25" si="74">+BQ22-(BQ21-BQ23)-(BQ21-BQ24)</f>
        <v>3.5920339404163962E-2</v>
      </c>
      <c r="BR25" s="1778">
        <f t="shared" ref="BR25" si="75">+BR22-(BR21-BR23)-(BR21-BR24)</f>
        <v>4.5145040337400452E-2</v>
      </c>
      <c r="BS25" s="1778">
        <f t="shared" ref="BS25" si="76">+BS22-(BS21-BS23)-(BS21-BS24)</f>
        <v>1.7977668064309754E-2</v>
      </c>
      <c r="BT25" s="1778">
        <f t="shared" ref="BT25" si="77">+BT22-(BT21-BT23)-(BT21-BT24)</f>
        <v>7.8677726262382491E-3</v>
      </c>
      <c r="BU25" s="1779">
        <f>+BU22-(BU21-BU23)-(BU21-BU24)</f>
        <v>2.7208300802319986E-2</v>
      </c>
      <c r="BV25" s="1776"/>
      <c r="BW25" s="1777">
        <f t="shared" ref="BW25" si="78">+BW22-(BW21-BW23)-(BW21-BW24)</f>
        <v>3.2187593660106331E-2</v>
      </c>
      <c r="BX25" s="1778">
        <f t="shared" ref="BX25" si="79">+BX22-(BX21-BX23)-(BX21-BX24)</f>
        <v>7.0182995758606675E-2</v>
      </c>
      <c r="BY25" s="1778">
        <f t="shared" ref="BY25" si="80">+BY22-(BY21-BY23)-(BY21-BY24)</f>
        <v>6.1741544460206507E-2</v>
      </c>
      <c r="BZ25" s="1778">
        <f t="shared" ref="BZ25" si="81">+BZ22-(BZ21-BZ23)-(BZ21-BZ24)</f>
        <v>4.803347746646882E-2</v>
      </c>
      <c r="CA25" s="1779">
        <f>+CA22-(CA21-CA23)-(CA21-CA24)</f>
        <v>5.2795118283875661E-2</v>
      </c>
      <c r="CB25" s="1776"/>
      <c r="CC25" s="1777">
        <f t="shared" ref="CC25" si="82">+CC22-(CC21-CC23)-(CC21-CC24)</f>
        <v>3.4378771711187563E-2</v>
      </c>
      <c r="CD25" s="1778">
        <f t="shared" ref="CD25" si="83">+CD22-(CD21-CD23)-(CD21-CD24)</f>
        <v>2.6125632265029904E-2</v>
      </c>
      <c r="CE25" s="1778">
        <f t="shared" ref="CE25" si="84">+CE22-(CE21-CE23)-(CE21-CE24)</f>
        <v>2.6868196400952511E-2</v>
      </c>
      <c r="CF25" s="1778">
        <f t="shared" ref="CF25" si="85">+CF22-(CF21-CF23)-(CF21-CF24)</f>
        <v>4.1324450747069766E-2</v>
      </c>
      <c r="CG25" s="1779">
        <f>+CG22-(CG21-CG23)-(CG21-CG24)</f>
        <v>3.3369106870318965E-2</v>
      </c>
      <c r="CH25" s="1776"/>
      <c r="CI25" s="1777">
        <f t="shared" ref="CI25" si="86">+CI22-(CI21-CI23)-(CI21-CI24)</f>
        <v>3.8635790215948845E-2</v>
      </c>
      <c r="CJ25" s="1778">
        <f t="shared" ref="CJ25" si="87">+CJ22-(CJ21-CJ23)-(CJ21-CJ24)</f>
        <v>5.0217076344212949E-2</v>
      </c>
      <c r="CK25" s="1778">
        <f t="shared" ref="CK25" si="88">+CK22-(CK21-CK23)-(CK21-CK24)</f>
        <v>4.1231015066709904E-2</v>
      </c>
      <c r="CL25" s="1778">
        <f t="shared" ref="CL25" si="89">+CL22-(CL21-CL23)-(CL21-CL24)</f>
        <v>4.3072753591795201E-2</v>
      </c>
      <c r="CM25" s="1779">
        <f>+CM22-(CM21-CM23)-(CM21-CM24)</f>
        <v>4.2429499663636766E-2</v>
      </c>
      <c r="CN25" s="1776"/>
      <c r="CO25" s="1777">
        <f t="shared" ref="CO25" si="90">+CO22-(CO21-CO23)-(CO21-CO24)</f>
        <v>2.6994798540061371E-2</v>
      </c>
      <c r="CP25" s="1778">
        <f t="shared" ref="CP25" si="91">+CP22-(CP21-CP23)-(CP21-CP24)</f>
        <v>2.0208787773542753E-2</v>
      </c>
      <c r="CQ25" s="1778">
        <f t="shared" ref="CQ25" si="92">+CQ22-(CQ21-CQ23)-(CQ21-CQ24)</f>
        <v>5.0059577048108338E-2</v>
      </c>
      <c r="CR25" s="1778">
        <f t="shared" ref="CR25" si="93">+CR22-(CR21-CR23)-(CR21-CR24)</f>
        <v>5.312107337987626E-2</v>
      </c>
      <c r="CS25" s="1779">
        <f>+CS22-(CS21-CS23)-(CS21-CS24)</f>
        <v>3.8415723753569116E-2</v>
      </c>
      <c r="CT25" s="1776"/>
      <c r="CU25" s="1777">
        <f t="shared" ref="CU25" si="94">+CU22-(CU21-CU23)-(CU21-CU24)</f>
        <v>6.7874015459002748E-2</v>
      </c>
      <c r="CV25" s="1778">
        <f t="shared" ref="CV25" si="95">+CV22-(CV21-CV23)-(CV21-CV24)</f>
        <v>6.4271127152868368E-2</v>
      </c>
      <c r="CW25" s="1778">
        <f t="shared" ref="CW25" si="96">+CW22-(CW21-CW23)-(CW21-CW24)</f>
        <v>6.2365709208411668E-2</v>
      </c>
      <c r="CX25" s="1778">
        <f t="shared" ref="CX25" si="97">+CX22-(CX21-CX23)-(CX21-CX24)</f>
        <v>6.4127662210367531E-2</v>
      </c>
      <c r="CY25" s="1779">
        <f>+CY22-(CY21-CY23)-(CY21-CY24)</f>
        <v>6.4559225780800825E-2</v>
      </c>
      <c r="EF25" s="207"/>
      <c r="EG25" s="2041"/>
      <c r="EH25" s="2041"/>
      <c r="EI25" s="2041"/>
      <c r="EJ25" s="2041"/>
      <c r="EK25" s="2042"/>
      <c r="EL25" s="48"/>
      <c r="EM25" s="48"/>
      <c r="EN25" s="48"/>
      <c r="EO25" s="48"/>
      <c r="EP25" s="48"/>
      <c r="EQ25" s="48"/>
      <c r="ER25" s="48"/>
      <c r="ES25" s="48"/>
      <c r="ET25" s="48"/>
      <c r="EU25" s="48"/>
      <c r="EV25" s="2"/>
      <c r="EW25" s="2"/>
      <c r="EX25" s="2"/>
      <c r="EY25" s="2"/>
      <c r="EZ25" s="2"/>
      <c r="FA25" s="48"/>
      <c r="FB25" s="48"/>
      <c r="FC25" s="48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</row>
    <row r="26" spans="1:225" s="3" customFormat="1" x14ac:dyDescent="0.2">
      <c r="A26" s="189"/>
      <c r="B26" s="1501"/>
      <c r="C26" s="764"/>
      <c r="D26" s="765"/>
      <c r="E26" s="765"/>
      <c r="F26" s="765"/>
      <c r="G26" s="767"/>
      <c r="H26" s="765"/>
      <c r="I26" s="764"/>
      <c r="J26" s="765"/>
      <c r="K26" s="765"/>
      <c r="L26" s="765"/>
      <c r="M26" s="767"/>
      <c r="N26" s="765"/>
      <c r="O26" s="764"/>
      <c r="P26" s="765"/>
      <c r="Q26" s="765"/>
      <c r="R26" s="765"/>
      <c r="S26" s="767"/>
      <c r="T26" s="765"/>
      <c r="U26" s="764"/>
      <c r="V26" s="765"/>
      <c r="W26" s="765"/>
      <c r="X26" s="765"/>
      <c r="Y26" s="767"/>
      <c r="Z26" s="765"/>
      <c r="AA26" s="764"/>
      <c r="AB26" s="765"/>
      <c r="AC26" s="765"/>
      <c r="AD26" s="765"/>
      <c r="AE26" s="767"/>
      <c r="AF26" s="765"/>
      <c r="AG26" s="764"/>
      <c r="AH26" s="765"/>
      <c r="AI26" s="765"/>
      <c r="AJ26" s="765"/>
      <c r="AK26" s="767"/>
      <c r="AL26" s="765"/>
      <c r="AM26" s="764"/>
      <c r="AN26" s="765"/>
      <c r="AO26" s="765"/>
      <c r="AP26" s="765"/>
      <c r="AQ26" s="424"/>
      <c r="AR26" s="1502"/>
      <c r="AS26" s="764"/>
      <c r="AT26" s="765"/>
      <c r="AU26" s="765"/>
      <c r="AV26" s="765"/>
      <c r="AW26" s="424"/>
      <c r="AX26" s="1502"/>
      <c r="AY26" s="764"/>
      <c r="AZ26" s="765"/>
      <c r="BA26" s="765"/>
      <c r="BB26" s="765"/>
      <c r="BC26" s="424"/>
      <c r="BD26" s="1503"/>
      <c r="BE26" s="764"/>
      <c r="BF26" s="765"/>
      <c r="BG26" s="765"/>
      <c r="BH26" s="765"/>
      <c r="BI26" s="767"/>
      <c r="BJ26" s="1503"/>
      <c r="BK26" s="764"/>
      <c r="BL26" s="765"/>
      <c r="BM26" s="765"/>
      <c r="BN26" s="1504"/>
      <c r="BO26" s="767"/>
      <c r="BP26" s="1503"/>
      <c r="BQ26" s="764"/>
      <c r="BR26" s="765"/>
      <c r="BS26" s="765"/>
      <c r="BT26" s="765"/>
      <c r="BU26" s="767"/>
      <c r="BV26" s="1503"/>
      <c r="BW26" s="764"/>
      <c r="BX26" s="765"/>
      <c r="BY26" s="765"/>
      <c r="BZ26" s="765"/>
      <c r="CA26" s="767"/>
      <c r="CB26" s="1503"/>
      <c r="CC26" s="764"/>
      <c r="CD26" s="765"/>
      <c r="CE26" s="765"/>
      <c r="CF26" s="765"/>
      <c r="CG26" s="767"/>
      <c r="CH26" s="1503"/>
      <c r="CI26" s="764"/>
      <c r="CJ26" s="765"/>
      <c r="CK26" s="765"/>
      <c r="CL26" s="765"/>
      <c r="CM26" s="767"/>
      <c r="CN26" s="1503"/>
      <c r="CO26" s="764"/>
      <c r="CP26" s="765"/>
      <c r="CQ26" s="765"/>
      <c r="CR26" s="765"/>
      <c r="CS26" s="767"/>
      <c r="CT26" s="1503"/>
      <c r="CU26" s="764"/>
      <c r="CV26" s="765"/>
      <c r="CW26" s="765"/>
      <c r="CX26" s="765"/>
      <c r="CY26" s="767"/>
      <c r="DD26" s="895" t="s">
        <v>650</v>
      </c>
      <c r="DE26" s="1493"/>
      <c r="DF26" s="1493"/>
      <c r="DG26" s="1493"/>
      <c r="DH26" s="1493"/>
      <c r="DI26" s="1494"/>
      <c r="DJ26" s="1494"/>
      <c r="DK26" s="1494"/>
      <c r="DL26" s="771"/>
      <c r="DM26" s="771"/>
      <c r="DN26" s="771"/>
      <c r="DO26" s="771"/>
      <c r="DP26" s="771"/>
      <c r="DQ26" s="771"/>
      <c r="DR26" s="771"/>
      <c r="DS26" s="771"/>
      <c r="DT26" s="771"/>
      <c r="DU26" s="771"/>
      <c r="DV26" s="771"/>
      <c r="DW26" s="771"/>
      <c r="DX26" s="771"/>
      <c r="DY26" s="771"/>
      <c r="DZ26" s="771"/>
      <c r="EA26" s="771"/>
      <c r="EB26" s="771"/>
      <c r="ED26" s="2"/>
      <c r="EE26" s="2"/>
      <c r="EF26" s="207"/>
      <c r="EG26" s="2034"/>
      <c r="EH26" s="2034"/>
      <c r="EI26" s="2034"/>
      <c r="EJ26" s="2034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48"/>
      <c r="FB26" s="48"/>
      <c r="FC26" s="48"/>
      <c r="FD26" s="48"/>
      <c r="FE26" s="48"/>
      <c r="FF26" s="48"/>
      <c r="FG26" s="48"/>
      <c r="FH26" s="48"/>
      <c r="FI26" s="48"/>
      <c r="FJ26" s="48"/>
      <c r="FK26" s="48"/>
      <c r="FL26" s="48"/>
      <c r="FM26" s="48"/>
      <c r="FN26" s="48"/>
      <c r="FO26" s="48"/>
      <c r="FP26" s="48"/>
      <c r="FQ26" s="48"/>
      <c r="FR26" s="48"/>
      <c r="FS26" s="48"/>
      <c r="FT26" s="48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</row>
    <row r="27" spans="1:225" x14ac:dyDescent="0.2">
      <c r="A27" s="1736" t="s">
        <v>668</v>
      </c>
      <c r="B27" s="1564"/>
      <c r="C27" s="772"/>
      <c r="D27" s="773"/>
      <c r="E27" s="773"/>
      <c r="F27" s="774"/>
      <c r="G27" s="774"/>
      <c r="H27" s="773"/>
      <c r="I27" s="772"/>
      <c r="J27" s="773"/>
      <c r="K27" s="773"/>
      <c r="L27" s="774"/>
      <c r="M27" s="774"/>
      <c r="N27" s="773"/>
      <c r="O27" s="772"/>
      <c r="P27" s="773"/>
      <c r="Q27" s="773"/>
      <c r="R27" s="774"/>
      <c r="S27" s="774"/>
      <c r="T27" s="773"/>
      <c r="U27" s="772"/>
      <c r="V27" s="773"/>
      <c r="W27" s="773"/>
      <c r="X27" s="774"/>
      <c r="Y27" s="774"/>
      <c r="Z27" s="773"/>
      <c r="AA27" s="772"/>
      <c r="AB27" s="773"/>
      <c r="AC27" s="773"/>
      <c r="AD27" s="774"/>
      <c r="AE27" s="774"/>
      <c r="AF27" s="773"/>
      <c r="AG27" s="772"/>
      <c r="AH27" s="773"/>
      <c r="AI27" s="773"/>
      <c r="AJ27" s="774"/>
      <c r="AK27" s="774"/>
      <c r="AL27" s="773"/>
      <c r="AM27" s="772"/>
      <c r="AN27" s="773"/>
      <c r="AO27" s="773"/>
      <c r="AP27" s="774"/>
      <c r="AQ27" s="774"/>
      <c r="AR27" s="773"/>
      <c r="AS27" s="772"/>
      <c r="AT27" s="773"/>
      <c r="AU27" s="773"/>
      <c r="AV27" s="774"/>
      <c r="AW27" s="774"/>
      <c r="AX27" s="773"/>
      <c r="AY27" s="772"/>
      <c r="AZ27" s="773"/>
      <c r="BA27" s="773"/>
      <c r="BB27" s="774"/>
      <c r="BC27" s="774"/>
      <c r="BD27" s="1565"/>
      <c r="BE27" s="772"/>
      <c r="BF27" s="773"/>
      <c r="BG27" s="773"/>
      <c r="BH27" s="774"/>
      <c r="BI27" s="774"/>
      <c r="BJ27" s="1565"/>
      <c r="BK27" s="772"/>
      <c r="BL27" s="773"/>
      <c r="BM27" s="773"/>
      <c r="BN27" s="1566"/>
      <c r="BO27" s="774"/>
      <c r="BP27" s="1565"/>
      <c r="BQ27" s="772"/>
      <c r="BR27" s="773"/>
      <c r="BS27" s="773"/>
      <c r="BT27" s="774"/>
      <c r="BU27" s="774"/>
      <c r="BV27" s="1565"/>
      <c r="BW27" s="772"/>
      <c r="BX27" s="773"/>
      <c r="BY27" s="773"/>
      <c r="BZ27" s="774"/>
      <c r="CA27" s="774"/>
      <c r="CB27" s="1565"/>
      <c r="CC27" s="772"/>
      <c r="CD27" s="773"/>
      <c r="CE27" s="773"/>
      <c r="CF27" s="774"/>
      <c r="CG27" s="774"/>
      <c r="CH27" s="1565"/>
      <c r="CI27" s="772"/>
      <c r="CJ27" s="773"/>
      <c r="CK27" s="773"/>
      <c r="CL27" s="774"/>
      <c r="CM27" s="774"/>
      <c r="CN27" s="1565"/>
      <c r="CO27" s="772"/>
      <c r="CP27" s="773"/>
      <c r="CQ27" s="773"/>
      <c r="CR27" s="774"/>
      <c r="CS27" s="774"/>
      <c r="CT27" s="1565"/>
      <c r="CU27" s="772"/>
      <c r="CV27" s="773"/>
      <c r="CW27" s="773"/>
      <c r="CX27" s="774"/>
      <c r="CY27" s="774"/>
      <c r="DD27" s="1439"/>
      <c r="DE27" s="1487" t="s">
        <v>213</v>
      </c>
      <c r="DF27" s="1487" t="s">
        <v>417</v>
      </c>
      <c r="DG27" s="1487" t="s">
        <v>225</v>
      </c>
      <c r="DH27" s="1487" t="s">
        <v>224</v>
      </c>
      <c r="DI27" s="1487" t="s">
        <v>243</v>
      </c>
      <c r="DJ27" s="1487" t="s">
        <v>423</v>
      </c>
      <c r="DK27" s="1487" t="s">
        <v>418</v>
      </c>
      <c r="DL27" s="1487" t="s">
        <v>421</v>
      </c>
      <c r="DM27" s="1487" t="str">
        <f t="shared" ref="DM27:DX27" si="98">DM7</f>
        <v>1Q15</v>
      </c>
      <c r="DN27" s="1487" t="str">
        <f t="shared" si="98"/>
        <v>2Q15</v>
      </c>
      <c r="DO27" s="1487" t="str">
        <f t="shared" si="98"/>
        <v>3Q15</v>
      </c>
      <c r="DP27" s="1487" t="str">
        <f t="shared" si="98"/>
        <v>4Q15</v>
      </c>
      <c r="DQ27" s="1487" t="str">
        <f t="shared" si="98"/>
        <v>1Q16</v>
      </c>
      <c r="DR27" s="1487" t="str">
        <f t="shared" si="98"/>
        <v>2Q16</v>
      </c>
      <c r="DS27" s="1487" t="str">
        <f t="shared" si="98"/>
        <v>3Q16</v>
      </c>
      <c r="DT27" s="1487" t="str">
        <f t="shared" si="98"/>
        <v>4Q16</v>
      </c>
      <c r="DU27" s="1487" t="str">
        <f t="shared" si="98"/>
        <v>1Q17</v>
      </c>
      <c r="DV27" s="1487" t="str">
        <f t="shared" si="98"/>
        <v>2Q17</v>
      </c>
      <c r="DW27" s="1487" t="str">
        <f t="shared" si="98"/>
        <v>3Q17</v>
      </c>
      <c r="DX27" s="1487" t="str">
        <f t="shared" si="98"/>
        <v>4Q17</v>
      </c>
      <c r="DY27" s="1487" t="str">
        <f t="shared" ref="DY27:EB27" si="99">DY7</f>
        <v>1Q18E</v>
      </c>
      <c r="DZ27" s="1487" t="str">
        <f t="shared" si="99"/>
        <v>2Q18E</v>
      </c>
      <c r="EA27" s="1487" t="str">
        <f t="shared" si="99"/>
        <v>3Q18E</v>
      </c>
      <c r="EB27" s="1487" t="str">
        <f t="shared" si="99"/>
        <v>4Q18E</v>
      </c>
      <c r="EC27" s="1495"/>
      <c r="EF27" s="207"/>
      <c r="EG27" s="2041"/>
      <c r="EH27" s="2041"/>
      <c r="EI27" s="2041"/>
      <c r="EJ27" s="2041"/>
      <c r="EK27" s="2047"/>
      <c r="EL27" s="2"/>
      <c r="EM27" s="2"/>
      <c r="EN27" s="2"/>
      <c r="EO27" s="2"/>
      <c r="EP27" s="2"/>
      <c r="EQ27" s="2"/>
      <c r="ER27" s="2"/>
      <c r="ES27" s="2"/>
      <c r="ET27" s="2"/>
      <c r="EU27" s="2"/>
    </row>
    <row r="28" spans="1:225" s="2" customFormat="1" x14ac:dyDescent="0.2">
      <c r="A28" s="1780" t="s">
        <v>188</v>
      </c>
      <c r="B28" s="1781"/>
      <c r="C28" s="1782"/>
      <c r="D28" s="1783"/>
      <c r="E28" s="1783"/>
      <c r="F28" s="1783"/>
      <c r="G28" s="1784"/>
      <c r="H28" s="1783"/>
      <c r="I28" s="1785"/>
      <c r="J28" s="1786"/>
      <c r="K28" s="1786"/>
      <c r="L28" s="1786"/>
      <c r="M28" s="1787"/>
      <c r="N28" s="1783"/>
      <c r="O28" s="1785"/>
      <c r="P28" s="1786"/>
      <c r="Q28" s="1786"/>
      <c r="R28" s="1786"/>
      <c r="S28" s="1787"/>
      <c r="T28" s="1783"/>
      <c r="U28" s="1785"/>
      <c r="V28" s="1786"/>
      <c r="W28" s="1786"/>
      <c r="X28" s="1786"/>
      <c r="Y28" s="1787"/>
      <c r="Z28" s="1783"/>
      <c r="AA28" s="1785"/>
      <c r="AB28" s="1786"/>
      <c r="AC28" s="1786"/>
      <c r="AD28" s="1786"/>
      <c r="AE28" s="1787"/>
      <c r="AF28" s="1783"/>
      <c r="AG28" s="1785"/>
      <c r="AH28" s="1786"/>
      <c r="AI28" s="1786"/>
      <c r="AJ28" s="1786"/>
      <c r="AK28" s="1787"/>
      <c r="AL28" s="1783"/>
      <c r="AM28" s="1782"/>
      <c r="AN28" s="1783"/>
      <c r="AO28" s="1783"/>
      <c r="AP28" s="1783"/>
      <c r="AQ28" s="1784"/>
      <c r="AR28" s="1788"/>
      <c r="AS28" s="1782"/>
      <c r="AT28" s="1783"/>
      <c r="AU28" s="1783"/>
      <c r="AV28" s="1783"/>
      <c r="AW28" s="1784"/>
      <c r="AX28" s="1783"/>
      <c r="AY28" s="1782"/>
      <c r="AZ28" s="1783"/>
      <c r="BA28" s="1783"/>
      <c r="BB28" s="1783"/>
      <c r="BC28" s="1784"/>
      <c r="BD28" s="1789"/>
      <c r="BE28" s="1782">
        <f>+BE$21-BE22</f>
        <v>-7.7619530795442863E-3</v>
      </c>
      <c r="BF28" s="1783">
        <f t="shared" ref="BF28:BI28" si="100">+BF$21-BF22</f>
        <v>-3.0095032756860329E-2</v>
      </c>
      <c r="BG28" s="1783">
        <f t="shared" si="100"/>
        <v>-1.8719014379187479E-2</v>
      </c>
      <c r="BH28" s="1783">
        <f t="shared" si="100"/>
        <v>-2.6154801960108241E-2</v>
      </c>
      <c r="BI28" s="1784">
        <f t="shared" si="100"/>
        <v>-2.0525606602325989E-2</v>
      </c>
      <c r="BJ28" s="1789"/>
      <c r="BK28" s="1782">
        <f t="shared" ref="BK28:BO28" si="101">+BK$21-BK22</f>
        <v>-3.4290000000000001E-2</v>
      </c>
      <c r="BL28" s="1783">
        <f t="shared" si="101"/>
        <v>-3.1E-2</v>
      </c>
      <c r="BM28" s="1783">
        <f t="shared" si="101"/>
        <v>-5.0600000000000006E-2</v>
      </c>
      <c r="BN28" s="1783">
        <f t="shared" si="101"/>
        <v>-4.8896481266461657E-2</v>
      </c>
      <c r="BO28" s="1784">
        <f t="shared" si="101"/>
        <v>-4.0681651320409351E-2</v>
      </c>
      <c r="BP28" s="1789"/>
      <c r="BQ28" s="1782">
        <f t="shared" ref="BQ28:BU28" si="102">+BQ$21-BQ22</f>
        <v>-4.530302405111309E-2</v>
      </c>
      <c r="BR28" s="1783">
        <f t="shared" si="102"/>
        <v>-2.5464423655103794E-2</v>
      </c>
      <c r="BS28" s="1783">
        <f t="shared" si="102"/>
        <v>-3.0239999999999996E-2</v>
      </c>
      <c r="BT28" s="1783">
        <f t="shared" si="102"/>
        <v>-1.1473656435206148E-2</v>
      </c>
      <c r="BU28" s="1784">
        <f t="shared" si="102"/>
        <v>-2.3471090980626774E-2</v>
      </c>
      <c r="BV28" s="1789"/>
      <c r="BW28" s="1782">
        <f t="shared" ref="BW28:CA28" si="103">+BW$21-BW22</f>
        <v>-1.7220000000000006E-2</v>
      </c>
      <c r="BX28" s="1783">
        <f t="shared" si="103"/>
        <v>-1.4350000000000002E-2</v>
      </c>
      <c r="BY28" s="1783">
        <f t="shared" si="103"/>
        <v>-1.262577800553788E-2</v>
      </c>
      <c r="BZ28" s="1783">
        <f t="shared" si="103"/>
        <v>-1.2846851731642822E-3</v>
      </c>
      <c r="CA28" s="1784">
        <f t="shared" si="103"/>
        <v>-1.0761642019630993E-2</v>
      </c>
      <c r="CB28" s="1789"/>
      <c r="CC28" s="1782">
        <f t="shared" ref="CC28:CG28" si="104">+CC$21-CC22</f>
        <v>-9.5231576216824945E-3</v>
      </c>
      <c r="CD28" s="1783">
        <f t="shared" si="104"/>
        <v>2.1699110797459426E-3</v>
      </c>
      <c r="CE28" s="1783">
        <f t="shared" si="104"/>
        <v>8.3388186247397578E-4</v>
      </c>
      <c r="CF28" s="1783">
        <f t="shared" si="104"/>
        <v>-6.4250608370176876E-3</v>
      </c>
      <c r="CG28" s="1784">
        <f t="shared" si="104"/>
        <v>-3.0474412979083626E-3</v>
      </c>
      <c r="CH28" s="1789"/>
      <c r="CI28" s="1782">
        <f t="shared" ref="CI28:CM28" si="105">+CI$21-CI22</f>
        <v>0</v>
      </c>
      <c r="CJ28" s="1783">
        <f t="shared" si="105"/>
        <v>-9.9960632101858821E-3</v>
      </c>
      <c r="CK28" s="1783">
        <f t="shared" si="105"/>
        <v>-9.7732730628810327E-3</v>
      </c>
      <c r="CL28" s="1783">
        <f t="shared" si="105"/>
        <v>-1.2055966861164169E-2</v>
      </c>
      <c r="CM28" s="1784">
        <f t="shared" si="105"/>
        <v>-8.3723699502794569E-3</v>
      </c>
      <c r="CN28" s="1789"/>
      <c r="CO28" s="1782">
        <f t="shared" ref="CO28:CS28" si="106">+CO$21-CO22</f>
        <v>-1.1944453120445592E-3</v>
      </c>
      <c r="CP28" s="1783">
        <f t="shared" si="106"/>
        <v>-9.766998658815515E-4</v>
      </c>
      <c r="CQ28" s="1783">
        <f t="shared" si="106"/>
        <v>-9.2795191217826672E-4</v>
      </c>
      <c r="CR28" s="1783">
        <f t="shared" si="106"/>
        <v>-7.8017250711492903E-4</v>
      </c>
      <c r="CS28" s="1784">
        <f t="shared" si="106"/>
        <v>-9.5781319034096701E-4</v>
      </c>
      <c r="CT28" s="1789"/>
      <c r="CU28" s="1782">
        <f t="shared" ref="CU28:CY28" si="107">+CU$21-CU22</f>
        <v>-9.6823855584504681E-4</v>
      </c>
      <c r="CV28" s="1783">
        <f t="shared" si="107"/>
        <v>-8.1728661707161643E-4</v>
      </c>
      <c r="CW28" s="1783">
        <f t="shared" si="107"/>
        <v>-7.88086425170198E-4</v>
      </c>
      <c r="CX28" s="1783">
        <f t="shared" si="107"/>
        <v>-6.4503139724041147E-4</v>
      </c>
      <c r="CY28" s="1784">
        <f t="shared" si="107"/>
        <v>-7.9623314527405009E-4</v>
      </c>
      <c r="DD28" s="48" t="str">
        <f>+DD8</f>
        <v xml:space="preserve">Molecular Diagnostics </v>
      </c>
      <c r="DE28" s="1488">
        <f>+RevBuild!BE37</f>
        <v>8.2340425531914896E-2</v>
      </c>
      <c r="DF28" s="1488">
        <f>+RevBuild!BF37</f>
        <v>0.04</v>
      </c>
      <c r="DG28" s="1488">
        <f>+RevBuild!BG37</f>
        <v>9.7568772060878495E-2</v>
      </c>
      <c r="DH28" s="1488">
        <f>+RevBuild!BH37</f>
        <v>2.7641465456847585E-2</v>
      </c>
      <c r="DI28" s="1488">
        <f>+RevBuild!BK37</f>
        <v>6.5412285556170451E-3</v>
      </c>
      <c r="DJ28" s="1488">
        <f>+RevBuild!BL37</f>
        <v>7.9274389603634837E-2</v>
      </c>
      <c r="DK28" s="1488">
        <f>+RevBuild!BM37</f>
        <v>0.06</v>
      </c>
      <c r="DL28" s="1488">
        <f>+RevBuild!BN37</f>
        <v>0.03</v>
      </c>
      <c r="DM28" s="1488">
        <f>+RevBuild!BQ37</f>
        <v>5.2997181517633564E-3</v>
      </c>
      <c r="DN28" s="1488">
        <f>+RevBuild!BR37</f>
        <v>2.192264716626393E-2</v>
      </c>
      <c r="DO28" s="1488">
        <f>+RevBuild!BS37</f>
        <v>-3.7138221785578782E-2</v>
      </c>
      <c r="DP28" s="1488">
        <f>+RevBuild!BT37</f>
        <v>-8.445322642790104E-3</v>
      </c>
      <c r="DQ28" s="1488">
        <f>+RevBuild!BW37</f>
        <v>1.5833333333333335E-2</v>
      </c>
      <c r="DR28" s="1488">
        <f>+RevBuild!BX37</f>
        <v>3.7999999999999999E-2</v>
      </c>
      <c r="DS28" s="1488">
        <f>+RevBuild!BY37</f>
        <v>8.2951612058762295E-2</v>
      </c>
      <c r="DT28" s="1488">
        <f>+RevBuild!BZ37</f>
        <v>0.10291497086639534</v>
      </c>
      <c r="DU28" s="1488">
        <f>+RevBuild!CC37</f>
        <v>2.4414262844681876E-2</v>
      </c>
      <c r="DV28" s="1488">
        <f>+RevBuild!CD37</f>
        <v>6.6468708012317232E-2</v>
      </c>
      <c r="DW28" s="1488">
        <f>+RevBuild!CE37</f>
        <v>0.09</v>
      </c>
      <c r="DX28" s="1488">
        <f>+RevBuild!CF37</f>
        <v>0.04</v>
      </c>
      <c r="DY28" s="1488">
        <f>+RevBuild!CI37</f>
        <v>8.916789416288777E-2</v>
      </c>
      <c r="DZ28" s="1488">
        <f>+RevBuild!CJ37</f>
        <v>9.7424318982131483E-2</v>
      </c>
      <c r="EA28" s="1488">
        <f>+RevBuild!CK37</f>
        <v>9.1903019417521589E-2</v>
      </c>
      <c r="EB28" s="1488">
        <f>+RevBuild!CL37</f>
        <v>6.565832080007214E-2</v>
      </c>
      <c r="EC28" s="771"/>
      <c r="EF28" s="207"/>
      <c r="EG28" s="2034"/>
      <c r="EH28" s="2034"/>
      <c r="EI28" s="2034"/>
      <c r="EJ28" s="2034"/>
      <c r="EK28" s="48"/>
      <c r="EL28" s="2034"/>
      <c r="EM28" s="2034"/>
      <c r="EN28" s="48"/>
      <c r="EO28" s="48"/>
      <c r="EP28" s="48"/>
      <c r="EQ28" s="48"/>
      <c r="ER28" s="48"/>
      <c r="ES28" s="48"/>
      <c r="ET28" s="48"/>
      <c r="EU28" s="48"/>
      <c r="EV28" s="48"/>
      <c r="EW28" s="48"/>
      <c r="EX28" s="48"/>
      <c r="EY28" s="48"/>
      <c r="EZ28" s="48"/>
      <c r="FA28" s="48"/>
      <c r="FB28" s="48"/>
      <c r="FC28" s="48"/>
      <c r="FD28" s="48"/>
      <c r="FE28" s="48"/>
      <c r="FF28" s="48"/>
      <c r="FG28" s="48"/>
      <c r="FH28" s="48"/>
      <c r="FI28" s="48"/>
      <c r="FJ28" s="48"/>
      <c r="FK28" s="48"/>
      <c r="FL28" s="48"/>
      <c r="FM28" s="48"/>
      <c r="FN28" s="48"/>
      <c r="FO28" s="48"/>
      <c r="FP28" s="48"/>
      <c r="FQ28" s="48"/>
      <c r="FR28" s="48"/>
      <c r="FS28" s="48"/>
      <c r="FT28" s="48"/>
    </row>
    <row r="29" spans="1:225" s="35" customFormat="1" x14ac:dyDescent="0.2">
      <c r="A29" s="1790" t="s">
        <v>666</v>
      </c>
      <c r="B29" s="1791"/>
      <c r="C29" s="1792"/>
      <c r="D29" s="1793"/>
      <c r="E29" s="1793"/>
      <c r="F29" s="1793"/>
      <c r="G29" s="1794"/>
      <c r="H29" s="1793"/>
      <c r="I29" s="1795"/>
      <c r="J29" s="1796"/>
      <c r="K29" s="1796"/>
      <c r="L29" s="1796"/>
      <c r="M29" s="1797"/>
      <c r="N29" s="1793"/>
      <c r="O29" s="1795"/>
      <c r="P29" s="1796"/>
      <c r="Q29" s="1796"/>
      <c r="R29" s="1796"/>
      <c r="S29" s="1797"/>
      <c r="T29" s="1793"/>
      <c r="U29" s="1795"/>
      <c r="V29" s="1796"/>
      <c r="W29" s="1796"/>
      <c r="X29" s="1796"/>
      <c r="Y29" s="1797"/>
      <c r="Z29" s="1793"/>
      <c r="AA29" s="1795"/>
      <c r="AB29" s="1796"/>
      <c r="AC29" s="1796"/>
      <c r="AD29" s="1796"/>
      <c r="AE29" s="1797"/>
      <c r="AF29" s="1793"/>
      <c r="AG29" s="1795"/>
      <c r="AH29" s="1796"/>
      <c r="AI29" s="1796"/>
      <c r="AJ29" s="1796"/>
      <c r="AK29" s="1797"/>
      <c r="AL29" s="1793"/>
      <c r="AM29" s="1792"/>
      <c r="AN29" s="1793"/>
      <c r="AO29" s="1793"/>
      <c r="AP29" s="1793"/>
      <c r="AQ29" s="1794"/>
      <c r="AR29" s="1798"/>
      <c r="AS29" s="1792"/>
      <c r="AT29" s="1793"/>
      <c r="AU29" s="1793"/>
      <c r="AV29" s="1793"/>
      <c r="AW29" s="1794"/>
      <c r="AX29" s="1793"/>
      <c r="AY29" s="1792"/>
      <c r="AZ29" s="1793"/>
      <c r="BA29" s="1793"/>
      <c r="BB29" s="1793"/>
      <c r="BC29" s="1794"/>
      <c r="BD29" s="1799"/>
      <c r="BE29" s="1792">
        <f>+BE$21-BE23</f>
        <v>1.6699165379087923E-2</v>
      </c>
      <c r="BF29" s="1793">
        <f t="shared" ref="BF29:BI29" si="108">+BF$21-BF23</f>
        <v>1.8260945988613764E-2</v>
      </c>
      <c r="BG29" s="1793">
        <f t="shared" si="108"/>
        <v>1.7532391294919757E-2</v>
      </c>
      <c r="BH29" s="1793">
        <f t="shared" si="108"/>
        <v>1.7260717873359237E-2</v>
      </c>
      <c r="BI29" s="1794">
        <f t="shared" si="108"/>
        <v>1.7642456831594169E-2</v>
      </c>
      <c r="BJ29" s="1799"/>
      <c r="BK29" s="1792">
        <f t="shared" ref="BK29:BO29" si="109">+BK$21-BK23</f>
        <v>1.6929757268914422E-2</v>
      </c>
      <c r="BL29" s="1793">
        <f t="shared" si="109"/>
        <v>7.4342375943809271E-3</v>
      </c>
      <c r="BM29" s="1793">
        <f t="shared" si="109"/>
        <v>1.1480111243419466E-2</v>
      </c>
      <c r="BN29" s="1793">
        <f t="shared" si="109"/>
        <v>6.3325966930306878E-3</v>
      </c>
      <c r="BO29" s="1794">
        <f t="shared" si="109"/>
        <v>1.0170322879977723E-2</v>
      </c>
      <c r="BP29" s="1799"/>
      <c r="BQ29" s="1792">
        <f t="shared" ref="BQ29:BT29" si="110">+BQ$21-BQ23</f>
        <v>9.382684646949125E-3</v>
      </c>
      <c r="BR29" s="1793">
        <f t="shared" si="110"/>
        <v>9.3193833177033399E-3</v>
      </c>
      <c r="BS29" s="1793">
        <f t="shared" si="110"/>
        <v>2.0503802788560295E-2</v>
      </c>
      <c r="BT29" s="1793">
        <f t="shared" si="110"/>
        <v>1.5259745952478346E-2</v>
      </c>
      <c r="BU29" s="1794">
        <f>+BU$21-BU23</f>
        <v>1.3720845013592116E-2</v>
      </c>
      <c r="BV29" s="1799"/>
      <c r="BW29" s="1792">
        <f>+BW$21-BW23</f>
        <v>1.7465015828761515E-2</v>
      </c>
      <c r="BX29" s="1793">
        <f t="shared" ref="BX29:BY29" si="111">+BX$21-BX23</f>
        <v>2.2470219707686021E-2</v>
      </c>
      <c r="BY29" s="1793">
        <f t="shared" si="111"/>
        <v>2.9958435369460884E-2</v>
      </c>
      <c r="BZ29" s="1793">
        <f>+BZ$21-BZ23</f>
        <v>2.9228969543137355E-2</v>
      </c>
      <c r="CA29" s="1794">
        <f>+CA$21-CA23</f>
        <v>2.5012981539246276E-2</v>
      </c>
      <c r="CB29" s="1799"/>
      <c r="CC29" s="1792">
        <f t="shared" ref="CC29:CG29" si="112">+CC$21-CC23</f>
        <v>1.7438252327938976E-2</v>
      </c>
      <c r="CD29" s="1793">
        <f t="shared" si="112"/>
        <v>3.6643523397663046E-2</v>
      </c>
      <c r="CE29" s="1793">
        <f t="shared" si="112"/>
        <v>3.5249404086227031E-2</v>
      </c>
      <c r="CF29" s="1793">
        <f t="shared" si="112"/>
        <v>2.3890705751937344E-2</v>
      </c>
      <c r="CG29" s="1794">
        <f t="shared" si="112"/>
        <v>2.8513960946661171E-2</v>
      </c>
      <c r="CH29" s="1799"/>
      <c r="CI29" s="1792">
        <f t="shared" ref="CI29:CM29" si="113">+CI$21-CI23</f>
        <v>2.0560690734474162E-2</v>
      </c>
      <c r="CJ29" s="1793">
        <f t="shared" si="113"/>
        <v>2.710882315416635E-2</v>
      </c>
      <c r="CK29" s="1793">
        <f t="shared" si="113"/>
        <v>3.836845880896405E-2</v>
      </c>
      <c r="CL29" s="1793">
        <f t="shared" si="113"/>
        <v>1.6874551247855613E-2</v>
      </c>
      <c r="CM29" s="1794">
        <f t="shared" si="113"/>
        <v>2.5695935179182963E-2</v>
      </c>
      <c r="CN29" s="1799"/>
      <c r="CO29" s="1792">
        <f t="shared" ref="CO29:CS29" si="114">+CO$21-CO23</f>
        <v>6.3291608097778396E-2</v>
      </c>
      <c r="CP29" s="1793">
        <f t="shared" si="114"/>
        <v>2.8400400793253112E-2</v>
      </c>
      <c r="CQ29" s="1793">
        <f t="shared" si="114"/>
        <v>0</v>
      </c>
      <c r="CR29" s="1793">
        <f t="shared" si="114"/>
        <v>2.5790215112616158E-2</v>
      </c>
      <c r="CS29" s="1794">
        <f t="shared" si="114"/>
        <v>2.8000127153431788E-2</v>
      </c>
      <c r="CT29" s="1799"/>
      <c r="CU29" s="1792">
        <f t="shared" ref="CU29:CX29" si="115">+CU$21-CU23</f>
        <v>2.736282673527958E-2</v>
      </c>
      <c r="CV29" s="1793">
        <f t="shared" si="115"/>
        <v>2.5349328064019905E-2</v>
      </c>
      <c r="CW29" s="1793">
        <f t="shared" si="115"/>
        <v>2.4677643452933787E-2</v>
      </c>
      <c r="CX29" s="1793">
        <f t="shared" si="115"/>
        <v>2.2744369431134337E-2</v>
      </c>
      <c r="CY29" s="1794">
        <f>+CY$21-CY23</f>
        <v>2.4912542177552274E-2</v>
      </c>
      <c r="DD29" s="1441" t="s">
        <v>601</v>
      </c>
      <c r="DE29" s="1490">
        <f>+RevBuild!BE38</f>
        <v>9.8855219318179338E-2</v>
      </c>
      <c r="DF29" s="1490">
        <f>+RevBuild!BF38</f>
        <v>0.10269798491012569</v>
      </c>
      <c r="DG29" s="1490">
        <f>+RevBuild!BG38</f>
        <v>0.13577084222248559</v>
      </c>
      <c r="DH29" s="1490">
        <f>+RevBuild!BH38</f>
        <v>7.7939161533978812E-2</v>
      </c>
      <c r="DI29" s="1490">
        <f>+RevBuild!BK38</f>
        <v>7.5121228555617051E-2</v>
      </c>
      <c r="DJ29" s="1490">
        <f>+RevBuild!BL38</f>
        <v>0.14253969572608383</v>
      </c>
      <c r="DK29" s="1490">
        <f>+RevBuild!BM38</f>
        <v>0.1592156862745098</v>
      </c>
      <c r="DL29" s="1490">
        <f>+RevBuild!BN38</f>
        <v>0.12587545346365031</v>
      </c>
      <c r="DM29" s="1490">
        <f>+RevBuild!BQ38</f>
        <v>9.7754869276483955E-2</v>
      </c>
      <c r="DN29" s="1490">
        <f>+RevBuild!BR38</f>
        <v>7.1852889627251754E-2</v>
      </c>
      <c r="DO29" s="1490">
        <f>+RevBuild!BS38</f>
        <v>2.1015624368267372E-2</v>
      </c>
      <c r="DP29" s="1490">
        <f>+RevBuild!BT38</f>
        <v>1.4052042916437638E-2</v>
      </c>
      <c r="DQ29" s="1490">
        <f>+RevBuild!BW38</f>
        <v>5.1708333333333342E-2</v>
      </c>
      <c r="DR29" s="1490">
        <f>+RevBuild!BX38</f>
        <v>6.6700000000000009E-2</v>
      </c>
      <c r="DS29" s="1490">
        <f>+RevBuild!BY38</f>
        <v>0.1087185059476151</v>
      </c>
      <c r="DT29" s="1490">
        <f>+RevBuild!BZ38</f>
        <v>0.1055367773422408</v>
      </c>
      <c r="DU29" s="1490">
        <f>+RevBuild!CC38</f>
        <v>4.4254174556520399E-2</v>
      </c>
      <c r="DV29" s="1490">
        <f>+RevBuild!CD38</f>
        <v>6.2092135335694389E-2</v>
      </c>
      <c r="DW29" s="1490">
        <f>+RevBuild!CE38</f>
        <v>8.8332236275052031E-2</v>
      </c>
      <c r="DX29" s="1490">
        <f>+RevBuild!CF38</f>
        <v>5.285012167403539E-2</v>
      </c>
      <c r="DY29" s="1490">
        <f>+RevBuild!CI38</f>
        <v>8.916789416288777E-2</v>
      </c>
      <c r="DZ29" s="1490">
        <f>+RevBuild!CJ38</f>
        <v>0.11824945067001874</v>
      </c>
      <c r="EA29" s="1490">
        <f>+RevBuild!CK38</f>
        <v>0.11172710270936953</v>
      </c>
      <c r="EB29" s="1490">
        <f>+RevBuild!CL38</f>
        <v>9.046483697530705E-2</v>
      </c>
      <c r="EC29" s="771"/>
      <c r="ED29" s="2"/>
      <c r="EE29" s="2"/>
      <c r="EF29" s="207"/>
      <c r="EG29" s="48"/>
      <c r="EH29" s="48"/>
      <c r="EI29" s="2041"/>
      <c r="EJ29" s="2041"/>
      <c r="EK29" s="2047"/>
      <c r="EL29" s="2041"/>
      <c r="EM29" s="2041"/>
      <c r="EN29" s="48"/>
      <c r="EO29" s="48"/>
      <c r="EP29" s="2047"/>
      <c r="EQ29" s="48"/>
      <c r="ER29" s="48"/>
      <c r="ES29" s="48"/>
      <c r="ET29" s="48"/>
      <c r="EU29" s="48"/>
      <c r="EV29" s="48"/>
      <c r="EW29" s="48"/>
      <c r="EX29" s="48"/>
      <c r="EY29" s="48"/>
      <c r="EZ29" s="48"/>
      <c r="FA29" s="48"/>
      <c r="FB29" s="48"/>
      <c r="FC29" s="48"/>
      <c r="FD29" s="48"/>
      <c r="FE29" s="48"/>
      <c r="FF29" s="48"/>
      <c r="FG29" s="48"/>
      <c r="FH29" s="48"/>
      <c r="FI29" s="48"/>
      <c r="FJ29" s="48"/>
      <c r="FK29" s="48"/>
      <c r="FL29" s="48"/>
      <c r="FM29" s="48"/>
      <c r="FN29" s="48"/>
      <c r="FO29" s="48"/>
      <c r="FP29" s="48"/>
      <c r="FQ29" s="48"/>
      <c r="FR29" s="48"/>
      <c r="FS29" s="48"/>
      <c r="FT29" s="48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</row>
    <row r="30" spans="1:225" s="35" customFormat="1" x14ac:dyDescent="0.2">
      <c r="A30" s="1800" t="s">
        <v>667</v>
      </c>
      <c r="B30" s="1791"/>
      <c r="C30" s="1792"/>
      <c r="D30" s="1793"/>
      <c r="E30" s="1793"/>
      <c r="F30" s="1793"/>
      <c r="G30" s="1794"/>
      <c r="H30" s="1793"/>
      <c r="I30" s="1795"/>
      <c r="J30" s="1796"/>
      <c r="K30" s="1796"/>
      <c r="L30" s="1796"/>
      <c r="M30" s="1797"/>
      <c r="N30" s="1793"/>
      <c r="O30" s="1795"/>
      <c r="P30" s="1796"/>
      <c r="Q30" s="1796"/>
      <c r="R30" s="1796"/>
      <c r="S30" s="1797"/>
      <c r="T30" s="1793"/>
      <c r="U30" s="1795"/>
      <c r="V30" s="1796"/>
      <c r="W30" s="1796"/>
      <c r="X30" s="1796"/>
      <c r="Y30" s="1797"/>
      <c r="Z30" s="1793"/>
      <c r="AA30" s="1795"/>
      <c r="AB30" s="1796"/>
      <c r="AC30" s="1796"/>
      <c r="AD30" s="1796"/>
      <c r="AE30" s="1797"/>
      <c r="AF30" s="1793"/>
      <c r="AG30" s="1795"/>
      <c r="AH30" s="1796"/>
      <c r="AI30" s="1796"/>
      <c r="AJ30" s="1796"/>
      <c r="AK30" s="1797"/>
      <c r="AL30" s="1793"/>
      <c r="AM30" s="1792"/>
      <c r="AN30" s="1793"/>
      <c r="AO30" s="1793"/>
      <c r="AP30" s="1793"/>
      <c r="AQ30" s="1794"/>
      <c r="AR30" s="1798"/>
      <c r="AS30" s="1792"/>
      <c r="AT30" s="1793"/>
      <c r="AU30" s="1793"/>
      <c r="AV30" s="1793"/>
      <c r="AW30" s="1794"/>
      <c r="AX30" s="1793"/>
      <c r="AY30" s="1792"/>
      <c r="AZ30" s="1793"/>
      <c r="BA30" s="1793"/>
      <c r="BB30" s="1793"/>
      <c r="BC30" s="1794"/>
      <c r="BD30" s="1799"/>
      <c r="BE30" s="1792">
        <f>+BE$21-BE24</f>
        <v>0</v>
      </c>
      <c r="BF30" s="1793">
        <f t="shared" ref="BF30:BI30" si="116">+BF$21-BF24</f>
        <v>0</v>
      </c>
      <c r="BG30" s="1793">
        <f t="shared" si="116"/>
        <v>0</v>
      </c>
      <c r="BH30" s="1793">
        <f t="shared" si="116"/>
        <v>0</v>
      </c>
      <c r="BI30" s="1794">
        <f t="shared" si="116"/>
        <v>0</v>
      </c>
      <c r="BJ30" s="1799"/>
      <c r="BK30" s="1792">
        <f t="shared" ref="BK30:BO30" si="117">+BK$21-BK24</f>
        <v>0</v>
      </c>
      <c r="BL30" s="1793">
        <f t="shared" si="117"/>
        <v>0</v>
      </c>
      <c r="BM30" s="1793">
        <f t="shared" si="117"/>
        <v>0</v>
      </c>
      <c r="BN30" s="1793">
        <f t="shared" si="117"/>
        <v>0</v>
      </c>
      <c r="BO30" s="1794">
        <f t="shared" si="117"/>
        <v>0</v>
      </c>
      <c r="BP30" s="1799"/>
      <c r="BQ30" s="1792">
        <f t="shared" ref="BQ30:BU30" si="118">+BQ$21-BQ24</f>
        <v>0</v>
      </c>
      <c r="BR30" s="1793">
        <f t="shared" si="118"/>
        <v>0</v>
      </c>
      <c r="BS30" s="1793">
        <f t="shared" si="118"/>
        <v>0</v>
      </c>
      <c r="BT30" s="1793">
        <f t="shared" si="118"/>
        <v>0</v>
      </c>
      <c r="BU30" s="1794">
        <f t="shared" si="118"/>
        <v>0</v>
      </c>
      <c r="BV30" s="1799"/>
      <c r="BW30" s="1792">
        <f t="shared" ref="BW30:BZ30" si="119">+BW$21-BW24</f>
        <v>0</v>
      </c>
      <c r="BX30" s="1793">
        <f t="shared" si="119"/>
        <v>0</v>
      </c>
      <c r="BY30" s="1793">
        <f t="shared" si="119"/>
        <v>0</v>
      </c>
      <c r="BZ30" s="1793">
        <f t="shared" si="119"/>
        <v>0</v>
      </c>
      <c r="CA30" s="1794">
        <f>+CA$21-CA24</f>
        <v>0</v>
      </c>
      <c r="CB30" s="1799"/>
      <c r="CC30" s="1792">
        <f t="shared" ref="CC30:CG30" si="120">+CC$21-CC24</f>
        <v>9.3546912893650858E-3</v>
      </c>
      <c r="CD30" s="1793">
        <f t="shared" si="120"/>
        <v>9.5802866300477435E-3</v>
      </c>
      <c r="CE30" s="1793">
        <f t="shared" si="120"/>
        <v>1.0001113720441115E-2</v>
      </c>
      <c r="CF30" s="1793">
        <f t="shared" si="120"/>
        <v>9.3951082177972101E-3</v>
      </c>
      <c r="CG30" s="1794">
        <f t="shared" si="120"/>
        <v>9.62025956606187E-3</v>
      </c>
      <c r="CH30" s="1799"/>
      <c r="CI30" s="1792">
        <f t="shared" ref="CI30:CM30" si="121">+CI$21-CI24</f>
        <v>1.0460510592258949E-2</v>
      </c>
      <c r="CJ30" s="1793">
        <f t="shared" si="121"/>
        <v>8.9545624400669543E-3</v>
      </c>
      <c r="CK30" s="1793">
        <f t="shared" si="121"/>
        <v>8.4362248621306646E-3</v>
      </c>
      <c r="CL30" s="1793">
        <f t="shared" si="121"/>
        <v>7.4567808578878958E-3</v>
      </c>
      <c r="CM30" s="1794">
        <f t="shared" si="121"/>
        <v>8.6995778097945509E-3</v>
      </c>
      <c r="CN30" s="1799"/>
      <c r="CO30" s="1792">
        <f t="shared" ref="CO30:CS30" si="122">+CO$21-CO24</f>
        <v>1.0929780690400154E-2</v>
      </c>
      <c r="CP30" s="1793">
        <f t="shared" si="122"/>
        <v>1.0209380443985075E-2</v>
      </c>
      <c r="CQ30" s="1793">
        <f t="shared" si="122"/>
        <v>1.0595702079585365E-2</v>
      </c>
      <c r="CR30" s="1793">
        <f t="shared" si="122"/>
        <v>1.0428695843033284E-2</v>
      </c>
      <c r="CS30" s="1794">
        <f t="shared" si="122"/>
        <v>1.052662563781967E-2</v>
      </c>
      <c r="CT30" s="1799"/>
      <c r="CU30" s="1792">
        <f t="shared" ref="CU30:CY30" si="123">+CU$21-CU24</f>
        <v>1.289251167551983E-2</v>
      </c>
      <c r="CV30" s="1793">
        <f t="shared" si="123"/>
        <v>1.1879699168294872E-2</v>
      </c>
      <c r="CW30" s="1793">
        <f t="shared" si="123"/>
        <v>1.1997395350195547E-2</v>
      </c>
      <c r="CX30" s="1793">
        <f t="shared" si="123"/>
        <v>1.1060284928425243E-2</v>
      </c>
      <c r="CY30" s="1794">
        <f t="shared" si="123"/>
        <v>1.1910335545794959E-2</v>
      </c>
      <c r="DD30" s="48" t="s">
        <v>190</v>
      </c>
      <c r="DE30" s="1488">
        <f>+RevBuild!BE44</f>
        <v>0.05</v>
      </c>
      <c r="DF30" s="1488">
        <f>+RevBuild!BF44</f>
        <v>-0.04</v>
      </c>
      <c r="DG30" s="1488">
        <f>+RevBuild!BG44</f>
        <v>0.06</v>
      </c>
      <c r="DH30" s="1488">
        <f>+RevBuild!BH44</f>
        <v>0.17</v>
      </c>
      <c r="DI30" s="1488">
        <f>+RevBuild!BK44</f>
        <v>0.12558845231507104</v>
      </c>
      <c r="DJ30" s="1488">
        <f>+RevBuild!BL44</f>
        <v>1.7037090881508919E-2</v>
      </c>
      <c r="DK30" s="1488">
        <f>+RevBuild!BM44</f>
        <v>7.0000000000000007E-2</v>
      </c>
      <c r="DL30" s="1488">
        <f>+RevBuild!BN44</f>
        <v>0.13</v>
      </c>
      <c r="DM30" s="1488">
        <f>+RevBuild!BQ44</f>
        <v>4.1210773679550561E-2</v>
      </c>
      <c r="DN30" s="1488">
        <f>+RevBuild!BR44</f>
        <v>5.8506875684932541E-2</v>
      </c>
      <c r="DO30" s="1488">
        <f>+RevBuild!BS44</f>
        <v>1.3601558393737917E-2</v>
      </c>
      <c r="DP30" s="1488">
        <f>+RevBuild!BT44</f>
        <v>2.2143171690856077E-2</v>
      </c>
      <c r="DQ30" s="1488">
        <f>+RevBuild!BW44</f>
        <v>-8.3333333333333329E-2</v>
      </c>
      <c r="DR30" s="1488">
        <f>+RevBuild!BX44</f>
        <v>4.6000000000000006E-2</v>
      </c>
      <c r="DS30" s="1488">
        <f>+RevBuild!BY44</f>
        <v>6.2438165146558755E-2</v>
      </c>
      <c r="DT30" s="1488">
        <f>+RevBuild!BZ44</f>
        <v>4.2138928742228604E-2</v>
      </c>
      <c r="DU30" s="1488">
        <f>+RevBuild!CC44</f>
        <v>0.18486418280106842</v>
      </c>
      <c r="DV30" s="1488">
        <f>+RevBuild!CD44</f>
        <v>0.10756181850217209</v>
      </c>
      <c r="DW30" s="1488">
        <f>+RevBuild!CE44</f>
        <v>0.15</v>
      </c>
      <c r="DX30" s="1488">
        <f>+RevBuild!CF44</f>
        <v>0.09</v>
      </c>
      <c r="DY30" s="1488">
        <f>+RevBuild!CI44</f>
        <v>0.04</v>
      </c>
      <c r="DZ30" s="1488">
        <f>+RevBuild!CJ44</f>
        <v>0.1</v>
      </c>
      <c r="EA30" s="1488">
        <f>+RevBuild!CK44</f>
        <v>7.0000000000000007E-2</v>
      </c>
      <c r="EB30" s="1488">
        <f>+RevBuild!CL44</f>
        <v>0.11</v>
      </c>
      <c r="ED30" s="2"/>
      <c r="EE30" s="2"/>
      <c r="EF30" s="207"/>
      <c r="EG30" s="48"/>
      <c r="EH30" s="48"/>
      <c r="EI30" s="48"/>
      <c r="EJ30" s="48"/>
      <c r="EK30" s="48"/>
      <c r="EL30" s="48"/>
      <c r="EM30" s="48"/>
      <c r="EN30" s="48"/>
      <c r="EO30" s="48"/>
      <c r="EP30" s="48"/>
      <c r="EQ30" s="2034"/>
      <c r="ER30" s="2034"/>
      <c r="ES30" s="2034"/>
      <c r="ET30" s="2034"/>
      <c r="EU30" s="2034"/>
      <c r="EV30" s="2034"/>
      <c r="EW30" s="48"/>
      <c r="EX30" s="48"/>
      <c r="EY30" s="48"/>
      <c r="EZ30" s="48"/>
      <c r="FA30" s="48"/>
      <c r="FB30" s="48"/>
      <c r="FC30" s="48"/>
      <c r="FD30" s="48"/>
      <c r="FE30" s="48"/>
      <c r="FF30" s="48"/>
      <c r="FG30" s="48"/>
      <c r="FH30" s="48"/>
      <c r="FI30" s="48"/>
      <c r="FJ30" s="48"/>
      <c r="FK30" s="48"/>
      <c r="FL30" s="48"/>
      <c r="FM30" s="48"/>
      <c r="FN30" s="48"/>
      <c r="FO30" s="48"/>
      <c r="FP30" s="48"/>
      <c r="FQ30" s="48"/>
      <c r="FR30" s="48"/>
      <c r="FS30" s="48"/>
      <c r="FT30" s="48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</row>
    <row r="31" spans="1:225" s="35" customFormat="1" outlineLevel="1" x14ac:dyDescent="0.2">
      <c r="A31" s="1801"/>
      <c r="B31" s="1802"/>
      <c r="C31" s="1803"/>
      <c r="D31" s="1804"/>
      <c r="E31" s="1804"/>
      <c r="F31" s="1804"/>
      <c r="G31" s="1805"/>
      <c r="H31" s="1804"/>
      <c r="I31" s="1803"/>
      <c r="J31" s="1804"/>
      <c r="K31" s="1804"/>
      <c r="L31" s="1804"/>
      <c r="M31" s="1805"/>
      <c r="N31" s="1804"/>
      <c r="O31" s="1803"/>
      <c r="P31" s="1804"/>
      <c r="Q31" s="1804"/>
      <c r="R31" s="1804"/>
      <c r="S31" s="1805"/>
      <c r="T31" s="1804"/>
      <c r="U31" s="1803"/>
      <c r="V31" s="1804"/>
      <c r="W31" s="1804"/>
      <c r="X31" s="1804"/>
      <c r="Y31" s="1805"/>
      <c r="Z31" s="1804"/>
      <c r="AA31" s="1803"/>
      <c r="AB31" s="1804"/>
      <c r="AC31" s="1804"/>
      <c r="AD31" s="1804"/>
      <c r="AE31" s="1805"/>
      <c r="AF31" s="1804"/>
      <c r="AG31" s="1803"/>
      <c r="AH31" s="1804"/>
      <c r="AI31" s="1804"/>
      <c r="AJ31" s="1804"/>
      <c r="AK31" s="1805"/>
      <c r="AL31" s="1804"/>
      <c r="AM31" s="1803"/>
      <c r="AN31" s="1804"/>
      <c r="AO31" s="1804"/>
      <c r="AP31" s="1804"/>
      <c r="AQ31" s="1806"/>
      <c r="AR31" s="1807"/>
      <c r="AS31" s="1803"/>
      <c r="AT31" s="1804"/>
      <c r="AU31" s="1804"/>
      <c r="AV31" s="1804"/>
      <c r="AW31" s="1806"/>
      <c r="AX31" s="1807"/>
      <c r="AY31" s="1803"/>
      <c r="AZ31" s="1804"/>
      <c r="BA31" s="1804"/>
      <c r="BB31" s="1804"/>
      <c r="BC31" s="1806"/>
      <c r="BD31" s="1808"/>
      <c r="BE31" s="1803"/>
      <c r="BF31" s="1804"/>
      <c r="BG31" s="1804"/>
      <c r="BH31" s="1804"/>
      <c r="BI31" s="1805"/>
      <c r="BJ31" s="1808"/>
      <c r="BK31" s="1803"/>
      <c r="BL31" s="1804"/>
      <c r="BM31" s="1804"/>
      <c r="BN31" s="1809"/>
      <c r="BO31" s="1805"/>
      <c r="BP31" s="1808"/>
      <c r="BQ31" s="1803"/>
      <c r="BR31" s="1804"/>
      <c r="BS31" s="1804"/>
      <c r="BT31" s="1804"/>
      <c r="BU31" s="1805"/>
      <c r="BV31" s="1808"/>
      <c r="BW31" s="1803"/>
      <c r="BX31" s="1804"/>
      <c r="BY31" s="1804"/>
      <c r="BZ31" s="1804"/>
      <c r="CA31" s="1805"/>
      <c r="CB31" s="1808"/>
      <c r="CC31" s="1803"/>
      <c r="CD31" s="1804"/>
      <c r="CE31" s="1804"/>
      <c r="CF31" s="1804"/>
      <c r="CG31" s="1805"/>
      <c r="CH31" s="1808"/>
      <c r="CI31" s="1803"/>
      <c r="CJ31" s="1804"/>
      <c r="CK31" s="1804"/>
      <c r="CL31" s="1804"/>
      <c r="CM31" s="1805"/>
      <c r="CN31" s="1808"/>
      <c r="CO31" s="1803"/>
      <c r="CP31" s="1804"/>
      <c r="CQ31" s="1804"/>
      <c r="CR31" s="1804"/>
      <c r="CS31" s="1805"/>
      <c r="CT31" s="1808"/>
      <c r="CU31" s="1803"/>
      <c r="CV31" s="1804"/>
      <c r="CW31" s="1804"/>
      <c r="CX31" s="1804"/>
      <c r="CY31" s="1805"/>
      <c r="DD31" s="1441" t="s">
        <v>404</v>
      </c>
      <c r="DE31" s="1490">
        <f>+RevBuild!BE50</f>
        <v>-0.04</v>
      </c>
      <c r="DF31" s="1490">
        <f>+RevBuild!BF50</f>
        <v>3.4303626474140092E-2</v>
      </c>
      <c r="DG31" s="1490">
        <f>+RevBuild!BG50</f>
        <v>-2.9565084508477134E-2</v>
      </c>
      <c r="DH31" s="1490">
        <f>+RevBuild!BH50</f>
        <v>5.2713297601504061E-3</v>
      </c>
      <c r="DI31" s="1490">
        <f>+RevBuild!BK50</f>
        <v>2.3955092336387304E-2</v>
      </c>
      <c r="DJ31" s="1490">
        <f>+RevBuild!BL50</f>
        <v>-1.0370181914718784E-2</v>
      </c>
      <c r="DK31" s="1490">
        <f>+RevBuild!BM50</f>
        <v>0.04</v>
      </c>
      <c r="DL31" s="1490">
        <f>+RevBuild!BN50</f>
        <v>0.01</v>
      </c>
      <c r="DM31" s="1490">
        <f>+RevBuild!BQ50</f>
        <v>7.8782204966528664E-3</v>
      </c>
      <c r="DN31" s="1490">
        <f>+RevBuild!BR50</f>
        <v>4.8318684498918976E-2</v>
      </c>
      <c r="DO31" s="1490">
        <f>+RevBuild!BS50</f>
        <v>4.0463814060521228E-2</v>
      </c>
      <c r="DP31" s="1490">
        <f>+RevBuild!BT50</f>
        <v>3.6071585845428036E-2</v>
      </c>
      <c r="DQ31" s="1490">
        <f>+RevBuild!BW50</f>
        <v>6.0000000000000012E-2</v>
      </c>
      <c r="DR31" s="1490">
        <f>+RevBuild!BX50</f>
        <v>7.0999999999999994E-2</v>
      </c>
      <c r="DS31" s="1490">
        <f>+RevBuild!BY50</f>
        <v>2.8194348631902885E-2</v>
      </c>
      <c r="DT31" s="1490">
        <f>+RevBuild!BZ50</f>
        <v>-4.8157517178886861E-3</v>
      </c>
      <c r="DU31" s="1490">
        <f>+RevBuild!CC50</f>
        <v>2.9728365602136875E-2</v>
      </c>
      <c r="DV31" s="1490">
        <f>+RevBuild!CD50</f>
        <v>3.2584097943089779E-2</v>
      </c>
      <c r="DW31" s="1490">
        <f>+RevBuild!CE50</f>
        <v>1.1616251088769805E-2</v>
      </c>
      <c r="DX31" s="1490">
        <f>+RevBuild!CF50</f>
        <v>5.0589759097323578E-2</v>
      </c>
      <c r="DY31" s="1490">
        <f>+RevBuild!CI50</f>
        <v>0.05</v>
      </c>
      <c r="DZ31" s="1490">
        <f>+RevBuild!CJ50</f>
        <v>0.06</v>
      </c>
      <c r="EA31" s="1490">
        <f>+RevBuild!CK50</f>
        <v>0.1</v>
      </c>
      <c r="EB31" s="1490">
        <f>+RevBuild!CL50</f>
        <v>0.08</v>
      </c>
      <c r="ED31" s="48"/>
      <c r="EE31" s="48"/>
      <c r="EF31" s="207"/>
      <c r="EG31" s="48"/>
      <c r="EH31" s="48"/>
      <c r="EI31" s="48"/>
      <c r="EJ31" s="48"/>
      <c r="EK31" s="48"/>
      <c r="EL31" s="48"/>
      <c r="EM31" s="48"/>
      <c r="EN31" s="48"/>
      <c r="EO31" s="48"/>
      <c r="EP31" s="48"/>
      <c r="EQ31" s="2041"/>
      <c r="ER31" s="2041"/>
      <c r="ES31" s="2041"/>
      <c r="ET31" s="2041"/>
      <c r="EU31" s="2047"/>
      <c r="EV31" s="2041"/>
      <c r="EW31" s="2041"/>
      <c r="EX31" s="2041"/>
      <c r="EY31" s="2041"/>
      <c r="EZ31" s="2047"/>
      <c r="FA31" s="2"/>
      <c r="FB31" s="2"/>
      <c r="FC31" s="2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48"/>
      <c r="FV31" s="48"/>
      <c r="FW31" s="48"/>
      <c r="FX31" s="48"/>
      <c r="FY31" s="48"/>
      <c r="FZ31" s="48"/>
      <c r="GA31" s="48"/>
      <c r="GB31" s="48"/>
      <c r="GC31" s="48"/>
      <c r="GD31" s="48"/>
      <c r="GE31" s="48"/>
      <c r="GF31" s="48"/>
      <c r="GG31" s="48"/>
      <c r="GH31" s="48"/>
      <c r="GI31" s="48"/>
      <c r="GJ31" s="48"/>
      <c r="GK31" s="48"/>
      <c r="GL31" s="48"/>
      <c r="GM31" s="48"/>
      <c r="GN31" s="48"/>
      <c r="GO31" s="48"/>
      <c r="GP31" s="48"/>
      <c r="GQ31" s="48"/>
      <c r="GR31" s="48"/>
      <c r="GS31" s="48"/>
      <c r="GT31" s="48"/>
      <c r="GU31" s="48"/>
      <c r="GV31" s="48"/>
      <c r="GW31" s="48"/>
      <c r="GX31" s="48"/>
      <c r="GY31" s="48"/>
      <c r="GZ31" s="48"/>
      <c r="HA31" s="48"/>
      <c r="HB31" s="48"/>
      <c r="HC31" s="48"/>
      <c r="HD31" s="48"/>
      <c r="HE31" s="48"/>
      <c r="HF31" s="48"/>
      <c r="HG31" s="48"/>
      <c r="HH31" s="48"/>
      <c r="HI31" s="48"/>
      <c r="HJ31" s="48"/>
      <c r="HK31" s="48"/>
      <c r="HL31" s="48"/>
      <c r="HM31" s="48"/>
      <c r="HN31" s="48"/>
      <c r="HO31" s="48"/>
      <c r="HP31" s="48"/>
      <c r="HQ31" s="48"/>
    </row>
    <row r="32" spans="1:225" s="35" customFormat="1" outlineLevel="1" x14ac:dyDescent="0.2">
      <c r="A32" s="978" t="s">
        <v>396</v>
      </c>
      <c r="B32" s="1545"/>
      <c r="C32" s="1546"/>
      <c r="D32" s="1547"/>
      <c r="E32" s="1547"/>
      <c r="F32" s="1547"/>
      <c r="G32" s="1548"/>
      <c r="H32" s="1547"/>
      <c r="I32" s="1546"/>
      <c r="J32" s="1547"/>
      <c r="K32" s="1547"/>
      <c r="L32" s="1547"/>
      <c r="M32" s="1548"/>
      <c r="N32" s="1547"/>
      <c r="O32" s="1546"/>
      <c r="P32" s="1547"/>
      <c r="Q32" s="1547"/>
      <c r="R32" s="1547"/>
      <c r="S32" s="1548"/>
      <c r="T32" s="1547"/>
      <c r="U32" s="1549">
        <v>0.18</v>
      </c>
      <c r="V32" s="1550">
        <v>0.19</v>
      </c>
      <c r="W32" s="1550">
        <v>0.5</v>
      </c>
      <c r="X32" s="1550">
        <v>0.67</v>
      </c>
      <c r="Y32" s="1551">
        <v>0.4</v>
      </c>
      <c r="Z32" s="1547"/>
      <c r="AA32" s="1549">
        <v>0.62</v>
      </c>
      <c r="AB32" s="1550">
        <v>0.61</v>
      </c>
      <c r="AC32" s="1550">
        <v>0.31</v>
      </c>
      <c r="AD32" s="1550">
        <v>0.13</v>
      </c>
      <c r="AE32" s="1551">
        <v>0.37</v>
      </c>
      <c r="AF32" s="1547"/>
      <c r="AG32" s="1549">
        <v>7.0000000000000007E-2</v>
      </c>
      <c r="AH32" s="1550">
        <v>0.1</v>
      </c>
      <c r="AI32" s="1550">
        <v>0.13</v>
      </c>
      <c r="AJ32" s="1550">
        <v>0.22</v>
      </c>
      <c r="AK32" s="1551">
        <v>0.13</v>
      </c>
      <c r="AL32" s="1547"/>
      <c r="AM32" s="1549">
        <v>0.2</v>
      </c>
      <c r="AN32" s="1550">
        <v>0.09</v>
      </c>
      <c r="AO32" s="1550">
        <v>0.06</v>
      </c>
      <c r="AP32" s="1552">
        <v>-0.01</v>
      </c>
      <c r="AQ32" s="1553">
        <v>0.08</v>
      </c>
      <c r="AR32" s="1554"/>
      <c r="AS32" s="1549">
        <v>0</v>
      </c>
      <c r="AT32" s="1550">
        <v>7.0000000000000007E-2</v>
      </c>
      <c r="AU32" s="1550">
        <v>0.05</v>
      </c>
      <c r="AV32" s="1552">
        <v>0.17</v>
      </c>
      <c r="AW32" s="1553">
        <v>0.08</v>
      </c>
      <c r="AX32" s="1554"/>
      <c r="AY32" s="1549">
        <v>0.12</v>
      </c>
      <c r="AZ32" s="1550">
        <v>0.09</v>
      </c>
      <c r="BA32" s="1550">
        <v>0.05</v>
      </c>
      <c r="BB32" s="1552">
        <v>0.04</v>
      </c>
      <c r="BC32" s="1555">
        <v>7.0000000000000007E-2</v>
      </c>
      <c r="BD32" s="1556"/>
      <c r="BE32" s="1549">
        <v>0.02</v>
      </c>
      <c r="BF32" s="1550">
        <v>0.03</v>
      </c>
      <c r="BG32" s="1550">
        <v>0.06</v>
      </c>
      <c r="BH32" s="1550">
        <v>0.05</v>
      </c>
      <c r="BI32" s="1555">
        <v>0.04</v>
      </c>
      <c r="BJ32" s="1556"/>
      <c r="BK32" s="1557">
        <v>0.05</v>
      </c>
      <c r="BL32" s="1550">
        <v>0.05</v>
      </c>
      <c r="BM32" s="1550">
        <v>0.04</v>
      </c>
      <c r="BN32" s="1558">
        <v>0</v>
      </c>
      <c r="BO32" s="1555">
        <v>0.03</v>
      </c>
      <c r="BP32" s="1556"/>
      <c r="BQ32" s="1557">
        <v>-0.06</v>
      </c>
      <c r="BR32" s="1550">
        <v>-0.04</v>
      </c>
      <c r="BS32" s="1741">
        <f>'P&amp;L'!BS54</f>
        <v>-6.5911027833126079E-2</v>
      </c>
      <c r="BT32" s="1748">
        <f>'P&amp;L'!BT54</f>
        <v>-3.4117679665197742E-2</v>
      </c>
      <c r="BU32" s="1740">
        <f>'P&amp;L'!BU54</f>
        <v>-4.8233627524463807E-2</v>
      </c>
      <c r="BV32" s="1742"/>
      <c r="BW32" s="1749">
        <f>'P&amp;L'!BW54</f>
        <v>-1.1716304744432415E-3</v>
      </c>
      <c r="BX32" s="1738">
        <f>'P&amp;L'!BX54</f>
        <v>4.6817089051387262E-2</v>
      </c>
      <c r="BY32" s="1738">
        <f>'P&amp;L'!BY54</f>
        <v>7.6691007467550198E-2</v>
      </c>
      <c r="BZ32" s="1748">
        <f>'P&amp;L'!BZ54</f>
        <v>5.1692969870875238E-2</v>
      </c>
      <c r="CA32" s="1740">
        <f>'P&amp;L'!CA54</f>
        <v>4.4288918755648998E-2</v>
      </c>
      <c r="CB32" s="1742"/>
      <c r="CC32" s="1737">
        <f>'P&amp;L'!CC54</f>
        <v>3.3269767644505954E-2</v>
      </c>
      <c r="CD32" s="1738">
        <f>'P&amp;L'!CD54</f>
        <v>4.5434972429219123E-2</v>
      </c>
      <c r="CE32" s="1741">
        <f>'P&amp;L'!CE54</f>
        <v>7.5926007942483276E-2</v>
      </c>
      <c r="CF32" s="1748">
        <f>'P&amp;L'!CF54</f>
        <v>8.348362277123722E-2</v>
      </c>
      <c r="CG32" s="1740">
        <f>'P&amp;L'!CG54</f>
        <v>6.0862890707037653E-2</v>
      </c>
      <c r="CH32" s="1742"/>
      <c r="CI32" s="1737">
        <f>'P&amp;L'!CI54</f>
        <v>0.10992639920909131</v>
      </c>
      <c r="CJ32" s="1738">
        <f>'P&amp;L'!CJ54</f>
        <v>0.11556367311142313</v>
      </c>
      <c r="CK32" s="1741">
        <f>'P&amp;L'!CK54</f>
        <v>0.10586945092190492</v>
      </c>
      <c r="CL32" s="1748">
        <f>'P&amp;L'!CL54</f>
        <v>8.1706510528411824E-2</v>
      </c>
      <c r="CM32" s="1740">
        <f>'P&amp;L'!CM54</f>
        <v>0.10237826399264605</v>
      </c>
      <c r="CN32" s="1742"/>
      <c r="CO32" s="1737">
        <f>'P&amp;L'!CO54</f>
        <v>0.11026438097361879</v>
      </c>
      <c r="CP32" s="1738">
        <f>'P&amp;L'!CP54</f>
        <v>7.554664536537592E-2</v>
      </c>
      <c r="CQ32" s="1741">
        <f>'P&amp;L'!CQ54</f>
        <v>5.9727327215515436E-2</v>
      </c>
      <c r="CR32" s="1748">
        <f>'P&amp;L'!CR54</f>
        <v>8.8559811828410773E-2</v>
      </c>
      <c r="CS32" s="1740">
        <f>'P&amp;L'!CS54</f>
        <v>8.2637511918904005E-2</v>
      </c>
      <c r="CT32" s="1742"/>
      <c r="CU32" s="1737">
        <f>'P&amp;L'!CU54</f>
        <v>0.10716111531395711</v>
      </c>
      <c r="CV32" s="1738">
        <f>'P&amp;L'!CV54</f>
        <v>0.10068286776811153</v>
      </c>
      <c r="CW32" s="1741">
        <f>'P&amp;L'!CW54</f>
        <v>9.8252661586370804E-2</v>
      </c>
      <c r="CX32" s="1748">
        <f>'P&amp;L'!CX54</f>
        <v>9.7287285172686699E-2</v>
      </c>
      <c r="CY32" s="1740">
        <f>'P&amp;L'!CY54</f>
        <v>0.10058587035887401</v>
      </c>
      <c r="DD32" s="48" t="s">
        <v>235</v>
      </c>
      <c r="DE32" s="1488">
        <f>+RevBuild!BE56</f>
        <v>-0.04</v>
      </c>
      <c r="DF32" s="1488">
        <f>+RevBuild!BF56</f>
        <v>2.5253022061783408E-2</v>
      </c>
      <c r="DG32" s="1488">
        <f>+RevBuild!BG56</f>
        <v>-2.7155691902544399E-2</v>
      </c>
      <c r="DH32" s="1488">
        <f>+RevBuild!BH56</f>
        <v>-1.0657220187708372E-2</v>
      </c>
      <c r="DI32" s="1488">
        <f>+RevBuild!BK56</f>
        <v>6.7990376929225854E-2</v>
      </c>
      <c r="DJ32" s="1488">
        <f>+RevBuild!BL56</f>
        <v>-4.9017549491059811E-2</v>
      </c>
      <c r="DK32" s="1488">
        <f>+RevBuild!BM56</f>
        <v>0</v>
      </c>
      <c r="DL32" s="1488">
        <f>+RevBuild!BN56</f>
        <v>0.06</v>
      </c>
      <c r="DM32" s="1488">
        <f>+RevBuild!BQ56</f>
        <v>2.0403591226516853E-2</v>
      </c>
      <c r="DN32" s="1488">
        <f>+RevBuild!BR56</f>
        <v>5.1275227521793657E-2</v>
      </c>
      <c r="DO32" s="1488">
        <f>+RevBuild!BS56</f>
        <v>4.2324403197614442E-2</v>
      </c>
      <c r="DP32" s="1488">
        <f>+RevBuild!BT56</f>
        <v>5.0422206600804764E-2</v>
      </c>
      <c r="DQ32" s="1488">
        <f>+RevBuild!BW56</f>
        <v>6.9565217391304376E-3</v>
      </c>
      <c r="DR32" s="1488">
        <f>+RevBuild!BX56</f>
        <v>3.6571428571428574E-2</v>
      </c>
      <c r="DS32" s="1488">
        <f>+RevBuild!BY56</f>
        <v>-6.4407004740515972E-4</v>
      </c>
      <c r="DT32" s="1488">
        <f>+RevBuild!BZ56</f>
        <v>-3.7923866259122946E-2</v>
      </c>
      <c r="DU32" s="1488">
        <f>+RevBuild!CC56</f>
        <v>-5.7001461665984396E-3</v>
      </c>
      <c r="DV32" s="1488">
        <f>+RevBuild!CD56</f>
        <v>7.5683175845833658E-3</v>
      </c>
      <c r="DW32" s="1488">
        <f>+RevBuild!CE56</f>
        <v>3.1602619936913282E-4</v>
      </c>
      <c r="DX32" s="1488">
        <f>+RevBuild!CF56</f>
        <v>3.2637446315604099E-2</v>
      </c>
      <c r="DY32" s="1488">
        <f>+RevBuild!CI56</f>
        <v>0.02</v>
      </c>
      <c r="DZ32" s="1488">
        <f>+RevBuild!CJ56</f>
        <v>0.01</v>
      </c>
      <c r="EA32" s="1488">
        <f>+RevBuild!CK56</f>
        <v>0.02</v>
      </c>
      <c r="EB32" s="1488">
        <f>+RevBuild!CL56</f>
        <v>-0.02</v>
      </c>
      <c r="ED32" s="48"/>
      <c r="EE32" s="48"/>
      <c r="EF32" s="207"/>
      <c r="EG32" s="48"/>
      <c r="EH32" s="48"/>
      <c r="EI32" s="48"/>
      <c r="EJ32" s="48"/>
      <c r="EK32" s="48"/>
      <c r="EL32" s="48"/>
      <c r="EM32" s="48"/>
      <c r="EN32" s="48"/>
      <c r="EO32" s="48"/>
      <c r="EP32" s="48"/>
      <c r="EQ32" s="48"/>
      <c r="ER32" s="48"/>
      <c r="ES32" s="48"/>
      <c r="ET32" s="48"/>
      <c r="EU32" s="48"/>
      <c r="EV32" s="2034"/>
      <c r="EW32" s="2034"/>
      <c r="EX32" s="2034"/>
      <c r="EY32" s="2034"/>
      <c r="EZ32" s="48"/>
      <c r="FA32" s="48"/>
      <c r="FB32" s="48"/>
      <c r="FC32" s="48"/>
      <c r="FD32" s="48"/>
      <c r="FE32" s="48"/>
      <c r="FF32" s="48"/>
      <c r="FG32" s="48"/>
      <c r="FH32" s="48"/>
      <c r="FI32" s="48"/>
      <c r="FJ32" s="48"/>
      <c r="FK32" s="48"/>
      <c r="FL32" s="48"/>
      <c r="FM32" s="48"/>
      <c r="FN32" s="48"/>
      <c r="FO32" s="48"/>
      <c r="FP32" s="48"/>
      <c r="FQ32" s="48"/>
      <c r="FR32" s="48"/>
      <c r="FS32" s="48"/>
      <c r="FT32" s="48"/>
      <c r="FU32" s="48"/>
      <c r="FV32" s="48"/>
      <c r="FW32" s="48"/>
      <c r="FX32" s="48"/>
      <c r="FY32" s="48"/>
      <c r="FZ32" s="48"/>
      <c r="GA32" s="48"/>
      <c r="GB32" s="48"/>
      <c r="GC32" s="48"/>
      <c r="GD32" s="48"/>
      <c r="GE32" s="48"/>
      <c r="GF32" s="48"/>
      <c r="GG32" s="48"/>
      <c r="GH32" s="48"/>
      <c r="GI32" s="48"/>
      <c r="GJ32" s="48"/>
      <c r="GK32" s="48"/>
      <c r="GL32" s="48"/>
      <c r="GM32" s="48"/>
      <c r="GN32" s="48"/>
      <c r="GO32" s="48"/>
      <c r="GP32" s="48"/>
      <c r="GQ32" s="48"/>
      <c r="GR32" s="48"/>
      <c r="GS32" s="48"/>
      <c r="GT32" s="48"/>
      <c r="GU32" s="48"/>
      <c r="GV32" s="48"/>
      <c r="GW32" s="48"/>
      <c r="GX32" s="48"/>
      <c r="GY32" s="48"/>
      <c r="GZ32" s="48"/>
      <c r="HA32" s="48"/>
      <c r="HB32" s="48"/>
      <c r="HC32" s="48"/>
      <c r="HD32" s="48"/>
      <c r="HE32" s="48"/>
      <c r="HF32" s="48"/>
      <c r="HG32" s="48"/>
      <c r="HH32" s="48"/>
      <c r="HI32" s="48"/>
      <c r="HJ32" s="48"/>
      <c r="HK32" s="48"/>
      <c r="HL32" s="48"/>
      <c r="HM32" s="48"/>
      <c r="HN32" s="48"/>
      <c r="HO32" s="48"/>
      <c r="HP32" s="48"/>
      <c r="HQ32" s="48"/>
    </row>
    <row r="33" spans="1:225" s="35" customFormat="1" outlineLevel="1" x14ac:dyDescent="0.2">
      <c r="A33" s="58" t="s">
        <v>398</v>
      </c>
      <c r="B33" s="1519"/>
      <c r="C33" s="1524"/>
      <c r="D33" s="1525"/>
      <c r="E33" s="1525"/>
      <c r="F33" s="1525"/>
      <c r="G33" s="1526"/>
      <c r="H33" s="1525"/>
      <c r="I33" s="1524"/>
      <c r="J33" s="1525"/>
      <c r="K33" s="1525"/>
      <c r="L33" s="1525"/>
      <c r="M33" s="1526"/>
      <c r="N33" s="1525"/>
      <c r="O33" s="1524"/>
      <c r="P33" s="1525"/>
      <c r="Q33" s="1525"/>
      <c r="R33" s="1525"/>
      <c r="S33" s="1526"/>
      <c r="T33" s="1525"/>
      <c r="U33" s="1527">
        <v>0.05</v>
      </c>
      <c r="V33" s="1504">
        <v>0.04</v>
      </c>
      <c r="W33" s="1504">
        <v>0.05</v>
      </c>
      <c r="X33" s="1504">
        <v>0.05</v>
      </c>
      <c r="Y33" s="1505">
        <v>0.06</v>
      </c>
      <c r="Z33" s="1525"/>
      <c r="AA33" s="1527">
        <v>0.09</v>
      </c>
      <c r="AB33" s="1504">
        <v>0.09</v>
      </c>
      <c r="AC33" s="1504">
        <v>0.04</v>
      </c>
      <c r="AD33" s="1525">
        <v>-0.01</v>
      </c>
      <c r="AE33" s="1505">
        <v>0.02</v>
      </c>
      <c r="AF33" s="1525"/>
      <c r="AG33" s="1527">
        <v>-0.09</v>
      </c>
      <c r="AH33" s="1504">
        <v>-0.09</v>
      </c>
      <c r="AI33" s="1504">
        <v>-0.03</v>
      </c>
      <c r="AJ33" s="1504">
        <v>7.0000000000000007E-2</v>
      </c>
      <c r="AK33" s="1505">
        <v>-0.03</v>
      </c>
      <c r="AL33" s="1525"/>
      <c r="AM33" s="1527">
        <v>0.06</v>
      </c>
      <c r="AN33" s="1504">
        <v>-0.02</v>
      </c>
      <c r="AO33" s="1504">
        <v>-0.01</v>
      </c>
      <c r="AP33" s="1525">
        <f>+AP21+AP32</f>
        <v>-0.04</v>
      </c>
      <c r="AQ33" s="1528">
        <v>0</v>
      </c>
      <c r="AR33" s="1097"/>
      <c r="AS33" s="1527">
        <v>0.02</v>
      </c>
      <c r="AT33" s="1504">
        <v>0.06</v>
      </c>
      <c r="AU33" s="1504">
        <v>0.04</v>
      </c>
      <c r="AV33" s="1504">
        <v>0</v>
      </c>
      <c r="AW33" s="1528">
        <v>0.04</v>
      </c>
      <c r="AX33" s="1097"/>
      <c r="AY33" s="1527">
        <v>-0.01</v>
      </c>
      <c r="AZ33" s="1504">
        <v>-0.05</v>
      </c>
      <c r="BA33" s="1504">
        <v>-0.05</v>
      </c>
      <c r="BB33" s="1504">
        <v>0</v>
      </c>
      <c r="BC33" s="1528">
        <v>-0.03</v>
      </c>
      <c r="BD33" s="1519"/>
      <c r="BE33" s="764">
        <v>-0.01</v>
      </c>
      <c r="BF33" s="1504">
        <v>0</v>
      </c>
      <c r="BG33" s="1504">
        <v>-0.01</v>
      </c>
      <c r="BH33" s="1504">
        <v>0</v>
      </c>
      <c r="BI33" s="1528">
        <v>-0.01</v>
      </c>
      <c r="BJ33" s="1519"/>
      <c r="BK33" s="764">
        <v>0</v>
      </c>
      <c r="BL33" s="1504">
        <v>0.01</v>
      </c>
      <c r="BM33" s="1504">
        <v>0</v>
      </c>
      <c r="BN33" s="1504">
        <v>-4.2999999999999997E-2</v>
      </c>
      <c r="BO33" s="1528">
        <v>-0.01</v>
      </c>
      <c r="BP33" s="1519"/>
      <c r="BQ33" s="764">
        <v>-0.08</v>
      </c>
      <c r="BR33" s="1504">
        <v>-8.8999999999999996E-2</v>
      </c>
      <c r="BS33" s="1504">
        <v>-8.8999999999999996E-2</v>
      </c>
      <c r="BT33" s="1559">
        <v>-6.3E-2</v>
      </c>
      <c r="BU33" s="1098">
        <f>AVERAGE(BQ33:BT33)</f>
        <v>-8.0250000000000002E-2</v>
      </c>
      <c r="BV33" s="1519"/>
      <c r="BW33" s="1673">
        <f>+RevBuild!BW59</f>
        <v>-2.0171630474443241E-2</v>
      </c>
      <c r="BX33" s="1672">
        <f>+RevBuild!BX59</f>
        <v>-1.5182910948612738E-2</v>
      </c>
      <c r="BY33" s="1672">
        <f>+RevBuild!BY59</f>
        <v>-8.3089925324498076E-3</v>
      </c>
      <c r="BZ33" s="1744">
        <f>+RevBuild!BZ59</f>
        <v>-3.0307030129124765E-2</v>
      </c>
      <c r="CA33" s="1744">
        <f>+RevBuild!CA59</f>
        <v>-1.8711081244351224E-2</v>
      </c>
      <c r="CB33" s="1519"/>
      <c r="CC33" s="1673">
        <f>+RevBuild!CC59</f>
        <v>-2.1730232355494046E-2</v>
      </c>
      <c r="CD33" s="1672">
        <f>+RevBuild!CD59</f>
        <v>-2.2565027570780882E-2</v>
      </c>
      <c r="CE33" s="1672">
        <f>+RevBuild!CE59</f>
        <v>5.926007942483269E-3</v>
      </c>
      <c r="CF33" s="1750">
        <f>+RevBuild!CF59</f>
        <v>2.3483622771237223E-2</v>
      </c>
      <c r="CG33" s="1674">
        <f>+RevBuild!CG59</f>
        <v>-3.7214073031386092E-3</v>
      </c>
      <c r="CH33" s="1746"/>
      <c r="CI33" s="1673">
        <f>+RevBuild!CI59</f>
        <v>0.05</v>
      </c>
      <c r="CJ33" s="1672">
        <f>+RevBuild!CJ59</f>
        <v>4.4999999999999998E-2</v>
      </c>
      <c r="CK33" s="1672">
        <f>+RevBuild!CK59</f>
        <v>2.5000000000000001E-2</v>
      </c>
      <c r="CL33" s="1744">
        <f>+RevBuild!CL59</f>
        <v>0.02</v>
      </c>
      <c r="CM33" s="1674">
        <f>+RevBuild!CM59</f>
        <v>3.4999999999999996E-2</v>
      </c>
      <c r="CN33" s="1746"/>
      <c r="CO33" s="1673">
        <f>+RevBuild!CO59</f>
        <v>0</v>
      </c>
      <c r="CP33" s="1672">
        <f>+RevBuild!CP59</f>
        <v>0</v>
      </c>
      <c r="CQ33" s="1672">
        <f>+RevBuild!CQ59</f>
        <v>0</v>
      </c>
      <c r="CR33" s="1744">
        <f>+RevBuild!CR59</f>
        <v>0</v>
      </c>
      <c r="CS33" s="1674">
        <f>+RevBuild!CS59</f>
        <v>0</v>
      </c>
      <c r="CT33" s="1746"/>
      <c r="CU33" s="1673">
        <f>+RevBuild!CU59</f>
        <v>0</v>
      </c>
      <c r="CV33" s="1672">
        <f>+RevBuild!CV59</f>
        <v>0</v>
      </c>
      <c r="CW33" s="1672">
        <f>+RevBuild!CW59</f>
        <v>0</v>
      </c>
      <c r="CX33" s="1744">
        <f>+RevBuild!CX59</f>
        <v>0</v>
      </c>
      <c r="CY33" s="1674">
        <f>+RevBuild!CY59</f>
        <v>0</v>
      </c>
      <c r="DD33" s="1443" t="str">
        <f>+DD12</f>
        <v xml:space="preserve">Qiagen </v>
      </c>
      <c r="DE33" s="1492">
        <f>+RevBuild!BE62</f>
        <v>1.9999999999999997E-2</v>
      </c>
      <c r="DF33" s="1492">
        <f>+RevBuild!BF62</f>
        <v>9.9999999999999985E-3</v>
      </c>
      <c r="DG33" s="1492">
        <f>+RevBuild!BG62</f>
        <v>3.4999999999999989E-2</v>
      </c>
      <c r="DH33" s="1492">
        <f>+RevBuild!BH62</f>
        <v>2.0000000000000004E-2</v>
      </c>
      <c r="DI33" s="1492">
        <f>+RevBuild!BK62</f>
        <v>2.0000000000000004E-2</v>
      </c>
      <c r="DJ33" s="1492">
        <f>+RevBuild!BL62</f>
        <v>1.3333333333333336E-2</v>
      </c>
      <c r="DK33" s="1492">
        <f>+RevBuild!BM62</f>
        <v>0.03</v>
      </c>
      <c r="DL33" s="1492">
        <f>+RevBuild!BN62</f>
        <v>3.2999999999999995E-2</v>
      </c>
      <c r="DM33" s="1492">
        <f>+RevBuild!BQ62</f>
        <v>0</v>
      </c>
      <c r="DN33" s="1492">
        <f>+RevBuild!BR62</f>
        <v>2.8999999999999995E-2</v>
      </c>
      <c r="DO33" s="1492">
        <f>+RevBuild!BS62</f>
        <v>8.2414708528700514E-3</v>
      </c>
      <c r="DP33" s="1492">
        <f>+RevBuild!BT62</f>
        <v>1.1653862143510448E-2</v>
      </c>
      <c r="DQ33" s="1492">
        <f>+RevBuild!BW62</f>
        <v>3.2432609488867836E-2</v>
      </c>
      <c r="DR33" s="1492">
        <f>+RevBuild!BX62</f>
        <v>7.8303215466292694E-2</v>
      </c>
      <c r="DS33" s="1492">
        <f>+RevBuild!BY62</f>
        <v>7.9074201824129511E-2</v>
      </c>
      <c r="DT33" s="1492">
        <f>+RevBuild!BZ62</f>
        <v>7.5977761836441893E-2</v>
      </c>
      <c r="DU33" s="1492">
        <f>+RevBuild!CC62</f>
        <v>5.164855770680913E-2</v>
      </c>
      <c r="DV33" s="1492">
        <f>+RevBuild!CD62</f>
        <v>7.4519353372486635E-2</v>
      </c>
      <c r="DW33" s="1492">
        <f>+RevBuild!CE62</f>
        <v>7.2952596070094633E-2</v>
      </c>
      <c r="DX33" s="1492">
        <f>+RevBuild!CF62</f>
        <v>6.8185203879786632E-2</v>
      </c>
      <c r="DY33" s="1492">
        <f>+RevBuild!CI62</f>
        <v>6.9656991542681956E-2</v>
      </c>
      <c r="DZ33" s="1492">
        <f>+RevBuild!CJ62</f>
        <v>7.6284398728260372E-2</v>
      </c>
      <c r="EA33" s="1492">
        <f>+RevBuild!CK62</f>
        <v>7.8262425674923586E-2</v>
      </c>
      <c r="EB33" s="1492">
        <f>+RevBuild!CL62</f>
        <v>5.5348118836374541E-2</v>
      </c>
      <c r="ED33" s="48"/>
      <c r="EE33" s="48"/>
      <c r="EF33" s="207"/>
      <c r="EG33" s="48"/>
      <c r="EH33" s="48"/>
      <c r="EI33" s="48"/>
      <c r="EJ33" s="48"/>
      <c r="EK33" s="48"/>
      <c r="EL33" s="48"/>
      <c r="EM33" s="48"/>
      <c r="EN33" s="48"/>
      <c r="EO33" s="48"/>
      <c r="EP33" s="48"/>
      <c r="EQ33" s="48"/>
      <c r="ER33" s="48"/>
      <c r="ES33" s="48"/>
      <c r="ET33" s="48"/>
      <c r="EU33" s="48"/>
      <c r="EV33" s="2041"/>
      <c r="EW33" s="2041"/>
      <c r="EX33" s="2041"/>
      <c r="EY33" s="2041"/>
      <c r="EZ33" s="2047"/>
      <c r="FA33" s="48"/>
      <c r="FB33" s="48"/>
      <c r="FC33" s="48"/>
      <c r="FD33" s="48"/>
      <c r="FE33" s="48"/>
      <c r="FF33" s="48"/>
      <c r="FG33" s="48"/>
      <c r="FH33" s="48"/>
      <c r="FI33" s="48"/>
      <c r="FJ33" s="48"/>
      <c r="FK33" s="48"/>
      <c r="FL33" s="48"/>
      <c r="FM33" s="48"/>
      <c r="FN33" s="48"/>
      <c r="FO33" s="48"/>
      <c r="FP33" s="48"/>
      <c r="FQ33" s="48"/>
      <c r="FR33" s="48"/>
      <c r="FS33" s="48"/>
      <c r="FT33" s="48"/>
      <c r="FU33" s="48"/>
      <c r="FV33" s="48"/>
      <c r="FW33" s="48"/>
      <c r="FX33" s="48"/>
      <c r="FY33" s="48"/>
      <c r="FZ33" s="48"/>
      <c r="GA33" s="48"/>
      <c r="GB33" s="48"/>
      <c r="GC33" s="48"/>
      <c r="GD33" s="48"/>
      <c r="GE33" s="48"/>
      <c r="GF33" s="48"/>
      <c r="GG33" s="48"/>
      <c r="GH33" s="48"/>
      <c r="GI33" s="48"/>
      <c r="GJ33" s="48"/>
      <c r="GK33" s="48"/>
      <c r="GL33" s="48"/>
      <c r="GM33" s="48"/>
      <c r="GN33" s="48"/>
      <c r="GO33" s="48"/>
      <c r="GP33" s="48"/>
      <c r="GQ33" s="48"/>
      <c r="GR33" s="48"/>
      <c r="GS33" s="48"/>
      <c r="GT33" s="48"/>
      <c r="GU33" s="48"/>
      <c r="GV33" s="48"/>
      <c r="GW33" s="48"/>
      <c r="GX33" s="48"/>
      <c r="GY33" s="48"/>
      <c r="GZ33" s="48"/>
      <c r="HA33" s="48"/>
      <c r="HB33" s="48"/>
      <c r="HC33" s="48"/>
      <c r="HD33" s="48"/>
      <c r="HE33" s="48"/>
      <c r="HF33" s="48"/>
      <c r="HG33" s="48"/>
      <c r="HH33" s="48"/>
      <c r="HI33" s="48"/>
      <c r="HJ33" s="48"/>
      <c r="HK33" s="48"/>
      <c r="HL33" s="48"/>
      <c r="HM33" s="48"/>
      <c r="HN33" s="48"/>
      <c r="HO33" s="48"/>
      <c r="HP33" s="48"/>
      <c r="HQ33" s="48"/>
    </row>
    <row r="34" spans="1:225" s="35" customFormat="1" outlineLevel="1" x14ac:dyDescent="0.2">
      <c r="A34" s="58" t="s">
        <v>139</v>
      </c>
      <c r="B34" s="1519"/>
      <c r="C34" s="1524"/>
      <c r="D34" s="1525"/>
      <c r="E34" s="1525"/>
      <c r="F34" s="1525"/>
      <c r="G34" s="1526"/>
      <c r="H34" s="1525"/>
      <c r="I34" s="1524"/>
      <c r="J34" s="1525"/>
      <c r="K34" s="1525"/>
      <c r="L34" s="1525"/>
      <c r="M34" s="1526"/>
      <c r="N34" s="1525"/>
      <c r="O34" s="1524"/>
      <c r="P34" s="1525"/>
      <c r="Q34" s="1525"/>
      <c r="R34" s="1525"/>
      <c r="S34" s="1526"/>
      <c r="T34" s="1525"/>
      <c r="U34" s="1527">
        <v>0.02</v>
      </c>
      <c r="V34" s="1504">
        <v>0.04</v>
      </c>
      <c r="W34" s="1504">
        <v>0.35</v>
      </c>
      <c r="X34" s="1525">
        <f>X32-X35-X33</f>
        <v>0.49000000000000005</v>
      </c>
      <c r="Y34" s="1505">
        <v>0.22</v>
      </c>
      <c r="Z34" s="1525"/>
      <c r="AA34" s="1527">
        <v>0.43</v>
      </c>
      <c r="AB34" s="1504">
        <v>0.41</v>
      </c>
      <c r="AC34" s="1504">
        <v>0.13</v>
      </c>
      <c r="AD34" s="1525">
        <v>0</v>
      </c>
      <c r="AE34" s="1505">
        <v>0.22</v>
      </c>
      <c r="AF34" s="1525"/>
      <c r="AG34" s="1527">
        <v>0.05</v>
      </c>
      <c r="AH34" s="1504">
        <v>0.06</v>
      </c>
      <c r="AI34" s="1504">
        <f>3%-2%</f>
        <v>9.9999999999999985E-3</v>
      </c>
      <c r="AJ34" s="1504">
        <v>0.02</v>
      </c>
      <c r="AK34" s="1505">
        <f>4%-1%</f>
        <v>0.03</v>
      </c>
      <c r="AL34" s="1525"/>
      <c r="AM34" s="1527">
        <f>5%-2%</f>
        <v>3.0000000000000002E-2</v>
      </c>
      <c r="AN34" s="1504">
        <f>6.7%-1.4%</f>
        <v>5.3000000000000005E-2</v>
      </c>
      <c r="AO34" s="1504">
        <v>0.04</v>
      </c>
      <c r="AP34" s="1504">
        <v>0.03</v>
      </c>
      <c r="AQ34" s="1873">
        <v>0.04</v>
      </c>
      <c r="AR34" s="1097"/>
      <c r="AS34" s="1527">
        <v>0</v>
      </c>
      <c r="AT34" s="1504">
        <v>0</v>
      </c>
      <c r="AU34" s="1504">
        <v>0.04</v>
      </c>
      <c r="AV34" s="1504">
        <v>0.06</v>
      </c>
      <c r="AW34" s="1528">
        <v>0.02</v>
      </c>
      <c r="AX34" s="1097"/>
      <c r="AY34" s="1527">
        <v>7.0000000000000007E-2</v>
      </c>
      <c r="AZ34" s="1504">
        <v>0.09</v>
      </c>
      <c r="BA34" s="1504">
        <v>0.06</v>
      </c>
      <c r="BB34" s="1504">
        <v>0.02</v>
      </c>
      <c r="BC34" s="1098">
        <f>AVERAGE(AY34:BB34)</f>
        <v>0.06</v>
      </c>
      <c r="BD34" s="1519"/>
      <c r="BE34" s="764">
        <v>0.01</v>
      </c>
      <c r="BF34" s="1504">
        <v>0.02</v>
      </c>
      <c r="BG34" s="1504">
        <v>3.5000000000000003E-2</v>
      </c>
      <c r="BH34" s="1504">
        <v>0.03</v>
      </c>
      <c r="BI34" s="1098">
        <f>AVERAGE(BE34:BH34)</f>
        <v>2.375E-2</v>
      </c>
      <c r="BJ34" s="1519"/>
      <c r="BK34" s="764">
        <v>0.03</v>
      </c>
      <c r="BL34" s="765">
        <f>BL33*(2/3)</f>
        <v>6.6666666666666662E-3</v>
      </c>
      <c r="BM34" s="765">
        <v>0.01</v>
      </c>
      <c r="BN34" s="1504">
        <v>0.01</v>
      </c>
      <c r="BO34" s="1505">
        <v>0.02</v>
      </c>
      <c r="BP34" s="1503"/>
      <c r="BQ34" s="764">
        <v>0.02</v>
      </c>
      <c r="BR34" s="765">
        <v>0.02</v>
      </c>
      <c r="BS34" s="1672">
        <f>+RevBuild!BS61</f>
        <v>1.4847501314003865E-2</v>
      </c>
      <c r="BT34" s="1672">
        <f>+RevBuild!BT61</f>
        <v>1.7228458191291811E-2</v>
      </c>
      <c r="BU34" s="1747">
        <f>+RevBuild!BU61</f>
        <v>1.4558317640250869E-2</v>
      </c>
      <c r="BV34" s="1746"/>
      <c r="BW34" s="1673">
        <f>+RevBuild!BW61</f>
        <v>-1.3432609488867838E-2</v>
      </c>
      <c r="BX34" s="1672">
        <f>+RevBuild!BX61</f>
        <v>-1.6303215466292698E-2</v>
      </c>
      <c r="BY34" s="1672">
        <f>+RevBuild!BY61</f>
        <v>5.925798175870493E-3</v>
      </c>
      <c r="BZ34" s="1672">
        <f>+RevBuild!BZ61</f>
        <v>6.0222381635581081E-3</v>
      </c>
      <c r="CA34" s="1747">
        <f>+RevBuild!CA61</f>
        <v>-4.0464578034909385E-3</v>
      </c>
      <c r="CB34" s="1746"/>
      <c r="CC34" s="1673">
        <f>+RevBuild!CC61</f>
        <v>3.3514422931908714E-3</v>
      </c>
      <c r="CD34" s="1672">
        <f>+RevBuild!CD61</f>
        <v>-6.5193533724866373E-3</v>
      </c>
      <c r="CE34" s="1672">
        <f>+RevBuild!CE61</f>
        <v>-2.9525960700946302E-3</v>
      </c>
      <c r="CF34" s="1672">
        <f>+RevBuild!CF61</f>
        <v>-8.1852038797866396E-3</v>
      </c>
      <c r="CG34" s="1747">
        <f>+RevBuild!CG61</f>
        <v>-3.8715880749571568E-3</v>
      </c>
      <c r="CH34" s="1746"/>
      <c r="CI34" s="1673">
        <f>+RevBuild!CI61</f>
        <v>-9.7305923335906513E-3</v>
      </c>
      <c r="CJ34" s="1672">
        <f>+RevBuild!CJ61</f>
        <v>-5.7207256168372396E-3</v>
      </c>
      <c r="CK34" s="1672">
        <f>+RevBuild!CK61</f>
        <v>2.6070252469813397E-3</v>
      </c>
      <c r="CL34" s="1672">
        <f>+RevBuild!CL61</f>
        <v>6.3583916920372787E-3</v>
      </c>
      <c r="CM34" s="1747">
        <f>+RevBuild!CM61</f>
        <v>-1.0743787096887825E-3</v>
      </c>
      <c r="CN34" s="1746"/>
      <c r="CO34" s="1673">
        <f>+RevBuild!CO61</f>
        <v>1.0242638957423427E-2</v>
      </c>
      <c r="CP34" s="1672">
        <f>+RevBuild!CP61</f>
        <v>1.7704776220476528E-2</v>
      </c>
      <c r="CQ34" s="1672">
        <f>+RevBuild!CQ61</f>
        <v>0</v>
      </c>
      <c r="CR34" s="1672">
        <f>+RevBuild!CR61</f>
        <v>0</v>
      </c>
      <c r="CS34" s="1747">
        <f>+RevBuild!CS61</f>
        <v>6.6528485644241709E-3</v>
      </c>
      <c r="CT34" s="1746"/>
      <c r="CU34" s="1673">
        <f>+RevBuild!CU61</f>
        <v>0</v>
      </c>
      <c r="CV34" s="1672">
        <f>+RevBuild!CV61</f>
        <v>0</v>
      </c>
      <c r="CW34" s="1672">
        <f>+RevBuild!CW61</f>
        <v>0</v>
      </c>
      <c r="CX34" s="1672">
        <f>+RevBuild!CX61</f>
        <v>0</v>
      </c>
      <c r="CY34" s="1747">
        <f>+RevBuild!CY61</f>
        <v>0</v>
      </c>
      <c r="DD34" s="1872" t="s">
        <v>607</v>
      </c>
      <c r="DE34" s="1492">
        <f>+RevBuild!BE63</f>
        <v>2.7761953079544283E-2</v>
      </c>
      <c r="DF34" s="1492">
        <f>+RevBuild!BF63</f>
        <v>4.0095032756860327E-2</v>
      </c>
      <c r="DG34" s="1492">
        <f>+RevBuild!BG63</f>
        <v>5.3719014379187469E-2</v>
      </c>
      <c r="DH34" s="1492">
        <f>+RevBuild!BH63</f>
        <v>4.6154801960108245E-2</v>
      </c>
      <c r="DI34" s="1492">
        <f>+RevBuild!BK63</f>
        <v>5.4290000000000005E-2</v>
      </c>
      <c r="DJ34" s="1492">
        <f>+RevBuild!BL63</f>
        <v>4.4333333333333336E-2</v>
      </c>
      <c r="DK34" s="1492">
        <f>+RevBuild!BM63</f>
        <v>8.0600000000000005E-2</v>
      </c>
      <c r="DL34" s="1492">
        <f>+RevBuild!BN63</f>
        <v>8.1896481266461651E-2</v>
      </c>
      <c r="DM34" s="1492">
        <f>+RevBuild!BQ63</f>
        <v>4.530302405111309E-2</v>
      </c>
      <c r="DN34" s="1492">
        <f>+RevBuild!BR63</f>
        <v>5.4464423655103789E-2</v>
      </c>
      <c r="DO34" s="1492">
        <f>+RevBuild!BS63</f>
        <v>3.8481470852870049E-2</v>
      </c>
      <c r="DP34" s="1492">
        <f>+RevBuild!BT63</f>
        <v>2.3127518578716595E-2</v>
      </c>
      <c r="DQ34" s="1492">
        <f>+RevBuild!BW63</f>
        <v>4.9652609488867842E-2</v>
      </c>
      <c r="DR34" s="1492">
        <f>+RevBuild!BX63</f>
        <v>9.2653215466292696E-2</v>
      </c>
      <c r="DS34" s="1492">
        <f>+RevBuild!BY63</f>
        <v>9.1699979829667391E-2</v>
      </c>
      <c r="DT34" s="1492">
        <f>+RevBuild!BZ63</f>
        <v>7.7262447009606175E-2</v>
      </c>
      <c r="DU34" s="1492">
        <f>+RevBuild!CC63</f>
        <v>6.1171715328491624E-2</v>
      </c>
      <c r="DV34" s="1492">
        <f>+RevBuild!CD63</f>
        <v>7.2349442292740693E-2</v>
      </c>
      <c r="DW34" s="1492">
        <f>+RevBuild!CE63</f>
        <v>7.2118714207620657E-2</v>
      </c>
      <c r="DX34" s="1492">
        <f>+RevBuild!CF63</f>
        <v>7.461026471680432E-2</v>
      </c>
      <c r="DY34" s="1492">
        <f>+RevBuild!CI63</f>
        <v>6.9656991542681956E-2</v>
      </c>
      <c r="DZ34" s="1492">
        <f>+RevBuild!CJ63</f>
        <v>8.6280461938446254E-2</v>
      </c>
      <c r="EA34" s="1492">
        <f>+RevBuild!CK63</f>
        <v>8.8035698737804619E-2</v>
      </c>
      <c r="EB34" s="1492">
        <f>+RevBuild!CL63</f>
        <v>6.740408569753871E-2</v>
      </c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48"/>
      <c r="FJ34" s="48"/>
      <c r="FK34" s="48"/>
      <c r="FL34" s="48"/>
      <c r="FM34" s="48"/>
      <c r="FN34" s="48"/>
      <c r="FO34" s="48"/>
      <c r="FP34" s="48"/>
      <c r="FQ34" s="48"/>
      <c r="FR34" s="48"/>
      <c r="FS34" s="48"/>
      <c r="FT34" s="48"/>
      <c r="FU34" s="48"/>
      <c r="FV34" s="48"/>
      <c r="FW34" s="48"/>
      <c r="FX34" s="48"/>
      <c r="FY34" s="48"/>
      <c r="FZ34" s="48"/>
      <c r="GA34" s="48"/>
      <c r="GB34" s="48"/>
      <c r="GC34" s="48"/>
      <c r="GD34" s="48"/>
      <c r="GE34" s="48"/>
      <c r="GF34" s="48"/>
      <c r="GG34" s="48"/>
      <c r="GH34" s="48"/>
      <c r="GI34" s="48"/>
      <c r="GJ34" s="48"/>
      <c r="GK34" s="48"/>
      <c r="GL34" s="48"/>
      <c r="GM34" s="48"/>
      <c r="GN34" s="48"/>
      <c r="GO34" s="48"/>
      <c r="GP34" s="48"/>
      <c r="GQ34" s="48"/>
      <c r="GR34" s="48"/>
      <c r="GS34" s="48"/>
      <c r="GT34" s="48"/>
      <c r="GU34" s="48"/>
      <c r="GV34" s="48"/>
      <c r="GW34" s="48"/>
      <c r="GX34" s="48"/>
      <c r="GY34" s="48"/>
      <c r="GZ34" s="48"/>
      <c r="HA34" s="48"/>
      <c r="HB34" s="48"/>
      <c r="HC34" s="48"/>
      <c r="HD34" s="48"/>
      <c r="HE34" s="48"/>
      <c r="HF34" s="48"/>
      <c r="HG34" s="48"/>
      <c r="HH34" s="48"/>
      <c r="HI34" s="48"/>
      <c r="HJ34" s="48"/>
      <c r="HK34" s="48"/>
      <c r="HL34" s="48"/>
      <c r="HM34" s="48"/>
      <c r="HN34" s="48"/>
      <c r="HO34" s="48"/>
      <c r="HP34" s="48"/>
      <c r="HQ34" s="48"/>
    </row>
    <row r="35" spans="1:225" s="35" customFormat="1" outlineLevel="1" x14ac:dyDescent="0.2">
      <c r="A35" s="1436" t="s">
        <v>660</v>
      </c>
      <c r="B35" s="1529"/>
      <c r="C35" s="1530"/>
      <c r="D35" s="1531"/>
      <c r="E35" s="1531"/>
      <c r="F35" s="1531"/>
      <c r="G35" s="1532"/>
      <c r="H35" s="1531"/>
      <c r="I35" s="1530"/>
      <c r="J35" s="1531"/>
      <c r="K35" s="1531"/>
      <c r="L35" s="1531"/>
      <c r="M35" s="1532"/>
      <c r="N35" s="1531"/>
      <c r="O35" s="1530"/>
      <c r="P35" s="1531"/>
      <c r="Q35" s="1531"/>
      <c r="R35" s="1531"/>
      <c r="S35" s="1532"/>
      <c r="T35" s="1531"/>
      <c r="U35" s="1533">
        <f>2%+5%+4%</f>
        <v>0.11000000000000001</v>
      </c>
      <c r="V35" s="1534">
        <f>2%+5%+4%</f>
        <v>0.11000000000000001</v>
      </c>
      <c r="W35" s="1534">
        <f>2%+4%+4%</f>
        <v>0.1</v>
      </c>
      <c r="X35" s="1534">
        <v>0.13</v>
      </c>
      <c r="Y35" s="1535">
        <f>2%+6%+4%</f>
        <v>0.12</v>
      </c>
      <c r="Z35" s="1531"/>
      <c r="AA35" s="1533">
        <f>2%+4%+4%</f>
        <v>0.1</v>
      </c>
      <c r="AB35" s="1534">
        <f>2%+5%+4%</f>
        <v>0.11000000000000001</v>
      </c>
      <c r="AC35" s="1534">
        <f>2%+7%+5%</f>
        <v>0.14000000000000001</v>
      </c>
      <c r="AD35" s="1534">
        <v>0.14000000000000001</v>
      </c>
      <c r="AE35" s="1535">
        <f>2%+6%+5%</f>
        <v>0.13</v>
      </c>
      <c r="AF35" s="1534"/>
      <c r="AG35" s="1533">
        <f>2%+4%+5%</f>
        <v>0.11</v>
      </c>
      <c r="AH35" s="1534">
        <v>0.12</v>
      </c>
      <c r="AI35" s="1534">
        <f>2%+8%+5%</f>
        <v>0.15000000000000002</v>
      </c>
      <c r="AJ35" s="1534">
        <v>0.14000000000000001</v>
      </c>
      <c r="AK35" s="1535">
        <f>2%+6%+5%</f>
        <v>0.13</v>
      </c>
      <c r="AL35" s="1531"/>
      <c r="AM35" s="1533">
        <f>2%+5%+4%</f>
        <v>0.11000000000000001</v>
      </c>
      <c r="AN35" s="1534">
        <v>5.2999999999999999E-2</v>
      </c>
      <c r="AO35" s="1534">
        <v>0.03</v>
      </c>
      <c r="AP35" s="1534">
        <v>-0.03</v>
      </c>
      <c r="AQ35" s="1538">
        <f>AQ21</f>
        <v>0.04</v>
      </c>
      <c r="AR35" s="1537"/>
      <c r="AS35" s="1530">
        <f>AS21</f>
        <v>-0.02</v>
      </c>
      <c r="AT35" s="1531">
        <f>AT21</f>
        <v>0.01</v>
      </c>
      <c r="AU35" s="1531">
        <f>AU21</f>
        <v>-0.03</v>
      </c>
      <c r="AV35" s="1531">
        <f>AV21</f>
        <v>0.11</v>
      </c>
      <c r="AW35" s="1538">
        <f>AW21</f>
        <v>0.02</v>
      </c>
      <c r="AX35" s="1537"/>
      <c r="AY35" s="1530">
        <f>AY21</f>
        <v>0.06</v>
      </c>
      <c r="AZ35" s="1531">
        <f>AZ21</f>
        <v>0.05</v>
      </c>
      <c r="BA35" s="1531">
        <f>BA21</f>
        <v>-0.05</v>
      </c>
      <c r="BB35" s="1531">
        <f>BB21</f>
        <v>-0.01</v>
      </c>
      <c r="BC35" s="1538">
        <f>BC21</f>
        <v>-7.5842939570210682E-2</v>
      </c>
      <c r="BD35" s="1539"/>
      <c r="BE35" s="1530">
        <f t="shared" ref="BE35" si="124">+BE32-BE33-BE34</f>
        <v>1.9999999999999997E-2</v>
      </c>
      <c r="BF35" s="1531">
        <f t="shared" ref="BF35" si="125">+BF32-BF33-BF34</f>
        <v>9.9999999999999985E-3</v>
      </c>
      <c r="BG35" s="1531">
        <f t="shared" ref="BG35" si="126">+BG32-BG33-BG34</f>
        <v>3.4999999999999989E-2</v>
      </c>
      <c r="BH35" s="1531">
        <f t="shared" ref="BH35" si="127">+BH32-BH33-BH34</f>
        <v>2.0000000000000004E-2</v>
      </c>
      <c r="BI35" s="1532">
        <f t="shared" ref="BI35" si="128">+BI32-BI33-BI34</f>
        <v>2.6250000000000002E-2</v>
      </c>
      <c r="BJ35" s="1539"/>
      <c r="BK35" s="1530">
        <f t="shared" ref="BK35" si="129">+BK32-BK33-BK34</f>
        <v>2.0000000000000004E-2</v>
      </c>
      <c r="BL35" s="1531">
        <f t="shared" ref="BL35" si="130">+BL32-BL33-BL34</f>
        <v>3.3333333333333333E-2</v>
      </c>
      <c r="BM35" s="1531">
        <f t="shared" ref="BM35" si="131">+BM32-BM33-BM34</f>
        <v>0.03</v>
      </c>
      <c r="BN35" s="1540">
        <f t="shared" ref="BN35" si="132">+BN32-BN33-BN34</f>
        <v>3.2999999999999995E-2</v>
      </c>
      <c r="BO35" s="1532">
        <f t="shared" ref="BO35" si="133">+BO32-BO33-BO34</f>
        <v>0.02</v>
      </c>
      <c r="BP35" s="1539"/>
      <c r="BQ35" s="1530">
        <f t="shared" ref="BQ35" si="134">+BQ32-BQ33-BQ34</f>
        <v>0</v>
      </c>
      <c r="BR35" s="1531">
        <f t="shared" ref="BR35" si="135">+BR32-BR33-BR34</f>
        <v>2.8999999999999995E-2</v>
      </c>
      <c r="BS35" s="1531">
        <f t="shared" ref="BS35:BZ35" si="136">+BS32-BS33-BS34</f>
        <v>8.2414708528700514E-3</v>
      </c>
      <c r="BT35" s="1540">
        <f t="shared" si="136"/>
        <v>1.1653862143510448E-2</v>
      </c>
      <c r="BU35" s="1532">
        <f t="shared" si="136"/>
        <v>1.7458054835285328E-2</v>
      </c>
      <c r="BV35" s="1539">
        <f t="shared" si="136"/>
        <v>0</v>
      </c>
      <c r="BW35" s="1530">
        <f t="shared" si="136"/>
        <v>3.2432609488867836E-2</v>
      </c>
      <c r="BX35" s="1531">
        <f t="shared" si="136"/>
        <v>7.8303215466292694E-2</v>
      </c>
      <c r="BY35" s="1531">
        <f t="shared" si="136"/>
        <v>7.9074201824129511E-2</v>
      </c>
      <c r="BZ35" s="1540">
        <f t="shared" si="136"/>
        <v>7.5977761836441893E-2</v>
      </c>
      <c r="CA35" s="1532">
        <f>+CA32-CA33-CA34</f>
        <v>6.7046457803491166E-2</v>
      </c>
      <c r="CB35" s="1539"/>
      <c r="CC35" s="1530">
        <f>+CC32-CC33-CC34</f>
        <v>5.164855770680913E-2</v>
      </c>
      <c r="CD35" s="1531">
        <f>+CD32-CD33-CD34</f>
        <v>7.4519353372486635E-2</v>
      </c>
      <c r="CE35" s="1531">
        <f>+CE32-CE33-CE34</f>
        <v>7.2952596070094633E-2</v>
      </c>
      <c r="CF35" s="1540">
        <f>+CF32-CF33-CF34</f>
        <v>6.8185203879786632E-2</v>
      </c>
      <c r="CG35" s="1532">
        <f>+CG32-CG33-CG34</f>
        <v>6.8455886085133422E-2</v>
      </c>
      <c r="CH35" s="1539"/>
      <c r="CI35" s="1530">
        <f>CI21</f>
        <v>6.9656991542681956E-2</v>
      </c>
      <c r="CJ35" s="1531">
        <f>CJ21</f>
        <v>7.6284398728260372E-2</v>
      </c>
      <c r="CK35" s="1531">
        <f>CK21</f>
        <v>7.8262425674923586E-2</v>
      </c>
      <c r="CL35" s="1540">
        <f>CL21</f>
        <v>5.5348118836374541E-2</v>
      </c>
      <c r="CM35" s="1532">
        <f>+CM32-CM33-CM34</f>
        <v>6.8452642702334823E-2</v>
      </c>
      <c r="CN35" s="1539"/>
      <c r="CO35" s="1530">
        <f t="shared" ref="CO35:CR35" si="137">+CO32-CO33-CO34</f>
        <v>0.10002174201619536</v>
      </c>
      <c r="CP35" s="1531">
        <f t="shared" si="137"/>
        <v>5.7841869144899388E-2</v>
      </c>
      <c r="CQ35" s="1531">
        <f t="shared" si="137"/>
        <v>5.9727327215515436E-2</v>
      </c>
      <c r="CR35" s="1540">
        <f t="shared" si="137"/>
        <v>8.8559811828410773E-2</v>
      </c>
      <c r="CS35" s="1532">
        <f>+CS32-CS33-CS34</f>
        <v>7.5984663354479828E-2</v>
      </c>
      <c r="CT35" s="1539"/>
      <c r="CU35" s="1530">
        <f t="shared" ref="CU35:CX35" si="138">+CU32-CU33-CU34</f>
        <v>0.10716111531395711</v>
      </c>
      <c r="CV35" s="1531">
        <f t="shared" si="138"/>
        <v>0.10068286776811153</v>
      </c>
      <c r="CW35" s="1531">
        <f t="shared" si="138"/>
        <v>9.8252661586370804E-2</v>
      </c>
      <c r="CX35" s="1540">
        <f t="shared" si="138"/>
        <v>9.7287285172686699E-2</v>
      </c>
      <c r="CY35" s="1532">
        <f>+CY32-CY33-CY34</f>
        <v>0.10058587035887401</v>
      </c>
      <c r="DD35" s="1872" t="s">
        <v>664</v>
      </c>
      <c r="DE35" s="1492">
        <f>+RevBuild!BE64</f>
        <v>0</v>
      </c>
      <c r="DF35" s="1492">
        <f>+RevBuild!BF64</f>
        <v>0</v>
      </c>
      <c r="DG35" s="1492">
        <f>+RevBuild!BG64</f>
        <v>0</v>
      </c>
      <c r="DH35" s="1492">
        <f>+RevBuild!BH64</f>
        <v>0</v>
      </c>
      <c r="DI35" s="1492">
        <f>+RevBuild!BK64</f>
        <v>0</v>
      </c>
      <c r="DJ35" s="1492">
        <f>+RevBuild!BL64</f>
        <v>0</v>
      </c>
      <c r="DK35" s="1492">
        <f>+RevBuild!BM64</f>
        <v>0</v>
      </c>
      <c r="DL35" s="1492">
        <f>+RevBuild!BN64</f>
        <v>0</v>
      </c>
      <c r="DM35" s="1492">
        <f>+BQ23</f>
        <v>-9.382684646949125E-3</v>
      </c>
      <c r="DN35" s="1492">
        <f t="shared" ref="DN35:DP35" si="139">+BR23</f>
        <v>1.9680616682296655E-2</v>
      </c>
      <c r="DO35" s="1492">
        <f t="shared" si="139"/>
        <v>-1.2262331935690244E-2</v>
      </c>
      <c r="DP35" s="1492">
        <f t="shared" si="139"/>
        <v>-3.6058838089678986E-3</v>
      </c>
      <c r="DQ35" s="1492">
        <f t="shared" ref="DQ35:DT37" si="140">+BW23</f>
        <v>1.4967593660106322E-2</v>
      </c>
      <c r="DR35" s="1492">
        <f t="shared" si="140"/>
        <v>5.5832995758606674E-2</v>
      </c>
      <c r="DS35" s="1492">
        <f t="shared" si="140"/>
        <v>4.9115766454668627E-2</v>
      </c>
      <c r="DT35" s="1492">
        <f t="shared" si="140"/>
        <v>4.6748792293304538E-2</v>
      </c>
      <c r="DU35" s="1492">
        <f t="shared" ref="DU35:DX37" si="141">+CC23</f>
        <v>3.4210305378870154E-2</v>
      </c>
      <c r="DV35" s="1492">
        <f t="shared" si="141"/>
        <v>3.787582997482359E-2</v>
      </c>
      <c r="DW35" s="1492">
        <f t="shared" si="141"/>
        <v>3.7703191983867602E-2</v>
      </c>
      <c r="DX35" s="1492">
        <f t="shared" si="141"/>
        <v>4.4294498127849288E-2</v>
      </c>
      <c r="DY35" s="1492">
        <f t="shared" ref="DY35:EB37" si="142">+CI23</f>
        <v>4.9096300808207795E-2</v>
      </c>
      <c r="DZ35" s="1492">
        <f t="shared" si="142"/>
        <v>4.9175575574094021E-2</v>
      </c>
      <c r="EA35" s="1492">
        <f t="shared" si="142"/>
        <v>3.9893966865959536E-2</v>
      </c>
      <c r="EB35" s="1492">
        <f t="shared" si="142"/>
        <v>3.8473567588518928E-2</v>
      </c>
      <c r="ED35" s="48"/>
      <c r="EE35" s="48"/>
      <c r="EF35" s="207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034"/>
      <c r="EY35" s="2034"/>
      <c r="EZ35" s="2034"/>
      <c r="FA35" s="48"/>
      <c r="FB35" s="48"/>
      <c r="FC35" s="48"/>
      <c r="FD35" s="48"/>
      <c r="FE35" s="48"/>
      <c r="FF35" s="48"/>
      <c r="FG35" s="48"/>
      <c r="FH35" s="48"/>
      <c r="FI35" s="48"/>
      <c r="FJ35" s="48"/>
      <c r="FK35" s="48"/>
      <c r="FL35" s="48"/>
      <c r="FM35" s="48"/>
      <c r="FN35" s="48"/>
      <c r="FO35" s="48"/>
      <c r="FP35" s="48"/>
      <c r="FQ35" s="48"/>
      <c r="FR35" s="48"/>
      <c r="FS35" s="48"/>
      <c r="FT35" s="48"/>
      <c r="FU35" s="48"/>
      <c r="FV35" s="48"/>
      <c r="FW35" s="48"/>
      <c r="FX35" s="48"/>
      <c r="FY35" s="48"/>
      <c r="FZ35" s="48"/>
      <c r="GA35" s="48"/>
      <c r="GB35" s="48"/>
      <c r="GC35" s="48"/>
      <c r="GD35" s="48"/>
      <c r="GE35" s="48"/>
      <c r="GF35" s="48"/>
      <c r="GG35" s="48"/>
      <c r="GH35" s="48"/>
      <c r="GI35" s="48"/>
      <c r="GJ35" s="48"/>
      <c r="GK35" s="48"/>
      <c r="GL35" s="48"/>
      <c r="GM35" s="48"/>
      <c r="GN35" s="48"/>
      <c r="GO35" s="48"/>
      <c r="GP35" s="48"/>
      <c r="GQ35" s="48"/>
      <c r="GR35" s="48"/>
      <c r="GS35" s="48"/>
      <c r="GT35" s="48"/>
      <c r="GU35" s="48"/>
      <c r="GV35" s="48"/>
      <c r="GW35" s="48"/>
      <c r="GX35" s="48"/>
      <c r="GY35" s="48"/>
      <c r="GZ35" s="48"/>
      <c r="HA35" s="48"/>
      <c r="HB35" s="48"/>
      <c r="HC35" s="48"/>
      <c r="HD35" s="48"/>
      <c r="HE35" s="48"/>
      <c r="HF35" s="48"/>
      <c r="HG35" s="48"/>
      <c r="HH35" s="48"/>
      <c r="HI35" s="48"/>
      <c r="HJ35" s="48"/>
      <c r="HK35" s="48"/>
      <c r="HL35" s="48"/>
      <c r="HM35" s="48"/>
      <c r="HN35" s="48"/>
      <c r="HO35" s="48"/>
      <c r="HP35" s="48"/>
      <c r="HQ35" s="48"/>
    </row>
    <row r="36" spans="1:225" s="2" customFormat="1" x14ac:dyDescent="0.2">
      <c r="A36" s="440"/>
      <c r="B36" s="1562"/>
      <c r="C36" s="1520"/>
      <c r="D36" s="1521"/>
      <c r="E36" s="1521"/>
      <c r="F36" s="1521"/>
      <c r="G36" s="1522"/>
      <c r="H36" s="1521"/>
      <c r="I36" s="1520"/>
      <c r="J36" s="1521"/>
      <c r="K36" s="1521"/>
      <c r="L36" s="1521"/>
      <c r="M36" s="1522"/>
      <c r="N36" s="1521"/>
      <c r="O36" s="1520"/>
      <c r="P36" s="1521"/>
      <c r="Q36" s="1521"/>
      <c r="R36" s="1521"/>
      <c r="S36" s="1522"/>
      <c r="T36" s="1521"/>
      <c r="U36" s="1514"/>
      <c r="V36" s="1515"/>
      <c r="W36" s="1515"/>
      <c r="X36" s="1515"/>
      <c r="Y36" s="1563"/>
      <c r="Z36" s="1521"/>
      <c r="AA36" s="1514"/>
      <c r="AB36" s="1515"/>
      <c r="AC36" s="1515"/>
      <c r="AD36" s="1515"/>
      <c r="AE36" s="1563"/>
      <c r="AF36" s="1515"/>
      <c r="AG36" s="1514"/>
      <c r="AH36" s="1515"/>
      <c r="AI36" s="1515"/>
      <c r="AJ36" s="1515"/>
      <c r="AK36" s="1563"/>
      <c r="AL36" s="1521"/>
      <c r="AM36" s="1514"/>
      <c r="AN36" s="1515"/>
      <c r="AO36" s="1515"/>
      <c r="AP36" s="1515"/>
      <c r="AQ36" s="1516"/>
      <c r="AR36" s="1517"/>
      <c r="AS36" s="1514"/>
      <c r="AT36" s="1515"/>
      <c r="AU36" s="1515"/>
      <c r="AV36" s="1515"/>
      <c r="AW36" s="1516"/>
      <c r="AX36" s="1517"/>
      <c r="AY36" s="1521"/>
      <c r="AZ36" s="1521"/>
      <c r="BA36" s="1521"/>
      <c r="BB36" s="1521"/>
      <c r="BC36" s="1518"/>
      <c r="BD36" s="1519"/>
      <c r="BE36" s="1520"/>
      <c r="BF36" s="1521"/>
      <c r="BG36" s="1521"/>
      <c r="BH36" s="1523"/>
      <c r="BI36" s="1522"/>
      <c r="BJ36" s="1519"/>
      <c r="BK36" s="1520"/>
      <c r="BL36" s="1521"/>
      <c r="BM36" s="1521"/>
      <c r="BN36" s="1521"/>
      <c r="BO36" s="1522"/>
      <c r="BP36" s="1519"/>
      <c r="BQ36" s="1520"/>
      <c r="BR36" s="1521"/>
      <c r="BS36" s="1521"/>
      <c r="BT36" s="1523"/>
      <c r="BU36" s="1522"/>
      <c r="BV36" s="1519"/>
      <c r="BW36" s="1520"/>
      <c r="BX36" s="1521"/>
      <c r="BY36" s="1521"/>
      <c r="BZ36" s="1523"/>
      <c r="CA36" s="1522"/>
      <c r="CB36" s="1519"/>
      <c r="CC36" s="1520"/>
      <c r="CD36" s="1521"/>
      <c r="CE36" s="1521"/>
      <c r="CF36" s="1523"/>
      <c r="CG36" s="1522"/>
      <c r="CH36" s="1519"/>
      <c r="CI36" s="1520"/>
      <c r="CJ36" s="1521"/>
      <c r="CK36" s="1521"/>
      <c r="CL36" s="1523"/>
      <c r="CM36" s="1522"/>
      <c r="CN36" s="1519"/>
      <c r="CO36" s="1520"/>
      <c r="CP36" s="1521"/>
      <c r="CQ36" s="1521"/>
      <c r="CR36" s="1523"/>
      <c r="CS36" s="1522"/>
      <c r="CT36" s="1519"/>
      <c r="CU36" s="1520"/>
      <c r="CV36" s="1521"/>
      <c r="CW36" s="1521"/>
      <c r="CX36" s="1523"/>
      <c r="CY36" s="1522"/>
      <c r="DD36" s="1872" t="s">
        <v>662</v>
      </c>
      <c r="DE36" s="1492">
        <f>+RevBuild!BE65</f>
        <v>0</v>
      </c>
      <c r="DF36" s="1492">
        <f>+RevBuild!BF65</f>
        <v>0</v>
      </c>
      <c r="DG36" s="1492">
        <f>+RevBuild!BG65</f>
        <v>0</v>
      </c>
      <c r="DH36" s="1492">
        <f>+RevBuild!BH65</f>
        <v>0</v>
      </c>
      <c r="DI36" s="1492">
        <f>+RevBuild!BK65</f>
        <v>0</v>
      </c>
      <c r="DJ36" s="1492">
        <f>+RevBuild!BL65</f>
        <v>0</v>
      </c>
      <c r="DK36" s="1492">
        <f>+RevBuild!BM65</f>
        <v>0</v>
      </c>
      <c r="DL36" s="1492">
        <f>+RevBuild!BN65</f>
        <v>0</v>
      </c>
      <c r="DM36" s="1492">
        <f>+BQ24</f>
        <v>0</v>
      </c>
      <c r="DN36" s="1492">
        <f t="shared" ref="DN36:DP36" si="143">+BR24</f>
        <v>2.8999999999999995E-2</v>
      </c>
      <c r="DO36" s="1492">
        <f t="shared" si="143"/>
        <v>8.2414708528700514E-3</v>
      </c>
      <c r="DP36" s="1492">
        <f t="shared" si="143"/>
        <v>1.1653862143510448E-2</v>
      </c>
      <c r="DQ36" s="1492">
        <f t="shared" si="140"/>
        <v>3.2432609488867836E-2</v>
      </c>
      <c r="DR36" s="1492">
        <f t="shared" si="140"/>
        <v>7.8303215466292694E-2</v>
      </c>
      <c r="DS36" s="1492">
        <f t="shared" si="140"/>
        <v>7.9074201824129511E-2</v>
      </c>
      <c r="DT36" s="1492">
        <f t="shared" si="140"/>
        <v>7.5977761836441893E-2</v>
      </c>
      <c r="DU36" s="1492">
        <f t="shared" si="141"/>
        <v>4.2293866417444044E-2</v>
      </c>
      <c r="DV36" s="1492">
        <f t="shared" si="141"/>
        <v>6.4939066742438892E-2</v>
      </c>
      <c r="DW36" s="1492">
        <f t="shared" si="141"/>
        <v>6.2951482349653518E-2</v>
      </c>
      <c r="DX36" s="1492">
        <f t="shared" si="141"/>
        <v>5.8790095661989422E-2</v>
      </c>
      <c r="DY36" s="1492">
        <f t="shared" si="142"/>
        <v>5.9196480950423007E-2</v>
      </c>
      <c r="DZ36" s="1492">
        <f t="shared" si="142"/>
        <v>6.7329836288193418E-2</v>
      </c>
      <c r="EA36" s="1492">
        <f t="shared" si="142"/>
        <v>6.9826200812792921E-2</v>
      </c>
      <c r="EB36" s="1492">
        <f t="shared" si="142"/>
        <v>4.7891337978486645E-2</v>
      </c>
      <c r="ED36" s="39"/>
      <c r="EE36" s="39"/>
      <c r="EF36" s="207"/>
      <c r="EG36" s="2042"/>
      <c r="EH36" s="2042"/>
      <c r="EI36" s="2042"/>
      <c r="EJ36" s="2042"/>
      <c r="EK36" s="2042"/>
      <c r="EL36" s="2042"/>
      <c r="EM36" s="2042"/>
      <c r="EN36" s="2042"/>
      <c r="EO36" s="2042"/>
      <c r="EP36" s="2042"/>
      <c r="EQ36" s="2042"/>
      <c r="ER36" s="2042"/>
      <c r="ES36" s="2042"/>
      <c r="ET36" s="2042"/>
      <c r="EU36" s="2042"/>
      <c r="EV36" s="39"/>
      <c r="EW36" s="39"/>
      <c r="EX36" s="2047"/>
      <c r="EY36" s="2047"/>
      <c r="EZ36" s="2047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48"/>
      <c r="FL36" s="48"/>
      <c r="FM36" s="48"/>
      <c r="FN36" s="48"/>
      <c r="FO36" s="48"/>
      <c r="FP36" s="48"/>
      <c r="FQ36" s="48"/>
      <c r="FR36" s="48"/>
      <c r="FS36" s="48"/>
      <c r="FT36" s="48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</row>
    <row r="37" spans="1:225" x14ac:dyDescent="0.2">
      <c r="A37" s="1736" t="s">
        <v>656</v>
      </c>
      <c r="B37" s="1564"/>
      <c r="C37" s="772"/>
      <c r="D37" s="773"/>
      <c r="E37" s="773"/>
      <c r="F37" s="774"/>
      <c r="G37" s="774"/>
      <c r="H37" s="773"/>
      <c r="I37" s="772"/>
      <c r="J37" s="773"/>
      <c r="K37" s="773"/>
      <c r="L37" s="774"/>
      <c r="M37" s="774"/>
      <c r="N37" s="773"/>
      <c r="O37" s="772"/>
      <c r="P37" s="773"/>
      <c r="Q37" s="773"/>
      <c r="R37" s="774"/>
      <c r="S37" s="774"/>
      <c r="T37" s="773"/>
      <c r="U37" s="772"/>
      <c r="V37" s="773"/>
      <c r="W37" s="773"/>
      <c r="X37" s="774"/>
      <c r="Y37" s="774"/>
      <c r="Z37" s="773"/>
      <c r="AA37" s="772"/>
      <c r="AB37" s="773"/>
      <c r="AC37" s="773"/>
      <c r="AD37" s="774"/>
      <c r="AE37" s="774"/>
      <c r="AF37" s="773"/>
      <c r="AG37" s="772"/>
      <c r="AH37" s="773"/>
      <c r="AI37" s="773"/>
      <c r="AJ37" s="774"/>
      <c r="AK37" s="774"/>
      <c r="AL37" s="773"/>
      <c r="AM37" s="772"/>
      <c r="AN37" s="773"/>
      <c r="AO37" s="773"/>
      <c r="AP37" s="774"/>
      <c r="AQ37" s="774"/>
      <c r="AR37" s="773"/>
      <c r="AS37" s="772"/>
      <c r="AT37" s="773"/>
      <c r="AU37" s="773"/>
      <c r="AV37" s="774"/>
      <c r="AW37" s="774"/>
      <c r="AX37" s="773"/>
      <c r="AY37" s="772"/>
      <c r="AZ37" s="773"/>
      <c r="BA37" s="773"/>
      <c r="BB37" s="774"/>
      <c r="BC37" s="774"/>
      <c r="BD37" s="1565"/>
      <c r="BE37" s="772"/>
      <c r="BF37" s="773"/>
      <c r="BG37" s="773"/>
      <c r="BH37" s="774"/>
      <c r="BI37" s="774"/>
      <c r="BJ37" s="1565"/>
      <c r="BK37" s="772"/>
      <c r="BL37" s="773"/>
      <c r="BM37" s="773"/>
      <c r="BN37" s="1566"/>
      <c r="BO37" s="774"/>
      <c r="BP37" s="1565"/>
      <c r="BQ37" s="772"/>
      <c r="BR37" s="773"/>
      <c r="BS37" s="773"/>
      <c r="BT37" s="774"/>
      <c r="BU37" s="774"/>
      <c r="BV37" s="1565"/>
      <c r="BW37" s="772"/>
      <c r="BX37" s="773"/>
      <c r="BY37" s="773"/>
      <c r="BZ37" s="774"/>
      <c r="CA37" s="774"/>
      <c r="CB37" s="1565"/>
      <c r="CC37" s="772"/>
      <c r="CD37" s="773"/>
      <c r="CE37" s="773"/>
      <c r="CF37" s="774"/>
      <c r="CG37" s="774"/>
      <c r="CH37" s="1565"/>
      <c r="CI37" s="772"/>
      <c r="CJ37" s="773"/>
      <c r="CK37" s="773"/>
      <c r="CL37" s="774"/>
      <c r="CM37" s="774"/>
      <c r="CN37" s="1565"/>
      <c r="CO37" s="772"/>
      <c r="CP37" s="773"/>
      <c r="CQ37" s="773"/>
      <c r="CR37" s="774"/>
      <c r="CS37" s="774"/>
      <c r="CT37" s="1565"/>
      <c r="CU37" s="772"/>
      <c r="CV37" s="773"/>
      <c r="CW37" s="773"/>
      <c r="CX37" s="774"/>
      <c r="CY37" s="774"/>
      <c r="DD37" s="1872" t="s">
        <v>673</v>
      </c>
      <c r="DE37" s="1492">
        <f>+RevBuild!BE66</f>
        <v>0</v>
      </c>
      <c r="DF37" s="1492">
        <f>+RevBuild!BF66</f>
        <v>0</v>
      </c>
      <c r="DG37" s="1492">
        <f>+RevBuild!BG66</f>
        <v>0</v>
      </c>
      <c r="DH37" s="1492">
        <f>+RevBuild!BH66</f>
        <v>0</v>
      </c>
      <c r="DI37" s="1492">
        <f>+RevBuild!BK66</f>
        <v>0</v>
      </c>
      <c r="DJ37" s="1492">
        <f>+RevBuild!BL66</f>
        <v>0</v>
      </c>
      <c r="DK37" s="1492">
        <f>+RevBuild!BM66</f>
        <v>0</v>
      </c>
      <c r="DL37" s="1492">
        <f>+RevBuild!BN66</f>
        <v>0</v>
      </c>
      <c r="DM37" s="1492">
        <f>+BQ25</f>
        <v>3.5920339404163962E-2</v>
      </c>
      <c r="DN37" s="1492">
        <f t="shared" ref="DN37:DP37" si="144">+BR25</f>
        <v>4.5145040337400452E-2</v>
      </c>
      <c r="DO37" s="1492">
        <f t="shared" si="144"/>
        <v>1.7977668064309754E-2</v>
      </c>
      <c r="DP37" s="1492">
        <f t="shared" si="144"/>
        <v>7.8677726262382491E-3</v>
      </c>
      <c r="DQ37" s="1492">
        <f t="shared" si="140"/>
        <v>3.2187593660106331E-2</v>
      </c>
      <c r="DR37" s="1492">
        <f t="shared" si="140"/>
        <v>7.0182995758606675E-2</v>
      </c>
      <c r="DS37" s="1492">
        <f t="shared" si="140"/>
        <v>6.1741544460206507E-2</v>
      </c>
      <c r="DT37" s="1492">
        <f t="shared" si="140"/>
        <v>4.803347746646882E-2</v>
      </c>
      <c r="DU37" s="1492">
        <f t="shared" si="141"/>
        <v>3.4378771711187563E-2</v>
      </c>
      <c r="DV37" s="1492">
        <f t="shared" si="141"/>
        <v>2.6125632265029904E-2</v>
      </c>
      <c r="DW37" s="1492">
        <f t="shared" si="141"/>
        <v>2.6868196400952511E-2</v>
      </c>
      <c r="DX37" s="1492">
        <f t="shared" si="141"/>
        <v>4.1324450747069766E-2</v>
      </c>
      <c r="DY37" s="1492">
        <f t="shared" si="142"/>
        <v>3.8635790215948845E-2</v>
      </c>
      <c r="DZ37" s="1492">
        <f t="shared" si="142"/>
        <v>5.0217076344212949E-2</v>
      </c>
      <c r="EA37" s="1492">
        <f t="shared" si="142"/>
        <v>4.1231015066709904E-2</v>
      </c>
      <c r="EB37" s="1492">
        <f t="shared" si="142"/>
        <v>4.3072753591795201E-2</v>
      </c>
      <c r="EF37" s="39"/>
      <c r="EG37" s="2047"/>
      <c r="EH37" s="2047"/>
      <c r="EI37" s="2047"/>
      <c r="EJ37" s="2047"/>
      <c r="EK37" s="2047"/>
      <c r="EL37" s="2047"/>
      <c r="EM37" s="2047"/>
      <c r="EN37" s="2047"/>
      <c r="EO37" s="2047"/>
      <c r="EP37" s="2047"/>
      <c r="EQ37" s="2047"/>
      <c r="ER37" s="2047"/>
      <c r="ES37" s="2047"/>
      <c r="ET37" s="2047"/>
      <c r="EU37" s="2047"/>
      <c r="EV37" s="2047"/>
      <c r="EW37" s="2047"/>
      <c r="EX37" s="2048"/>
      <c r="EY37" s="2048"/>
      <c r="EZ37" s="2048"/>
    </row>
    <row r="38" spans="1:225" x14ac:dyDescent="0.2">
      <c r="A38" s="778" t="str">
        <f>A8</f>
        <v xml:space="preserve">Molecular Diagnostics </v>
      </c>
      <c r="B38" s="1496"/>
      <c r="C38" s="1567"/>
      <c r="D38" s="1568"/>
      <c r="E38" s="1568"/>
      <c r="F38" s="1568"/>
      <c r="G38" s="1569"/>
      <c r="H38" s="1568"/>
      <c r="I38" s="760" t="s">
        <v>251</v>
      </c>
      <c r="J38" s="761" t="s">
        <v>251</v>
      </c>
      <c r="K38" s="761" t="s">
        <v>251</v>
      </c>
      <c r="L38" s="761" t="s">
        <v>251</v>
      </c>
      <c r="M38" s="763" t="s">
        <v>251</v>
      </c>
      <c r="N38" s="1568"/>
      <c r="O38" s="760" t="s">
        <v>251</v>
      </c>
      <c r="P38" s="761" t="s">
        <v>251</v>
      </c>
      <c r="Q38" s="761" t="s">
        <v>251</v>
      </c>
      <c r="R38" s="761" t="s">
        <v>251</v>
      </c>
      <c r="S38" s="763" t="s">
        <v>251</v>
      </c>
      <c r="T38" s="1568"/>
      <c r="U38" s="760" t="s">
        <v>251</v>
      </c>
      <c r="V38" s="761" t="s">
        <v>251</v>
      </c>
      <c r="W38" s="761" t="s">
        <v>251</v>
      </c>
      <c r="X38" s="761" t="s">
        <v>251</v>
      </c>
      <c r="Y38" s="763" t="s">
        <v>251</v>
      </c>
      <c r="Z38" s="1568"/>
      <c r="AA38" s="760" t="s">
        <v>251</v>
      </c>
      <c r="AB38" s="761" t="s">
        <v>251</v>
      </c>
      <c r="AC38" s="761" t="s">
        <v>251</v>
      </c>
      <c r="AD38" s="761" t="s">
        <v>251</v>
      </c>
      <c r="AE38" s="763" t="s">
        <v>251</v>
      </c>
      <c r="AF38" s="1568"/>
      <c r="AG38" s="760" t="s">
        <v>251</v>
      </c>
      <c r="AH38" s="761" t="s">
        <v>251</v>
      </c>
      <c r="AI38" s="761" t="s">
        <v>251</v>
      </c>
      <c r="AJ38" s="761" t="s">
        <v>251</v>
      </c>
      <c r="AK38" s="763" t="s">
        <v>251</v>
      </c>
      <c r="AL38" s="1568"/>
      <c r="AM38" s="1567"/>
      <c r="AN38" s="1568"/>
      <c r="AO38" s="1568"/>
      <c r="AP38" s="1568"/>
      <c r="AQ38" s="1569"/>
      <c r="AR38" s="1570"/>
      <c r="AS38" s="1567">
        <f>AM8+AS8</f>
        <v>0.13</v>
      </c>
      <c r="AT38" s="1568">
        <f>AN8+AT8</f>
        <v>0.13999999999999999</v>
      </c>
      <c r="AU38" s="1568">
        <f>AO8+AU8</f>
        <v>-2.0658931090672489E-2</v>
      </c>
      <c r="AV38" s="1568">
        <f>AP8+AV8</f>
        <v>0.26185178581417462</v>
      </c>
      <c r="AW38" s="1569">
        <f>AQ8+AW8</f>
        <v>0.10517826517688927</v>
      </c>
      <c r="AX38" s="1568"/>
      <c r="AY38" s="1567">
        <f>AS8+AY8</f>
        <v>5.9731620979629571E-2</v>
      </c>
      <c r="AZ38" s="1568">
        <f>AT8+AZ8</f>
        <v>8.6631859651458379E-2</v>
      </c>
      <c r="BA38" s="1568">
        <f>AU8+BA8</f>
        <v>7.9234218991963562E-3</v>
      </c>
      <c r="BB38" s="1568">
        <f>AV8+BB8</f>
        <v>0.22688318345785621</v>
      </c>
      <c r="BC38" s="1569">
        <f>AW8+BC8</f>
        <v>9.5708210590733825E-2</v>
      </c>
      <c r="BD38" s="1499"/>
      <c r="BE38" s="1567">
        <f t="shared" ref="BE38:BE50" si="145">AY8+BE8</f>
        <v>0.16207204651154447</v>
      </c>
      <c r="BF38" s="1568">
        <f t="shared" ref="BF38:BF50" si="146">AZ8+BF8</f>
        <v>0.10663185965145838</v>
      </c>
      <c r="BG38" s="1568">
        <f t="shared" ref="BG38:BG50" si="147">BA8+BG8</f>
        <v>0.21615112505074735</v>
      </c>
      <c r="BH38" s="1568">
        <f t="shared" ref="BH38:BH50" si="148">BB8+BH8</f>
        <v>6.2672863100529191E-2</v>
      </c>
      <c r="BI38" s="1569">
        <f t="shared" ref="BI38:BI50" si="149">BC8+BI8</f>
        <v>0.13299684124923628</v>
      </c>
      <c r="BJ38" s="1499"/>
      <c r="BK38" s="1567">
        <f t="shared" ref="BK38:BK50" si="150">BE8+BK8</f>
        <v>8.8881654087531944E-2</v>
      </c>
      <c r="BL38" s="1568">
        <f t="shared" ref="BL38:BL50" si="151">BF8+BL8</f>
        <v>0.11927438960363484</v>
      </c>
      <c r="BM38" s="1568">
        <f t="shared" ref="BM38:BM50" si="152">BG8+BM8</f>
        <v>0.15756877206087849</v>
      </c>
      <c r="BN38" s="1571">
        <f t="shared" ref="BN38:BN50" si="153">BH8+BN8</f>
        <v>5.7641465456847583E-2</v>
      </c>
      <c r="BO38" s="1569">
        <f t="shared" ref="BO38:BO50" si="154">BI8+BO8</f>
        <v>0.10149641643348592</v>
      </c>
      <c r="BP38" s="1499"/>
      <c r="BQ38" s="1567">
        <f t="shared" ref="BQ38:BQ50" si="155">BK8+BQ8</f>
        <v>1.1840946707380402E-2</v>
      </c>
      <c r="BR38" s="1568">
        <f t="shared" ref="BR38:BR50" si="156">BL8+BR8</f>
        <v>0.10119703676989877</v>
      </c>
      <c r="BS38" s="1568">
        <f t="shared" ref="BS38:BS50" si="157">BM8+BS8</f>
        <v>2.2861778214421216E-2</v>
      </c>
      <c r="BT38" s="1568">
        <f t="shared" ref="BT38:BT50" si="158">BN8+BT8</f>
        <v>2.1554677357209895E-2</v>
      </c>
      <c r="BU38" s="1569">
        <f t="shared" ref="BU38:BU50" si="159">BO8+BU8</f>
        <v>3.3865643410349471E-2</v>
      </c>
      <c r="BV38" s="1499"/>
      <c r="BW38" s="1567">
        <f t="shared" ref="BW38:BW50" si="160">BQ8+BW8</f>
        <v>2.1133051485096692E-2</v>
      </c>
      <c r="BX38" s="1568">
        <f t="shared" ref="BX38:BX50" si="161">BR8+BX8</f>
        <v>5.9922647166263929E-2</v>
      </c>
      <c r="BY38" s="1568">
        <f t="shared" ref="BY38:BY50" si="162">BS8+BY8</f>
        <v>4.5813390273183513E-2</v>
      </c>
      <c r="BZ38" s="1568">
        <f t="shared" ref="BZ38:BZ50" si="163">BT8+BZ8</f>
        <v>9.4469648223605235E-2</v>
      </c>
      <c r="CA38" s="1569">
        <f t="shared" ref="CA38:CA50" si="164">BU8+CA8</f>
        <v>5.645860609819902E-2</v>
      </c>
      <c r="CB38" s="1499"/>
      <c r="CC38" s="1567">
        <f t="shared" ref="CC38:CC50" si="165">BW8+CC8</f>
        <v>4.024759617801521E-2</v>
      </c>
      <c r="CD38" s="1568">
        <f t="shared" ref="CD38:CD50" si="166">BX8+CD8</f>
        <v>0.10446870801231722</v>
      </c>
      <c r="CE38" s="1568">
        <f t="shared" ref="CE38:CE50" si="167">BY8+CE8</f>
        <v>0.17295161205876231</v>
      </c>
      <c r="CF38" s="1568">
        <f t="shared" ref="CF38:CF50" si="168">BZ8+CF8</f>
        <v>0.14291497086639535</v>
      </c>
      <c r="CG38" s="1569">
        <f t="shared" ref="CG38:CG50" si="169">CA8+CG8</f>
        <v>0.11767914286469183</v>
      </c>
      <c r="CH38" s="1499"/>
      <c r="CI38" s="1567">
        <f t="shared" ref="CI38:CI50" si="170">CC8+CI8</f>
        <v>0.11358215700756964</v>
      </c>
      <c r="CJ38" s="1568">
        <f t="shared" ref="CJ38:CJ50" si="171">CD8+CJ8</f>
        <v>0.16389302699444872</v>
      </c>
      <c r="CK38" s="1568">
        <f t="shared" ref="CK38:CK50" si="172">CE8+CK8</f>
        <v>0.18190301941752157</v>
      </c>
      <c r="CL38" s="1568">
        <f t="shared" ref="CL38:CL50" si="173">CF8+CL8</f>
        <v>0.10565832080007215</v>
      </c>
      <c r="CM38" s="1569">
        <f t="shared" ref="CM38:CM50" si="174">CG8+CM8</f>
        <v>0.14132703170835212</v>
      </c>
      <c r="CN38" s="1499"/>
      <c r="CO38" s="1567">
        <f t="shared" ref="CO38:CO50" si="175">CI8+CO8</f>
        <v>0.24263355140334758</v>
      </c>
      <c r="CP38" s="1568">
        <f t="shared" ref="CP38:CP50" si="176">CJ8+CP8</f>
        <v>0.16001168515133557</v>
      </c>
      <c r="CQ38" s="1568">
        <f t="shared" ref="CQ38:CQ50" si="177">CK8+CQ8</f>
        <v>0.15785994769501016</v>
      </c>
      <c r="CR38" s="1568">
        <f t="shared" ref="CR38:CR50" si="178">CL8+CR8</f>
        <v>0.18989488404385244</v>
      </c>
      <c r="CS38" s="1569">
        <f t="shared" ref="CS38:CS50" si="179">CM8+CS8</f>
        <v>0.1849462751220613</v>
      </c>
      <c r="CT38" s="1499"/>
      <c r="CU38" s="1567">
        <f t="shared" ref="CU38:CU50" si="180">CO8+CU8</f>
        <v>0.31621299324474106</v>
      </c>
      <c r="CV38" s="1568">
        <f t="shared" ref="CV38:CV50" si="181">CP8+CV8</f>
        <v>0.21169431525868437</v>
      </c>
      <c r="CW38" s="1568">
        <f t="shared" ref="CW38:CW50" si="182">CQ8+CW8</f>
        <v>0.20955267152618773</v>
      </c>
      <c r="CX38" s="1568">
        <f t="shared" ref="CX38:CX50" si="183">CR8+CX8</f>
        <v>0.26495319338410228</v>
      </c>
      <c r="CY38" s="1569">
        <f t="shared" ref="CY38:CY50" si="184">CS8+CY8</f>
        <v>0.24807677905651565</v>
      </c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F38" s="39"/>
      <c r="EG38" s="2041"/>
      <c r="EH38" s="2041"/>
      <c r="EI38" s="2041"/>
      <c r="EJ38" s="2041"/>
      <c r="EK38" s="2041"/>
      <c r="EL38" s="2041"/>
      <c r="EM38" s="2041"/>
      <c r="EN38" s="2041"/>
      <c r="EO38" s="2041"/>
      <c r="EP38" s="2041"/>
      <c r="EQ38" s="2041"/>
      <c r="ER38" s="2041"/>
      <c r="ES38" s="2041"/>
      <c r="ET38" s="2041"/>
      <c r="EU38" s="2041"/>
      <c r="EV38" s="2041"/>
      <c r="EW38" s="2041"/>
      <c r="EX38" s="2041"/>
      <c r="EY38" s="2041"/>
      <c r="EZ38" s="2047"/>
    </row>
    <row r="39" spans="1:225" x14ac:dyDescent="0.2">
      <c r="A39" s="354" t="s">
        <v>670</v>
      </c>
      <c r="B39" s="1501"/>
      <c r="C39" s="1560"/>
      <c r="D39" s="1561"/>
      <c r="E39" s="1561"/>
      <c r="F39" s="1561"/>
      <c r="G39" s="1572"/>
      <c r="H39" s="1561"/>
      <c r="I39" s="764"/>
      <c r="J39" s="765"/>
      <c r="K39" s="765"/>
      <c r="L39" s="765"/>
      <c r="M39" s="767"/>
      <c r="N39" s="1561"/>
      <c r="O39" s="764"/>
      <c r="P39" s="765"/>
      <c r="Q39" s="765"/>
      <c r="R39" s="765"/>
      <c r="S39" s="767"/>
      <c r="T39" s="1561"/>
      <c r="U39" s="764"/>
      <c r="V39" s="765"/>
      <c r="W39" s="765"/>
      <c r="X39" s="765"/>
      <c r="Y39" s="767"/>
      <c r="Z39" s="1561"/>
      <c r="AA39" s="764"/>
      <c r="AB39" s="765"/>
      <c r="AC39" s="765"/>
      <c r="AD39" s="765"/>
      <c r="AE39" s="767"/>
      <c r="AF39" s="1561"/>
      <c r="AG39" s="764"/>
      <c r="AH39" s="765"/>
      <c r="AI39" s="765"/>
      <c r="AJ39" s="765"/>
      <c r="AK39" s="767"/>
      <c r="AL39" s="1561"/>
      <c r="AM39" s="1560"/>
      <c r="AN39" s="1561"/>
      <c r="AO39" s="1561"/>
      <c r="AP39" s="1561"/>
      <c r="AQ39" s="1572"/>
      <c r="AR39" s="80"/>
      <c r="AS39" s="1560"/>
      <c r="AT39" s="1561"/>
      <c r="AU39" s="1561"/>
      <c r="AV39" s="1561"/>
      <c r="AW39" s="1572"/>
      <c r="AX39" s="1561"/>
      <c r="AY39" s="1560"/>
      <c r="AZ39" s="1561"/>
      <c r="BA39" s="1561"/>
      <c r="BB39" s="1561"/>
      <c r="BC39" s="1572">
        <f>AW9+BC9</f>
        <v>0.17141456632545199</v>
      </c>
      <c r="BD39" s="1503"/>
      <c r="BE39" s="1560">
        <f t="shared" si="145"/>
        <v>0.16781110719004494</v>
      </c>
      <c r="BF39" s="1561">
        <f t="shared" si="146"/>
        <v>0.2182767015943427</v>
      </c>
      <c r="BG39" s="1561">
        <f t="shared" si="147"/>
        <v>0.25877682061732443</v>
      </c>
      <c r="BH39" s="1561">
        <f t="shared" si="148"/>
        <v>0.13441328383212892</v>
      </c>
      <c r="BI39" s="1572">
        <f t="shared" si="149"/>
        <v>0.19343265459598913</v>
      </c>
      <c r="BJ39" s="1503"/>
      <c r="BK39" s="1560">
        <f t="shared" si="150"/>
        <v>0.1739764478737964</v>
      </c>
      <c r="BL39" s="1561">
        <f t="shared" si="151"/>
        <v>0.24523768063620952</v>
      </c>
      <c r="BM39" s="1561">
        <f t="shared" si="152"/>
        <v>0.29498652849699536</v>
      </c>
      <c r="BN39" s="1525">
        <f t="shared" si="153"/>
        <v>0.20381461499762912</v>
      </c>
      <c r="BO39" s="1572">
        <f t="shared" si="154"/>
        <v>0.22419556950350902</v>
      </c>
      <c r="BP39" s="1503"/>
      <c r="BQ39" s="1560">
        <f t="shared" si="155"/>
        <v>0.17287609783210101</v>
      </c>
      <c r="BR39" s="1561">
        <f t="shared" si="156"/>
        <v>0.21439258535333558</v>
      </c>
      <c r="BS39" s="1561">
        <f t="shared" si="157"/>
        <v>0.18023131064277717</v>
      </c>
      <c r="BT39" s="1561">
        <f t="shared" si="158"/>
        <v>0.13992749638008795</v>
      </c>
      <c r="BU39" s="1572">
        <f t="shared" si="159"/>
        <v>0.16099304977570603</v>
      </c>
      <c r="BV39" s="1503"/>
      <c r="BW39" s="1560">
        <f t="shared" si="160"/>
        <v>0.1494632026098173</v>
      </c>
      <c r="BX39" s="1561">
        <f t="shared" si="161"/>
        <v>0.13855288962725176</v>
      </c>
      <c r="BY39" s="1561">
        <f t="shared" si="162"/>
        <v>0.12973413031588249</v>
      </c>
      <c r="BZ39" s="1561">
        <f t="shared" si="163"/>
        <v>0.11958882025867844</v>
      </c>
      <c r="CA39" s="1572">
        <f t="shared" si="164"/>
        <v>0.12463626208528258</v>
      </c>
      <c r="CB39" s="1503"/>
      <c r="CC39" s="1560">
        <f t="shared" si="165"/>
        <v>9.5962507889853749E-2</v>
      </c>
      <c r="CD39" s="1561">
        <f t="shared" si="166"/>
        <v>0.12879213533569439</v>
      </c>
      <c r="CE39" s="1561">
        <f t="shared" si="167"/>
        <v>0.19705074222266714</v>
      </c>
      <c r="CF39" s="1561">
        <f t="shared" si="168"/>
        <v>0.1583868990162762</v>
      </c>
      <c r="CG39" s="1572">
        <f t="shared" si="169"/>
        <v>0.145797219166652</v>
      </c>
      <c r="CH39" s="1503"/>
      <c r="CI39" s="1560">
        <f t="shared" si="170"/>
        <v>0.13342206871940818</v>
      </c>
      <c r="CJ39" s="1561">
        <f t="shared" si="171"/>
        <v>0.18034158600571312</v>
      </c>
      <c r="CK39" s="1561">
        <f t="shared" si="172"/>
        <v>0.20005933898442158</v>
      </c>
      <c r="CL39" s="1561">
        <f t="shared" si="173"/>
        <v>0.14331495864934243</v>
      </c>
      <c r="CM39" s="1572">
        <f t="shared" si="174"/>
        <v>0.16490000904773944</v>
      </c>
      <c r="CN39" s="1503"/>
      <c r="CO39" s="1560">
        <f t="shared" si="175"/>
        <v>0.24515803056088314</v>
      </c>
      <c r="CP39" s="1561">
        <f t="shared" si="176"/>
        <v>0.18282376627321434</v>
      </c>
      <c r="CQ39" s="1561">
        <f t="shared" si="177"/>
        <v>0.17952975467553486</v>
      </c>
      <c r="CR39" s="1561">
        <f t="shared" si="178"/>
        <v>0.21627438705842747</v>
      </c>
      <c r="CS39" s="1572">
        <f t="shared" si="179"/>
        <v>0.20430470281040314</v>
      </c>
      <c r="CT39" s="1503"/>
      <c r="CU39" s="1560">
        <f t="shared" si="180"/>
        <v>0.32067092902232508</v>
      </c>
      <c r="CV39" s="1561">
        <f t="shared" si="181"/>
        <v>0.21530901475965636</v>
      </c>
      <c r="CW39" s="1561">
        <f t="shared" si="182"/>
        <v>0.21295676148252732</v>
      </c>
      <c r="CX39" s="1561">
        <f t="shared" si="183"/>
        <v>0.26778542423105711</v>
      </c>
      <c r="CY39" s="1572">
        <f t="shared" si="184"/>
        <v>0.25160012145421473</v>
      </c>
      <c r="DD39" s="895" t="s">
        <v>602</v>
      </c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35"/>
      <c r="EF39" s="207"/>
      <c r="EL39" s="2034"/>
      <c r="EM39" s="2034"/>
      <c r="EN39" s="2034"/>
      <c r="EO39" s="2034"/>
      <c r="EP39" s="2034"/>
      <c r="EQ39" s="2034"/>
      <c r="ER39" s="2034"/>
      <c r="ES39" s="2034"/>
      <c r="ET39" s="2034"/>
      <c r="EU39" s="2034"/>
      <c r="EV39" s="2034"/>
      <c r="EW39" s="2034"/>
      <c r="EX39" s="2034"/>
      <c r="EY39" s="2034"/>
      <c r="EZ39" s="2034"/>
    </row>
    <row r="40" spans="1:225" x14ac:dyDescent="0.2">
      <c r="A40" s="354" t="s">
        <v>675</v>
      </c>
      <c r="B40" s="1501"/>
      <c r="C40" s="1560"/>
      <c r="D40" s="1561"/>
      <c r="E40" s="1561"/>
      <c r="F40" s="1561"/>
      <c r="G40" s="1572"/>
      <c r="H40" s="1561"/>
      <c r="I40" s="764"/>
      <c r="J40" s="765"/>
      <c r="K40" s="765"/>
      <c r="L40" s="765"/>
      <c r="M40" s="767"/>
      <c r="N40" s="1561"/>
      <c r="O40" s="764"/>
      <c r="P40" s="765"/>
      <c r="Q40" s="765"/>
      <c r="R40" s="765"/>
      <c r="S40" s="767"/>
      <c r="T40" s="1561"/>
      <c r="U40" s="764"/>
      <c r="V40" s="765"/>
      <c r="W40" s="765"/>
      <c r="X40" s="765"/>
      <c r="Y40" s="767"/>
      <c r="Z40" s="1561"/>
      <c r="AA40" s="764"/>
      <c r="AB40" s="765"/>
      <c r="AC40" s="765"/>
      <c r="AD40" s="765"/>
      <c r="AE40" s="767"/>
      <c r="AF40" s="1561"/>
      <c r="AG40" s="764"/>
      <c r="AH40" s="765"/>
      <c r="AI40" s="765"/>
      <c r="AJ40" s="765"/>
      <c r="AK40" s="767"/>
      <c r="AL40" s="1561"/>
      <c r="AM40" s="1560"/>
      <c r="AN40" s="1561"/>
      <c r="AO40" s="1561"/>
      <c r="AP40" s="1561"/>
      <c r="AQ40" s="1572"/>
      <c r="AR40" s="80"/>
      <c r="AS40" s="1560"/>
      <c r="AT40" s="1561"/>
      <c r="AU40" s="1561"/>
      <c r="AV40" s="1561"/>
      <c r="AW40" s="1572"/>
      <c r="AX40" s="1561"/>
      <c r="AY40" s="1560"/>
      <c r="AZ40" s="1561"/>
      <c r="BA40" s="1561"/>
      <c r="BB40" s="1561"/>
      <c r="BC40" s="1572"/>
      <c r="BD40" s="1503"/>
      <c r="BE40" s="1560">
        <f t="shared" si="145"/>
        <v>0.12654190740710208</v>
      </c>
      <c r="BF40" s="1561">
        <f t="shared" si="146"/>
        <v>6.8588222175179708E-2</v>
      </c>
      <c r="BG40" s="1561">
        <f t="shared" si="147"/>
        <v>0.15497323557290577</v>
      </c>
      <c r="BH40" s="1561">
        <f t="shared" si="148"/>
        <v>4.3610599372522624E-3</v>
      </c>
      <c r="BI40" s="1572">
        <f t="shared" si="149"/>
        <v>8.5129679791156238E-2</v>
      </c>
      <c r="BJ40" s="1503"/>
      <c r="BK40" s="1560">
        <f t="shared" si="150"/>
        <v>1.9492000445260709E-2</v>
      </c>
      <c r="BL40" s="1561">
        <f t="shared" si="151"/>
        <v>6.6058838669435904E-2</v>
      </c>
      <c r="BM40" s="1561">
        <f t="shared" si="152"/>
        <v>9.9278359617162554E-2</v>
      </c>
      <c r="BN40" s="1525">
        <f t="shared" si="153"/>
        <v>1.2030920978004567E-2</v>
      </c>
      <c r="BO40" s="1572">
        <f t="shared" si="154"/>
        <v>4.5346871908464655E-2</v>
      </c>
      <c r="BP40" s="1503"/>
      <c r="BQ40" s="1560">
        <f t="shared" si="155"/>
        <v>-4.1166903844630329E-2</v>
      </c>
      <c r="BR40" s="1561">
        <f t="shared" si="156"/>
        <v>6.775182268903078E-2</v>
      </c>
      <c r="BS40" s="1561">
        <f t="shared" si="157"/>
        <v>-3.9078633809499871E-2</v>
      </c>
      <c r="BT40" s="1561">
        <f t="shared" si="158"/>
        <v>-2.0783249398690161E-2</v>
      </c>
      <c r="BU40" s="1572">
        <f t="shared" si="159"/>
        <v>-1.3381335539577523E-2</v>
      </c>
      <c r="BV40" s="1503"/>
      <c r="BW40" s="1560">
        <f t="shared" si="160"/>
        <v>-3.440073417233834E-2</v>
      </c>
      <c r="BX40" s="1561">
        <f t="shared" si="161"/>
        <v>-3.2910928720558293E-3</v>
      </c>
      <c r="BY40" s="1561">
        <f t="shared" si="162"/>
        <v>-5.4756663724124972E-2</v>
      </c>
      <c r="BZ40" s="1561">
        <f t="shared" si="163"/>
        <v>4.8976194772489337E-3</v>
      </c>
      <c r="CA40" s="1572">
        <f t="shared" si="164"/>
        <v>-2.1592346243063776E-2</v>
      </c>
      <c r="CB40" s="1503"/>
      <c r="CC40" s="1560">
        <f t="shared" si="165"/>
        <v>-3.2467545815110799E-2</v>
      </c>
      <c r="CD40" s="1561">
        <f t="shared" si="166"/>
        <v>-1.4379388161127438E-2</v>
      </c>
      <c r="CE40" s="1561">
        <f t="shared" si="167"/>
        <v>4.1313139867000297E-2</v>
      </c>
      <c r="CF40" s="1561">
        <f t="shared" si="168"/>
        <v>3.5482601111219918E-2</v>
      </c>
      <c r="CG40" s="1572">
        <f t="shared" si="169"/>
        <v>8.9857783867483623E-3</v>
      </c>
      <c r="CH40" s="1503"/>
      <c r="CI40" s="1560">
        <f t="shared" si="170"/>
        <v>3.2652267836711615E-2</v>
      </c>
      <c r="CJ40" s="1561">
        <f t="shared" si="171"/>
        <v>3.3508655331862848E-2</v>
      </c>
      <c r="CK40" s="1561">
        <f t="shared" si="172"/>
        <v>3.3577722788750972E-2</v>
      </c>
      <c r="CL40" s="1561">
        <f t="shared" si="173"/>
        <v>2.3155610432297011E-2</v>
      </c>
      <c r="CM40" s="1572">
        <f t="shared" si="174"/>
        <v>3.0229502535074317E-2</v>
      </c>
      <c r="CN40" s="1503"/>
      <c r="CO40" s="1560">
        <f t="shared" si="175"/>
        <v>6.4265534592130386E-2</v>
      </c>
      <c r="CP40" s="1561">
        <f t="shared" si="176"/>
        <v>4.5758613095023187E-2</v>
      </c>
      <c r="CQ40" s="1561">
        <f t="shared" si="177"/>
        <v>8.0033459238693608E-2</v>
      </c>
      <c r="CR40" s="1561">
        <f t="shared" si="178"/>
        <v>0.10317525329061743</v>
      </c>
      <c r="CS40" s="1572">
        <f t="shared" si="179"/>
        <v>7.4558384177065992E-2</v>
      </c>
      <c r="CT40" s="1503"/>
      <c r="CU40" s="1560">
        <f t="shared" si="180"/>
        <v>0.12780488014162975</v>
      </c>
      <c r="CV40" s="1561">
        <f t="shared" si="181"/>
        <v>0.10343093239005263</v>
      </c>
      <c r="CW40" s="1561">
        <f t="shared" si="182"/>
        <v>0.16075496876895923</v>
      </c>
      <c r="CX40" s="1561">
        <f t="shared" si="183"/>
        <v>0.1685528199264606</v>
      </c>
      <c r="CY40" s="1572">
        <f t="shared" si="184"/>
        <v>0.14184131600576069</v>
      </c>
      <c r="DD40" s="1439"/>
      <c r="DE40" s="1440" t="s">
        <v>213</v>
      </c>
      <c r="DF40" s="1440" t="s">
        <v>417</v>
      </c>
      <c r="DG40" s="1440" t="s">
        <v>225</v>
      </c>
      <c r="DH40" s="1440" t="s">
        <v>224</v>
      </c>
      <c r="DI40" s="1487" t="str">
        <f t="shared" ref="DI40:DX40" si="185">DI27</f>
        <v>1Q14</v>
      </c>
      <c r="DJ40" s="1487" t="str">
        <f t="shared" si="185"/>
        <v>2Q14</v>
      </c>
      <c r="DK40" s="1487" t="str">
        <f t="shared" si="185"/>
        <v>3Q14</v>
      </c>
      <c r="DL40" s="1487" t="str">
        <f t="shared" si="185"/>
        <v>4Q14</v>
      </c>
      <c r="DM40" s="1487" t="str">
        <f t="shared" si="185"/>
        <v>1Q15</v>
      </c>
      <c r="DN40" s="1487" t="str">
        <f t="shared" si="185"/>
        <v>2Q15</v>
      </c>
      <c r="DO40" s="1487" t="str">
        <f t="shared" si="185"/>
        <v>3Q15</v>
      </c>
      <c r="DP40" s="1487" t="str">
        <f t="shared" si="185"/>
        <v>4Q15</v>
      </c>
      <c r="DQ40" s="1487" t="str">
        <f t="shared" si="185"/>
        <v>1Q16</v>
      </c>
      <c r="DR40" s="1487" t="str">
        <f t="shared" si="185"/>
        <v>2Q16</v>
      </c>
      <c r="DS40" s="1487" t="str">
        <f t="shared" si="185"/>
        <v>3Q16</v>
      </c>
      <c r="DT40" s="1487" t="str">
        <f t="shared" si="185"/>
        <v>4Q16</v>
      </c>
      <c r="DU40" s="1487" t="str">
        <f t="shared" si="185"/>
        <v>1Q17</v>
      </c>
      <c r="DV40" s="1487" t="str">
        <f t="shared" si="185"/>
        <v>2Q17</v>
      </c>
      <c r="DW40" s="1487" t="str">
        <f t="shared" si="185"/>
        <v>3Q17</v>
      </c>
      <c r="DX40" s="1487" t="str">
        <f t="shared" si="185"/>
        <v>4Q17</v>
      </c>
      <c r="DY40" s="1487" t="str">
        <f t="shared" ref="DY40:EB40" si="186">DY27</f>
        <v>1Q18E</v>
      </c>
      <c r="DZ40" s="1487" t="str">
        <f t="shared" si="186"/>
        <v>2Q18E</v>
      </c>
      <c r="EA40" s="1487" t="str">
        <f t="shared" si="186"/>
        <v>3Q18E</v>
      </c>
      <c r="EB40" s="1487" t="str">
        <f t="shared" si="186"/>
        <v>4Q18E</v>
      </c>
      <c r="EC40" s="35"/>
      <c r="EF40" s="207"/>
      <c r="EG40" s="2034"/>
      <c r="EH40" s="2034"/>
      <c r="EI40" s="2034"/>
      <c r="EJ40" s="2034"/>
      <c r="EK40" s="2034"/>
      <c r="EL40" s="2034"/>
      <c r="EM40" s="2034"/>
      <c r="EN40" s="2034"/>
      <c r="EO40" s="2034"/>
      <c r="EP40" s="2034"/>
      <c r="EQ40" s="2034"/>
      <c r="ER40" s="2034"/>
      <c r="ES40" s="2034"/>
      <c r="ET40" s="2034"/>
      <c r="EU40" s="2034"/>
      <c r="EV40" s="2034"/>
      <c r="EW40" s="2034"/>
      <c r="EX40" s="2034"/>
      <c r="EY40" s="2034"/>
      <c r="EZ40" s="2034"/>
    </row>
    <row r="41" spans="1:225" x14ac:dyDescent="0.2">
      <c r="A41" s="354" t="s">
        <v>669</v>
      </c>
      <c r="B41" s="1501"/>
      <c r="C41" s="1560"/>
      <c r="D41" s="1561"/>
      <c r="E41" s="1561"/>
      <c r="F41" s="1561"/>
      <c r="G41" s="1572"/>
      <c r="H41" s="1561"/>
      <c r="I41" s="764"/>
      <c r="J41" s="765"/>
      <c r="K41" s="765"/>
      <c r="L41" s="765"/>
      <c r="M41" s="767"/>
      <c r="N41" s="1561"/>
      <c r="O41" s="764"/>
      <c r="P41" s="765"/>
      <c r="Q41" s="765"/>
      <c r="R41" s="765"/>
      <c r="S41" s="767"/>
      <c r="T41" s="1561"/>
      <c r="U41" s="764"/>
      <c r="V41" s="765"/>
      <c r="W41" s="765"/>
      <c r="X41" s="765"/>
      <c r="Y41" s="767"/>
      <c r="Z41" s="1561"/>
      <c r="AA41" s="764"/>
      <c r="AB41" s="765"/>
      <c r="AC41" s="765"/>
      <c r="AD41" s="765"/>
      <c r="AE41" s="767"/>
      <c r="AF41" s="1561"/>
      <c r="AG41" s="764"/>
      <c r="AH41" s="765"/>
      <c r="AI41" s="765"/>
      <c r="AJ41" s="765"/>
      <c r="AK41" s="767"/>
      <c r="AL41" s="1561"/>
      <c r="AM41" s="1560"/>
      <c r="AN41" s="1561"/>
      <c r="AO41" s="1561"/>
      <c r="AP41" s="1561"/>
      <c r="AQ41" s="1572"/>
      <c r="AR41" s="80"/>
      <c r="AS41" s="1560"/>
      <c r="AT41" s="1561"/>
      <c r="AU41" s="1561"/>
      <c r="AV41" s="1561"/>
      <c r="AW41" s="1572"/>
      <c r="AX41" s="1561"/>
      <c r="AY41" s="1560"/>
      <c r="AZ41" s="1561"/>
      <c r="BA41" s="1561"/>
      <c r="BB41" s="1561"/>
      <c r="BC41" s="1572"/>
      <c r="BD41" s="1503"/>
      <c r="BE41" s="1560">
        <f t="shared" si="145"/>
        <v>0.16207204651154447</v>
      </c>
      <c r="BF41" s="1561">
        <f t="shared" si="146"/>
        <v>0.10663185965145838</v>
      </c>
      <c r="BG41" s="1561">
        <f t="shared" si="147"/>
        <v>0.21615112505074735</v>
      </c>
      <c r="BH41" s="1561">
        <f t="shared" si="148"/>
        <v>6.2672863100529191E-2</v>
      </c>
      <c r="BI41" s="1572">
        <f t="shared" si="149"/>
        <v>0.13299684124923628</v>
      </c>
      <c r="BJ41" s="1503"/>
      <c r="BK41" s="1560">
        <f t="shared" si="150"/>
        <v>8.8881654087531944E-2</v>
      </c>
      <c r="BL41" s="1561">
        <f t="shared" si="151"/>
        <v>0.11927438960363484</v>
      </c>
      <c r="BM41" s="1561">
        <f t="shared" si="152"/>
        <v>0.15756877206087849</v>
      </c>
      <c r="BN41" s="1525">
        <f t="shared" si="153"/>
        <v>5.7641465456847583E-2</v>
      </c>
      <c r="BO41" s="1572">
        <f t="shared" si="154"/>
        <v>0.10149641643348592</v>
      </c>
      <c r="BP41" s="1503"/>
      <c r="BQ41" s="1560">
        <f t="shared" si="155"/>
        <v>1.1840946707380402E-2</v>
      </c>
      <c r="BR41" s="1561">
        <f t="shared" si="156"/>
        <v>0.10119703676989877</v>
      </c>
      <c r="BS41" s="1561">
        <f t="shared" si="157"/>
        <v>2.2861778214421216E-2</v>
      </c>
      <c r="BT41" s="1561">
        <f t="shared" si="158"/>
        <v>2.1554677357209895E-2</v>
      </c>
      <c r="BU41" s="1572">
        <f t="shared" si="159"/>
        <v>3.3865643410349471E-2</v>
      </c>
      <c r="BV41" s="1503"/>
      <c r="BW41" s="1560">
        <f t="shared" si="160"/>
        <v>2.1133051485096692E-2</v>
      </c>
      <c r="BX41" s="1561">
        <f t="shared" si="161"/>
        <v>5.9922647166263929E-2</v>
      </c>
      <c r="BY41" s="1561">
        <f t="shared" si="162"/>
        <v>4.5813390273183513E-2</v>
      </c>
      <c r="BZ41" s="1561">
        <f t="shared" si="163"/>
        <v>9.4469648223605235E-2</v>
      </c>
      <c r="CA41" s="1572">
        <f t="shared" si="164"/>
        <v>5.645860609819902E-2</v>
      </c>
      <c r="CB41" s="1503"/>
      <c r="CC41" s="1560">
        <f t="shared" si="165"/>
        <v>3.245202010354431E-2</v>
      </c>
      <c r="CD41" s="1561">
        <f t="shared" si="166"/>
        <v>9.6739576419663909E-2</v>
      </c>
      <c r="CE41" s="1561">
        <f t="shared" si="167"/>
        <v>0.16495072108240938</v>
      </c>
      <c r="CF41" s="1561">
        <f t="shared" si="168"/>
        <v>0.13539888429215757</v>
      </c>
      <c r="CG41" s="1572">
        <f t="shared" si="169"/>
        <v>0.10989718625021963</v>
      </c>
      <c r="CH41" s="1503"/>
      <c r="CI41" s="1560">
        <f t="shared" si="170"/>
        <v>9.6710215994045418E-2</v>
      </c>
      <c r="CJ41" s="1561">
        <f t="shared" si="171"/>
        <v>0.14870176003507293</v>
      </c>
      <c r="CK41" s="1561">
        <f t="shared" si="172"/>
        <v>0.16705732125079897</v>
      </c>
      <c r="CL41" s="1561">
        <f t="shared" si="173"/>
        <v>9.2004966030041865E-2</v>
      </c>
      <c r="CM41" s="1572">
        <f t="shared" si="174"/>
        <v>0.12630883111883875</v>
      </c>
      <c r="CN41" s="1503"/>
      <c r="CO41" s="1560">
        <f t="shared" si="175"/>
        <v>0.22431708035943779</v>
      </c>
      <c r="CP41" s="1561">
        <f t="shared" si="176"/>
        <v>0.14424176828358015</v>
      </c>
      <c r="CQ41" s="1561">
        <f t="shared" si="177"/>
        <v>0.14258507508000212</v>
      </c>
      <c r="CR41" s="1561">
        <f t="shared" si="178"/>
        <v>0.17534706502091779</v>
      </c>
      <c r="CS41" s="1572">
        <f t="shared" si="179"/>
        <v>0.16914535589765461</v>
      </c>
      <c r="CT41" s="1503"/>
      <c r="CU41" s="1560">
        <f t="shared" si="180"/>
        <v>0.29667496545618144</v>
      </c>
      <c r="CV41" s="1561">
        <f t="shared" si="181"/>
        <v>0.19392244578019951</v>
      </c>
      <c r="CW41" s="1561">
        <f t="shared" si="182"/>
        <v>0.19163312087940682</v>
      </c>
      <c r="CX41" s="1561">
        <f t="shared" si="183"/>
        <v>0.24790579320158512</v>
      </c>
      <c r="CY41" s="1572">
        <f t="shared" si="184"/>
        <v>0.23008773183363912</v>
      </c>
      <c r="DD41" s="48" t="str">
        <f t="shared" ref="DD41:DD47" si="187">+DD28</f>
        <v xml:space="preserve">Molecular Diagnostics </v>
      </c>
      <c r="DE41" s="192"/>
      <c r="DF41" s="192"/>
      <c r="DG41" s="192"/>
      <c r="DH41" s="192"/>
      <c r="DI41" s="1488">
        <f t="shared" ref="DI41:DV47" si="188">+DI28+DE28</f>
        <v>8.8881654087531944E-2</v>
      </c>
      <c r="DJ41" s="1488">
        <f t="shared" si="188"/>
        <v>0.11927438960363484</v>
      </c>
      <c r="DK41" s="1488">
        <f t="shared" si="188"/>
        <v>0.15756877206087849</v>
      </c>
      <c r="DL41" s="1488">
        <f t="shared" si="188"/>
        <v>5.7641465456847583E-2</v>
      </c>
      <c r="DM41" s="1488">
        <f t="shared" si="188"/>
        <v>1.1840946707380402E-2</v>
      </c>
      <c r="DN41" s="1488">
        <f t="shared" si="188"/>
        <v>0.10119703676989877</v>
      </c>
      <c r="DO41" s="1488">
        <f t="shared" si="188"/>
        <v>2.2861778214421216E-2</v>
      </c>
      <c r="DP41" s="1488">
        <f t="shared" si="188"/>
        <v>2.1554677357209895E-2</v>
      </c>
      <c r="DQ41" s="1488">
        <f t="shared" si="188"/>
        <v>2.1133051485096692E-2</v>
      </c>
      <c r="DR41" s="1488">
        <f t="shared" si="188"/>
        <v>5.9922647166263929E-2</v>
      </c>
      <c r="DS41" s="1488">
        <f t="shared" si="188"/>
        <v>4.5813390273183513E-2</v>
      </c>
      <c r="DT41" s="1488">
        <f t="shared" si="188"/>
        <v>9.4469648223605235E-2</v>
      </c>
      <c r="DU41" s="1488">
        <f t="shared" si="188"/>
        <v>4.024759617801521E-2</v>
      </c>
      <c r="DV41" s="1488">
        <f t="shared" si="188"/>
        <v>0.10446870801231722</v>
      </c>
      <c r="DW41" s="1488">
        <f t="shared" ref="DW41:DW50" si="189">+DW28+DS28</f>
        <v>0.17295161205876231</v>
      </c>
      <c r="DX41" s="1488">
        <f t="shared" ref="DX41:DX50" si="190">+DX28+DT28</f>
        <v>0.14291497086639535</v>
      </c>
      <c r="DY41" s="1488">
        <f t="shared" ref="DY41:DY50" si="191">+DY28+DU28</f>
        <v>0.11358215700756964</v>
      </c>
      <c r="DZ41" s="1488">
        <f t="shared" ref="DZ41:DZ50" si="192">+DZ28+DV28</f>
        <v>0.16389302699444872</v>
      </c>
      <c r="EA41" s="1488">
        <f t="shared" ref="EA41:EA50" si="193">+EA28+DW28</f>
        <v>0.18190301941752157</v>
      </c>
      <c r="EB41" s="1488">
        <f t="shared" ref="EB41:EB50" si="194">+EB28+DX28</f>
        <v>0.10565832080007215</v>
      </c>
      <c r="EC41" s="35"/>
      <c r="EF41" s="2"/>
      <c r="EG41" s="2047"/>
      <c r="EH41" s="2047"/>
      <c r="EI41" s="2047"/>
      <c r="EJ41" s="2047"/>
      <c r="EK41" s="2049"/>
      <c r="EL41" s="2047"/>
      <c r="EM41" s="2047"/>
      <c r="EN41" s="2047"/>
      <c r="EO41" s="2047"/>
      <c r="EP41" s="2049"/>
      <c r="EQ41" s="2047"/>
      <c r="ER41" s="2047"/>
      <c r="ES41" s="2047"/>
      <c r="ET41" s="2047"/>
      <c r="EU41" s="2049"/>
      <c r="EV41" s="2047"/>
      <c r="EW41" s="2047"/>
      <c r="EX41" s="2047"/>
      <c r="EY41" s="2047"/>
      <c r="EZ41" s="2049"/>
    </row>
    <row r="42" spans="1:225" x14ac:dyDescent="0.2">
      <c r="A42" s="1819" t="s">
        <v>672</v>
      </c>
      <c r="B42" s="1820"/>
      <c r="C42" s="1821"/>
      <c r="D42" s="1822"/>
      <c r="E42" s="1822"/>
      <c r="F42" s="1822"/>
      <c r="G42" s="1823"/>
      <c r="H42" s="1822"/>
      <c r="I42" s="1824"/>
      <c r="J42" s="1825"/>
      <c r="K42" s="1825"/>
      <c r="L42" s="1825"/>
      <c r="M42" s="1826"/>
      <c r="N42" s="1822"/>
      <c r="O42" s="1824"/>
      <c r="P42" s="1825"/>
      <c r="Q42" s="1825"/>
      <c r="R42" s="1825"/>
      <c r="S42" s="1826"/>
      <c r="T42" s="1822"/>
      <c r="U42" s="1824"/>
      <c r="V42" s="1825"/>
      <c r="W42" s="1825"/>
      <c r="X42" s="1825"/>
      <c r="Y42" s="1826"/>
      <c r="Z42" s="1822"/>
      <c r="AA42" s="1824"/>
      <c r="AB42" s="1825"/>
      <c r="AC42" s="1825"/>
      <c r="AD42" s="1825"/>
      <c r="AE42" s="1826"/>
      <c r="AF42" s="1822"/>
      <c r="AG42" s="1824"/>
      <c r="AH42" s="1825"/>
      <c r="AI42" s="1825"/>
      <c r="AJ42" s="1825"/>
      <c r="AK42" s="1826"/>
      <c r="AL42" s="1822"/>
      <c r="AM42" s="1821"/>
      <c r="AN42" s="1822"/>
      <c r="AO42" s="1822"/>
      <c r="AP42" s="1822"/>
      <c r="AQ42" s="1823"/>
      <c r="AR42" s="1827"/>
      <c r="AS42" s="1821"/>
      <c r="AT42" s="1822"/>
      <c r="AU42" s="1822"/>
      <c r="AV42" s="1822"/>
      <c r="AW42" s="1823"/>
      <c r="AX42" s="1822"/>
      <c r="AY42" s="1821"/>
      <c r="AZ42" s="1822"/>
      <c r="BA42" s="1822"/>
      <c r="BB42" s="1822"/>
      <c r="BC42" s="1823"/>
      <c r="BD42" s="1828"/>
      <c r="BE42" s="1829">
        <f t="shared" si="145"/>
        <v>0.13228096808560252</v>
      </c>
      <c r="BF42" s="1830">
        <f t="shared" si="146"/>
        <v>0.180233064118064</v>
      </c>
      <c r="BG42" s="1830">
        <f t="shared" si="147"/>
        <v>0.19759893113948285</v>
      </c>
      <c r="BH42" s="1830">
        <f t="shared" si="148"/>
        <v>7.6101480668851973E-2</v>
      </c>
      <c r="BI42" s="1831">
        <f t="shared" si="149"/>
        <v>0.14556549313790906</v>
      </c>
      <c r="BJ42" s="1832"/>
      <c r="BK42" s="1829">
        <f t="shared" si="150"/>
        <v>0.10458679423152516</v>
      </c>
      <c r="BL42" s="1830">
        <f t="shared" si="151"/>
        <v>0.19202212970201057</v>
      </c>
      <c r="BM42" s="1830">
        <f t="shared" si="152"/>
        <v>0.23669611605327942</v>
      </c>
      <c r="BN42" s="1830">
        <f t="shared" si="153"/>
        <v>0.1582040705187861</v>
      </c>
      <c r="BO42" s="1831">
        <f t="shared" si="154"/>
        <v>0.16804602497848775</v>
      </c>
      <c r="BP42" s="1832"/>
      <c r="BQ42" s="1829">
        <f t="shared" si="155"/>
        <v>0.11986824728009027</v>
      </c>
      <c r="BR42" s="1830">
        <f t="shared" si="156"/>
        <v>0.18094737127246757</v>
      </c>
      <c r="BS42" s="1830">
        <f t="shared" si="157"/>
        <v>0.11829089861885607</v>
      </c>
      <c r="BT42" s="1830">
        <f t="shared" si="158"/>
        <v>9.7589569624187883E-2</v>
      </c>
      <c r="BU42" s="1831">
        <f t="shared" si="159"/>
        <v>0.11374607082577903</v>
      </c>
      <c r="BV42" s="1832"/>
      <c r="BW42" s="1829">
        <f t="shared" si="160"/>
        <v>9.3929416952382258E-2</v>
      </c>
      <c r="BX42" s="1830">
        <f t="shared" si="161"/>
        <v>7.5339149588932008E-2</v>
      </c>
      <c r="BY42" s="1830">
        <f t="shared" si="162"/>
        <v>2.9164076318573991E-2</v>
      </c>
      <c r="BZ42" s="1830">
        <f t="shared" si="163"/>
        <v>3.0016791512322141E-2</v>
      </c>
      <c r="CA42" s="1831">
        <f t="shared" si="164"/>
        <v>4.6585309744019796E-2</v>
      </c>
      <c r="CB42" s="1832"/>
      <c r="CC42" s="1829">
        <f t="shared" si="165"/>
        <v>1.5451789822256829E-2</v>
      </c>
      <c r="CD42" s="1830">
        <f t="shared" si="166"/>
        <v>2.2149075695964068E-3</v>
      </c>
      <c r="CE42" s="1830">
        <f t="shared" si="167"/>
        <v>5.7411379054552243E-2</v>
      </c>
      <c r="CF42" s="1830">
        <f t="shared" si="168"/>
        <v>4.3438442686863005E-2</v>
      </c>
      <c r="CG42" s="1831">
        <f t="shared" si="169"/>
        <v>2.9321898074236304E-2</v>
      </c>
      <c r="CH42" s="1832"/>
      <c r="CI42" s="1829">
        <f t="shared" si="170"/>
        <v>3.5620238535025911E-2</v>
      </c>
      <c r="CJ42" s="1830">
        <f t="shared" si="171"/>
        <v>3.4765947383751487E-2</v>
      </c>
      <c r="CK42" s="1830">
        <f t="shared" si="172"/>
        <v>3.6888344188928335E-2</v>
      </c>
      <c r="CL42" s="1830">
        <f t="shared" si="173"/>
        <v>4.7158893511537035E-2</v>
      </c>
      <c r="CM42" s="1831">
        <f t="shared" si="174"/>
        <v>3.8784279284948264E-2</v>
      </c>
      <c r="CN42" s="1832"/>
      <c r="CO42" s="1829">
        <f t="shared" si="175"/>
        <v>4.8473542705756191E-2</v>
      </c>
      <c r="CP42" s="1830">
        <f t="shared" si="176"/>
        <v>5.2800777349146566E-2</v>
      </c>
      <c r="CQ42" s="1830">
        <f t="shared" si="177"/>
        <v>8.6428393604210313E-2</v>
      </c>
      <c r="CR42" s="1830">
        <f t="shared" si="178"/>
        <v>0.11500693728225782</v>
      </c>
      <c r="CS42" s="1831">
        <f t="shared" si="179"/>
        <v>7.8115892641001147E-2</v>
      </c>
      <c r="CT42" s="1832"/>
      <c r="CU42" s="1829">
        <f t="shared" si="180"/>
        <v>0.11272478813065412</v>
      </c>
      <c r="CV42" s="1830">
        <f t="shared" si="181"/>
        <v>8.9273762412539759E-2</v>
      </c>
      <c r="CW42" s="1830">
        <f t="shared" si="182"/>
        <v>0.14623950807851793</v>
      </c>
      <c r="CX42" s="1830">
        <f t="shared" si="183"/>
        <v>0.15433765059089832</v>
      </c>
      <c r="CY42" s="1831">
        <f t="shared" si="184"/>
        <v>0.12737561118058327</v>
      </c>
      <c r="DD42" s="1441" t="str">
        <f t="shared" si="187"/>
        <v>MDx Ex-HPV</v>
      </c>
      <c r="DE42" s="1442"/>
      <c r="DF42" s="1442"/>
      <c r="DG42" s="1442"/>
      <c r="DH42" s="1442"/>
      <c r="DI42" s="1490">
        <f t="shared" si="188"/>
        <v>0.1739764478737964</v>
      </c>
      <c r="DJ42" s="1490">
        <f t="shared" si="188"/>
        <v>0.24523768063620952</v>
      </c>
      <c r="DK42" s="1490">
        <f t="shared" si="188"/>
        <v>0.29498652849699536</v>
      </c>
      <c r="DL42" s="1490">
        <f t="shared" si="188"/>
        <v>0.20381461499762912</v>
      </c>
      <c r="DM42" s="1490">
        <f t="shared" si="188"/>
        <v>0.17287609783210101</v>
      </c>
      <c r="DN42" s="1490">
        <f t="shared" si="188"/>
        <v>0.21439258535333558</v>
      </c>
      <c r="DO42" s="1490">
        <f t="shared" si="188"/>
        <v>0.18023131064277717</v>
      </c>
      <c r="DP42" s="1490">
        <f t="shared" si="188"/>
        <v>0.13992749638008795</v>
      </c>
      <c r="DQ42" s="1490">
        <f t="shared" si="188"/>
        <v>0.1494632026098173</v>
      </c>
      <c r="DR42" s="1490">
        <f t="shared" si="188"/>
        <v>0.13855288962725176</v>
      </c>
      <c r="DS42" s="1490">
        <f t="shared" si="188"/>
        <v>0.12973413031588249</v>
      </c>
      <c r="DT42" s="1490">
        <f t="shared" si="188"/>
        <v>0.11958882025867844</v>
      </c>
      <c r="DU42" s="1490">
        <f t="shared" si="188"/>
        <v>9.5962507889853749E-2</v>
      </c>
      <c r="DV42" s="1490">
        <f t="shared" si="188"/>
        <v>0.12879213533569439</v>
      </c>
      <c r="DW42" s="1490">
        <f t="shared" si="189"/>
        <v>0.19705074222266714</v>
      </c>
      <c r="DX42" s="1490">
        <f t="shared" si="190"/>
        <v>0.1583868990162762</v>
      </c>
      <c r="DY42" s="1490">
        <f t="shared" si="191"/>
        <v>0.13342206871940818</v>
      </c>
      <c r="DZ42" s="1490">
        <f t="shared" si="192"/>
        <v>0.18034158600571312</v>
      </c>
      <c r="EA42" s="1490">
        <f t="shared" si="193"/>
        <v>0.20005933898442158</v>
      </c>
      <c r="EB42" s="1490">
        <f t="shared" si="194"/>
        <v>0.14331495864934243</v>
      </c>
      <c r="EC42" s="35"/>
      <c r="EF42" s="2"/>
      <c r="EG42" s="2047"/>
      <c r="EH42" s="2047"/>
      <c r="EI42" s="2047"/>
      <c r="EJ42" s="2047"/>
      <c r="EK42" s="2049"/>
      <c r="EL42" s="2047"/>
      <c r="EM42" s="2047"/>
      <c r="EN42" s="2047"/>
      <c r="EO42" s="2047"/>
      <c r="EP42" s="2049"/>
      <c r="EQ42" s="2047"/>
      <c r="ER42" s="2047"/>
      <c r="ES42" s="2047"/>
      <c r="ET42" s="2047"/>
      <c r="EU42" s="2049"/>
      <c r="EV42" s="2047"/>
      <c r="EW42" s="2047"/>
      <c r="EX42" s="2047"/>
      <c r="EY42" s="2047"/>
      <c r="EZ42" s="2049"/>
    </row>
    <row r="43" spans="1:225" s="35" customFormat="1" x14ac:dyDescent="0.2">
      <c r="A43" s="779" t="str">
        <f>A13</f>
        <v>Applied Testing</v>
      </c>
      <c r="B43" s="1501"/>
      <c r="C43" s="1560"/>
      <c r="D43" s="1561"/>
      <c r="E43" s="1561"/>
      <c r="F43" s="1561"/>
      <c r="G43" s="1572"/>
      <c r="H43" s="1561"/>
      <c r="I43" s="764" t="s">
        <v>251</v>
      </c>
      <c r="J43" s="765" t="s">
        <v>251</v>
      </c>
      <c r="K43" s="765" t="s">
        <v>251</v>
      </c>
      <c r="L43" s="765" t="s">
        <v>251</v>
      </c>
      <c r="M43" s="767" t="s">
        <v>251</v>
      </c>
      <c r="N43" s="1561"/>
      <c r="O43" s="764" t="s">
        <v>251</v>
      </c>
      <c r="P43" s="765" t="s">
        <v>251</v>
      </c>
      <c r="Q43" s="765" t="s">
        <v>251</v>
      </c>
      <c r="R43" s="765" t="s">
        <v>251</v>
      </c>
      <c r="S43" s="767" t="s">
        <v>251</v>
      </c>
      <c r="T43" s="1561"/>
      <c r="U43" s="764" t="s">
        <v>251</v>
      </c>
      <c r="V43" s="765" t="s">
        <v>251</v>
      </c>
      <c r="W43" s="765" t="s">
        <v>251</v>
      </c>
      <c r="X43" s="765" t="s">
        <v>251</v>
      </c>
      <c r="Y43" s="767" t="s">
        <v>251</v>
      </c>
      <c r="Z43" s="1561"/>
      <c r="AA43" s="764" t="s">
        <v>251</v>
      </c>
      <c r="AB43" s="765" t="s">
        <v>251</v>
      </c>
      <c r="AC43" s="765" t="s">
        <v>251</v>
      </c>
      <c r="AD43" s="765" t="s">
        <v>251</v>
      </c>
      <c r="AE43" s="767" t="s">
        <v>251</v>
      </c>
      <c r="AF43" s="1561"/>
      <c r="AG43" s="764" t="s">
        <v>251</v>
      </c>
      <c r="AH43" s="765" t="s">
        <v>251</v>
      </c>
      <c r="AI43" s="765" t="s">
        <v>251</v>
      </c>
      <c r="AJ43" s="765" t="s">
        <v>251</v>
      </c>
      <c r="AK43" s="767" t="s">
        <v>251</v>
      </c>
      <c r="AL43" s="1561"/>
      <c r="AM43" s="1560"/>
      <c r="AN43" s="1561"/>
      <c r="AO43" s="1561"/>
      <c r="AP43" s="1561"/>
      <c r="AQ43" s="1572"/>
      <c r="AR43" s="80"/>
      <c r="AS43" s="1560">
        <f>AM13+AS13</f>
        <v>0.15000000000000002</v>
      </c>
      <c r="AT43" s="1561">
        <f>AN13+AT13</f>
        <v>0.16</v>
      </c>
      <c r="AU43" s="1561">
        <f>AO13+AU13</f>
        <v>0.2</v>
      </c>
      <c r="AV43" s="1561">
        <f>AP13+AV13</f>
        <v>0.22999999999999998</v>
      </c>
      <c r="AW43" s="1572">
        <f>AQ13+AW13</f>
        <v>0.16</v>
      </c>
      <c r="AX43" s="1561"/>
      <c r="AY43" s="1560">
        <f>AS13+AY13</f>
        <v>0.1</v>
      </c>
      <c r="AZ43" s="1561">
        <f>AT13+AZ13</f>
        <v>0.29000000000000004</v>
      </c>
      <c r="BA43" s="1561">
        <f>AU13+BA13</f>
        <v>0.21</v>
      </c>
      <c r="BB43" s="1561">
        <f>AV13+BB13</f>
        <v>0.33999999999999997</v>
      </c>
      <c r="BC43" s="1572">
        <f>AW13+BC13</f>
        <v>0.23</v>
      </c>
      <c r="BD43" s="1503"/>
      <c r="BE43" s="1524">
        <f t="shared" si="145"/>
        <v>0.28000000000000003</v>
      </c>
      <c r="BF43" s="1525">
        <f t="shared" si="146"/>
        <v>0.24000000000000002</v>
      </c>
      <c r="BG43" s="1525">
        <f t="shared" si="147"/>
        <v>0.27</v>
      </c>
      <c r="BH43" s="1525">
        <f t="shared" si="148"/>
        <v>0.33</v>
      </c>
      <c r="BI43" s="1526">
        <f t="shared" si="149"/>
        <v>0.28000000000000003</v>
      </c>
      <c r="BJ43" s="1519"/>
      <c r="BK43" s="1524">
        <f t="shared" si="150"/>
        <v>0.17558845231507103</v>
      </c>
      <c r="BL43" s="1525">
        <f t="shared" si="151"/>
        <v>-2.2962909118491082E-2</v>
      </c>
      <c r="BM43" s="1525">
        <f t="shared" si="152"/>
        <v>0.13</v>
      </c>
      <c r="BN43" s="1525">
        <f t="shared" si="153"/>
        <v>0.30000000000000004</v>
      </c>
      <c r="BO43" s="1526">
        <f t="shared" si="154"/>
        <v>0.14593343151783855</v>
      </c>
      <c r="BP43" s="1519"/>
      <c r="BQ43" s="1524">
        <f t="shared" si="155"/>
        <v>0.1667992259946216</v>
      </c>
      <c r="BR43" s="1525">
        <f t="shared" si="156"/>
        <v>7.5543966566441467E-2</v>
      </c>
      <c r="BS43" s="1525">
        <f t="shared" si="157"/>
        <v>8.3601558393737924E-2</v>
      </c>
      <c r="BT43" s="1525">
        <f t="shared" si="158"/>
        <v>0.15214317169085609</v>
      </c>
      <c r="BU43" s="1526">
        <f t="shared" si="159"/>
        <v>0.11901625399152417</v>
      </c>
      <c r="BV43" s="1519"/>
      <c r="BW43" s="1524">
        <f t="shared" si="160"/>
        <v>-4.2122559653782768E-2</v>
      </c>
      <c r="BX43" s="1525">
        <f t="shared" si="161"/>
        <v>0.10450687568493255</v>
      </c>
      <c r="BY43" s="1525">
        <f t="shared" si="162"/>
        <v>7.6039723540296672E-2</v>
      </c>
      <c r="BZ43" s="1525">
        <f t="shared" si="163"/>
        <v>6.4282100433084688E-2</v>
      </c>
      <c r="CA43" s="1526">
        <f t="shared" si="164"/>
        <v>5.1913648872363161E-2</v>
      </c>
      <c r="CB43" s="1519"/>
      <c r="CC43" s="1524">
        <f t="shared" si="165"/>
        <v>0.10153084946773509</v>
      </c>
      <c r="CD43" s="1525">
        <f t="shared" si="166"/>
        <v>0.1535618185021721</v>
      </c>
      <c r="CE43" s="1525">
        <f t="shared" si="167"/>
        <v>0.21243816514655875</v>
      </c>
      <c r="CF43" s="1525">
        <f t="shared" si="168"/>
        <v>0.1321389287422286</v>
      </c>
      <c r="CG43" s="1526">
        <f t="shared" si="169"/>
        <v>0.14700047088581902</v>
      </c>
      <c r="CH43" s="1519"/>
      <c r="CI43" s="1524">
        <f t="shared" si="170"/>
        <v>0.22486418280106843</v>
      </c>
      <c r="CJ43" s="1525">
        <f t="shared" si="171"/>
        <v>0.20756181850217209</v>
      </c>
      <c r="CK43" s="1525">
        <f t="shared" si="172"/>
        <v>0.22</v>
      </c>
      <c r="CL43" s="1525">
        <f t="shared" si="173"/>
        <v>0.2</v>
      </c>
      <c r="CM43" s="1526">
        <f t="shared" si="174"/>
        <v>0.21069692862599654</v>
      </c>
      <c r="CN43" s="1519"/>
      <c r="CO43" s="1524">
        <f t="shared" si="175"/>
        <v>0.13</v>
      </c>
      <c r="CP43" s="1525">
        <f t="shared" si="176"/>
        <v>0.19</v>
      </c>
      <c r="CQ43" s="1525">
        <f t="shared" si="177"/>
        <v>0.16</v>
      </c>
      <c r="CR43" s="1525">
        <f t="shared" si="178"/>
        <v>0.2</v>
      </c>
      <c r="CS43" s="1526">
        <f t="shared" si="179"/>
        <v>0.1725272841388551</v>
      </c>
      <c r="CT43" s="1519"/>
      <c r="CU43" s="1524">
        <f t="shared" si="180"/>
        <v>0.15</v>
      </c>
      <c r="CV43" s="1525">
        <f t="shared" si="181"/>
        <v>0.15</v>
      </c>
      <c r="CW43" s="1525">
        <f t="shared" si="182"/>
        <v>0.15</v>
      </c>
      <c r="CX43" s="1525">
        <f t="shared" si="183"/>
        <v>0.15</v>
      </c>
      <c r="CY43" s="1526">
        <f t="shared" si="184"/>
        <v>0.15000000000000002</v>
      </c>
      <c r="DD43" s="48" t="str">
        <f t="shared" si="187"/>
        <v>Applied Testing</v>
      </c>
      <c r="DE43" s="192"/>
      <c r="DF43" s="192"/>
      <c r="DG43" s="192"/>
      <c r="DH43" s="192"/>
      <c r="DI43" s="1488">
        <f t="shared" si="188"/>
        <v>0.17558845231507103</v>
      </c>
      <c r="DJ43" s="1488">
        <f t="shared" si="188"/>
        <v>-2.2962909118491082E-2</v>
      </c>
      <c r="DK43" s="1488">
        <f t="shared" si="188"/>
        <v>0.13</v>
      </c>
      <c r="DL43" s="1488">
        <f t="shared" si="188"/>
        <v>0.30000000000000004</v>
      </c>
      <c r="DM43" s="1488">
        <f t="shared" si="188"/>
        <v>0.1667992259946216</v>
      </c>
      <c r="DN43" s="1488">
        <f t="shared" si="188"/>
        <v>7.5543966566441467E-2</v>
      </c>
      <c r="DO43" s="1488">
        <f t="shared" si="188"/>
        <v>8.3601558393737924E-2</v>
      </c>
      <c r="DP43" s="1488">
        <f t="shared" si="188"/>
        <v>0.15214317169085609</v>
      </c>
      <c r="DQ43" s="1488">
        <f t="shared" si="188"/>
        <v>-4.2122559653782768E-2</v>
      </c>
      <c r="DR43" s="1488">
        <f t="shared" si="188"/>
        <v>0.10450687568493255</v>
      </c>
      <c r="DS43" s="1488">
        <f t="shared" si="188"/>
        <v>7.6039723540296672E-2</v>
      </c>
      <c r="DT43" s="1488">
        <f t="shared" si="188"/>
        <v>6.4282100433084688E-2</v>
      </c>
      <c r="DU43" s="1488">
        <f t="shared" si="188"/>
        <v>0.10153084946773509</v>
      </c>
      <c r="DV43" s="1488">
        <f t="shared" si="188"/>
        <v>0.1535618185021721</v>
      </c>
      <c r="DW43" s="1488">
        <f t="shared" si="189"/>
        <v>0.21243816514655875</v>
      </c>
      <c r="DX43" s="1488">
        <f t="shared" si="190"/>
        <v>0.1321389287422286</v>
      </c>
      <c r="DY43" s="1488">
        <f t="shared" si="191"/>
        <v>0.22486418280106843</v>
      </c>
      <c r="DZ43" s="1488">
        <f t="shared" si="192"/>
        <v>0.20756181850217209</v>
      </c>
      <c r="EA43" s="1488">
        <f t="shared" si="193"/>
        <v>0.22</v>
      </c>
      <c r="EB43" s="1488">
        <f t="shared" si="194"/>
        <v>0.2</v>
      </c>
      <c r="EF43" s="48"/>
      <c r="EG43" s="48"/>
      <c r="EH43" s="48"/>
      <c r="EI43" s="48"/>
      <c r="EJ43" s="48"/>
      <c r="EK43" s="48"/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48"/>
      <c r="EX43" s="48"/>
      <c r="EY43" s="48"/>
      <c r="EZ43" s="48"/>
      <c r="FA43" s="48"/>
      <c r="FB43" s="48"/>
      <c r="FC43" s="48"/>
      <c r="FD43" s="48"/>
      <c r="FE43" s="48"/>
      <c r="FF43" s="48"/>
      <c r="FG43" s="48"/>
      <c r="FH43" s="48"/>
      <c r="FI43" s="48"/>
      <c r="FJ43" s="48"/>
      <c r="FK43" s="48"/>
      <c r="FL43" s="48"/>
      <c r="FM43" s="48"/>
      <c r="FN43" s="48"/>
      <c r="FO43" s="48"/>
      <c r="FP43" s="48"/>
      <c r="FQ43" s="48"/>
      <c r="FR43" s="48"/>
      <c r="FS43" s="48"/>
      <c r="FT43" s="48"/>
    </row>
    <row r="44" spans="1:225" s="35" customFormat="1" x14ac:dyDescent="0.2">
      <c r="A44" s="1833" t="s">
        <v>669</v>
      </c>
      <c r="B44" s="1820"/>
      <c r="C44" s="1821"/>
      <c r="D44" s="1822"/>
      <c r="E44" s="1822"/>
      <c r="F44" s="1822"/>
      <c r="G44" s="1823"/>
      <c r="H44" s="1822"/>
      <c r="I44" s="1824"/>
      <c r="J44" s="1825"/>
      <c r="K44" s="1825"/>
      <c r="L44" s="1825"/>
      <c r="M44" s="1826"/>
      <c r="N44" s="1822"/>
      <c r="O44" s="1824"/>
      <c r="P44" s="1825"/>
      <c r="Q44" s="1825"/>
      <c r="R44" s="1825"/>
      <c r="S44" s="1826"/>
      <c r="T44" s="1822"/>
      <c r="U44" s="1824"/>
      <c r="V44" s="1825"/>
      <c r="W44" s="1825"/>
      <c r="X44" s="1825"/>
      <c r="Y44" s="1826"/>
      <c r="Z44" s="1822"/>
      <c r="AA44" s="1824"/>
      <c r="AB44" s="1825"/>
      <c r="AC44" s="1825"/>
      <c r="AD44" s="1825"/>
      <c r="AE44" s="1826"/>
      <c r="AF44" s="1822"/>
      <c r="AG44" s="1824"/>
      <c r="AH44" s="1825"/>
      <c r="AI44" s="1825"/>
      <c r="AJ44" s="1825"/>
      <c r="AK44" s="1826"/>
      <c r="AL44" s="1822"/>
      <c r="AM44" s="1821"/>
      <c r="AN44" s="1822"/>
      <c r="AO44" s="1822"/>
      <c r="AP44" s="1822"/>
      <c r="AQ44" s="1823"/>
      <c r="AR44" s="1827"/>
      <c r="AS44" s="1821"/>
      <c r="AT44" s="1822"/>
      <c r="AU44" s="1822"/>
      <c r="AV44" s="1822"/>
      <c r="AW44" s="1823"/>
      <c r="AX44" s="1822"/>
      <c r="AY44" s="1821"/>
      <c r="AZ44" s="1822"/>
      <c r="BA44" s="1822"/>
      <c r="BB44" s="1822"/>
      <c r="BC44" s="1823"/>
      <c r="BD44" s="1828"/>
      <c r="BE44" s="1829">
        <f t="shared" si="145"/>
        <v>0.05</v>
      </c>
      <c r="BF44" s="1830">
        <f t="shared" si="146"/>
        <v>-0.04</v>
      </c>
      <c r="BG44" s="1830">
        <f t="shared" si="147"/>
        <v>0.06</v>
      </c>
      <c r="BH44" s="1830">
        <f t="shared" si="148"/>
        <v>0.17</v>
      </c>
      <c r="BI44" s="1831">
        <f t="shared" si="149"/>
        <v>0.06</v>
      </c>
      <c r="BJ44" s="1832"/>
      <c r="BK44" s="1829">
        <f t="shared" si="150"/>
        <v>0.17558845231507103</v>
      </c>
      <c r="BL44" s="1830">
        <f t="shared" si="151"/>
        <v>-2.2962909118491082E-2</v>
      </c>
      <c r="BM44" s="1830">
        <f t="shared" si="152"/>
        <v>0.13</v>
      </c>
      <c r="BN44" s="1830">
        <f t="shared" si="153"/>
        <v>0.30000000000000004</v>
      </c>
      <c r="BO44" s="1831">
        <f t="shared" si="154"/>
        <v>0.14593343151783855</v>
      </c>
      <c r="BP44" s="1832"/>
      <c r="BQ44" s="1829">
        <f t="shared" si="155"/>
        <v>0.1667992259946216</v>
      </c>
      <c r="BR44" s="1830">
        <f t="shared" si="156"/>
        <v>7.5543966566441467E-2</v>
      </c>
      <c r="BS44" s="1830">
        <f t="shared" si="157"/>
        <v>8.3601558393737924E-2</v>
      </c>
      <c r="BT44" s="1830">
        <f t="shared" si="158"/>
        <v>0.15214317169085609</v>
      </c>
      <c r="BU44" s="1831">
        <f t="shared" si="159"/>
        <v>0.11901625399152417</v>
      </c>
      <c r="BV44" s="1832"/>
      <c r="BW44" s="1829">
        <f t="shared" si="160"/>
        <v>-4.2122559653782768E-2</v>
      </c>
      <c r="BX44" s="1830">
        <f t="shared" si="161"/>
        <v>0.10450687568493255</v>
      </c>
      <c r="BY44" s="1830">
        <f t="shared" si="162"/>
        <v>7.6039723540296672E-2</v>
      </c>
      <c r="BZ44" s="1830">
        <f t="shared" si="163"/>
        <v>6.4282100433084688E-2</v>
      </c>
      <c r="CA44" s="1831">
        <f t="shared" si="164"/>
        <v>5.1913648872363161E-2</v>
      </c>
      <c r="CB44" s="1832"/>
      <c r="CC44" s="1829">
        <f t="shared" si="165"/>
        <v>0.10153084946773509</v>
      </c>
      <c r="CD44" s="1830">
        <f t="shared" si="166"/>
        <v>0.1535618185021721</v>
      </c>
      <c r="CE44" s="1830">
        <f t="shared" si="167"/>
        <v>0.21243816514655875</v>
      </c>
      <c r="CF44" s="1830">
        <f t="shared" si="168"/>
        <v>0.1321389287422286</v>
      </c>
      <c r="CG44" s="1831">
        <f t="shared" si="169"/>
        <v>0.14700047088581902</v>
      </c>
      <c r="CH44" s="1832"/>
      <c r="CI44" s="1829">
        <f t="shared" si="170"/>
        <v>0.22486418280106843</v>
      </c>
      <c r="CJ44" s="1830">
        <f t="shared" si="171"/>
        <v>0.20756181850217209</v>
      </c>
      <c r="CK44" s="1830">
        <f t="shared" si="172"/>
        <v>0.22</v>
      </c>
      <c r="CL44" s="1830">
        <f t="shared" si="173"/>
        <v>0.2</v>
      </c>
      <c r="CM44" s="1831">
        <f t="shared" si="174"/>
        <v>0.21069692862599654</v>
      </c>
      <c r="CN44" s="1832"/>
      <c r="CO44" s="1829">
        <f t="shared" si="175"/>
        <v>0.13</v>
      </c>
      <c r="CP44" s="1830">
        <f t="shared" si="176"/>
        <v>0.19</v>
      </c>
      <c r="CQ44" s="1830">
        <f t="shared" si="177"/>
        <v>0.16</v>
      </c>
      <c r="CR44" s="1830">
        <f t="shared" si="178"/>
        <v>0.2</v>
      </c>
      <c r="CS44" s="1831">
        <f t="shared" si="179"/>
        <v>0.1725272841388551</v>
      </c>
      <c r="CT44" s="1832"/>
      <c r="CU44" s="1829">
        <f t="shared" si="180"/>
        <v>0.15</v>
      </c>
      <c r="CV44" s="1830">
        <f t="shared" si="181"/>
        <v>0.15</v>
      </c>
      <c r="CW44" s="1830">
        <f t="shared" si="182"/>
        <v>0.15</v>
      </c>
      <c r="CX44" s="1830">
        <f t="shared" si="183"/>
        <v>0.15</v>
      </c>
      <c r="CY44" s="1831">
        <f t="shared" si="184"/>
        <v>0.15000000000000002</v>
      </c>
      <c r="DD44" s="1441" t="str">
        <f t="shared" si="187"/>
        <v xml:space="preserve">Pharma </v>
      </c>
      <c r="DE44" s="1442"/>
      <c r="DF44" s="1442"/>
      <c r="DG44" s="1442"/>
      <c r="DH44" s="1442"/>
      <c r="DI44" s="1490">
        <f t="shared" si="188"/>
        <v>-1.6044907663612697E-2</v>
      </c>
      <c r="DJ44" s="1490">
        <f t="shared" si="188"/>
        <v>2.3933444559421306E-2</v>
      </c>
      <c r="DK44" s="1490">
        <f t="shared" si="188"/>
        <v>1.0434915491522867E-2</v>
      </c>
      <c r="DL44" s="1490">
        <f t="shared" si="188"/>
        <v>1.5271329760150406E-2</v>
      </c>
      <c r="DM44" s="1490">
        <f t="shared" si="188"/>
        <v>3.1833312833040167E-2</v>
      </c>
      <c r="DN44" s="1490">
        <f t="shared" si="188"/>
        <v>3.794850258420019E-2</v>
      </c>
      <c r="DO44" s="1490">
        <f t="shared" si="188"/>
        <v>8.0463814060521222E-2</v>
      </c>
      <c r="DP44" s="1490">
        <f t="shared" si="188"/>
        <v>4.6071585845428038E-2</v>
      </c>
      <c r="DQ44" s="1490">
        <f t="shared" si="188"/>
        <v>6.7878220496652875E-2</v>
      </c>
      <c r="DR44" s="1490">
        <f t="shared" si="188"/>
        <v>0.11931868449891897</v>
      </c>
      <c r="DS44" s="1490">
        <f t="shared" si="188"/>
        <v>6.8658162692424113E-2</v>
      </c>
      <c r="DT44" s="1490">
        <f t="shared" si="188"/>
        <v>3.125583412753935E-2</v>
      </c>
      <c r="DU44" s="1490">
        <f t="shared" si="188"/>
        <v>8.9728365602136886E-2</v>
      </c>
      <c r="DV44" s="1490">
        <f t="shared" si="188"/>
        <v>0.10358409794308977</v>
      </c>
      <c r="DW44" s="1490">
        <f t="shared" si="189"/>
        <v>3.981059972067269E-2</v>
      </c>
      <c r="DX44" s="1490">
        <f t="shared" si="190"/>
        <v>4.5774007379434892E-2</v>
      </c>
      <c r="DY44" s="1490">
        <f t="shared" si="191"/>
        <v>7.9728365602136878E-2</v>
      </c>
      <c r="DZ44" s="1490">
        <f t="shared" si="192"/>
        <v>9.2584097943089777E-2</v>
      </c>
      <c r="EA44" s="1490">
        <f t="shared" si="193"/>
        <v>0.11161625108876981</v>
      </c>
      <c r="EB44" s="1490">
        <f t="shared" si="194"/>
        <v>0.13058975909732357</v>
      </c>
      <c r="EF44" s="2"/>
      <c r="EG44" s="2047"/>
      <c r="EH44" s="2047"/>
      <c r="EI44" s="2047"/>
      <c r="EJ44" s="2047"/>
      <c r="EK44" s="2049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48"/>
      <c r="FL44" s="48"/>
      <c r="FM44" s="48"/>
      <c r="FN44" s="48"/>
      <c r="FO44" s="48"/>
      <c r="FP44" s="48"/>
      <c r="FQ44" s="48"/>
      <c r="FR44" s="48"/>
      <c r="FS44" s="48"/>
      <c r="FT44" s="48"/>
    </row>
    <row r="45" spans="1:225" s="35" customFormat="1" x14ac:dyDescent="0.2">
      <c r="A45" s="779" t="str">
        <f>A15</f>
        <v xml:space="preserve">Pharma </v>
      </c>
      <c r="B45" s="1501"/>
      <c r="C45" s="1560"/>
      <c r="D45" s="1561"/>
      <c r="E45" s="1561"/>
      <c r="F45" s="1561"/>
      <c r="G45" s="1572"/>
      <c r="H45" s="1561"/>
      <c r="I45" s="764" t="s">
        <v>251</v>
      </c>
      <c r="J45" s="765" t="s">
        <v>251</v>
      </c>
      <c r="K45" s="765" t="s">
        <v>251</v>
      </c>
      <c r="L45" s="765" t="s">
        <v>251</v>
      </c>
      <c r="M45" s="767" t="s">
        <v>251</v>
      </c>
      <c r="N45" s="1561"/>
      <c r="O45" s="764" t="s">
        <v>251</v>
      </c>
      <c r="P45" s="765" t="s">
        <v>251</v>
      </c>
      <c r="Q45" s="765" t="s">
        <v>251</v>
      </c>
      <c r="R45" s="765" t="s">
        <v>251</v>
      </c>
      <c r="S45" s="767" t="s">
        <v>251</v>
      </c>
      <c r="T45" s="1561"/>
      <c r="U45" s="764" t="s">
        <v>251</v>
      </c>
      <c r="V45" s="765" t="s">
        <v>251</v>
      </c>
      <c r="W45" s="765" t="s">
        <v>251</v>
      </c>
      <c r="X45" s="765" t="s">
        <v>251</v>
      </c>
      <c r="Y45" s="767" t="s">
        <v>251</v>
      </c>
      <c r="Z45" s="1561"/>
      <c r="AA45" s="764" t="s">
        <v>251</v>
      </c>
      <c r="AB45" s="765" t="s">
        <v>251</v>
      </c>
      <c r="AC45" s="765" t="s">
        <v>251</v>
      </c>
      <c r="AD45" s="765" t="s">
        <v>251</v>
      </c>
      <c r="AE45" s="767" t="s">
        <v>251</v>
      </c>
      <c r="AF45" s="1561"/>
      <c r="AG45" s="764" t="s">
        <v>251</v>
      </c>
      <c r="AH45" s="765" t="s">
        <v>251</v>
      </c>
      <c r="AI45" s="765" t="s">
        <v>251</v>
      </c>
      <c r="AJ45" s="765" t="s">
        <v>251</v>
      </c>
      <c r="AK45" s="767" t="s">
        <v>251</v>
      </c>
      <c r="AL45" s="1561"/>
      <c r="AM45" s="1560"/>
      <c r="AN45" s="1561"/>
      <c r="AO45" s="1561"/>
      <c r="AP45" s="1561"/>
      <c r="AQ45" s="1572"/>
      <c r="AR45" s="80"/>
      <c r="AS45" s="1560">
        <f>AM15+AS15</f>
        <v>0.15</v>
      </c>
      <c r="AT45" s="1561">
        <f>AN15+AT15</f>
        <v>0.11</v>
      </c>
      <c r="AU45" s="1561">
        <f>AO15+AU15</f>
        <v>9.1026039217401766E-2</v>
      </c>
      <c r="AV45" s="1561">
        <f>IF(ISERROR(AP15+AV15),"NM",AP15+AV15)</f>
        <v>0.10314738011331399</v>
      </c>
      <c r="AW45" s="1572">
        <f>AQ15+AW15</f>
        <v>6.296750520012484E-2</v>
      </c>
      <c r="AX45" s="1561"/>
      <c r="AY45" s="1560">
        <f>AS15+AY15</f>
        <v>1.9048379467579878E-2</v>
      </c>
      <c r="AZ45" s="1561">
        <f>AT15+AZ15</f>
        <v>-5.0646934370979932E-2</v>
      </c>
      <c r="BA45" s="1561">
        <f>AU15+BA15</f>
        <v>3.1026039217401762E-2</v>
      </c>
      <c r="BB45" s="1561">
        <f>AV15+BB15</f>
        <v>3.1473801133139936E-3</v>
      </c>
      <c r="BC45" s="1572">
        <f>AW15+BC15</f>
        <v>-2.8754343700858262E-3</v>
      </c>
      <c r="BD45" s="1503"/>
      <c r="BE45" s="1524">
        <f t="shared" si="145"/>
        <v>-4.0951620532420123E-2</v>
      </c>
      <c r="BF45" s="1525">
        <f t="shared" si="146"/>
        <v>-1.634330789683984E-2</v>
      </c>
      <c r="BG45" s="1525">
        <f t="shared" si="147"/>
        <v>4.3491549152286507E-4</v>
      </c>
      <c r="BH45" s="1525">
        <f t="shared" si="148"/>
        <v>1.5271329760150406E-2</v>
      </c>
      <c r="BI45" s="1526">
        <f t="shared" si="149"/>
        <v>-8.3488574632402807E-3</v>
      </c>
      <c r="BJ45" s="1519"/>
      <c r="BK45" s="1524">
        <f t="shared" si="150"/>
        <v>-1.6044907663612697E-2</v>
      </c>
      <c r="BL45" s="1525">
        <f t="shared" si="151"/>
        <v>2.3933444559421306E-2</v>
      </c>
      <c r="BM45" s="1525">
        <f t="shared" si="152"/>
        <v>1.0434915491522867E-2</v>
      </c>
      <c r="BN45" s="1525">
        <f t="shared" si="153"/>
        <v>1.5271329760150406E-2</v>
      </c>
      <c r="BO45" s="1526">
        <f t="shared" si="154"/>
        <v>1.2297862595388228E-2</v>
      </c>
      <c r="BP45" s="1519"/>
      <c r="BQ45" s="1524">
        <f t="shared" si="155"/>
        <v>3.1833312833040167E-2</v>
      </c>
      <c r="BR45" s="1525">
        <f t="shared" si="156"/>
        <v>3.794850258420019E-2</v>
      </c>
      <c r="BS45" s="1525">
        <f t="shared" si="157"/>
        <v>8.0463814060521222E-2</v>
      </c>
      <c r="BT45" s="1525">
        <f t="shared" si="158"/>
        <v>4.6071585845428038E-2</v>
      </c>
      <c r="BU45" s="1526">
        <f t="shared" si="159"/>
        <v>4.8304509983444377E-2</v>
      </c>
      <c r="BV45" s="1519"/>
      <c r="BW45" s="1524">
        <f t="shared" si="160"/>
        <v>6.7878220496652875E-2</v>
      </c>
      <c r="BX45" s="1525">
        <f t="shared" si="161"/>
        <v>0.11931868449891897</v>
      </c>
      <c r="BY45" s="1525">
        <f t="shared" si="162"/>
        <v>6.8658162692424113E-2</v>
      </c>
      <c r="BZ45" s="1525">
        <f t="shared" si="163"/>
        <v>3.125583412753935E-2</v>
      </c>
      <c r="CA45" s="1526">
        <f t="shared" si="164"/>
        <v>7.1094382294321468E-2</v>
      </c>
      <c r="CB45" s="1519"/>
      <c r="CC45" s="1524">
        <f t="shared" si="165"/>
        <v>8.9728365602136886E-2</v>
      </c>
      <c r="CD45" s="1525">
        <f t="shared" si="166"/>
        <v>0.10358409794308977</v>
      </c>
      <c r="CE45" s="1525">
        <f t="shared" si="167"/>
        <v>3.981059972067269E-2</v>
      </c>
      <c r="CF45" s="1525">
        <f t="shared" si="168"/>
        <v>4.5774007379434892E-2</v>
      </c>
      <c r="CG45" s="1526">
        <f t="shared" si="169"/>
        <v>6.8624283020776194E-2</v>
      </c>
      <c r="CH45" s="1519"/>
      <c r="CI45" s="1524">
        <f t="shared" si="170"/>
        <v>7.9728365602136878E-2</v>
      </c>
      <c r="CJ45" s="1525">
        <f t="shared" si="171"/>
        <v>9.2584097943089777E-2</v>
      </c>
      <c r="CK45" s="1525">
        <f t="shared" si="172"/>
        <v>0.11161625108876981</v>
      </c>
      <c r="CL45" s="1525">
        <f t="shared" si="173"/>
        <v>0.13058975909732357</v>
      </c>
      <c r="CM45" s="1526">
        <f t="shared" si="174"/>
        <v>0.10399855220926217</v>
      </c>
      <c r="CN45" s="1519"/>
      <c r="CO45" s="1524">
        <f t="shared" si="175"/>
        <v>0.11</v>
      </c>
      <c r="CP45" s="1525">
        <f t="shared" si="176"/>
        <v>0.12</v>
      </c>
      <c r="CQ45" s="1525">
        <f t="shared" si="177"/>
        <v>0.16</v>
      </c>
      <c r="CR45" s="1525">
        <f t="shared" si="178"/>
        <v>0.14000000000000001</v>
      </c>
      <c r="CS45" s="1526">
        <f t="shared" si="179"/>
        <v>0.1329679219877809</v>
      </c>
      <c r="CT45" s="1519"/>
      <c r="CU45" s="1524">
        <f t="shared" si="180"/>
        <v>0.12</v>
      </c>
      <c r="CV45" s="1525">
        <f t="shared" si="181"/>
        <v>0.12</v>
      </c>
      <c r="CW45" s="1525">
        <f t="shared" si="182"/>
        <v>0.12</v>
      </c>
      <c r="CX45" s="1525">
        <f t="shared" si="183"/>
        <v>0.12</v>
      </c>
      <c r="CY45" s="1526">
        <f t="shared" si="184"/>
        <v>0.12</v>
      </c>
      <c r="DD45" s="48" t="str">
        <f t="shared" si="187"/>
        <v>Academic</v>
      </c>
      <c r="DE45" s="192"/>
      <c r="DF45" s="192"/>
      <c r="DG45" s="192"/>
      <c r="DH45" s="192"/>
      <c r="DI45" s="1488">
        <f t="shared" si="188"/>
        <v>2.7990376929225853E-2</v>
      </c>
      <c r="DJ45" s="1488">
        <f t="shared" si="188"/>
        <v>-2.3764527429276403E-2</v>
      </c>
      <c r="DK45" s="1488">
        <f t="shared" si="188"/>
        <v>-2.7155691902544399E-2</v>
      </c>
      <c r="DL45" s="1488">
        <f t="shared" si="188"/>
        <v>4.9342779812291626E-2</v>
      </c>
      <c r="DM45" s="1488">
        <f t="shared" si="188"/>
        <v>8.8393968155742714E-2</v>
      </c>
      <c r="DN45" s="1488">
        <f t="shared" si="188"/>
        <v>2.2576780307338451E-3</v>
      </c>
      <c r="DO45" s="1488">
        <f t="shared" si="188"/>
        <v>4.2324403197614442E-2</v>
      </c>
      <c r="DP45" s="1488">
        <f t="shared" si="188"/>
        <v>0.11042220660080476</v>
      </c>
      <c r="DQ45" s="1488">
        <f t="shared" si="188"/>
        <v>2.736011296564729E-2</v>
      </c>
      <c r="DR45" s="1488">
        <f t="shared" si="188"/>
        <v>8.7846656093222231E-2</v>
      </c>
      <c r="DS45" s="1488">
        <f t="shared" si="188"/>
        <v>4.1680333150209282E-2</v>
      </c>
      <c r="DT45" s="1488">
        <f t="shared" si="188"/>
        <v>1.2498340341681818E-2</v>
      </c>
      <c r="DU45" s="1488">
        <f t="shared" si="188"/>
        <v>1.2563755725319981E-3</v>
      </c>
      <c r="DV45" s="1488">
        <f t="shared" si="188"/>
        <v>4.413974615601194E-2</v>
      </c>
      <c r="DW45" s="1488">
        <f t="shared" si="189"/>
        <v>-3.280438480360269E-4</v>
      </c>
      <c r="DX45" s="1488">
        <f t="shared" si="190"/>
        <v>-5.2864199435188469E-3</v>
      </c>
      <c r="DY45" s="1488">
        <f t="shared" si="191"/>
        <v>1.4299853833401561E-2</v>
      </c>
      <c r="DZ45" s="1488">
        <f t="shared" si="192"/>
        <v>1.7568317584583368E-2</v>
      </c>
      <c r="EA45" s="1488">
        <f t="shared" si="193"/>
        <v>2.0316026199369133E-2</v>
      </c>
      <c r="EB45" s="1488">
        <f t="shared" si="194"/>
        <v>1.2637446315604099E-2</v>
      </c>
      <c r="EF45" s="2"/>
      <c r="EG45" s="2047"/>
      <c r="EH45" s="2047"/>
      <c r="EI45" s="2047"/>
      <c r="EJ45" s="2047"/>
      <c r="EK45" s="2049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/>
      <c r="FM45" s="48"/>
      <c r="FN45" s="48"/>
      <c r="FO45" s="48"/>
      <c r="FP45" s="48"/>
      <c r="FQ45" s="48"/>
      <c r="FR45" s="48"/>
      <c r="FS45" s="48"/>
      <c r="FT45" s="48"/>
    </row>
    <row r="46" spans="1:225" s="35" customFormat="1" x14ac:dyDescent="0.2">
      <c r="A46" s="354"/>
      <c r="B46" s="1501"/>
      <c r="C46" s="1560"/>
      <c r="D46" s="1561"/>
      <c r="E46" s="1561"/>
      <c r="F46" s="1561"/>
      <c r="G46" s="1572"/>
      <c r="H46" s="1561"/>
      <c r="I46" s="764"/>
      <c r="J46" s="765"/>
      <c r="K46" s="765"/>
      <c r="L46" s="765"/>
      <c r="M46" s="767"/>
      <c r="N46" s="1561"/>
      <c r="O46" s="764"/>
      <c r="P46" s="765"/>
      <c r="Q46" s="765"/>
      <c r="R46" s="765"/>
      <c r="S46" s="767"/>
      <c r="T46" s="1561"/>
      <c r="U46" s="764"/>
      <c r="V46" s="765"/>
      <c r="W46" s="765"/>
      <c r="X46" s="765"/>
      <c r="Y46" s="767"/>
      <c r="Z46" s="1561"/>
      <c r="AA46" s="764"/>
      <c r="AB46" s="765"/>
      <c r="AC46" s="765"/>
      <c r="AD46" s="765"/>
      <c r="AE46" s="767"/>
      <c r="AF46" s="1561"/>
      <c r="AG46" s="764"/>
      <c r="AH46" s="765"/>
      <c r="AI46" s="765"/>
      <c r="AJ46" s="765"/>
      <c r="AK46" s="767"/>
      <c r="AL46" s="1561"/>
      <c r="AM46" s="1560"/>
      <c r="AN46" s="1561"/>
      <c r="AO46" s="1561"/>
      <c r="AP46" s="1561"/>
      <c r="AQ46" s="1572"/>
      <c r="AR46" s="80"/>
      <c r="AS46" s="1560"/>
      <c r="AT46" s="1561"/>
      <c r="AU46" s="1561"/>
      <c r="AV46" s="1561"/>
      <c r="AW46" s="1572"/>
      <c r="AX46" s="1561"/>
      <c r="AY46" s="1560"/>
      <c r="AZ46" s="1561"/>
      <c r="BA46" s="1561"/>
      <c r="BB46" s="1561"/>
      <c r="BC46" s="1572"/>
      <c r="BD46" s="1503"/>
      <c r="BE46" s="1524">
        <f t="shared" si="145"/>
        <v>-0.04</v>
      </c>
      <c r="BF46" s="1525">
        <f t="shared" si="146"/>
        <v>3.4303626474140092E-2</v>
      </c>
      <c r="BG46" s="1525">
        <f t="shared" si="147"/>
        <v>-2.9565084508477134E-2</v>
      </c>
      <c r="BH46" s="1525">
        <f t="shared" si="148"/>
        <v>5.2713297601504061E-3</v>
      </c>
      <c r="BI46" s="1526"/>
      <c r="BJ46" s="1519"/>
      <c r="BK46" s="1524"/>
      <c r="BL46" s="1525"/>
      <c r="BM46" s="1525"/>
      <c r="BN46" s="1525"/>
      <c r="BO46" s="1526"/>
      <c r="BP46" s="1519"/>
      <c r="BQ46" s="1524"/>
      <c r="BR46" s="1525"/>
      <c r="BS46" s="1525"/>
      <c r="BT46" s="1525"/>
      <c r="BU46" s="1526"/>
      <c r="BV46" s="1519"/>
      <c r="BW46" s="1524"/>
      <c r="BX46" s="1525"/>
      <c r="BY46" s="1525"/>
      <c r="BZ46" s="1525"/>
      <c r="CA46" s="1526"/>
      <c r="CB46" s="1519"/>
      <c r="CC46" s="1524"/>
      <c r="CD46" s="1525"/>
      <c r="CE46" s="1525"/>
      <c r="CF46" s="1525"/>
      <c r="CG46" s="1526"/>
      <c r="CH46" s="1519"/>
      <c r="CI46" s="1524"/>
      <c r="CJ46" s="1525"/>
      <c r="CK46" s="1525"/>
      <c r="CL46" s="1525"/>
      <c r="CM46" s="1526"/>
      <c r="CN46" s="1519"/>
      <c r="CO46" s="1524"/>
      <c r="CP46" s="1525"/>
      <c r="CQ46" s="1525"/>
      <c r="CR46" s="1525"/>
      <c r="CS46" s="1526"/>
      <c r="CT46" s="1519"/>
      <c r="CU46" s="1524"/>
      <c r="CV46" s="1525"/>
      <c r="CW46" s="1525"/>
      <c r="CX46" s="1525"/>
      <c r="CY46" s="1526"/>
      <c r="DD46" s="1443" t="str">
        <f t="shared" si="187"/>
        <v xml:space="preserve">Qiagen </v>
      </c>
      <c r="DE46" s="1444"/>
      <c r="DF46" s="1444"/>
      <c r="DG46" s="1444"/>
      <c r="DH46" s="1444"/>
      <c r="DI46" s="1492">
        <f t="shared" si="188"/>
        <v>0.04</v>
      </c>
      <c r="DJ46" s="1492">
        <f t="shared" si="188"/>
        <v>2.3333333333333334E-2</v>
      </c>
      <c r="DK46" s="1492">
        <f t="shared" si="188"/>
        <v>6.4999999999999988E-2</v>
      </c>
      <c r="DL46" s="1492">
        <f t="shared" si="188"/>
        <v>5.2999999999999999E-2</v>
      </c>
      <c r="DM46" s="1492">
        <f t="shared" si="188"/>
        <v>2.0000000000000004E-2</v>
      </c>
      <c r="DN46" s="1492">
        <f t="shared" si="188"/>
        <v>4.2333333333333334E-2</v>
      </c>
      <c r="DO46" s="1492">
        <f t="shared" si="188"/>
        <v>3.8241470852870052E-2</v>
      </c>
      <c r="DP46" s="1492">
        <f t="shared" si="188"/>
        <v>4.4653862143510442E-2</v>
      </c>
      <c r="DQ46" s="1492">
        <f t="shared" si="188"/>
        <v>3.2432609488867836E-2</v>
      </c>
      <c r="DR46" s="1492">
        <f t="shared" si="188"/>
        <v>0.10730321546629269</v>
      </c>
      <c r="DS46" s="1492">
        <f t="shared" si="188"/>
        <v>8.7315672676999564E-2</v>
      </c>
      <c r="DT46" s="1492">
        <f t="shared" si="188"/>
        <v>8.7631623979952333E-2</v>
      </c>
      <c r="DU46" s="1492">
        <f t="shared" si="188"/>
        <v>8.4081167195676959E-2</v>
      </c>
      <c r="DV46" s="1492">
        <f t="shared" si="188"/>
        <v>0.15282256883877932</v>
      </c>
      <c r="DW46" s="1492">
        <f t="shared" si="189"/>
        <v>0.15202679789422413</v>
      </c>
      <c r="DX46" s="1492">
        <f t="shared" si="190"/>
        <v>0.14416296571622852</v>
      </c>
      <c r="DY46" s="1492">
        <f t="shared" si="191"/>
        <v>0.12130554924949108</v>
      </c>
      <c r="DZ46" s="1492">
        <f t="shared" si="192"/>
        <v>0.15080375210074701</v>
      </c>
      <c r="EA46" s="1492">
        <f t="shared" si="193"/>
        <v>0.15121502174501822</v>
      </c>
      <c r="EB46" s="1492">
        <f t="shared" si="194"/>
        <v>0.12353332271616117</v>
      </c>
      <c r="EF46" s="2"/>
      <c r="EG46" s="2047"/>
      <c r="EH46" s="2047"/>
      <c r="EI46" s="2047"/>
      <c r="EJ46" s="2047"/>
      <c r="EK46" s="2049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48"/>
      <c r="FL46" s="48"/>
      <c r="FM46" s="48"/>
      <c r="FN46" s="48"/>
      <c r="FO46" s="48"/>
      <c r="FP46" s="48"/>
      <c r="FQ46" s="48"/>
      <c r="FR46" s="48"/>
      <c r="FS46" s="48"/>
      <c r="FT46" s="48"/>
    </row>
    <row r="47" spans="1:225" s="35" customFormat="1" x14ac:dyDescent="0.2">
      <c r="A47" s="354" t="s">
        <v>669</v>
      </c>
      <c r="B47" s="1501"/>
      <c r="C47" s="1560"/>
      <c r="D47" s="1561"/>
      <c r="E47" s="1561"/>
      <c r="F47" s="1561"/>
      <c r="G47" s="1572"/>
      <c r="H47" s="1561"/>
      <c r="I47" s="764"/>
      <c r="J47" s="765"/>
      <c r="K47" s="765"/>
      <c r="L47" s="765"/>
      <c r="M47" s="767"/>
      <c r="N47" s="1561"/>
      <c r="O47" s="764"/>
      <c r="P47" s="765"/>
      <c r="Q47" s="765"/>
      <c r="R47" s="765"/>
      <c r="S47" s="767"/>
      <c r="T47" s="1561"/>
      <c r="U47" s="764"/>
      <c r="V47" s="765"/>
      <c r="W47" s="765"/>
      <c r="X47" s="765"/>
      <c r="Y47" s="767"/>
      <c r="Z47" s="1561"/>
      <c r="AA47" s="764"/>
      <c r="AB47" s="765"/>
      <c r="AC47" s="765"/>
      <c r="AD47" s="765"/>
      <c r="AE47" s="767"/>
      <c r="AF47" s="1561"/>
      <c r="AG47" s="764"/>
      <c r="AH47" s="765"/>
      <c r="AI47" s="765"/>
      <c r="AJ47" s="765"/>
      <c r="AK47" s="767"/>
      <c r="AL47" s="1561"/>
      <c r="AM47" s="1560"/>
      <c r="AN47" s="1561"/>
      <c r="AO47" s="1561"/>
      <c r="AP47" s="1561"/>
      <c r="AQ47" s="1572"/>
      <c r="AR47" s="80"/>
      <c r="AS47" s="1560"/>
      <c r="AT47" s="1561"/>
      <c r="AU47" s="1561"/>
      <c r="AV47" s="1561"/>
      <c r="AW47" s="1572"/>
      <c r="AX47" s="1561"/>
      <c r="AY47" s="1560"/>
      <c r="AZ47" s="1561"/>
      <c r="BA47" s="1561"/>
      <c r="BB47" s="1561"/>
      <c r="BC47" s="1572"/>
      <c r="BD47" s="1503"/>
      <c r="BE47" s="1524">
        <f t="shared" si="145"/>
        <v>-0.04</v>
      </c>
      <c r="BF47" s="1525">
        <f t="shared" si="146"/>
        <v>3.4303626474140092E-2</v>
      </c>
      <c r="BG47" s="1525">
        <f t="shared" si="147"/>
        <v>-2.9565084508477134E-2</v>
      </c>
      <c r="BH47" s="1525">
        <f t="shared" si="148"/>
        <v>5.2713297601504061E-3</v>
      </c>
      <c r="BI47" s="1526">
        <f t="shared" si="149"/>
        <v>-2.505917893029605E-3</v>
      </c>
      <c r="BJ47" s="1519"/>
      <c r="BK47" s="1524">
        <f t="shared" si="150"/>
        <v>-1.6044907663612697E-2</v>
      </c>
      <c r="BL47" s="1525">
        <f t="shared" si="151"/>
        <v>2.3933444559421306E-2</v>
      </c>
      <c r="BM47" s="1525">
        <f t="shared" si="152"/>
        <v>1.0434915491522867E-2</v>
      </c>
      <c r="BN47" s="1525">
        <f t="shared" si="153"/>
        <v>1.5271329760150406E-2</v>
      </c>
      <c r="BO47" s="1526">
        <f t="shared" si="154"/>
        <v>1.2297862595388228E-2</v>
      </c>
      <c r="BP47" s="1519"/>
      <c r="BQ47" s="1524">
        <f t="shared" si="155"/>
        <v>3.1833312833040167E-2</v>
      </c>
      <c r="BR47" s="1525">
        <f t="shared" si="156"/>
        <v>3.794850258420019E-2</v>
      </c>
      <c r="BS47" s="1525">
        <f t="shared" si="157"/>
        <v>8.0463814060521222E-2</v>
      </c>
      <c r="BT47" s="1525">
        <f t="shared" si="158"/>
        <v>4.6071585845428038E-2</v>
      </c>
      <c r="BU47" s="1526">
        <f t="shared" si="159"/>
        <v>4.8304509983444377E-2</v>
      </c>
      <c r="BV47" s="1519"/>
      <c r="BW47" s="1524">
        <f t="shared" si="160"/>
        <v>6.7878220496652875E-2</v>
      </c>
      <c r="BX47" s="1525">
        <f t="shared" si="161"/>
        <v>0.11931868449891897</v>
      </c>
      <c r="BY47" s="1525">
        <f t="shared" si="162"/>
        <v>6.8658162692424113E-2</v>
      </c>
      <c r="BZ47" s="1525">
        <f t="shared" si="163"/>
        <v>3.125583412753935E-2</v>
      </c>
      <c r="CA47" s="1526">
        <f t="shared" si="164"/>
        <v>7.1094382294321468E-2</v>
      </c>
      <c r="CB47" s="1519"/>
      <c r="CC47" s="1524">
        <f t="shared" si="165"/>
        <v>7.1909906003346236E-2</v>
      </c>
      <c r="CD47" s="1525">
        <f t="shared" si="166"/>
        <v>8.4856650246604839E-2</v>
      </c>
      <c r="CE47" s="1525">
        <f t="shared" si="167"/>
        <v>1.9808372279790449E-2</v>
      </c>
      <c r="CF47" s="1525">
        <f t="shared" si="168"/>
        <v>2.4895989117663313E-2</v>
      </c>
      <c r="CG47" s="1526">
        <f t="shared" si="169"/>
        <v>4.9180337578420406E-2</v>
      </c>
      <c r="CH47" s="1519"/>
      <c r="CI47" s="1524">
        <f t="shared" si="170"/>
        <v>4.159823495041623E-2</v>
      </c>
      <c r="CJ47" s="1525">
        <f t="shared" si="171"/>
        <v>5.6036625490252706E-2</v>
      </c>
      <c r="CK47" s="1525">
        <f t="shared" si="172"/>
        <v>7.3759579495230057E-2</v>
      </c>
      <c r="CL47" s="1525">
        <f t="shared" si="173"/>
        <v>9.3323211477556622E-2</v>
      </c>
      <c r="CM47" s="1526">
        <f t="shared" si="174"/>
        <v>6.6588596941283038E-2</v>
      </c>
      <c r="CN47" s="1519"/>
      <c r="CO47" s="1524">
        <f t="shared" si="175"/>
        <v>6.8273938610192847E-2</v>
      </c>
      <c r="CP47" s="1525">
        <f t="shared" si="176"/>
        <v>8.1668570370666299E-2</v>
      </c>
      <c r="CQ47" s="1525">
        <f t="shared" si="177"/>
        <v>0.12010212117901439</v>
      </c>
      <c r="CR47" s="1525">
        <f t="shared" si="178"/>
        <v>0.10107243329988735</v>
      </c>
      <c r="CS47" s="1526">
        <f t="shared" si="179"/>
        <v>9.3364087907466656E-2</v>
      </c>
      <c r="CT47" s="1519"/>
      <c r="CU47" s="1524">
        <f t="shared" si="180"/>
        <v>7.2127894163779294E-2</v>
      </c>
      <c r="CV47" s="1525">
        <f t="shared" si="181"/>
        <v>7.5271343888840297E-2</v>
      </c>
      <c r="CW47" s="1525">
        <f t="shared" si="182"/>
        <v>7.3003450536518771E-2</v>
      </c>
      <c r="CX47" s="1525">
        <f t="shared" si="183"/>
        <v>7.2912849960977577E-2</v>
      </c>
      <c r="CY47" s="1526">
        <f t="shared" si="184"/>
        <v>7.3357247467761927E-2</v>
      </c>
      <c r="DD47" s="1872" t="str">
        <f t="shared" si="187"/>
        <v>ex HPV</v>
      </c>
      <c r="DE47" s="1444"/>
      <c r="DF47" s="1444"/>
      <c r="DG47" s="1444"/>
      <c r="DH47" s="1444"/>
      <c r="DI47" s="1492">
        <f t="shared" si="188"/>
        <v>8.2051953079544285E-2</v>
      </c>
      <c r="DJ47" s="1492">
        <f t="shared" si="188"/>
        <v>8.4428366090193663E-2</v>
      </c>
      <c r="DK47" s="1492">
        <f t="shared" si="188"/>
        <v>0.13431901437918747</v>
      </c>
      <c r="DL47" s="1492">
        <f t="shared" si="188"/>
        <v>0.12805128322656989</v>
      </c>
      <c r="DM47" s="1492">
        <f t="shared" si="188"/>
        <v>9.9593024051113088E-2</v>
      </c>
      <c r="DN47" s="1492">
        <f t="shared" si="188"/>
        <v>9.8797756988437124E-2</v>
      </c>
      <c r="DO47" s="1492">
        <f t="shared" si="188"/>
        <v>0.11908147085287005</v>
      </c>
      <c r="DP47" s="1492">
        <f t="shared" si="188"/>
        <v>0.10502399984517824</v>
      </c>
      <c r="DQ47" s="1492">
        <f t="shared" si="188"/>
        <v>9.4955633539980933E-2</v>
      </c>
      <c r="DR47" s="1492">
        <f t="shared" si="188"/>
        <v>0.14711763912139647</v>
      </c>
      <c r="DS47" s="1492">
        <f t="shared" si="188"/>
        <v>0.13018145068253745</v>
      </c>
      <c r="DT47" s="1492">
        <f t="shared" si="188"/>
        <v>0.10038996558832278</v>
      </c>
      <c r="DU47" s="1492">
        <f t="shared" si="188"/>
        <v>0.11082432481735946</v>
      </c>
      <c r="DV47" s="1492">
        <f t="shared" si="188"/>
        <v>0.16500265775903339</v>
      </c>
      <c r="DW47" s="1492">
        <f t="shared" si="189"/>
        <v>0.16381869403728805</v>
      </c>
      <c r="DX47" s="1492">
        <f t="shared" si="190"/>
        <v>0.15187271172641048</v>
      </c>
      <c r="DY47" s="1492">
        <f t="shared" si="191"/>
        <v>0.13082870687117359</v>
      </c>
      <c r="DZ47" s="1492">
        <f t="shared" si="192"/>
        <v>0.15862990423118695</v>
      </c>
      <c r="EA47" s="1492">
        <f t="shared" si="193"/>
        <v>0.16015441294542526</v>
      </c>
      <c r="EB47" s="1492">
        <f t="shared" si="194"/>
        <v>0.14201435041434302</v>
      </c>
      <c r="EF47" s="2"/>
      <c r="EG47" s="2047"/>
      <c r="EH47" s="2047"/>
      <c r="EI47" s="2047"/>
      <c r="EJ47" s="2047"/>
      <c r="EK47" s="2049"/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48"/>
      <c r="EX47" s="48"/>
      <c r="EY47" s="48"/>
      <c r="EZ47" s="48"/>
      <c r="FA47" s="48"/>
      <c r="FB47" s="48"/>
      <c r="FC47" s="48"/>
      <c r="FD47" s="48"/>
      <c r="FE47" s="48"/>
      <c r="FF47" s="48"/>
      <c r="FG47" s="48"/>
      <c r="FH47" s="48"/>
      <c r="FI47" s="48"/>
      <c r="FJ47" s="48"/>
      <c r="FK47" s="48"/>
      <c r="FL47" s="48"/>
      <c r="FM47" s="48"/>
      <c r="FN47" s="48"/>
      <c r="FO47" s="48"/>
      <c r="FP47" s="48"/>
      <c r="FQ47" s="48"/>
      <c r="FR47" s="48"/>
      <c r="FS47" s="48"/>
      <c r="FT47" s="48"/>
    </row>
    <row r="48" spans="1:225" s="35" customFormat="1" x14ac:dyDescent="0.2">
      <c r="A48" s="1819" t="s">
        <v>665</v>
      </c>
      <c r="B48" s="1820"/>
      <c r="C48" s="1821"/>
      <c r="D48" s="1822"/>
      <c r="E48" s="1822"/>
      <c r="F48" s="1822"/>
      <c r="G48" s="1823"/>
      <c r="H48" s="1822"/>
      <c r="I48" s="1824"/>
      <c r="J48" s="1825"/>
      <c r="K48" s="1825"/>
      <c r="L48" s="1825"/>
      <c r="M48" s="1826"/>
      <c r="N48" s="1822"/>
      <c r="O48" s="1824"/>
      <c r="P48" s="1825"/>
      <c r="Q48" s="1825"/>
      <c r="R48" s="1825"/>
      <c r="S48" s="1826"/>
      <c r="T48" s="1822"/>
      <c r="U48" s="1824"/>
      <c r="V48" s="1825"/>
      <c r="W48" s="1825"/>
      <c r="X48" s="1825"/>
      <c r="Y48" s="1826"/>
      <c r="Z48" s="1822"/>
      <c r="AA48" s="1824"/>
      <c r="AB48" s="1825"/>
      <c r="AC48" s="1825"/>
      <c r="AD48" s="1825"/>
      <c r="AE48" s="1826"/>
      <c r="AF48" s="1822"/>
      <c r="AG48" s="1824"/>
      <c r="AH48" s="1825"/>
      <c r="AI48" s="1825"/>
      <c r="AJ48" s="1825"/>
      <c r="AK48" s="1826"/>
      <c r="AL48" s="1822"/>
      <c r="AM48" s="1821"/>
      <c r="AN48" s="1822"/>
      <c r="AO48" s="1822"/>
      <c r="AP48" s="1822"/>
      <c r="AQ48" s="1823"/>
      <c r="AR48" s="1827"/>
      <c r="AS48" s="1821"/>
      <c r="AT48" s="1822"/>
      <c r="AU48" s="1822"/>
      <c r="AV48" s="1822"/>
      <c r="AW48" s="1823"/>
      <c r="AX48" s="1822"/>
      <c r="AY48" s="1821"/>
      <c r="AZ48" s="1822"/>
      <c r="BA48" s="1822"/>
      <c r="BB48" s="1822"/>
      <c r="BC48" s="1823"/>
      <c r="BD48" s="1828"/>
      <c r="BE48" s="1829">
        <f t="shared" si="145"/>
        <v>-0.04</v>
      </c>
      <c r="BF48" s="1830">
        <f t="shared" si="146"/>
        <v>3.4303626474140092E-2</v>
      </c>
      <c r="BG48" s="1830">
        <f t="shared" si="147"/>
        <v>-2.9565084508477134E-2</v>
      </c>
      <c r="BH48" s="1830">
        <f t="shared" si="148"/>
        <v>5.2713297601504061E-3</v>
      </c>
      <c r="BI48" s="1831">
        <f t="shared" si="149"/>
        <v>-2.505917893029605E-3</v>
      </c>
      <c r="BJ48" s="1832"/>
      <c r="BK48" s="1829">
        <f t="shared" si="150"/>
        <v>-1.6044907663612697E-2</v>
      </c>
      <c r="BL48" s="1830">
        <f t="shared" si="151"/>
        <v>2.3933444559421306E-2</v>
      </c>
      <c r="BM48" s="1830">
        <f t="shared" si="152"/>
        <v>1.0434915491522867E-2</v>
      </c>
      <c r="BN48" s="1830">
        <f t="shared" si="153"/>
        <v>1.5271329760150406E-2</v>
      </c>
      <c r="BO48" s="1831">
        <f t="shared" si="154"/>
        <v>1.2297862595388228E-2</v>
      </c>
      <c r="BP48" s="1832"/>
      <c r="BQ48" s="1829">
        <f t="shared" si="155"/>
        <v>3.1833312833040167E-2</v>
      </c>
      <c r="BR48" s="1830">
        <f t="shared" si="156"/>
        <v>3.794850258420019E-2</v>
      </c>
      <c r="BS48" s="1830">
        <f t="shared" si="157"/>
        <v>8.0463814060521222E-2</v>
      </c>
      <c r="BT48" s="1830">
        <f t="shared" si="158"/>
        <v>4.6071585845428038E-2</v>
      </c>
      <c r="BU48" s="1831">
        <f t="shared" si="159"/>
        <v>4.8304509983444377E-2</v>
      </c>
      <c r="BV48" s="1832"/>
      <c r="BW48" s="1829">
        <f t="shared" si="160"/>
        <v>6.7878220496652875E-2</v>
      </c>
      <c r="BX48" s="1830">
        <f t="shared" si="161"/>
        <v>0.11931868449891897</v>
      </c>
      <c r="BY48" s="1830">
        <f t="shared" si="162"/>
        <v>6.8658162692424113E-2</v>
      </c>
      <c r="BZ48" s="1830">
        <f t="shared" si="163"/>
        <v>3.125583412753935E-2</v>
      </c>
      <c r="CA48" s="1831">
        <f t="shared" si="164"/>
        <v>7.1094382294321468E-2</v>
      </c>
      <c r="CB48" s="1832"/>
      <c r="CC48" s="1829">
        <f t="shared" si="165"/>
        <v>7.1909906003346236E-2</v>
      </c>
      <c r="CD48" s="1830">
        <f t="shared" si="166"/>
        <v>8.4856650246604839E-2</v>
      </c>
      <c r="CE48" s="1830">
        <f t="shared" si="167"/>
        <v>1.9808372279790449E-2</v>
      </c>
      <c r="CF48" s="1830">
        <f t="shared" si="168"/>
        <v>2.4895989117663313E-2</v>
      </c>
      <c r="CG48" s="1831">
        <f t="shared" si="169"/>
        <v>4.9180337578420406E-2</v>
      </c>
      <c r="CH48" s="1832"/>
      <c r="CI48" s="1829">
        <f t="shared" si="170"/>
        <v>4.159823495041623E-2</v>
      </c>
      <c r="CJ48" s="1830">
        <f t="shared" si="171"/>
        <v>5.6036625490252706E-2</v>
      </c>
      <c r="CK48" s="1830">
        <f t="shared" si="172"/>
        <v>7.3759579495230057E-2</v>
      </c>
      <c r="CL48" s="1830">
        <f t="shared" si="173"/>
        <v>9.3323211477556622E-2</v>
      </c>
      <c r="CM48" s="1831">
        <f t="shared" si="174"/>
        <v>6.6588596941283038E-2</v>
      </c>
      <c r="CN48" s="1832"/>
      <c r="CO48" s="1829">
        <f t="shared" si="175"/>
        <v>6.8273938610192847E-2</v>
      </c>
      <c r="CP48" s="1830">
        <f t="shared" si="176"/>
        <v>8.1668570370666299E-2</v>
      </c>
      <c r="CQ48" s="1830">
        <f t="shared" si="177"/>
        <v>0.12010212117901439</v>
      </c>
      <c r="CR48" s="1830">
        <f t="shared" si="178"/>
        <v>0.10107243329988735</v>
      </c>
      <c r="CS48" s="1831">
        <f t="shared" si="179"/>
        <v>9.3364087907466656E-2</v>
      </c>
      <c r="CT48" s="1832"/>
      <c r="CU48" s="1829">
        <f t="shared" si="180"/>
        <v>7.2127894163779294E-2</v>
      </c>
      <c r="CV48" s="1830">
        <f t="shared" si="181"/>
        <v>7.5271343888840297E-2</v>
      </c>
      <c r="CW48" s="1830">
        <f t="shared" si="182"/>
        <v>7.3003450536518771E-2</v>
      </c>
      <c r="CX48" s="1830">
        <f t="shared" si="183"/>
        <v>7.2912849960977577E-2</v>
      </c>
      <c r="CY48" s="1831">
        <f t="shared" si="184"/>
        <v>7.3357247467761927E-2</v>
      </c>
      <c r="DD48" s="1872" t="s">
        <v>664</v>
      </c>
      <c r="DE48" s="1492">
        <f>+RevBuild!BE77</f>
        <v>0</v>
      </c>
      <c r="DF48" s="1492">
        <f>+RevBuild!BF77</f>
        <v>0</v>
      </c>
      <c r="DG48" s="1492">
        <f>+RevBuild!BG77</f>
        <v>0</v>
      </c>
      <c r="DH48" s="1492">
        <f>+RevBuild!BH77</f>
        <v>0</v>
      </c>
      <c r="DI48" s="1492">
        <f>+RevBuild!BK77</f>
        <v>0</v>
      </c>
      <c r="DJ48" s="1492">
        <f>+RevBuild!BL77</f>
        <v>0</v>
      </c>
      <c r="DK48" s="1492">
        <f>+RevBuild!BM77</f>
        <v>0</v>
      </c>
      <c r="DL48" s="1492">
        <f>+RevBuild!BN77</f>
        <v>0</v>
      </c>
      <c r="DM48" s="1492">
        <f t="shared" ref="DM48:DV50" si="195">+DM35+DI35</f>
        <v>-9.382684646949125E-3</v>
      </c>
      <c r="DN48" s="1492">
        <f t="shared" si="195"/>
        <v>1.9680616682296655E-2</v>
      </c>
      <c r="DO48" s="1492">
        <f t="shared" si="195"/>
        <v>-1.2262331935690244E-2</v>
      </c>
      <c r="DP48" s="1492">
        <f t="shared" si="195"/>
        <v>-3.6058838089678986E-3</v>
      </c>
      <c r="DQ48" s="1492">
        <f t="shared" si="195"/>
        <v>5.5849090131571966E-3</v>
      </c>
      <c r="DR48" s="1492">
        <f t="shared" si="195"/>
        <v>7.5513612440903322E-2</v>
      </c>
      <c r="DS48" s="1492">
        <f t="shared" si="195"/>
        <v>3.6853434518978385E-2</v>
      </c>
      <c r="DT48" s="1492">
        <f t="shared" si="195"/>
        <v>4.3142908484336641E-2</v>
      </c>
      <c r="DU48" s="1492">
        <f t="shared" si="195"/>
        <v>4.9177899038976472E-2</v>
      </c>
      <c r="DV48" s="1492">
        <f t="shared" si="195"/>
        <v>9.3708825733430257E-2</v>
      </c>
      <c r="DW48" s="1492">
        <f t="shared" si="189"/>
        <v>8.6818958438536237E-2</v>
      </c>
      <c r="DX48" s="1492">
        <f t="shared" si="190"/>
        <v>9.1043290421153833E-2</v>
      </c>
      <c r="DY48" s="1492">
        <f t="shared" si="191"/>
        <v>8.3306606187077942E-2</v>
      </c>
      <c r="DZ48" s="1492">
        <f t="shared" si="192"/>
        <v>8.7051405548917604E-2</v>
      </c>
      <c r="EA48" s="1492">
        <f t="shared" si="193"/>
        <v>7.7597158849827139E-2</v>
      </c>
      <c r="EB48" s="1492">
        <f t="shared" si="194"/>
        <v>8.2768065716368217E-2</v>
      </c>
      <c r="EF48" s="207"/>
      <c r="EG48" s="2034"/>
      <c r="EH48" s="2034"/>
      <c r="EI48" s="2034"/>
      <c r="EJ48" s="2034"/>
      <c r="EK48" s="2034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48"/>
      <c r="FL48" s="48"/>
      <c r="FM48" s="48"/>
      <c r="FN48" s="48"/>
      <c r="FO48" s="48"/>
      <c r="FP48" s="48"/>
      <c r="FQ48" s="48"/>
      <c r="FR48" s="48"/>
      <c r="FS48" s="48"/>
      <c r="FT48" s="48"/>
    </row>
    <row r="49" spans="1:176" s="35" customFormat="1" x14ac:dyDescent="0.2">
      <c r="A49" s="779" t="str">
        <f>A19</f>
        <v>Academic</v>
      </c>
      <c r="B49" s="1501"/>
      <c r="C49" s="1560"/>
      <c r="D49" s="1561"/>
      <c r="E49" s="1561"/>
      <c r="F49" s="1561"/>
      <c r="G49" s="1572"/>
      <c r="H49" s="1561"/>
      <c r="I49" s="764" t="s">
        <v>251</v>
      </c>
      <c r="J49" s="765" t="s">
        <v>251</v>
      </c>
      <c r="K49" s="765" t="s">
        <v>251</v>
      </c>
      <c r="L49" s="765" t="s">
        <v>251</v>
      </c>
      <c r="M49" s="767" t="s">
        <v>251</v>
      </c>
      <c r="N49" s="1561"/>
      <c r="O49" s="764" t="s">
        <v>251</v>
      </c>
      <c r="P49" s="765" t="s">
        <v>251</v>
      </c>
      <c r="Q49" s="765" t="s">
        <v>251</v>
      </c>
      <c r="R49" s="765" t="s">
        <v>251</v>
      </c>
      <c r="S49" s="767" t="s">
        <v>251</v>
      </c>
      <c r="T49" s="1561"/>
      <c r="U49" s="764" t="s">
        <v>251</v>
      </c>
      <c r="V49" s="765" t="s">
        <v>251</v>
      </c>
      <c r="W49" s="765" t="s">
        <v>251</v>
      </c>
      <c r="X49" s="765" t="s">
        <v>251</v>
      </c>
      <c r="Y49" s="767" t="s">
        <v>251</v>
      </c>
      <c r="Z49" s="1561"/>
      <c r="AA49" s="764" t="s">
        <v>251</v>
      </c>
      <c r="AB49" s="765" t="s">
        <v>251</v>
      </c>
      <c r="AC49" s="765" t="s">
        <v>251</v>
      </c>
      <c r="AD49" s="765" t="s">
        <v>251</v>
      </c>
      <c r="AE49" s="767" t="s">
        <v>251</v>
      </c>
      <c r="AF49" s="1561"/>
      <c r="AG49" s="764" t="s">
        <v>251</v>
      </c>
      <c r="AH49" s="765" t="s">
        <v>251</v>
      </c>
      <c r="AI49" s="765" t="s">
        <v>251</v>
      </c>
      <c r="AJ49" s="765" t="s">
        <v>251</v>
      </c>
      <c r="AK49" s="767" t="s">
        <v>251</v>
      </c>
      <c r="AL49" s="1561"/>
      <c r="AM49" s="1560"/>
      <c r="AN49" s="1561"/>
      <c r="AO49" s="1561"/>
      <c r="AP49" s="1561"/>
      <c r="AQ49" s="1572"/>
      <c r="AR49" s="80"/>
      <c r="AS49" s="1560">
        <f>AM19+AS19</f>
        <v>9.9999999999999992E-2</v>
      </c>
      <c r="AT49" s="1561">
        <f>AN19+AT19</f>
        <v>0.08</v>
      </c>
      <c r="AU49" s="1561">
        <f>AO19+AU19</f>
        <v>7.0000000000000007E-2</v>
      </c>
      <c r="AV49" s="1561">
        <f>AP19+AV19</f>
        <v>0.08</v>
      </c>
      <c r="AW49" s="1572">
        <f>AQ19+AW19</f>
        <v>9.0000000000000011E-2</v>
      </c>
      <c r="AX49" s="1561"/>
      <c r="AY49" s="1560">
        <f>AS19+AY19</f>
        <v>9.9999999999999985E-3</v>
      </c>
      <c r="AZ49" s="1561">
        <f>AT19+AZ19</f>
        <v>0.02</v>
      </c>
      <c r="BA49" s="1561">
        <f>AU19+BA19</f>
        <v>9.0000000000000011E-2</v>
      </c>
      <c r="BB49" s="1561">
        <f>AV19+BB19</f>
        <v>0.03</v>
      </c>
      <c r="BC49" s="1572">
        <f>AW19+BC19</f>
        <v>0.03</v>
      </c>
      <c r="BD49" s="1503"/>
      <c r="BE49" s="1524">
        <f t="shared" si="145"/>
        <v>-1.0000000000000002E-2</v>
      </c>
      <c r="BF49" s="1525">
        <f t="shared" si="146"/>
        <v>3.5253022061783407E-2</v>
      </c>
      <c r="BG49" s="1525">
        <f t="shared" si="147"/>
        <v>-7.1556919025443991E-3</v>
      </c>
      <c r="BH49" s="1525">
        <f t="shared" si="148"/>
        <v>-1.0657220187708372E-2</v>
      </c>
      <c r="BI49" s="1526">
        <f t="shared" si="149"/>
        <v>-5.800362241204041E-3</v>
      </c>
      <c r="BJ49" s="1519"/>
      <c r="BK49" s="1524">
        <f t="shared" si="150"/>
        <v>2.7990376929225853E-2</v>
      </c>
      <c r="BL49" s="1525">
        <f t="shared" si="151"/>
        <v>-2.3764527429276403E-2</v>
      </c>
      <c r="BM49" s="1525">
        <f t="shared" si="152"/>
        <v>-2.7155691902544399E-2</v>
      </c>
      <c r="BN49" s="1525">
        <f t="shared" si="153"/>
        <v>4.9342779812291626E-2</v>
      </c>
      <c r="BO49" s="1526">
        <f t="shared" si="154"/>
        <v>-9.0000773216660293E-4</v>
      </c>
      <c r="BP49" s="1519"/>
      <c r="BQ49" s="1524">
        <f t="shared" si="155"/>
        <v>8.8393968155742714E-2</v>
      </c>
      <c r="BR49" s="1525">
        <f t="shared" si="156"/>
        <v>2.2576780307338451E-3</v>
      </c>
      <c r="BS49" s="1525">
        <f t="shared" si="157"/>
        <v>4.2324403197614442E-2</v>
      </c>
      <c r="BT49" s="1525">
        <f t="shared" si="158"/>
        <v>0.11042220660080476</v>
      </c>
      <c r="BU49" s="1526">
        <f t="shared" si="159"/>
        <v>5.5972352779873766E-2</v>
      </c>
      <c r="BV49" s="1519"/>
      <c r="BW49" s="1524">
        <f t="shared" si="160"/>
        <v>2.736011296564729E-2</v>
      </c>
      <c r="BX49" s="1525">
        <f t="shared" si="161"/>
        <v>8.7846656093222231E-2</v>
      </c>
      <c r="BY49" s="1525">
        <f t="shared" si="162"/>
        <v>4.1680333150209282E-2</v>
      </c>
      <c r="BZ49" s="1525">
        <f t="shared" si="163"/>
        <v>1.2498340341681818E-2</v>
      </c>
      <c r="CA49" s="1526">
        <f t="shared" si="164"/>
        <v>4.0535544202591645E-2</v>
      </c>
      <c r="CB49" s="1519"/>
      <c r="CC49" s="1524">
        <f t="shared" si="165"/>
        <v>1.2563755725319981E-3</v>
      </c>
      <c r="CD49" s="1525">
        <f t="shared" si="166"/>
        <v>4.413974615601194E-2</v>
      </c>
      <c r="CE49" s="1525">
        <f t="shared" si="167"/>
        <v>-3.280438480360269E-4</v>
      </c>
      <c r="CF49" s="1525">
        <f t="shared" si="168"/>
        <v>-5.2864199435188469E-3</v>
      </c>
      <c r="CG49" s="1526">
        <f t="shared" si="169"/>
        <v>9.0801854289986259E-3</v>
      </c>
      <c r="CH49" s="1519"/>
      <c r="CI49" s="1524">
        <f t="shared" si="170"/>
        <v>1.4299853833401561E-2</v>
      </c>
      <c r="CJ49" s="1525">
        <f t="shared" si="171"/>
        <v>1.7568317584583368E-2</v>
      </c>
      <c r="CK49" s="1525">
        <f t="shared" si="172"/>
        <v>2.0316026199369133E-2</v>
      </c>
      <c r="CL49" s="1525">
        <f t="shared" si="173"/>
        <v>1.2637446315604099E-2</v>
      </c>
      <c r="CM49" s="1526">
        <f t="shared" si="174"/>
        <v>1.5835675208555021E-2</v>
      </c>
      <c r="CN49" s="1519"/>
      <c r="CO49" s="1524">
        <f t="shared" si="175"/>
        <v>0.05</v>
      </c>
      <c r="CP49" s="1525">
        <f t="shared" si="176"/>
        <v>0.04</v>
      </c>
      <c r="CQ49" s="1525">
        <f t="shared" si="177"/>
        <v>0.05</v>
      </c>
      <c r="CR49" s="1525">
        <f t="shared" si="178"/>
        <v>9.9999999999999985E-3</v>
      </c>
      <c r="CS49" s="1526">
        <f t="shared" si="179"/>
        <v>3.6219035711311715E-2</v>
      </c>
      <c r="CT49" s="1519"/>
      <c r="CU49" s="1524">
        <f t="shared" si="180"/>
        <v>7.0000000000000007E-2</v>
      </c>
      <c r="CV49" s="1525">
        <f t="shared" si="181"/>
        <v>7.0000000000000007E-2</v>
      </c>
      <c r="CW49" s="1525">
        <f t="shared" si="182"/>
        <v>7.0000000000000007E-2</v>
      </c>
      <c r="CX49" s="1525">
        <f t="shared" si="183"/>
        <v>7.0000000000000007E-2</v>
      </c>
      <c r="CY49" s="1526">
        <f t="shared" si="184"/>
        <v>7.0000000000000007E-2</v>
      </c>
      <c r="DD49" s="1872" t="s">
        <v>662</v>
      </c>
      <c r="DE49" s="1492">
        <f>+RevBuild!BE78</f>
        <v>0</v>
      </c>
      <c r="DF49" s="1492">
        <f>+RevBuild!BF78</f>
        <v>0</v>
      </c>
      <c r="DG49" s="1492">
        <f>+RevBuild!BG78</f>
        <v>0</v>
      </c>
      <c r="DH49" s="1492">
        <f>+RevBuild!BH78</f>
        <v>0</v>
      </c>
      <c r="DI49" s="1492">
        <f>+RevBuild!BK78</f>
        <v>0</v>
      </c>
      <c r="DJ49" s="1492">
        <f>+RevBuild!BL78</f>
        <v>0</v>
      </c>
      <c r="DK49" s="1492">
        <f>+RevBuild!BM78</f>
        <v>0</v>
      </c>
      <c r="DL49" s="1492">
        <f>+RevBuild!BN78</f>
        <v>0</v>
      </c>
      <c r="DM49" s="1492">
        <f t="shared" si="195"/>
        <v>0</v>
      </c>
      <c r="DN49" s="1492">
        <f t="shared" si="195"/>
        <v>2.8999999999999995E-2</v>
      </c>
      <c r="DO49" s="1492">
        <f t="shared" si="195"/>
        <v>8.2414708528700514E-3</v>
      </c>
      <c r="DP49" s="1492">
        <f t="shared" si="195"/>
        <v>1.1653862143510448E-2</v>
      </c>
      <c r="DQ49" s="1492">
        <f t="shared" si="195"/>
        <v>3.2432609488867836E-2</v>
      </c>
      <c r="DR49" s="1492">
        <f t="shared" si="195"/>
        <v>0.10730321546629269</v>
      </c>
      <c r="DS49" s="1492">
        <f t="shared" si="195"/>
        <v>8.7315672676999564E-2</v>
      </c>
      <c r="DT49" s="1492">
        <f t="shared" si="195"/>
        <v>8.7631623979952333E-2</v>
      </c>
      <c r="DU49" s="1492">
        <f t="shared" si="195"/>
        <v>7.4726475906311873E-2</v>
      </c>
      <c r="DV49" s="1492">
        <f t="shared" si="195"/>
        <v>0.14324228220873159</v>
      </c>
      <c r="DW49" s="1492">
        <f t="shared" si="189"/>
        <v>0.14202568417378303</v>
      </c>
      <c r="DX49" s="1492">
        <f t="shared" si="190"/>
        <v>0.13476785749843131</v>
      </c>
      <c r="DY49" s="1492">
        <f t="shared" si="191"/>
        <v>0.10149034736786705</v>
      </c>
      <c r="DZ49" s="1492">
        <f t="shared" si="192"/>
        <v>0.13226890303063232</v>
      </c>
      <c r="EA49" s="1492">
        <f t="shared" si="193"/>
        <v>0.13277768316244642</v>
      </c>
      <c r="EB49" s="1492">
        <f t="shared" si="194"/>
        <v>0.10668143364047607</v>
      </c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2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  <c r="FF49" s="48"/>
      <c r="FG49" s="48"/>
      <c r="FH49" s="48"/>
      <c r="FI49" s="48"/>
      <c r="FJ49" s="48"/>
      <c r="FK49" s="48"/>
      <c r="FL49" s="48"/>
      <c r="FM49" s="48"/>
      <c r="FN49" s="48"/>
      <c r="FO49" s="48"/>
      <c r="FP49" s="48"/>
      <c r="FQ49" s="48"/>
      <c r="FR49" s="48"/>
      <c r="FS49" s="48"/>
      <c r="FT49" s="48"/>
    </row>
    <row r="50" spans="1:176" s="35" customFormat="1" x14ac:dyDescent="0.2">
      <c r="A50" s="1833" t="s">
        <v>669</v>
      </c>
      <c r="B50" s="1820"/>
      <c r="C50" s="1821"/>
      <c r="D50" s="1822"/>
      <c r="E50" s="1822"/>
      <c r="F50" s="1822"/>
      <c r="G50" s="1823"/>
      <c r="H50" s="1822"/>
      <c r="I50" s="1824"/>
      <c r="J50" s="1825"/>
      <c r="K50" s="1825"/>
      <c r="L50" s="1825"/>
      <c r="M50" s="1826"/>
      <c r="N50" s="1822"/>
      <c r="O50" s="1824"/>
      <c r="P50" s="1825"/>
      <c r="Q50" s="1825"/>
      <c r="R50" s="1825"/>
      <c r="S50" s="1826"/>
      <c r="T50" s="1822"/>
      <c r="U50" s="1824"/>
      <c r="V50" s="1825"/>
      <c r="W50" s="1825"/>
      <c r="X50" s="1825"/>
      <c r="Y50" s="1826"/>
      <c r="Z50" s="1822"/>
      <c r="AA50" s="1824"/>
      <c r="AB50" s="1825"/>
      <c r="AC50" s="1825"/>
      <c r="AD50" s="1825"/>
      <c r="AE50" s="1826"/>
      <c r="AF50" s="1822"/>
      <c r="AG50" s="1824"/>
      <c r="AH50" s="1825"/>
      <c r="AI50" s="1825"/>
      <c r="AJ50" s="1825"/>
      <c r="AK50" s="1826"/>
      <c r="AL50" s="1822"/>
      <c r="AM50" s="1821"/>
      <c r="AN50" s="1822"/>
      <c r="AO50" s="1822"/>
      <c r="AP50" s="1822"/>
      <c r="AQ50" s="1823"/>
      <c r="AR50" s="1827"/>
      <c r="AS50" s="1821"/>
      <c r="AT50" s="1822"/>
      <c r="AU50" s="1822"/>
      <c r="AV50" s="1822"/>
      <c r="AW50" s="1823"/>
      <c r="AX50" s="1822"/>
      <c r="AY50" s="1821"/>
      <c r="AZ50" s="1822"/>
      <c r="BA50" s="1822"/>
      <c r="BB50" s="1822"/>
      <c r="BC50" s="1823"/>
      <c r="BD50" s="1828"/>
      <c r="BE50" s="1829">
        <f t="shared" si="145"/>
        <v>-0.04</v>
      </c>
      <c r="BF50" s="1830">
        <f t="shared" si="146"/>
        <v>2.5253022061783408E-2</v>
      </c>
      <c r="BG50" s="1830">
        <f t="shared" si="147"/>
        <v>-2.7155691902544399E-2</v>
      </c>
      <c r="BH50" s="1830">
        <f t="shared" si="148"/>
        <v>-1.0657220187708372E-2</v>
      </c>
      <c r="BI50" s="1831">
        <f t="shared" si="149"/>
        <v>-1.5800362241204041E-2</v>
      </c>
      <c r="BJ50" s="1832"/>
      <c r="BK50" s="1829">
        <f t="shared" si="150"/>
        <v>2.7990376929225853E-2</v>
      </c>
      <c r="BL50" s="1830">
        <f t="shared" si="151"/>
        <v>-2.3764527429276403E-2</v>
      </c>
      <c r="BM50" s="1830">
        <f t="shared" si="152"/>
        <v>-2.7155691902544399E-2</v>
      </c>
      <c r="BN50" s="1830">
        <f t="shared" si="153"/>
        <v>4.9342779812291626E-2</v>
      </c>
      <c r="BO50" s="1831">
        <f t="shared" si="154"/>
        <v>-9.0000773216660293E-4</v>
      </c>
      <c r="BP50" s="1832"/>
      <c r="BQ50" s="1829">
        <f t="shared" si="155"/>
        <v>8.8393968155742714E-2</v>
      </c>
      <c r="BR50" s="1830">
        <f t="shared" si="156"/>
        <v>2.2576780307338451E-3</v>
      </c>
      <c r="BS50" s="1830">
        <f t="shared" si="157"/>
        <v>4.2324403197614442E-2</v>
      </c>
      <c r="BT50" s="1830">
        <f t="shared" si="158"/>
        <v>0.11042220660080476</v>
      </c>
      <c r="BU50" s="1831">
        <f t="shared" si="159"/>
        <v>5.5972352779873766E-2</v>
      </c>
      <c r="BV50" s="1832"/>
      <c r="BW50" s="1829">
        <f t="shared" si="160"/>
        <v>2.736011296564729E-2</v>
      </c>
      <c r="BX50" s="1830">
        <f t="shared" si="161"/>
        <v>8.7846656093222231E-2</v>
      </c>
      <c r="BY50" s="1830">
        <f t="shared" si="162"/>
        <v>4.1680333150209282E-2</v>
      </c>
      <c r="BZ50" s="1830">
        <f t="shared" si="163"/>
        <v>1.2498340341681818E-2</v>
      </c>
      <c r="CA50" s="1831">
        <f t="shared" si="164"/>
        <v>4.0535544202591645E-2</v>
      </c>
      <c r="CB50" s="1832"/>
      <c r="CC50" s="1829">
        <f t="shared" si="165"/>
        <v>-6.8781385921332944E-3</v>
      </c>
      <c r="CD50" s="1830">
        <f t="shared" si="166"/>
        <v>3.5000034840024077E-2</v>
      </c>
      <c r="CE50" s="1830">
        <f t="shared" si="167"/>
        <v>-9.8529140579799515E-3</v>
      </c>
      <c r="CF50" s="1830">
        <f t="shared" si="168"/>
        <v>-1.3827427414243584E-2</v>
      </c>
      <c r="CG50" s="1831">
        <f t="shared" si="169"/>
        <v>2.1806464395204839E-4</v>
      </c>
      <c r="CH50" s="1832"/>
      <c r="CI50" s="1829">
        <f t="shared" si="170"/>
        <v>-2.5517524914795229E-3</v>
      </c>
      <c r="CJ50" s="1830">
        <f t="shared" si="171"/>
        <v>4.3346123282143878E-4</v>
      </c>
      <c r="CK50" s="1830">
        <f t="shared" si="172"/>
        <v>3.0868410468401185E-3</v>
      </c>
      <c r="CL50" s="1830">
        <f t="shared" si="173"/>
        <v>-2.3318205153688258E-3</v>
      </c>
      <c r="CM50" s="1831">
        <f t="shared" si="174"/>
        <v>-6.4329501944420959E-4</v>
      </c>
      <c r="CN50" s="1832"/>
      <c r="CO50" s="1829">
        <f t="shared" si="175"/>
        <v>3.1834892165453287E-2</v>
      </c>
      <c r="CP50" s="1830">
        <f t="shared" si="176"/>
        <v>2.2366048305217878E-2</v>
      </c>
      <c r="CQ50" s="1830">
        <f t="shared" si="177"/>
        <v>3.2055608816228875E-2</v>
      </c>
      <c r="CR50" s="1830">
        <f t="shared" si="178"/>
        <v>-6.1530767651875769E-3</v>
      </c>
      <c r="CS50" s="1831">
        <f t="shared" si="179"/>
        <v>1.8836017363732638E-2</v>
      </c>
      <c r="CT50" s="1832"/>
      <c r="CU50" s="1829">
        <f t="shared" si="180"/>
        <v>4.8538862724331631E-2</v>
      </c>
      <c r="CV50" s="1830">
        <f t="shared" si="181"/>
        <v>4.8649455304712985E-2</v>
      </c>
      <c r="CW50" s="1830">
        <f t="shared" si="182"/>
        <v>4.7830558649480943E-2</v>
      </c>
      <c r="CX50" s="1830">
        <f t="shared" si="183"/>
        <v>4.9375023380891642E-2</v>
      </c>
      <c r="CY50" s="1831">
        <f t="shared" si="184"/>
        <v>4.8619214027508809E-2</v>
      </c>
      <c r="DD50" s="1872" t="s">
        <v>673</v>
      </c>
      <c r="DE50" s="1492">
        <f>+RevBuild!BE79</f>
        <v>0</v>
      </c>
      <c r="DF50" s="1492">
        <f>+RevBuild!BF79</f>
        <v>0</v>
      </c>
      <c r="DG50" s="1492">
        <f>+RevBuild!BG79</f>
        <v>0</v>
      </c>
      <c r="DH50" s="1492">
        <f>+RevBuild!BH79</f>
        <v>0</v>
      </c>
      <c r="DI50" s="1492">
        <f>+RevBuild!BK79</f>
        <v>0</v>
      </c>
      <c r="DJ50" s="1492">
        <f>+RevBuild!BL79</f>
        <v>0</v>
      </c>
      <c r="DK50" s="1492">
        <f>+RevBuild!BM79</f>
        <v>0</v>
      </c>
      <c r="DL50" s="1492">
        <f>+RevBuild!BN79</f>
        <v>0</v>
      </c>
      <c r="DM50" s="1492">
        <f t="shared" si="195"/>
        <v>3.5920339404163962E-2</v>
      </c>
      <c r="DN50" s="1492">
        <f t="shared" si="195"/>
        <v>4.5145040337400452E-2</v>
      </c>
      <c r="DO50" s="1492">
        <f t="shared" si="195"/>
        <v>1.7977668064309754E-2</v>
      </c>
      <c r="DP50" s="1492">
        <f t="shared" si="195"/>
        <v>7.8677726262382491E-3</v>
      </c>
      <c r="DQ50" s="1492">
        <f t="shared" si="195"/>
        <v>6.8107933064270293E-2</v>
      </c>
      <c r="DR50" s="1492">
        <f t="shared" si="195"/>
        <v>0.11532803609600713</v>
      </c>
      <c r="DS50" s="1492">
        <f t="shared" si="195"/>
        <v>7.9719212524516261E-2</v>
      </c>
      <c r="DT50" s="1492">
        <f t="shared" si="195"/>
        <v>5.5901250092707071E-2</v>
      </c>
      <c r="DU50" s="1492">
        <f t="shared" si="195"/>
        <v>6.6566365371293901E-2</v>
      </c>
      <c r="DV50" s="1492">
        <f t="shared" si="195"/>
        <v>9.6308628023636572E-2</v>
      </c>
      <c r="DW50" s="1492">
        <f t="shared" si="189"/>
        <v>8.8609740861159025E-2</v>
      </c>
      <c r="DX50" s="1492">
        <f t="shared" si="190"/>
        <v>8.9357928213538579E-2</v>
      </c>
      <c r="DY50" s="1492">
        <f t="shared" si="191"/>
        <v>7.3014561927136401E-2</v>
      </c>
      <c r="DZ50" s="1492">
        <f t="shared" si="192"/>
        <v>7.634270860924286E-2</v>
      </c>
      <c r="EA50" s="1492">
        <f t="shared" si="193"/>
        <v>6.8099211467662416E-2</v>
      </c>
      <c r="EB50" s="1492">
        <f t="shared" si="194"/>
        <v>8.4397204338864967E-2</v>
      </c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047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48"/>
      <c r="FL50" s="48"/>
      <c r="FM50" s="48"/>
      <c r="FN50" s="48"/>
      <c r="FO50" s="48"/>
      <c r="FP50" s="48"/>
      <c r="FQ50" s="48"/>
      <c r="FR50" s="48"/>
      <c r="FS50" s="48"/>
      <c r="FT50" s="48"/>
    </row>
    <row r="51" spans="1:176" s="35" customFormat="1" x14ac:dyDescent="0.2">
      <c r="A51" s="779" t="str">
        <f>A84</f>
        <v xml:space="preserve">Consumables </v>
      </c>
      <c r="B51" s="1501"/>
      <c r="C51" s="1560"/>
      <c r="D51" s="1561"/>
      <c r="E51" s="1561"/>
      <c r="F51" s="1561"/>
      <c r="G51" s="1572"/>
      <c r="H51" s="1561"/>
      <c r="I51" s="764" t="s">
        <v>251</v>
      </c>
      <c r="J51" s="765" t="s">
        <v>251</v>
      </c>
      <c r="K51" s="765" t="s">
        <v>251</v>
      </c>
      <c r="L51" s="765" t="s">
        <v>251</v>
      </c>
      <c r="M51" s="767" t="s">
        <v>251</v>
      </c>
      <c r="N51" s="1561"/>
      <c r="O51" s="764" t="s">
        <v>251</v>
      </c>
      <c r="P51" s="765" t="s">
        <v>251</v>
      </c>
      <c r="Q51" s="765" t="s">
        <v>251</v>
      </c>
      <c r="R51" s="765" t="s">
        <v>251</v>
      </c>
      <c r="S51" s="1572">
        <f>M84+S84</f>
        <v>0.30000000000000004</v>
      </c>
      <c r="T51" s="1561"/>
      <c r="U51" s="764" t="s">
        <v>251</v>
      </c>
      <c r="V51" s="765" t="s">
        <v>251</v>
      </c>
      <c r="W51" s="765" t="s">
        <v>251</v>
      </c>
      <c r="X51" s="765" t="s">
        <v>251</v>
      </c>
      <c r="Y51" s="1572">
        <f>S84+Y84</f>
        <v>0.51</v>
      </c>
      <c r="Z51" s="1561"/>
      <c r="AA51" s="764" t="s">
        <v>251</v>
      </c>
      <c r="AB51" s="765" t="s">
        <v>251</v>
      </c>
      <c r="AC51" s="765" t="s">
        <v>251</v>
      </c>
      <c r="AD51" s="765" t="s">
        <v>251</v>
      </c>
      <c r="AE51" s="1572">
        <f>Y84+AE84</f>
        <v>0.68</v>
      </c>
      <c r="AF51" s="1561"/>
      <c r="AG51" s="764" t="s">
        <v>251</v>
      </c>
      <c r="AH51" s="765" t="s">
        <v>251</v>
      </c>
      <c r="AI51" s="765" t="s">
        <v>251</v>
      </c>
      <c r="AJ51" s="765" t="s">
        <v>251</v>
      </c>
      <c r="AK51" s="1572">
        <f>AE84+AK84</f>
        <v>0.47000000000000003</v>
      </c>
      <c r="AL51" s="1561"/>
      <c r="AM51" s="1560"/>
      <c r="AN51" s="1561"/>
      <c r="AO51" s="1561"/>
      <c r="AP51" s="1561"/>
      <c r="AQ51" s="1572">
        <f>AK84+AQ84</f>
        <v>0.25</v>
      </c>
      <c r="AR51" s="1561"/>
      <c r="AS51" s="1560">
        <f t="shared" ref="AS51:AU52" si="196">AM84+AS84</f>
        <v>0.13999999999999999</v>
      </c>
      <c r="AT51" s="1561">
        <f t="shared" si="196"/>
        <v>0.12000000000000001</v>
      </c>
      <c r="AU51" s="1561">
        <f t="shared" si="196"/>
        <v>0.1</v>
      </c>
      <c r="AV51" s="1561" t="s">
        <v>314</v>
      </c>
      <c r="AW51" s="1572">
        <f>AQ84+AW84</f>
        <v>0.16999999999999998</v>
      </c>
      <c r="AX51" s="1561"/>
      <c r="AY51" s="1560">
        <f t="shared" ref="AY51:BC52" si="197">AS84+AY84</f>
        <v>0.13</v>
      </c>
      <c r="AZ51" s="1561">
        <f t="shared" si="197"/>
        <v>0.13999999999999999</v>
      </c>
      <c r="BA51" s="1561">
        <f t="shared" si="197"/>
        <v>0.1</v>
      </c>
      <c r="BB51" s="1561">
        <f t="shared" si="197"/>
        <v>0.22</v>
      </c>
      <c r="BC51" s="1572">
        <f t="shared" si="197"/>
        <v>0.15000000000000002</v>
      </c>
      <c r="BD51" s="1503"/>
      <c r="BE51" s="1560">
        <f t="shared" ref="BE51:BI52" si="198">AY84+BE84</f>
        <v>0.18000000000000002</v>
      </c>
      <c r="BF51" s="1561">
        <f t="shared" si="198"/>
        <v>0.16999999999999998</v>
      </c>
      <c r="BG51" s="1561">
        <f t="shared" si="198"/>
        <v>0.18</v>
      </c>
      <c r="BH51" s="1561">
        <f t="shared" si="198"/>
        <v>0.11000000000000001</v>
      </c>
      <c r="BI51" s="1572">
        <f t="shared" si="198"/>
        <v>0.16</v>
      </c>
      <c r="BJ51" s="1503"/>
      <c r="BK51" s="1560">
        <f t="shared" ref="BK51:BO52" si="199">BE84+BK84</f>
        <v>0.09</v>
      </c>
      <c r="BL51" s="1561">
        <f t="shared" si="199"/>
        <v>0.1</v>
      </c>
      <c r="BM51" s="1561">
        <f t="shared" si="199"/>
        <v>0.11</v>
      </c>
      <c r="BN51" s="1525">
        <f t="shared" si="199"/>
        <v>9.0000000000000011E-2</v>
      </c>
      <c r="BO51" s="1572">
        <f t="shared" si="199"/>
        <v>0.1</v>
      </c>
      <c r="BP51" s="1503"/>
      <c r="BQ51" s="1560">
        <f t="shared" ref="BQ51:BU52" si="200">BK84+BQ84</f>
        <v>7.0000000000000007E-2</v>
      </c>
      <c r="BR51" s="1561">
        <f t="shared" si="200"/>
        <v>0.08</v>
      </c>
      <c r="BS51" s="1561">
        <f t="shared" si="200"/>
        <v>0.04</v>
      </c>
      <c r="BT51" s="1561">
        <f t="shared" si="200"/>
        <v>7.0000000000000007E-2</v>
      </c>
      <c r="BU51" s="1572">
        <f t="shared" si="200"/>
        <v>7.0000000000000007E-2</v>
      </c>
      <c r="BV51" s="1503"/>
      <c r="BW51" s="1560">
        <f t="shared" ref="BW51:CE52" si="201">BQ84+BW84</f>
        <v>0.04</v>
      </c>
      <c r="BX51" s="1561">
        <f t="shared" si="201"/>
        <v>7.0000000000000007E-2</v>
      </c>
      <c r="BY51" s="1561">
        <f t="shared" si="201"/>
        <v>9.9999999999999992E-2</v>
      </c>
      <c r="BZ51" s="1561">
        <f t="shared" si="201"/>
        <v>0.13</v>
      </c>
      <c r="CA51" s="1572">
        <f t="shared" si="201"/>
        <v>0.09</v>
      </c>
      <c r="CB51" s="1503"/>
      <c r="CC51" s="1560">
        <f t="shared" si="201"/>
        <v>9.0000000000000011E-2</v>
      </c>
      <c r="CD51" s="1561">
        <f t="shared" si="201"/>
        <v>0.12</v>
      </c>
      <c r="CE51" s="1561">
        <f t="shared" si="201"/>
        <v>0.16999999999999998</v>
      </c>
      <c r="CF51" s="1561">
        <f t="shared" ref="CF51:CF52" si="202">BZ84+CF84</f>
        <v>0.14000000000000001</v>
      </c>
      <c r="CG51" s="1572">
        <f t="shared" ref="CG51:CG52" si="203">CA84+CG84</f>
        <v>0.13</v>
      </c>
      <c r="CH51" s="1503"/>
      <c r="CI51" s="1560"/>
      <c r="CJ51" s="1561"/>
      <c r="CK51" s="1561"/>
      <c r="CL51" s="1561"/>
      <c r="CM51" s="1572"/>
      <c r="CN51" s="1503"/>
      <c r="CO51" s="1560"/>
      <c r="CP51" s="1561"/>
      <c r="CQ51" s="1561"/>
      <c r="CR51" s="1561"/>
      <c r="CS51" s="1572"/>
      <c r="CT51" s="1503"/>
      <c r="CU51" s="1560"/>
      <c r="CV51" s="1561"/>
      <c r="CW51" s="1561"/>
      <c r="CX51" s="1561"/>
      <c r="CY51" s="1572"/>
      <c r="DD51" s="48"/>
      <c r="DE51" s="48"/>
      <c r="DF51" s="48"/>
      <c r="DG51" s="48"/>
      <c r="DH51" s="48"/>
      <c r="DI51" s="48"/>
      <c r="DJ51" s="48"/>
      <c r="DK51" s="48"/>
      <c r="DL51" s="48"/>
      <c r="DM51" s="48"/>
      <c r="DN51" s="48"/>
      <c r="DO51" s="48"/>
      <c r="DP51" s="48"/>
      <c r="DQ51" s="48"/>
      <c r="DR51" s="48"/>
      <c r="DS51" s="48"/>
      <c r="DT51" s="48"/>
      <c r="DU51" s="48"/>
      <c r="DV51" s="48"/>
      <c r="DW51" s="48"/>
      <c r="DX51" s="48"/>
      <c r="DY51" s="48"/>
      <c r="DZ51" s="48"/>
      <c r="EA51" s="48"/>
      <c r="EB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2047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  <c r="FF51" s="48"/>
      <c r="FG51" s="48"/>
      <c r="FH51" s="48"/>
      <c r="FI51" s="48"/>
      <c r="FJ51" s="48"/>
      <c r="FK51" s="48"/>
      <c r="FL51" s="48"/>
      <c r="FM51" s="48"/>
      <c r="FN51" s="48"/>
      <c r="FO51" s="48"/>
      <c r="FP51" s="48"/>
      <c r="FQ51" s="48"/>
      <c r="FR51" s="48"/>
      <c r="FS51" s="48"/>
      <c r="FT51" s="48"/>
    </row>
    <row r="52" spans="1:176" s="35" customFormat="1" x14ac:dyDescent="0.2">
      <c r="A52" s="779" t="str">
        <f>A85</f>
        <v xml:space="preserve">Instruments </v>
      </c>
      <c r="B52" s="1501"/>
      <c r="C52" s="1560"/>
      <c r="D52" s="1561"/>
      <c r="E52" s="1561"/>
      <c r="F52" s="1561"/>
      <c r="G52" s="1572"/>
      <c r="H52" s="1561"/>
      <c r="I52" s="764" t="s">
        <v>251</v>
      </c>
      <c r="J52" s="765" t="s">
        <v>251</v>
      </c>
      <c r="K52" s="765" t="s">
        <v>251</v>
      </c>
      <c r="L52" s="765" t="s">
        <v>251</v>
      </c>
      <c r="M52" s="767" t="s">
        <v>251</v>
      </c>
      <c r="N52" s="1561"/>
      <c r="O52" s="764" t="s">
        <v>251</v>
      </c>
      <c r="P52" s="765" t="s">
        <v>251</v>
      </c>
      <c r="Q52" s="765" t="s">
        <v>251</v>
      </c>
      <c r="R52" s="765" t="s">
        <v>251</v>
      </c>
      <c r="S52" s="1572">
        <f>M85+S85</f>
        <v>0.16999999999999998</v>
      </c>
      <c r="T52" s="1561"/>
      <c r="U52" s="764" t="s">
        <v>251</v>
      </c>
      <c r="V52" s="765" t="s">
        <v>251</v>
      </c>
      <c r="W52" s="765" t="s">
        <v>251</v>
      </c>
      <c r="X52" s="765" t="s">
        <v>251</v>
      </c>
      <c r="Y52" s="1572">
        <f>S85+Y85</f>
        <v>0.53</v>
      </c>
      <c r="Z52" s="1561"/>
      <c r="AA52" s="764" t="s">
        <v>251</v>
      </c>
      <c r="AB52" s="765" t="s">
        <v>251</v>
      </c>
      <c r="AC52" s="765" t="s">
        <v>251</v>
      </c>
      <c r="AD52" s="765" t="s">
        <v>251</v>
      </c>
      <c r="AE52" s="1572">
        <f>Y85+AE85</f>
        <v>0.87</v>
      </c>
      <c r="AF52" s="1561"/>
      <c r="AG52" s="764" t="s">
        <v>251</v>
      </c>
      <c r="AH52" s="765" t="s">
        <v>251</v>
      </c>
      <c r="AI52" s="765" t="s">
        <v>251</v>
      </c>
      <c r="AJ52" s="765" t="s">
        <v>251</v>
      </c>
      <c r="AK52" s="1572">
        <f>AE85+AK85</f>
        <v>0.94</v>
      </c>
      <c r="AL52" s="1561"/>
      <c r="AM52" s="1560"/>
      <c r="AN52" s="1561"/>
      <c r="AO52" s="1561"/>
      <c r="AP52" s="1561"/>
      <c r="AQ52" s="1572">
        <f>AK85+AQ85</f>
        <v>0.54</v>
      </c>
      <c r="AR52" s="1561"/>
      <c r="AS52" s="1560">
        <f t="shared" si="196"/>
        <v>0.28000000000000003</v>
      </c>
      <c r="AT52" s="1561">
        <f t="shared" si="196"/>
        <v>0.03</v>
      </c>
      <c r="AU52" s="1561">
        <f t="shared" si="196"/>
        <v>0.03</v>
      </c>
      <c r="AV52" s="1525" t="s">
        <v>314</v>
      </c>
      <c r="AW52" s="1572">
        <f>AQ85+AW85</f>
        <v>0.13</v>
      </c>
      <c r="AX52" s="1561"/>
      <c r="AY52" s="1560">
        <f t="shared" si="197"/>
        <v>-3.9999999999999994E-2</v>
      </c>
      <c r="AZ52" s="1561">
        <f t="shared" si="197"/>
        <v>0.21000000000000002</v>
      </c>
      <c r="BA52" s="1561">
        <f t="shared" si="197"/>
        <v>0.12</v>
      </c>
      <c r="BB52" s="1561">
        <f t="shared" si="197"/>
        <v>0.18</v>
      </c>
      <c r="BC52" s="1572">
        <f t="shared" si="197"/>
        <v>0.12</v>
      </c>
      <c r="BD52" s="1503"/>
      <c r="BE52" s="1560">
        <f t="shared" si="198"/>
        <v>2.0000000000000004E-2</v>
      </c>
      <c r="BF52" s="1561">
        <f t="shared" si="198"/>
        <v>0.2</v>
      </c>
      <c r="BG52" s="1561">
        <f t="shared" si="198"/>
        <v>0.04</v>
      </c>
      <c r="BH52" s="1561">
        <f t="shared" si="198"/>
        <v>2.0000000000000004E-2</v>
      </c>
      <c r="BI52" s="1572">
        <f t="shared" si="198"/>
        <v>7.0000000000000007E-2</v>
      </c>
      <c r="BJ52" s="1503"/>
      <c r="BK52" s="1560">
        <f t="shared" si="199"/>
        <v>0</v>
      </c>
      <c r="BL52" s="1561">
        <f t="shared" si="199"/>
        <v>-0.13</v>
      </c>
      <c r="BM52" s="1561">
        <f t="shared" si="199"/>
        <v>0.11</v>
      </c>
      <c r="BN52" s="1525">
        <f t="shared" si="199"/>
        <v>0.13</v>
      </c>
      <c r="BO52" s="1572">
        <f t="shared" si="199"/>
        <v>0.04</v>
      </c>
      <c r="BP52" s="1503"/>
      <c r="BQ52" s="1560">
        <f t="shared" si="200"/>
        <v>0.12</v>
      </c>
      <c r="BR52" s="1561">
        <f t="shared" si="200"/>
        <v>9.0000000000000011E-2</v>
      </c>
      <c r="BS52" s="1561">
        <f t="shared" si="200"/>
        <v>0.15</v>
      </c>
      <c r="BT52" s="1561">
        <f t="shared" si="200"/>
        <v>0.13999999999999999</v>
      </c>
      <c r="BU52" s="1572">
        <f t="shared" si="200"/>
        <v>0.13</v>
      </c>
      <c r="BV52" s="1503"/>
      <c r="BW52" s="1560">
        <f t="shared" si="201"/>
        <v>0.15</v>
      </c>
      <c r="BX52" s="1561">
        <f t="shared" si="201"/>
        <v>0.18000000000000002</v>
      </c>
      <c r="BY52" s="1561">
        <f t="shared" si="201"/>
        <v>7.0000000000000007E-2</v>
      </c>
      <c r="BZ52" s="1561">
        <f t="shared" si="201"/>
        <v>1.9999999999999997E-2</v>
      </c>
      <c r="CA52" s="1572">
        <f t="shared" si="201"/>
        <v>0.1</v>
      </c>
      <c r="CB52" s="1503"/>
      <c r="CC52" s="1560">
        <f t="shared" si="201"/>
        <v>0.03</v>
      </c>
      <c r="CD52" s="1561">
        <f t="shared" si="201"/>
        <v>0</v>
      </c>
      <c r="CE52" s="1561">
        <f t="shared" si="201"/>
        <v>0.05</v>
      </c>
      <c r="CF52" s="1561">
        <f t="shared" si="202"/>
        <v>0.12</v>
      </c>
      <c r="CG52" s="1572">
        <f t="shared" si="203"/>
        <v>6.0000000000000005E-2</v>
      </c>
      <c r="CH52" s="1503"/>
      <c r="CI52" s="1560"/>
      <c r="CJ52" s="1561"/>
      <c r="CK52" s="1561"/>
      <c r="CL52" s="1561"/>
      <c r="CM52" s="1572"/>
      <c r="CN52" s="1503"/>
      <c r="CO52" s="1560"/>
      <c r="CP52" s="1561"/>
      <c r="CQ52" s="1561"/>
      <c r="CR52" s="1561"/>
      <c r="CS52" s="1572"/>
      <c r="CT52" s="1503"/>
      <c r="CU52" s="1560"/>
      <c r="CV52" s="1561"/>
      <c r="CW52" s="1561"/>
      <c r="CX52" s="1561"/>
      <c r="CY52" s="1572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48"/>
      <c r="DS52" s="48"/>
      <c r="DT52" s="48"/>
      <c r="DU52" s="48"/>
      <c r="DV52" s="48"/>
      <c r="DW52" s="48"/>
      <c r="DX52" s="48"/>
      <c r="DY52" s="48"/>
      <c r="DZ52" s="48"/>
      <c r="EA52" s="48"/>
      <c r="EB52" s="48"/>
      <c r="EC52" s="48"/>
      <c r="EF52" s="48"/>
      <c r="EG52" s="48"/>
      <c r="EH52" s="48"/>
      <c r="EI52" s="48"/>
      <c r="EJ52" s="48"/>
      <c r="EK52" s="48"/>
      <c r="EL52" s="48"/>
      <c r="EM52" s="48"/>
      <c r="EN52" s="48"/>
      <c r="EO52" s="48"/>
      <c r="EP52" s="48"/>
      <c r="EQ52" s="48"/>
      <c r="ER52" s="48"/>
      <c r="ES52" s="2047"/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48"/>
      <c r="FK52" s="48"/>
      <c r="FL52" s="48"/>
      <c r="FM52" s="48"/>
      <c r="FN52" s="48"/>
      <c r="FO52" s="48"/>
      <c r="FP52" s="48"/>
      <c r="FQ52" s="48"/>
      <c r="FR52" s="48"/>
      <c r="FS52" s="48"/>
      <c r="FT52" s="48"/>
    </row>
    <row r="53" spans="1:176" x14ac:dyDescent="0.2">
      <c r="A53" s="1867" t="s">
        <v>659</v>
      </c>
      <c r="B53" s="1868"/>
      <c r="C53" s="1542"/>
      <c r="D53" s="1543"/>
      <c r="E53" s="1543"/>
      <c r="F53" s="1543"/>
      <c r="G53" s="1544"/>
      <c r="H53" s="1543"/>
      <c r="I53" s="1869" t="s">
        <v>251</v>
      </c>
      <c r="J53" s="1870" t="s">
        <v>251</v>
      </c>
      <c r="K53" s="1870" t="s">
        <v>251</v>
      </c>
      <c r="L53" s="1870" t="s">
        <v>251</v>
      </c>
      <c r="M53" s="1871" t="s">
        <v>251</v>
      </c>
      <c r="N53" s="1543"/>
      <c r="O53" s="1869" t="s">
        <v>251</v>
      </c>
      <c r="P53" s="1870" t="s">
        <v>251</v>
      </c>
      <c r="Q53" s="1870" t="s">
        <v>251</v>
      </c>
      <c r="R53" s="1870" t="s">
        <v>251</v>
      </c>
      <c r="S53" s="1871" t="s">
        <v>251</v>
      </c>
      <c r="T53" s="1543"/>
      <c r="U53" s="1869" t="s">
        <v>251</v>
      </c>
      <c r="V53" s="1870" t="s">
        <v>251</v>
      </c>
      <c r="W53" s="1870" t="s">
        <v>251</v>
      </c>
      <c r="X53" s="1870" t="s">
        <v>251</v>
      </c>
      <c r="Y53" s="1871" t="s">
        <v>251</v>
      </c>
      <c r="Z53" s="1543"/>
      <c r="AA53" s="1542">
        <f>AA35+U35</f>
        <v>0.21000000000000002</v>
      </c>
      <c r="AB53" s="1543">
        <f>AB35+V35</f>
        <v>0.22000000000000003</v>
      </c>
      <c r="AC53" s="1543">
        <f>AC35+W35</f>
        <v>0.24000000000000002</v>
      </c>
      <c r="AD53" s="1543">
        <f>AD35+X35</f>
        <v>0.27</v>
      </c>
      <c r="AE53" s="1544">
        <f>AE35+Y35</f>
        <v>0.25</v>
      </c>
      <c r="AF53" s="1543"/>
      <c r="AG53" s="1542">
        <f>AG35+AA35</f>
        <v>0.21000000000000002</v>
      </c>
      <c r="AH53" s="1543">
        <f>AH35+AB35</f>
        <v>0.23</v>
      </c>
      <c r="AI53" s="1543">
        <f>AI35+AC35</f>
        <v>0.29000000000000004</v>
      </c>
      <c r="AJ53" s="1543">
        <f>AJ35+AD35</f>
        <v>0.28000000000000003</v>
      </c>
      <c r="AK53" s="1544">
        <f>AK35+AE35</f>
        <v>0.26</v>
      </c>
      <c r="AL53" s="1543"/>
      <c r="AM53" s="1542">
        <f>AM35+AG35</f>
        <v>0.22000000000000003</v>
      </c>
      <c r="AN53" s="1543">
        <f>AN35+AH35</f>
        <v>0.17299999999999999</v>
      </c>
      <c r="AO53" s="1543">
        <f>AO35+AI35</f>
        <v>0.18000000000000002</v>
      </c>
      <c r="AP53" s="1543">
        <f>AP35+AJ35</f>
        <v>0.11000000000000001</v>
      </c>
      <c r="AQ53" s="1544">
        <f>AQ35+AK35</f>
        <v>0.17</v>
      </c>
      <c r="AR53" s="1543"/>
      <c r="AS53" s="1542">
        <f>AS35+AM35</f>
        <v>9.0000000000000011E-2</v>
      </c>
      <c r="AT53" s="1543">
        <f>AT35+AN35</f>
        <v>6.3E-2</v>
      </c>
      <c r="AU53" s="1543">
        <f>AU35+AO35</f>
        <v>0</v>
      </c>
      <c r="AV53" s="1543">
        <f>AV35+AP35</f>
        <v>0.08</v>
      </c>
      <c r="AW53" s="1544">
        <f>AW35+AQ35</f>
        <v>0.06</v>
      </c>
      <c r="AX53" s="1543"/>
      <c r="AY53" s="1542">
        <f>AY35+AS35</f>
        <v>3.9999999999999994E-2</v>
      </c>
      <c r="AZ53" s="1543">
        <f>AZ35+AT35</f>
        <v>6.0000000000000005E-2</v>
      </c>
      <c r="BA53" s="1543">
        <f>BA35+AU35</f>
        <v>-0.08</v>
      </c>
      <c r="BB53" s="1543">
        <f>BB35+AV35</f>
        <v>0.1</v>
      </c>
      <c r="BC53" s="1544">
        <f>AW21+BC21</f>
        <v>-5.5842939570210678E-2</v>
      </c>
      <c r="BD53" s="1541"/>
      <c r="BE53" s="1542">
        <f t="shared" ref="BE53:BI53" si="204">AY21+BE21</f>
        <v>7.9999999999999988E-2</v>
      </c>
      <c r="BF53" s="1543">
        <f t="shared" si="204"/>
        <v>0.06</v>
      </c>
      <c r="BG53" s="1543">
        <f t="shared" si="204"/>
        <v>-1.5000000000000013E-2</v>
      </c>
      <c r="BH53" s="1543">
        <f t="shared" si="204"/>
        <v>1.0000000000000004E-2</v>
      </c>
      <c r="BI53" s="1544">
        <f t="shared" si="204"/>
        <v>-4.959293957021068E-2</v>
      </c>
      <c r="BJ53" s="1541"/>
      <c r="BK53" s="1542">
        <f t="shared" ref="BK53:BO53" si="205">BE21+BK21</f>
        <v>0.04</v>
      </c>
      <c r="BL53" s="1543">
        <f t="shared" si="205"/>
        <v>2.3333333333333334E-2</v>
      </c>
      <c r="BM53" s="1543">
        <f t="shared" si="205"/>
        <v>6.4999999999999988E-2</v>
      </c>
      <c r="BN53" s="1543">
        <f t="shared" si="205"/>
        <v>5.2999999999999999E-2</v>
      </c>
      <c r="BO53" s="1544">
        <f t="shared" si="205"/>
        <v>4.6249999999999999E-2</v>
      </c>
      <c r="BP53" s="1541"/>
      <c r="BQ53" s="1542">
        <f t="shared" ref="BQ53:BU53" si="206">BK21+BQ21</f>
        <v>2.0000000000000004E-2</v>
      </c>
      <c r="BR53" s="1543">
        <f t="shared" si="206"/>
        <v>4.2333333333333334E-2</v>
      </c>
      <c r="BS53" s="1543">
        <f t="shared" si="206"/>
        <v>3.8241470852870052E-2</v>
      </c>
      <c r="BT53" s="1543">
        <f t="shared" si="206"/>
        <v>4.4653862143510442E-2</v>
      </c>
      <c r="BU53" s="1544">
        <f t="shared" si="206"/>
        <v>3.7458054835285332E-2</v>
      </c>
      <c r="BV53" s="1541"/>
      <c r="BW53" s="1542">
        <f t="shared" ref="BW53:CA53" si="207">BQ21+BW21</f>
        <v>3.2432609488867836E-2</v>
      </c>
      <c r="BX53" s="1543">
        <f t="shared" si="207"/>
        <v>0.10730321546629269</v>
      </c>
      <c r="BY53" s="1543">
        <f t="shared" si="207"/>
        <v>8.7315672676999564E-2</v>
      </c>
      <c r="BZ53" s="1543">
        <f t="shared" si="207"/>
        <v>8.7631623979952333E-2</v>
      </c>
      <c r="CA53" s="1544">
        <f t="shared" si="207"/>
        <v>8.4504512638776272E-2</v>
      </c>
      <c r="CB53" s="1541"/>
      <c r="CC53" s="1542">
        <f t="shared" ref="CC53:CG53" si="208">BW21+CC21</f>
        <v>8.4081167195676959E-2</v>
      </c>
      <c r="CD53" s="1543">
        <f t="shared" si="208"/>
        <v>0.15282256883877932</v>
      </c>
      <c r="CE53" s="1543">
        <f t="shared" si="208"/>
        <v>0.15202679789422413</v>
      </c>
      <c r="CF53" s="1543">
        <f t="shared" si="208"/>
        <v>0.14416296571622852</v>
      </c>
      <c r="CG53" s="1544">
        <f t="shared" si="208"/>
        <v>0.13550234388862459</v>
      </c>
      <c r="CH53" s="1541"/>
      <c r="CI53" s="1542">
        <f t="shared" ref="CI53:CM53" si="209">CC21+CI21</f>
        <v>0.12130554924949108</v>
      </c>
      <c r="CJ53" s="1543">
        <f t="shared" si="209"/>
        <v>0.15080375210074701</v>
      </c>
      <c r="CK53" s="1543">
        <f t="shared" si="209"/>
        <v>0.15121502174501822</v>
      </c>
      <c r="CL53" s="1543">
        <f t="shared" si="209"/>
        <v>0.12353332271616117</v>
      </c>
      <c r="CM53" s="1544">
        <f t="shared" si="209"/>
        <v>0.13690852878746845</v>
      </c>
      <c r="CN53" s="1541"/>
      <c r="CO53" s="1542">
        <f t="shared" ref="CO53:CS53" si="210">CI21+CO21</f>
        <v>0.1696787335588773</v>
      </c>
      <c r="CP53" s="1543">
        <f t="shared" si="210"/>
        <v>0.13412626787315976</v>
      </c>
      <c r="CQ53" s="1543">
        <f t="shared" si="210"/>
        <v>0.13798975289043902</v>
      </c>
      <c r="CR53" s="1543">
        <f t="shared" si="210"/>
        <v>0.1439079306647853</v>
      </c>
      <c r="CS53" s="1544">
        <f t="shared" si="210"/>
        <v>0.14443730605681443</v>
      </c>
      <c r="CT53" s="1541"/>
      <c r="CU53" s="1542">
        <f t="shared" ref="CU53:CY53" si="211">CO21+CU21</f>
        <v>0.20718285733015246</v>
      </c>
      <c r="CV53" s="1543">
        <f t="shared" si="211"/>
        <v>0.15852473691301092</v>
      </c>
      <c r="CW53" s="1543">
        <f t="shared" si="211"/>
        <v>0.15797998880188624</v>
      </c>
      <c r="CX53" s="1543">
        <f t="shared" si="211"/>
        <v>0.18584709700109747</v>
      </c>
      <c r="CY53" s="1544">
        <f t="shared" si="211"/>
        <v>0.17657053371335363</v>
      </c>
      <c r="ES53" s="2050"/>
    </row>
    <row r="54" spans="1:176" x14ac:dyDescent="0.2">
      <c r="A54" s="991" t="s">
        <v>607</v>
      </c>
      <c r="B54" s="1868"/>
      <c r="C54" s="1542"/>
      <c r="D54" s="1543"/>
      <c r="E54" s="1543"/>
      <c r="F54" s="1543"/>
      <c r="G54" s="1544"/>
      <c r="H54" s="1543"/>
      <c r="I54" s="1869"/>
      <c r="J54" s="1870"/>
      <c r="K54" s="1870"/>
      <c r="L54" s="1870"/>
      <c r="M54" s="1871"/>
      <c r="N54" s="1543"/>
      <c r="O54" s="1869"/>
      <c r="P54" s="1870"/>
      <c r="Q54" s="1870"/>
      <c r="R54" s="1870"/>
      <c r="S54" s="1871"/>
      <c r="T54" s="1543"/>
      <c r="U54" s="1869"/>
      <c r="V54" s="1870"/>
      <c r="W54" s="1870"/>
      <c r="X54" s="1870"/>
      <c r="Y54" s="1871"/>
      <c r="Z54" s="1543"/>
      <c r="AA54" s="1542"/>
      <c r="AB54" s="1543"/>
      <c r="AC54" s="1543"/>
      <c r="AD54" s="1543"/>
      <c r="AE54" s="1544"/>
      <c r="AF54" s="1543"/>
      <c r="AG54" s="1542"/>
      <c r="AH54" s="1543"/>
      <c r="AI54" s="1543"/>
      <c r="AJ54" s="1543"/>
      <c r="AK54" s="1544"/>
      <c r="AL54" s="1543"/>
      <c r="AM54" s="1542"/>
      <c r="AN54" s="1543"/>
      <c r="AO54" s="1543"/>
      <c r="AP54" s="1543"/>
      <c r="AQ54" s="1544"/>
      <c r="AR54" s="1543"/>
      <c r="AS54" s="1542"/>
      <c r="AT54" s="1543"/>
      <c r="AU54" s="1543"/>
      <c r="AV54" s="1543"/>
      <c r="AW54" s="1544"/>
      <c r="AX54" s="1543"/>
      <c r="AY54" s="1542"/>
      <c r="AZ54" s="1543"/>
      <c r="BA54" s="1543"/>
      <c r="BB54" s="1543"/>
      <c r="BC54" s="1544">
        <f t="shared" ref="BC54:BC57" si="212">AW22+BC22</f>
        <v>9.5829018554639517E-2</v>
      </c>
      <c r="BD54" s="1541"/>
      <c r="BE54" s="1542">
        <f t="shared" ref="BE54:BE57" si="213">AY22+BE22</f>
        <v>8.302063051212813E-2</v>
      </c>
      <c r="BF54" s="1543">
        <f t="shared" ref="BF54:BF57" si="214">AZ22+BF22</f>
        <v>0.11261058699192932</v>
      </c>
      <c r="BG54" s="1543">
        <f t="shared" ref="BG54:BG57" si="215">BA22+BG22</f>
        <v>9.5753882065473681E-2</v>
      </c>
      <c r="BH54" s="1543">
        <f t="shared" ref="BH54:BH57" si="216">BB22+BH22</f>
        <v>7.6876164287342494E-2</v>
      </c>
      <c r="BI54" s="1544">
        <f t="shared" ref="BI54:BI57" si="217">BC22+BI22</f>
        <v>9.5479737535093562E-2</v>
      </c>
      <c r="BJ54" s="1541"/>
      <c r="BK54" s="1542">
        <f t="shared" ref="BK54:BK57" si="218">BE22+BK22</f>
        <v>8.2051953079544285E-2</v>
      </c>
      <c r="BL54" s="1543">
        <f t="shared" ref="BL54:BL57" si="219">BF22+BL22</f>
        <v>8.4428366090193663E-2</v>
      </c>
      <c r="BM54" s="1543">
        <f t="shared" ref="BM54:BM57" si="220">BG22+BM22</f>
        <v>0.13431901437918747</v>
      </c>
      <c r="BN54" s="1543">
        <f t="shared" ref="BN54:BN57" si="221">BH22+BN22</f>
        <v>0.12805128322656989</v>
      </c>
      <c r="BO54" s="1544">
        <f t="shared" ref="BO54:BO57" si="222">BI22+BO22</f>
        <v>0.10745725792273535</v>
      </c>
      <c r="BP54" s="1541"/>
      <c r="BQ54" s="1542">
        <f t="shared" ref="BQ54:BQ57" si="223">BK22+BQ22</f>
        <v>9.9593024051113088E-2</v>
      </c>
      <c r="BR54" s="1543">
        <f t="shared" ref="BR54:BR57" si="224">BL22+BR22</f>
        <v>9.8797756988437124E-2</v>
      </c>
      <c r="BS54" s="1543">
        <f t="shared" ref="BS54:BS57" si="225">BM22+BS22</f>
        <v>0.11908147085287005</v>
      </c>
      <c r="BT54" s="1543">
        <f t="shared" ref="BT54:BT57" si="226">BN22+BT22</f>
        <v>0.10502399984517824</v>
      </c>
      <c r="BU54" s="1544">
        <f t="shared" ref="BU54:BU57" si="227">BO22+BU22</f>
        <v>0.10161079713632146</v>
      </c>
      <c r="BV54" s="1541"/>
      <c r="BW54" s="1542">
        <f t="shared" ref="BW54:BW57" si="228">BQ22+BW22</f>
        <v>9.4955633539980933E-2</v>
      </c>
      <c r="BX54" s="1543">
        <f t="shared" ref="BX54:BX57" si="229">BR22+BX22</f>
        <v>0.14711763912139647</v>
      </c>
      <c r="BY54" s="1543">
        <f t="shared" ref="BY54:BY57" si="230">BS22+BY22</f>
        <v>0.13018145068253745</v>
      </c>
      <c r="BZ54" s="1543">
        <f t="shared" ref="BZ54:BZ57" si="231">BT22+BZ22</f>
        <v>0.10038996558832278</v>
      </c>
      <c r="CA54" s="1544">
        <f t="shared" ref="CA54:CA57" si="232">BU22+CA22</f>
        <v>0.11873724563903404</v>
      </c>
      <c r="CB54" s="1541"/>
      <c r="CC54" s="1542">
        <f t="shared" ref="CC54:CC57" si="233">BW22+CC22</f>
        <v>0.11082432481735946</v>
      </c>
      <c r="CD54" s="1543">
        <f t="shared" ref="CD54:CD57" si="234">BX22+CD22</f>
        <v>0.16500265775903339</v>
      </c>
      <c r="CE54" s="1543">
        <f t="shared" ref="CE54:CE57" si="235">BY22+CE22</f>
        <v>0.16381869403728805</v>
      </c>
      <c r="CF54" s="1543">
        <f t="shared" ref="CF54:CF57" si="236">BZ22+CF22</f>
        <v>0.15187271172641048</v>
      </c>
      <c r="CG54" s="1544">
        <f t="shared" ref="CG54:CG57" si="237">CA22+CG22</f>
        <v>0.14931142720616394</v>
      </c>
      <c r="CH54" s="1541"/>
      <c r="CI54" s="1542">
        <f t="shared" ref="CI54:CI57" si="238">CC22+CI22</f>
        <v>0.13082870687117359</v>
      </c>
      <c r="CJ54" s="1543">
        <f t="shared" ref="CJ54:CJ57" si="239">CD22+CJ22</f>
        <v>0.15862990423118695</v>
      </c>
      <c r="CK54" s="1543">
        <f t="shared" ref="CK54:CK57" si="240">CE22+CK22</f>
        <v>0.16015441294542526</v>
      </c>
      <c r="CL54" s="1543">
        <f t="shared" ref="CL54:CL57" si="241">CF22+CL22</f>
        <v>0.14201435041434302</v>
      </c>
      <c r="CM54" s="1544">
        <f t="shared" ref="CM54:CM57" si="242">CG22+CM22</f>
        <v>0.14832834003565629</v>
      </c>
      <c r="CN54" s="1541"/>
      <c r="CO54" s="1542">
        <f t="shared" ref="CO54:CO57" si="243">CI22+CO22</f>
        <v>0.17087317887092188</v>
      </c>
      <c r="CP54" s="1543">
        <f t="shared" ref="CP54:CP57" si="244">CJ22+CP22</f>
        <v>0.14509903094922719</v>
      </c>
      <c r="CQ54" s="1543">
        <f t="shared" ref="CQ54:CQ57" si="245">CK22+CQ22</f>
        <v>0.14869097786549831</v>
      </c>
      <c r="CR54" s="1543">
        <f t="shared" ref="CR54:CR57" si="246">CL22+CR22</f>
        <v>0.1567440700330644</v>
      </c>
      <c r="CS54" s="1544">
        <f t="shared" ref="CS54:CS57" si="247">CM22+CS22</f>
        <v>0.15376748919743485</v>
      </c>
      <c r="CT54" s="1541"/>
      <c r="CU54" s="1542">
        <f t="shared" ref="CU54:CU57" si="248">CO22+CU22</f>
        <v>0.20934554119804208</v>
      </c>
      <c r="CV54" s="1543">
        <f t="shared" ref="CV54:CV57" si="249">CP22+CV22</f>
        <v>0.16031872339596409</v>
      </c>
      <c r="CW54" s="1543">
        <f t="shared" ref="CW54:CW57" si="250">CQ22+CW22</f>
        <v>0.1596960271392347</v>
      </c>
      <c r="CX54" s="1543">
        <f t="shared" ref="CX54:CX57" si="251">CR22+CX22</f>
        <v>0.18727230090545283</v>
      </c>
      <c r="CY54" s="1544">
        <f t="shared" ref="CY54:CY57" si="252">CS22+CY22</f>
        <v>0.17832458004896862</v>
      </c>
    </row>
    <row r="55" spans="1:176" x14ac:dyDescent="0.2">
      <c r="A55" s="991" t="s">
        <v>664</v>
      </c>
      <c r="B55" s="1868"/>
      <c r="C55" s="1542"/>
      <c r="D55" s="1543"/>
      <c r="E55" s="1543"/>
      <c r="F55" s="1543"/>
      <c r="G55" s="1544"/>
      <c r="H55" s="1543"/>
      <c r="I55" s="1869"/>
      <c r="J55" s="1870"/>
      <c r="K55" s="1870"/>
      <c r="L55" s="1870"/>
      <c r="M55" s="1871"/>
      <c r="N55" s="1543"/>
      <c r="O55" s="1869"/>
      <c r="P55" s="1870"/>
      <c r="Q55" s="1870"/>
      <c r="R55" s="1870"/>
      <c r="S55" s="1871"/>
      <c r="T55" s="1543"/>
      <c r="U55" s="1869"/>
      <c r="V55" s="1870"/>
      <c r="W55" s="1870"/>
      <c r="X55" s="1870"/>
      <c r="Y55" s="1871"/>
      <c r="Z55" s="1543"/>
      <c r="AA55" s="1542"/>
      <c r="AB55" s="1543"/>
      <c r="AC55" s="1543"/>
      <c r="AD55" s="1543"/>
      <c r="AE55" s="1544"/>
      <c r="AF55" s="1543"/>
      <c r="AG55" s="1542"/>
      <c r="AH55" s="1543"/>
      <c r="AI55" s="1543"/>
      <c r="AJ55" s="1543"/>
      <c r="AK55" s="1544"/>
      <c r="AL55" s="1543"/>
      <c r="AM55" s="1542"/>
      <c r="AN55" s="1543"/>
      <c r="AO55" s="1543"/>
      <c r="AP55" s="1543"/>
      <c r="AQ55" s="1544"/>
      <c r="AR55" s="1543"/>
      <c r="AS55" s="1542"/>
      <c r="AT55" s="1543"/>
      <c r="AU55" s="1543"/>
      <c r="AV55" s="1543"/>
      <c r="AW55" s="1544"/>
      <c r="AX55" s="1543"/>
      <c r="AY55" s="1542"/>
      <c r="AZ55" s="1543"/>
      <c r="BA55" s="1543"/>
      <c r="BB55" s="1543"/>
      <c r="BC55" s="1544">
        <f t="shared" si="212"/>
        <v>-8.1419658513449705E-2</v>
      </c>
      <c r="BD55" s="1541"/>
      <c r="BE55" s="1542">
        <f t="shared" si="213"/>
        <v>3.3008346209120742E-3</v>
      </c>
      <c r="BF55" s="1543">
        <f t="shared" si="214"/>
        <v>-8.2609459886137659E-3</v>
      </c>
      <c r="BG55" s="1543">
        <f t="shared" si="215"/>
        <v>1.7467608705080233E-2</v>
      </c>
      <c r="BH55" s="1543">
        <f t="shared" si="216"/>
        <v>2.7392821266407665E-3</v>
      </c>
      <c r="BI55" s="1544">
        <f t="shared" si="217"/>
        <v>-7.2812115345043865E-2</v>
      </c>
      <c r="BJ55" s="1541"/>
      <c r="BK55" s="1542">
        <f t="shared" si="218"/>
        <v>6.371077351997656E-3</v>
      </c>
      <c r="BL55" s="1543">
        <f t="shared" si="219"/>
        <v>-2.3618502496613571E-3</v>
      </c>
      <c r="BM55" s="1543">
        <f t="shared" si="220"/>
        <v>3.5987497461660765E-2</v>
      </c>
      <c r="BN55" s="1543">
        <f t="shared" si="221"/>
        <v>2.9406685433610073E-2</v>
      </c>
      <c r="BO55" s="1544">
        <f t="shared" si="222"/>
        <v>1.8437220288428112E-2</v>
      </c>
      <c r="BP55" s="1541"/>
      <c r="BQ55" s="1542">
        <f t="shared" si="223"/>
        <v>-6.3124419158635432E-3</v>
      </c>
      <c r="BR55" s="1543">
        <f t="shared" si="224"/>
        <v>2.5579712421249064E-2</v>
      </c>
      <c r="BS55" s="1543">
        <f t="shared" si="225"/>
        <v>6.257556820890289E-3</v>
      </c>
      <c r="BT55" s="1543">
        <f t="shared" si="226"/>
        <v>2.3061519498001407E-2</v>
      </c>
      <c r="BU55" s="1544">
        <f t="shared" si="227"/>
        <v>1.3566886941715489E-2</v>
      </c>
      <c r="BV55" s="1541"/>
      <c r="BW55" s="1542">
        <f t="shared" si="228"/>
        <v>5.5849090131571966E-3</v>
      </c>
      <c r="BX55" s="1543">
        <f t="shared" si="229"/>
        <v>7.5513612440903322E-2</v>
      </c>
      <c r="BY55" s="1543">
        <f t="shared" si="230"/>
        <v>3.6853434518978385E-2</v>
      </c>
      <c r="BZ55" s="1543">
        <f t="shared" si="231"/>
        <v>4.3142908484336641E-2</v>
      </c>
      <c r="CA55" s="1544">
        <f t="shared" si="232"/>
        <v>4.577068608593788E-2</v>
      </c>
      <c r="CB55" s="1541"/>
      <c r="CC55" s="1542">
        <f t="shared" si="233"/>
        <v>4.9177899038976472E-2</v>
      </c>
      <c r="CD55" s="1543">
        <f t="shared" si="234"/>
        <v>9.3708825733430257E-2</v>
      </c>
      <c r="CE55" s="1543">
        <f t="shared" si="235"/>
        <v>8.6818958438536237E-2</v>
      </c>
      <c r="CF55" s="1543">
        <f t="shared" si="236"/>
        <v>9.1043290421153833E-2</v>
      </c>
      <c r="CG55" s="1544">
        <f t="shared" si="237"/>
        <v>8.1975401402717141E-2</v>
      </c>
      <c r="CH55" s="1541"/>
      <c r="CI55" s="1542">
        <f t="shared" si="238"/>
        <v>8.3306606187077942E-2</v>
      </c>
      <c r="CJ55" s="1543">
        <f t="shared" si="239"/>
        <v>8.7051405548917604E-2</v>
      </c>
      <c r="CK55" s="1543">
        <f t="shared" si="240"/>
        <v>7.7597158849827139E-2</v>
      </c>
      <c r="CL55" s="1543">
        <f t="shared" si="241"/>
        <v>8.2768065716368217E-2</v>
      </c>
      <c r="CM55" s="1544">
        <f t="shared" si="242"/>
        <v>8.2698632661624333E-2</v>
      </c>
      <c r="CN55" s="1541"/>
      <c r="CO55" s="1542">
        <f t="shared" si="243"/>
        <v>8.5826434726624767E-2</v>
      </c>
      <c r="CP55" s="1543">
        <f t="shared" si="244"/>
        <v>7.8617043925740301E-2</v>
      </c>
      <c r="CQ55" s="1543">
        <f t="shared" si="245"/>
        <v>9.9621294081474965E-2</v>
      </c>
      <c r="CR55" s="1543">
        <f t="shared" si="246"/>
        <v>0.10124316430431354</v>
      </c>
      <c r="CS55" s="1544">
        <f t="shared" si="247"/>
        <v>9.0741243724199672E-2</v>
      </c>
      <c r="CT55" s="1541"/>
      <c r="CU55" s="1542">
        <f t="shared" si="248"/>
        <v>0.1165284224970945</v>
      </c>
      <c r="CV55" s="1543">
        <f t="shared" si="249"/>
        <v>0.1047750080557379</v>
      </c>
      <c r="CW55" s="1543">
        <f t="shared" si="250"/>
        <v>0.13330234534895247</v>
      </c>
      <c r="CX55" s="1543">
        <f t="shared" si="251"/>
        <v>0.13731251245734699</v>
      </c>
      <c r="CY55" s="1544">
        <f t="shared" si="252"/>
        <v>0.12365786438236956</v>
      </c>
    </row>
    <row r="56" spans="1:176" x14ac:dyDescent="0.2">
      <c r="A56" s="991" t="s">
        <v>662</v>
      </c>
      <c r="B56" s="1868"/>
      <c r="C56" s="1542"/>
      <c r="D56" s="1543"/>
      <c r="E56" s="1543"/>
      <c r="F56" s="1543"/>
      <c r="G56" s="1544"/>
      <c r="H56" s="1543"/>
      <c r="I56" s="1869"/>
      <c r="J56" s="1870"/>
      <c r="K56" s="1870"/>
      <c r="L56" s="1870"/>
      <c r="M56" s="1871"/>
      <c r="N56" s="1543"/>
      <c r="O56" s="1869"/>
      <c r="P56" s="1870"/>
      <c r="Q56" s="1870"/>
      <c r="R56" s="1870"/>
      <c r="S56" s="1871"/>
      <c r="T56" s="1543"/>
      <c r="U56" s="1869"/>
      <c r="V56" s="1870"/>
      <c r="W56" s="1870"/>
      <c r="X56" s="1870"/>
      <c r="Y56" s="1871"/>
      <c r="Z56" s="1543"/>
      <c r="AA56" s="1542"/>
      <c r="AB56" s="1543"/>
      <c r="AC56" s="1543"/>
      <c r="AD56" s="1543"/>
      <c r="AE56" s="1544"/>
      <c r="AF56" s="1543"/>
      <c r="AG56" s="1542"/>
      <c r="AH56" s="1543"/>
      <c r="AI56" s="1543"/>
      <c r="AJ56" s="1543"/>
      <c r="AK56" s="1544"/>
      <c r="AL56" s="1543"/>
      <c r="AM56" s="1542"/>
      <c r="AN56" s="1543"/>
      <c r="AO56" s="1543"/>
      <c r="AP56" s="1543"/>
      <c r="AQ56" s="1544"/>
      <c r="AR56" s="1543"/>
      <c r="AS56" s="1542"/>
      <c r="AT56" s="1543"/>
      <c r="AU56" s="1543"/>
      <c r="AV56" s="1543"/>
      <c r="AW56" s="1544"/>
      <c r="AX56" s="1543"/>
      <c r="AY56" s="1542"/>
      <c r="AZ56" s="1543"/>
      <c r="BA56" s="1543"/>
      <c r="BB56" s="1543"/>
      <c r="BC56" s="1544">
        <f t="shared" si="212"/>
        <v>-7.5842939570210682E-2</v>
      </c>
      <c r="BD56" s="1541"/>
      <c r="BE56" s="1542">
        <f t="shared" si="213"/>
        <v>1.9999999999999997E-2</v>
      </c>
      <c r="BF56" s="1543">
        <f t="shared" si="214"/>
        <v>9.9999999999999985E-3</v>
      </c>
      <c r="BG56" s="1543">
        <f t="shared" si="215"/>
        <v>3.4999999999999989E-2</v>
      </c>
      <c r="BH56" s="1543">
        <f t="shared" si="216"/>
        <v>2.0000000000000004E-2</v>
      </c>
      <c r="BI56" s="1544">
        <f t="shared" si="217"/>
        <v>-4.959293957021068E-2</v>
      </c>
      <c r="BJ56" s="1541"/>
      <c r="BK56" s="1542">
        <f t="shared" si="218"/>
        <v>0.04</v>
      </c>
      <c r="BL56" s="1543">
        <f t="shared" si="219"/>
        <v>2.3333333333333334E-2</v>
      </c>
      <c r="BM56" s="1543">
        <f t="shared" si="220"/>
        <v>6.4999999999999988E-2</v>
      </c>
      <c r="BN56" s="1543">
        <f t="shared" si="221"/>
        <v>5.2999999999999999E-2</v>
      </c>
      <c r="BO56" s="1544">
        <f t="shared" si="222"/>
        <v>4.6249999999999999E-2</v>
      </c>
      <c r="BP56" s="1541"/>
      <c r="BQ56" s="1542">
        <f t="shared" si="223"/>
        <v>2.0000000000000004E-2</v>
      </c>
      <c r="BR56" s="1543">
        <f t="shared" si="224"/>
        <v>4.2333333333333334E-2</v>
      </c>
      <c r="BS56" s="1543">
        <f t="shared" si="225"/>
        <v>3.8241470852870052E-2</v>
      </c>
      <c r="BT56" s="1543">
        <f t="shared" si="226"/>
        <v>4.4653862143510442E-2</v>
      </c>
      <c r="BU56" s="1544">
        <f t="shared" si="227"/>
        <v>3.7458054835285332E-2</v>
      </c>
      <c r="BV56" s="1541"/>
      <c r="BW56" s="1542">
        <f t="shared" si="228"/>
        <v>3.2432609488867836E-2</v>
      </c>
      <c r="BX56" s="1543">
        <f t="shared" si="229"/>
        <v>0.10730321546629269</v>
      </c>
      <c r="BY56" s="1543">
        <f t="shared" si="230"/>
        <v>8.7315672676999564E-2</v>
      </c>
      <c r="BZ56" s="1543">
        <f t="shared" si="231"/>
        <v>8.7631623979952333E-2</v>
      </c>
      <c r="CA56" s="1544">
        <f t="shared" si="232"/>
        <v>8.4504512638776272E-2</v>
      </c>
      <c r="CB56" s="1541"/>
      <c r="CC56" s="1542">
        <f t="shared" si="233"/>
        <v>7.4726475906311873E-2</v>
      </c>
      <c r="CD56" s="1543">
        <f t="shared" si="234"/>
        <v>0.14324228220873159</v>
      </c>
      <c r="CE56" s="1543">
        <f t="shared" si="235"/>
        <v>0.14202568417378303</v>
      </c>
      <c r="CF56" s="1543">
        <f t="shared" si="236"/>
        <v>0.13476785749843131</v>
      </c>
      <c r="CG56" s="1544">
        <f t="shared" si="237"/>
        <v>0.1258820843225627</v>
      </c>
      <c r="CH56" s="1541"/>
      <c r="CI56" s="1542">
        <f t="shared" si="238"/>
        <v>0.10149034736786705</v>
      </c>
      <c r="CJ56" s="1543">
        <f t="shared" si="239"/>
        <v>0.13226890303063232</v>
      </c>
      <c r="CK56" s="1543">
        <f t="shared" si="240"/>
        <v>0.13277768316244642</v>
      </c>
      <c r="CL56" s="1543">
        <f t="shared" si="241"/>
        <v>0.10668143364047607</v>
      </c>
      <c r="CM56" s="1544">
        <f t="shared" si="242"/>
        <v>0.11858869141161205</v>
      </c>
      <c r="CN56" s="1541"/>
      <c r="CO56" s="1542">
        <f t="shared" si="243"/>
        <v>0.14828844227621821</v>
      </c>
      <c r="CP56" s="1543">
        <f t="shared" si="244"/>
        <v>0.11496232498910773</v>
      </c>
      <c r="CQ56" s="1543">
        <f t="shared" si="245"/>
        <v>0.11895782594872299</v>
      </c>
      <c r="CR56" s="1543">
        <f t="shared" si="246"/>
        <v>0.12602245396386413</v>
      </c>
      <c r="CS56" s="1544">
        <f t="shared" si="247"/>
        <v>0.12521110260920021</v>
      </c>
      <c r="CT56" s="1541"/>
      <c r="CU56" s="1542">
        <f t="shared" si="248"/>
        <v>0.18336056496423248</v>
      </c>
      <c r="CV56" s="1543">
        <f t="shared" si="249"/>
        <v>0.13643565730073098</v>
      </c>
      <c r="CW56" s="1543">
        <f t="shared" si="250"/>
        <v>0.13538689137210533</v>
      </c>
      <c r="CX56" s="1543">
        <f t="shared" si="251"/>
        <v>0.16435811622963895</v>
      </c>
      <c r="CY56" s="1544">
        <f t="shared" si="252"/>
        <v>0.15413357252973897</v>
      </c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</row>
    <row r="57" spans="1:176" x14ac:dyDescent="0.2">
      <c r="A57" s="197" t="s">
        <v>673</v>
      </c>
      <c r="B57" s="1541"/>
      <c r="C57" s="1542"/>
      <c r="D57" s="1543"/>
      <c r="E57" s="1543"/>
      <c r="F57" s="1543"/>
      <c r="G57" s="1544"/>
      <c r="H57" s="1541"/>
      <c r="I57" s="1542"/>
      <c r="J57" s="1543"/>
      <c r="K57" s="1543"/>
      <c r="L57" s="1543"/>
      <c r="M57" s="1544"/>
      <c r="N57" s="1541"/>
      <c r="O57" s="1542"/>
      <c r="P57" s="1543"/>
      <c r="Q57" s="1543"/>
      <c r="R57" s="1543"/>
      <c r="S57" s="1544"/>
      <c r="T57" s="1541"/>
      <c r="U57" s="1542"/>
      <c r="V57" s="1543"/>
      <c r="W57" s="1543"/>
      <c r="X57" s="1543"/>
      <c r="Y57" s="1544"/>
      <c r="Z57" s="1541"/>
      <c r="AA57" s="1542"/>
      <c r="AB57" s="1543"/>
      <c r="AC57" s="1543"/>
      <c r="AD57" s="1543"/>
      <c r="AE57" s="1544"/>
      <c r="AF57" s="1541"/>
      <c r="AG57" s="1542"/>
      <c r="AH57" s="1543"/>
      <c r="AI57" s="1543"/>
      <c r="AJ57" s="1543"/>
      <c r="AK57" s="1544"/>
      <c r="AL57" s="1541"/>
      <c r="AM57" s="1542"/>
      <c r="AN57" s="1543"/>
      <c r="AO57" s="1543"/>
      <c r="AP57" s="1543"/>
      <c r="AQ57" s="1544"/>
      <c r="AR57" s="1541"/>
      <c r="AS57" s="1542"/>
      <c r="AT57" s="1543"/>
      <c r="AU57" s="1543"/>
      <c r="AV57" s="1543"/>
      <c r="AW57" s="1544"/>
      <c r="AX57" s="1541"/>
      <c r="AY57" s="1542"/>
      <c r="AZ57" s="1543"/>
      <c r="BA57" s="1543"/>
      <c r="BB57" s="1543"/>
      <c r="BC57" s="1544">
        <f t="shared" si="212"/>
        <v>4.3127411989528547E-2</v>
      </c>
      <c r="BD57" s="1541"/>
      <c r="BE57" s="1542">
        <f t="shared" si="213"/>
        <v>1.1062787700456361E-2</v>
      </c>
      <c r="BF57" s="1543">
        <f t="shared" si="214"/>
        <v>2.1834086768246563E-2</v>
      </c>
      <c r="BG57" s="1543">
        <f t="shared" si="215"/>
        <v>3.6186623084267712E-2</v>
      </c>
      <c r="BH57" s="1543">
        <f t="shared" si="216"/>
        <v>2.8894084086749008E-2</v>
      </c>
      <c r="BI57" s="1544">
        <f t="shared" si="217"/>
        <v>7.2260561760260369E-2</v>
      </c>
      <c r="BJ57" s="1541"/>
      <c r="BK57" s="1542">
        <f t="shared" si="218"/>
        <v>4.8423030431541947E-2</v>
      </c>
      <c r="BL57" s="1543">
        <f t="shared" si="219"/>
        <v>5.8733182507198972E-2</v>
      </c>
      <c r="BM57" s="1543">
        <f t="shared" si="220"/>
        <v>0.10530651184084824</v>
      </c>
      <c r="BN57" s="1543">
        <f t="shared" si="221"/>
        <v>0.10445796866017998</v>
      </c>
      <c r="BO57" s="1544">
        <f t="shared" si="222"/>
        <v>7.9644478211163452E-2</v>
      </c>
      <c r="BP57" s="1541"/>
      <c r="BQ57" s="1542">
        <f t="shared" si="223"/>
        <v>7.3280582135249545E-2</v>
      </c>
      <c r="BR57" s="1543">
        <f t="shared" si="224"/>
        <v>8.2044136076352858E-2</v>
      </c>
      <c r="BS57" s="1543">
        <f t="shared" si="225"/>
        <v>8.7097556820890293E-2</v>
      </c>
      <c r="BT57" s="1543">
        <f t="shared" si="226"/>
        <v>8.3431657199669218E-2</v>
      </c>
      <c r="BU57" s="1544">
        <f t="shared" si="227"/>
        <v>7.7719629242751609E-2</v>
      </c>
      <c r="BV57" s="1541"/>
      <c r="BW57" s="1542">
        <f t="shared" si="228"/>
        <v>6.8107933064270293E-2</v>
      </c>
      <c r="BX57" s="1543">
        <f t="shared" si="229"/>
        <v>0.11532803609600713</v>
      </c>
      <c r="BY57" s="1543">
        <f t="shared" si="230"/>
        <v>7.9719212524516261E-2</v>
      </c>
      <c r="BZ57" s="1543">
        <f t="shared" si="231"/>
        <v>5.5901250092707071E-2</v>
      </c>
      <c r="CA57" s="1544">
        <f t="shared" si="232"/>
        <v>8.0003419086195654E-2</v>
      </c>
      <c r="CB57" s="1541"/>
      <c r="CC57" s="1542">
        <f t="shared" si="233"/>
        <v>6.6566365371293901E-2</v>
      </c>
      <c r="CD57" s="1543">
        <f t="shared" si="234"/>
        <v>9.6308628023636572E-2</v>
      </c>
      <c r="CE57" s="1543">
        <f t="shared" si="235"/>
        <v>8.8609740861159025E-2</v>
      </c>
      <c r="CF57" s="1543">
        <f t="shared" si="236"/>
        <v>8.9357928213538579E-2</v>
      </c>
      <c r="CG57" s="1544">
        <f t="shared" si="237"/>
        <v>8.6164225154194626E-2</v>
      </c>
      <c r="CH57" s="1541"/>
      <c r="CI57" s="1542">
        <f t="shared" si="238"/>
        <v>7.3014561927136401E-2</v>
      </c>
      <c r="CJ57" s="1543">
        <f t="shared" si="239"/>
        <v>7.634270860924286E-2</v>
      </c>
      <c r="CK57" s="1543">
        <f t="shared" si="240"/>
        <v>6.8099211467662416E-2</v>
      </c>
      <c r="CL57" s="1543">
        <f t="shared" si="241"/>
        <v>8.4397204338864967E-2</v>
      </c>
      <c r="CM57" s="1544">
        <f t="shared" si="242"/>
        <v>7.5798606533955731E-2</v>
      </c>
      <c r="CN57" s="1541"/>
      <c r="CO57" s="1542">
        <f t="shared" si="243"/>
        <v>6.5630588756010216E-2</v>
      </c>
      <c r="CP57" s="1543">
        <f t="shared" si="244"/>
        <v>7.0425864117755699E-2</v>
      </c>
      <c r="CQ57" s="1543">
        <f t="shared" si="245"/>
        <v>9.1290592114818242E-2</v>
      </c>
      <c r="CR57" s="1543">
        <f t="shared" si="246"/>
        <v>9.6193826971671462E-2</v>
      </c>
      <c r="CS57" s="1544">
        <f t="shared" si="247"/>
        <v>8.0845223417205875E-2</v>
      </c>
      <c r="CT57" s="1541"/>
      <c r="CU57" s="1542">
        <f t="shared" si="248"/>
        <v>9.4868813999064119E-2</v>
      </c>
      <c r="CV57" s="1543">
        <f t="shared" si="249"/>
        <v>8.4479914926411118E-2</v>
      </c>
      <c r="CW57" s="1543">
        <f t="shared" si="250"/>
        <v>0.11242528625652001</v>
      </c>
      <c r="CX57" s="1543">
        <f t="shared" si="251"/>
        <v>0.11724873559024379</v>
      </c>
      <c r="CY57" s="1544">
        <f t="shared" si="252"/>
        <v>0.10297494953436995</v>
      </c>
      <c r="EK57" s="2051"/>
      <c r="EL57" s="2051"/>
      <c r="EM57" s="2051"/>
      <c r="EN57" s="2051"/>
      <c r="EO57" s="2051"/>
      <c r="EP57" s="2051"/>
      <c r="EQ57" s="2051"/>
      <c r="ER57" s="2051"/>
      <c r="ES57" s="2051"/>
      <c r="ET57" s="2051"/>
      <c r="EU57" s="2051"/>
    </row>
    <row r="58" spans="1:176" x14ac:dyDescent="0.2">
      <c r="A58" s="911"/>
      <c r="B58" s="1562"/>
      <c r="C58" s="1520"/>
      <c r="D58" s="1521"/>
      <c r="E58" s="1521"/>
      <c r="F58" s="1521"/>
      <c r="G58" s="1523"/>
      <c r="H58" s="1521"/>
      <c r="I58" s="1573"/>
      <c r="J58" s="1574"/>
      <c r="K58" s="1574"/>
      <c r="L58" s="1574"/>
      <c r="M58" s="1575"/>
      <c r="N58" s="1521"/>
      <c r="O58" s="1573"/>
      <c r="P58" s="1574"/>
      <c r="Q58" s="1574"/>
      <c r="R58" s="1574"/>
      <c r="S58" s="1575"/>
      <c r="T58" s="1521"/>
      <c r="U58" s="1573"/>
      <c r="V58" s="1574"/>
      <c r="W58" s="1574"/>
      <c r="X58" s="1574"/>
      <c r="Y58" s="1576"/>
      <c r="Z58" s="1521"/>
      <c r="AA58" s="1520"/>
      <c r="AB58" s="1521"/>
      <c r="AC58" s="1521"/>
      <c r="AD58" s="1521"/>
      <c r="AE58" s="1522"/>
      <c r="AF58" s="1521"/>
      <c r="AG58" s="1520"/>
      <c r="AH58" s="1521"/>
      <c r="AI58" s="1521"/>
      <c r="AJ58" s="1521"/>
      <c r="AK58" s="1522"/>
      <c r="AL58" s="1521"/>
      <c r="AM58" s="1520"/>
      <c r="AN58" s="1521"/>
      <c r="AO58" s="1521"/>
      <c r="AP58" s="1521"/>
      <c r="AQ58" s="1522"/>
      <c r="AR58" s="1521"/>
      <c r="AS58" s="1520"/>
      <c r="AT58" s="1521"/>
      <c r="AU58" s="1521"/>
      <c r="AV58" s="1521"/>
      <c r="AW58" s="1522"/>
      <c r="AX58" s="1521"/>
      <c r="AY58" s="1520"/>
      <c r="AZ58" s="1521"/>
      <c r="BA58" s="1521"/>
      <c r="BB58" s="1521"/>
      <c r="BC58" s="1522"/>
      <c r="BD58" s="1519"/>
      <c r="BE58" s="1520"/>
      <c r="BF58" s="1521"/>
      <c r="BG58" s="1521"/>
      <c r="BH58" s="1521"/>
      <c r="BI58" s="1522"/>
      <c r="BJ58" s="1519"/>
      <c r="BK58" s="1520"/>
      <c r="BL58" s="1521"/>
      <c r="BM58" s="1521"/>
      <c r="BN58" s="1521"/>
      <c r="BO58" s="1522"/>
      <c r="BP58" s="1519"/>
      <c r="BQ58" s="1520"/>
      <c r="BR58" s="1521"/>
      <c r="BS58" s="1521"/>
      <c r="BT58" s="1521"/>
      <c r="BU58" s="1522"/>
      <c r="BV58" s="1519"/>
      <c r="BW58" s="1520"/>
      <c r="BX58" s="1521"/>
      <c r="BY58" s="1521"/>
      <c r="BZ58" s="1521"/>
      <c r="CA58" s="1522"/>
      <c r="CB58" s="1519"/>
      <c r="CC58" s="1520"/>
      <c r="CD58" s="1521"/>
      <c r="CE58" s="1521"/>
      <c r="CF58" s="1521"/>
      <c r="CG58" s="1522"/>
      <c r="CH58" s="1519"/>
      <c r="CI58" s="1520"/>
      <c r="CJ58" s="1521"/>
      <c r="CK58" s="1521"/>
      <c r="CL58" s="1521"/>
      <c r="CM58" s="1522"/>
      <c r="CN58" s="1519"/>
      <c r="CO58" s="1520"/>
      <c r="CP58" s="1521"/>
      <c r="CQ58" s="1521"/>
      <c r="CR58" s="1521"/>
      <c r="CS58" s="1522"/>
      <c r="CT58" s="1519"/>
      <c r="CU58" s="1520"/>
      <c r="CV58" s="1521"/>
      <c r="CW58" s="1521"/>
      <c r="CX58" s="1521"/>
      <c r="CY58" s="1522"/>
      <c r="EK58" s="2051"/>
      <c r="EL58" s="2051"/>
      <c r="EM58" s="2051"/>
      <c r="EN58" s="2051"/>
      <c r="EO58" s="2051"/>
      <c r="EP58" s="2051"/>
      <c r="EQ58" s="2051"/>
      <c r="ER58" s="2051"/>
      <c r="ES58" s="2051"/>
      <c r="ET58" s="2051"/>
      <c r="EU58" s="2051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</row>
    <row r="59" spans="1:176" ht="12.75" x14ac:dyDescent="0.2">
      <c r="A59" s="1019" t="s">
        <v>655</v>
      </c>
      <c r="B59" s="1019"/>
      <c r="C59" s="1019"/>
      <c r="D59" s="1019"/>
      <c r="E59" s="1019"/>
      <c r="F59" s="1019"/>
      <c r="G59" s="1019"/>
      <c r="H59" s="1020"/>
      <c r="I59" s="1019"/>
      <c r="J59" s="1019"/>
      <c r="K59" s="1019"/>
      <c r="L59" s="1019"/>
      <c r="M59" s="1019"/>
      <c r="N59" s="1020"/>
      <c r="O59" s="1019"/>
      <c r="P59" s="1019"/>
      <c r="Q59" s="1019"/>
      <c r="R59" s="1019"/>
      <c r="S59" s="1019"/>
      <c r="T59" s="1020"/>
      <c r="U59" s="1019"/>
      <c r="V59" s="1021"/>
      <c r="W59" s="1021"/>
      <c r="X59" s="1021"/>
      <c r="Y59" s="1021"/>
      <c r="Z59" s="1020"/>
      <c r="AA59" s="1021"/>
      <c r="AB59" s="1022"/>
      <c r="AC59" s="1022"/>
      <c r="AD59" s="1019"/>
      <c r="AE59" s="1019"/>
      <c r="AF59" s="1020"/>
      <c r="AG59" s="1021"/>
      <c r="AH59" s="1021"/>
      <c r="AI59" s="1021"/>
      <c r="AJ59" s="1021"/>
      <c r="AK59" s="1020"/>
      <c r="AL59" s="1020"/>
      <c r="AM59" s="1021"/>
      <c r="AN59" s="1021"/>
      <c r="AO59" s="1021"/>
      <c r="AP59" s="1021"/>
      <c r="AQ59" s="1020"/>
      <c r="AR59" s="1020"/>
      <c r="AS59" s="1021"/>
      <c r="AT59" s="1021"/>
      <c r="AU59" s="1021"/>
      <c r="AV59" s="1021"/>
      <c r="AW59" s="1020"/>
      <c r="AX59" s="1020"/>
      <c r="AY59" s="1021"/>
      <c r="AZ59" s="1021"/>
      <c r="BA59" s="1021"/>
      <c r="BB59" s="1021"/>
      <c r="BC59" s="1020"/>
      <c r="BD59" s="1020"/>
      <c r="BE59" s="1021"/>
      <c r="BF59" s="1021"/>
      <c r="BG59" s="1021"/>
      <c r="BH59" s="1021"/>
      <c r="BI59" s="1020"/>
      <c r="BJ59" s="1020"/>
      <c r="BK59" s="1021"/>
      <c r="BL59" s="1021"/>
      <c r="BM59" s="1021"/>
      <c r="BN59" s="1021"/>
      <c r="BO59" s="1020"/>
      <c r="BP59" s="10"/>
      <c r="BQ59" s="1023"/>
      <c r="BR59" s="1023"/>
      <c r="BS59" s="1023"/>
      <c r="BT59" s="1023"/>
      <c r="BU59" s="1023"/>
      <c r="BV59" s="10"/>
      <c r="BW59" s="1023"/>
      <c r="BX59" s="1023"/>
      <c r="BY59" s="1023"/>
      <c r="BZ59" s="1023"/>
      <c r="CA59" s="1023"/>
      <c r="CB59" s="10"/>
      <c r="CC59" s="1023"/>
      <c r="CD59" s="1023"/>
      <c r="CE59" s="1023"/>
      <c r="CF59" s="1023"/>
      <c r="CG59" s="1023"/>
      <c r="CH59" s="10"/>
      <c r="CI59" s="1023"/>
      <c r="CJ59" s="1023"/>
      <c r="CK59" s="1023"/>
      <c r="CL59" s="1023"/>
      <c r="CM59" s="1023"/>
      <c r="CN59" s="10"/>
      <c r="CO59" s="1023"/>
      <c r="CP59" s="1023"/>
      <c r="CQ59" s="1023"/>
      <c r="CR59" s="1023"/>
      <c r="CS59" s="1023"/>
      <c r="CT59" s="10"/>
      <c r="CU59" s="1023"/>
      <c r="CV59" s="1023"/>
      <c r="CW59" s="1023"/>
      <c r="CX59" s="1023"/>
      <c r="CY59" s="1023"/>
      <c r="EK59" s="2051"/>
      <c r="EL59" s="2051"/>
      <c r="EM59" s="2051"/>
      <c r="EN59" s="2051"/>
      <c r="EO59" s="2051"/>
      <c r="EP59" s="2051"/>
      <c r="EQ59" s="2051"/>
      <c r="ER59" s="2051"/>
      <c r="ES59" s="2051"/>
      <c r="ET59" s="2051"/>
      <c r="EU59" s="2051"/>
    </row>
    <row r="60" spans="1:176" x14ac:dyDescent="0.2">
      <c r="A60" s="1014" t="s">
        <v>309</v>
      </c>
      <c r="B60" s="1053"/>
      <c r="C60" s="1054"/>
      <c r="D60" s="1055"/>
      <c r="E60" s="1055"/>
      <c r="F60" s="1055"/>
      <c r="G60" s="1056"/>
      <c r="H60" s="790"/>
      <c r="I60" s="1054"/>
      <c r="J60" s="1055"/>
      <c r="K60" s="1055"/>
      <c r="L60" s="1055"/>
      <c r="M60" s="1056"/>
      <c r="N60" s="790"/>
      <c r="O60" s="1054"/>
      <c r="P60" s="1055"/>
      <c r="Q60" s="1055"/>
      <c r="R60" s="1055"/>
      <c r="S60" s="1056"/>
      <c r="T60" s="790"/>
      <c r="U60" s="1044" t="e">
        <f>RevBuild!O17*OrgRev!#REF!</f>
        <v>#REF!</v>
      </c>
      <c r="V60" s="1051" t="e">
        <f>RevBuild!P17*OrgRev!#REF!</f>
        <v>#REF!</v>
      </c>
      <c r="W60" s="1051" t="e">
        <f>RevBuild!Q17*OrgRev!#REF!</f>
        <v>#REF!</v>
      </c>
      <c r="X60" s="1051" t="e">
        <f>RevBuild!R17*OrgRev!#REF!</f>
        <v>#REF!</v>
      </c>
      <c r="Y60" s="1052" t="e">
        <f>RevBuild!S17*OrgRev!#REF!</f>
        <v>#REF!</v>
      </c>
      <c r="Z60" s="790"/>
      <c r="AA60" s="1044" t="e">
        <f>RevBuild!U17*OrgRev!#REF!</f>
        <v>#REF!</v>
      </c>
      <c r="AB60" s="1051" t="e">
        <f>RevBuild!V17*OrgRev!#REF!</f>
        <v>#REF!</v>
      </c>
      <c r="AC60" s="1051" t="e">
        <f>RevBuild!W17*OrgRev!#REF!</f>
        <v>#REF!</v>
      </c>
      <c r="AD60" s="1051" t="e">
        <f>RevBuild!X17*OrgRev!#REF!</f>
        <v>#REF!</v>
      </c>
      <c r="AE60" s="1052" t="e">
        <f>RevBuild!Y17*OrgRev!#REF!</f>
        <v>#REF!</v>
      </c>
      <c r="AF60" s="1051"/>
      <c r="AG60" s="1044">
        <v>22.781659999999995</v>
      </c>
      <c r="AH60" s="1051">
        <v>26.146560000000004</v>
      </c>
      <c r="AI60" s="1051">
        <v>34.620000000000012</v>
      </c>
      <c r="AJ60" s="1051">
        <v>33.205340000000007</v>
      </c>
      <c r="AK60" s="1052">
        <v>116.08675000000002</v>
      </c>
      <c r="AL60" s="1051"/>
      <c r="AM60" s="1726">
        <f>RevBuild!AG17*RevBuild!AM62</f>
        <v>24.302630000000001</v>
      </c>
      <c r="AN60" s="1727">
        <f>RevBuild!AH17*RevBuild!AN62</f>
        <v>12.728267999999996</v>
      </c>
      <c r="AO60" s="1727">
        <f>RevBuild!AI17*RevBuild!AO62</f>
        <v>7.7897700000000016</v>
      </c>
      <c r="AP60" s="1727">
        <f>RevBuild!AJ17*RevBuild!AP62</f>
        <v>-8.6723100000000031</v>
      </c>
      <c r="AQ60" s="1728">
        <f>RevBuild!AK17*RevBuild!AQ62</f>
        <v>40.393000000000008</v>
      </c>
      <c r="AR60" s="1727"/>
      <c r="AS60" s="1726">
        <f>RevBuild!AM17*RevBuild!AS62</f>
        <v>-5.28728</v>
      </c>
      <c r="AT60" s="1727">
        <f>RevBuild!AN17*RevBuild!AT62</f>
        <v>2.6271800000000001</v>
      </c>
      <c r="AU60" s="1727">
        <f>RevBuild!AO17*RevBuild!AU62</f>
        <v>-8.2295099999999994</v>
      </c>
      <c r="AV60" s="1727">
        <f>RevBuild!AP17*RevBuild!AV62</f>
        <v>31.46352000000001</v>
      </c>
      <c r="AW60" s="1728">
        <f>RevBuild!AQ17*RevBuild!AW62</f>
        <v>21.748620000000003</v>
      </c>
      <c r="AX60" s="1727"/>
      <c r="AY60" s="1726">
        <f>RevBuild!AS17*RevBuild!AY62</f>
        <v>15.855899999999998</v>
      </c>
      <c r="AZ60" s="1727">
        <f>RevBuild!AT17*RevBuild!AZ62</f>
        <v>14.108850000000006</v>
      </c>
      <c r="BA60" s="1727">
        <f>RevBuild!AU17*RevBuild!BA62</f>
        <v>11.555400000000002</v>
      </c>
      <c r="BB60" s="1727">
        <f>RevBuild!AV17*RevBuild!BB62</f>
        <v>6.6884000000000015</v>
      </c>
      <c r="BC60" s="1728">
        <f>RevBuild!AW17*RevBuild!BC62</f>
        <v>46.789880000000011</v>
      </c>
      <c r="BD60" s="1727"/>
      <c r="BE60" s="1726">
        <f>RevBuild!AY17*RevBuild!BE62</f>
        <v>5.9284399999999993</v>
      </c>
      <c r="BF60" s="1727">
        <f>RevBuild!AZ17*RevBuild!BF62</f>
        <v>3.0721299999999996</v>
      </c>
      <c r="BG60" s="1727">
        <f>RevBuild!BA17*RevBuild!BG62</f>
        <v>10.650114999999996</v>
      </c>
      <c r="BH60" s="1727">
        <f>RevBuild!BB17*RevBuild!BH62</f>
        <v>6.9306399999999995</v>
      </c>
      <c r="BI60" s="1728">
        <f>RevBuild!BC17*RevBuild!BI62</f>
        <v>32.929470000000009</v>
      </c>
      <c r="BJ60" s="1727"/>
      <c r="BK60" s="1726">
        <f>RevBuild!BE17*RevBuild!BK62</f>
        <v>6.0715200000000014</v>
      </c>
      <c r="BL60" s="1727">
        <f>RevBuild!BF17*RevBuild!BL62</f>
        <v>4.2188266666666676</v>
      </c>
      <c r="BM60" s="1727">
        <f>RevBuild!BG17*RevBuild!BM62</f>
        <v>9.7143299999999986</v>
      </c>
      <c r="BN60" s="1727">
        <f>RevBuild!BH17*RevBuild!BN62</f>
        <v>11.965304999999997</v>
      </c>
      <c r="BO60" s="1728">
        <f>RevBuild!BI17*RevBuild!BO62</f>
        <v>26.127680000000002</v>
      </c>
      <c r="BP60" s="1727"/>
      <c r="BQ60" s="1726">
        <f>RevBuild!BK17*RevBuild!BQ62</f>
        <v>0</v>
      </c>
      <c r="BR60" s="1727">
        <f>RevBuild!BL17*RevBuild!BR62</f>
        <v>9.6058729999999972</v>
      </c>
      <c r="BS60" s="1727">
        <f>RevBuild!BM17*RevBuild!BS62</f>
        <v>2.7753729999999601</v>
      </c>
      <c r="BT60" s="1727">
        <f>RevBuild!BN17*RevBuild!BT62</f>
        <v>4.2048300000000038</v>
      </c>
      <c r="BU60" s="1728">
        <f>RevBuild!BO17*RevBuild!BU62</f>
        <v>23.501631883999899</v>
      </c>
      <c r="BV60" s="1727"/>
      <c r="BW60" s="1726">
        <f>RevBuild!BQ17*RevBuild!BW62</f>
        <v>9.6885609999999982</v>
      </c>
      <c r="BX60" s="1727">
        <f>RevBuild!BR17*RevBuild!BX62</f>
        <v>25.014431999999999</v>
      </c>
      <c r="BY60" s="1727">
        <f>RevBuild!BS17*RevBuild!BY62</f>
        <v>24.873659999999997</v>
      </c>
      <c r="BZ60" s="1727">
        <f>RevBuild!BT17*RevBuild!BZ62</f>
        <v>26.478249999999999</v>
      </c>
      <c r="CA60" s="1728">
        <f>RevBuild!BU17*RevBuild!CA62</f>
        <v>85.903005874891562</v>
      </c>
      <c r="CB60" s="1727"/>
      <c r="CC60" s="1726">
        <f>RevBuild!BW17*RevBuild!CC62</f>
        <v>15.410845000000002</v>
      </c>
      <c r="CD60" s="1727">
        <f>RevBuild!BX17*RevBuild!CD62</f>
        <v>24.920165999999998</v>
      </c>
      <c r="CE60" s="1727">
        <f>RevBuild!BY17*RevBuild!CE62</f>
        <v>24.707950000000004</v>
      </c>
      <c r="CF60" s="1727">
        <f>RevBuild!BZ17*RevBuild!CF62</f>
        <v>24.990899999999996</v>
      </c>
      <c r="CG60" s="1728">
        <f>RevBuild!CA17*RevBuild!CG62</f>
        <v>91.593359478934048</v>
      </c>
      <c r="CH60" s="1727"/>
      <c r="CI60" s="1726">
        <f>RevBuild!CC17*RevBuild!CI62</f>
        <v>21.475668434558106</v>
      </c>
      <c r="CJ60" s="1727">
        <f>RevBuild!CD17*RevBuild!CJ62</f>
        <v>26.669483501792197</v>
      </c>
      <c r="CK60" s="1727">
        <f>RevBuild!CE17*RevBuild!CK62</f>
        <v>28.518827915942154</v>
      </c>
      <c r="CL60" s="1727">
        <f>RevBuild!CF17*RevBuild!CL62</f>
        <v>21.979457515469203</v>
      </c>
      <c r="CM60" s="1728">
        <f>RevBuild!CG17*RevBuild!CM62</f>
        <v>97.163392367761617</v>
      </c>
      <c r="CN60" s="1727"/>
      <c r="CO60" s="1726">
        <f>RevBuild!CI17*RevBuild!CO62</f>
        <v>34.227136895485522</v>
      </c>
      <c r="CP60" s="1727">
        <f>RevBuild!CJ17*RevBuild!CP62</f>
        <v>22.558777443546841</v>
      </c>
      <c r="CQ60" s="1727">
        <f>RevBuild!CK17*RevBuild!CQ62</f>
        <v>24.068848315860361</v>
      </c>
      <c r="CR60" s="1727">
        <f>RevBuild!CL17*RevBuild!CR62</f>
        <v>38.041727752235239</v>
      </c>
      <c r="CS60" s="1728">
        <f>RevBuild!CM17*RevBuild!CS62</f>
        <v>118.89649040712786</v>
      </c>
      <c r="CT60" s="1727"/>
      <c r="CU60" s="1726">
        <f>RevBuild!CO17*RevBuild!CU62</f>
        <v>40.713626667401371</v>
      </c>
      <c r="CV60" s="1727">
        <f>RevBuild!CP17*RevBuild!CV62</f>
        <v>42.233596682656874</v>
      </c>
      <c r="CW60" s="1727">
        <f>RevBuild!CQ17*RevBuild!CW62</f>
        <v>41.958570814049345</v>
      </c>
      <c r="CX60" s="1727">
        <f>RevBuild!CR17*RevBuild!CX62</f>
        <v>45.491675152919612</v>
      </c>
      <c r="CY60" s="1728">
        <f>RevBuild!CS17*RevBuild!CY62</f>
        <v>170.39746931702697</v>
      </c>
      <c r="EK60" s="222"/>
      <c r="EL60" s="222"/>
      <c r="EM60" s="222"/>
      <c r="EN60" s="222"/>
      <c r="EO60" s="222"/>
      <c r="EP60" s="222"/>
      <c r="EQ60" s="222"/>
      <c r="ER60" s="222"/>
      <c r="ES60" s="222"/>
      <c r="ET60" s="222"/>
      <c r="EU60" s="222"/>
    </row>
    <row r="61" spans="1:176" x14ac:dyDescent="0.2">
      <c r="A61" s="303" t="s">
        <v>394</v>
      </c>
      <c r="B61" s="31"/>
      <c r="C61" s="418"/>
      <c r="D61" s="1015"/>
      <c r="E61" s="1015"/>
      <c r="F61" s="1015"/>
      <c r="G61" s="1016"/>
      <c r="H61" s="31"/>
      <c r="I61" s="418"/>
      <c r="J61" s="1015"/>
      <c r="K61" s="1015"/>
      <c r="L61" s="1015"/>
      <c r="M61" s="1016"/>
      <c r="N61" s="31"/>
      <c r="O61" s="418"/>
      <c r="P61" s="1015"/>
      <c r="Q61" s="1015"/>
      <c r="R61" s="1015"/>
      <c r="S61" s="1016"/>
      <c r="T61" s="31"/>
      <c r="U61" s="1045">
        <f>RevBuild!O32*RevBuild!U37</f>
        <v>0</v>
      </c>
      <c r="V61" s="1046">
        <f>RevBuild!P32*RevBuild!V37</f>
        <v>0</v>
      </c>
      <c r="W61" s="1046">
        <f>RevBuild!Q32*RevBuild!W37</f>
        <v>0</v>
      </c>
      <c r="X61" s="1046">
        <f>RevBuild!R32*RevBuild!X37</f>
        <v>0</v>
      </c>
      <c r="Y61" s="1047">
        <f>RevBuild!S32*RevBuild!Y37</f>
        <v>0</v>
      </c>
      <c r="Z61" s="31"/>
      <c r="AA61" s="1045">
        <f>RevBuild!U32*RevBuild!AA37</f>
        <v>0</v>
      </c>
      <c r="AB61" s="1046">
        <f>RevBuild!V32*RevBuild!AB37</f>
        <v>0</v>
      </c>
      <c r="AC61" s="1046">
        <f>RevBuild!W32*RevBuild!AC37</f>
        <v>0</v>
      </c>
      <c r="AD61" s="1046">
        <f>RevBuild!X32*RevBuild!AD37</f>
        <v>0</v>
      </c>
      <c r="AE61" s="1047">
        <f>RevBuild!Y32*RevBuild!AE37</f>
        <v>0</v>
      </c>
      <c r="AF61" s="1046"/>
      <c r="AG61" s="1045">
        <v>0</v>
      </c>
      <c r="AH61" s="1046">
        <v>0</v>
      </c>
      <c r="AI61" s="1046">
        <v>0</v>
      </c>
      <c r="AJ61" s="1046">
        <v>0</v>
      </c>
      <c r="AK61" s="1047">
        <v>0</v>
      </c>
      <c r="AL61" s="1046"/>
      <c r="AM61" s="1649">
        <f>RevBuild!AG32*RevBuild!AM37</f>
        <v>15.244377</v>
      </c>
      <c r="AN61" s="1639">
        <f>RevBuild!AH32*RevBuild!AN37</f>
        <v>13.832985599999997</v>
      </c>
      <c r="AO61" s="1639">
        <f>RevBuild!AI32*RevBuild!AO37</f>
        <v>11.684654999999999</v>
      </c>
      <c r="AP61" s="1639">
        <f>RevBuild!AJ32*RevBuild!AP37</f>
        <v>9.5106333000000038</v>
      </c>
      <c r="AQ61" s="1729">
        <f>RevBuild!AK32*RevBuild!AQ37</f>
        <v>38.607980000000005</v>
      </c>
      <c r="AR61" s="1639"/>
      <c r="AS61" s="1649">
        <f>RevBuild!AM32*RevBuild!AS37</f>
        <v>-2.3792759999999999</v>
      </c>
      <c r="AT61" s="1639">
        <f>RevBuild!AN32*RevBuild!AT37</f>
        <v>2.4695492000000003</v>
      </c>
      <c r="AU61" s="1639">
        <f>RevBuild!AO32*RevBuild!AU37</f>
        <v>-15.177813000000002</v>
      </c>
      <c r="AV61" s="1639">
        <f>RevBuild!AP32*RevBuild!AV37</f>
        <v>26.34036</v>
      </c>
      <c r="AW61" s="1729">
        <f>RevBuild!AQ32*RevBuild!AW37</f>
        <v>13.014522400000002</v>
      </c>
      <c r="AX61" s="1639"/>
      <c r="AY61" s="1649">
        <f>RevBuild!AS32*RevBuild!AY37</f>
        <v>9.2709217999999947</v>
      </c>
      <c r="AZ61" s="1639">
        <f>RevBuild!AT32*RevBuild!AZ37</f>
        <v>8.6489100000000025</v>
      </c>
      <c r="BA61" s="1639">
        <f>RevBuild!AU32*RevBuild!BA37</f>
        <v>15.758065</v>
      </c>
      <c r="BB61" s="1639">
        <f>RevBuild!AV32*RevBuild!BB37</f>
        <v>5.8576000000000015</v>
      </c>
      <c r="BC61" s="1729">
        <f>RevBuild!AW32*RevBuild!BC37</f>
        <v>38.521701399999998</v>
      </c>
      <c r="BD61" s="1639"/>
      <c r="BE61" s="1649">
        <f>RevBuild!AY32*RevBuild!BE37</f>
        <v>11.471531400000002</v>
      </c>
      <c r="BF61" s="1639">
        <f>RevBuild!AZ32*RevBuild!BF37</f>
        <v>5.8984896000000004</v>
      </c>
      <c r="BG61" s="1639">
        <f>RevBuild!BA32*RevBuild!BG37</f>
        <v>14.547661000000002</v>
      </c>
      <c r="BH61" s="1639">
        <f>RevBuild!BB32*RevBuild!BH37</f>
        <v>4.9808991999999987</v>
      </c>
      <c r="BI61" s="1729">
        <f>RevBuild!BC32*RevBuild!BI37</f>
        <v>38.484532100000003</v>
      </c>
      <c r="BJ61" s="1639"/>
      <c r="BK61" s="1649">
        <f>RevBuild!BE32*RevBuild!BK37</f>
        <v>0.9928800000000001</v>
      </c>
      <c r="BL61" s="1639">
        <f>RevBuild!BF32*RevBuild!BL37</f>
        <v>12.2908504</v>
      </c>
      <c r="BM61" s="1639">
        <f>RevBuild!BG32*RevBuild!BM37</f>
        <v>9.9086166000000002</v>
      </c>
      <c r="BN61" s="1639">
        <f>RevBuild!BH32*RevBuild!BN37</f>
        <v>5.5475504999999998</v>
      </c>
      <c r="BO61" s="1729">
        <f>RevBuild!BI32*RevBuild!BO37</f>
        <v>25.638173600000002</v>
      </c>
      <c r="BP61" s="1639"/>
      <c r="BQ61" s="1649">
        <f>RevBuild!BK32*RevBuild!BQ37</f>
        <v>0.82417384999999987</v>
      </c>
      <c r="BR61" s="1639">
        <f>RevBuild!BL32*RevBuild!BR37</f>
        <v>3.7034118585000004</v>
      </c>
      <c r="BS61" s="1639">
        <f>RevBuild!BM32*RevBuild!BS37</f>
        <v>-6.5034092000000001</v>
      </c>
      <c r="BT61" s="1639">
        <f>RevBuild!BN32*RevBuild!BT37</f>
        <v>-1.5540499999999997</v>
      </c>
      <c r="BU61" s="1729">
        <f>RevBuild!BO32*RevBuild!BU37</f>
        <v>-3.5298734914999987</v>
      </c>
      <c r="BV61" s="1639"/>
      <c r="BW61" s="1649">
        <f>RevBuild!BQ32*RevBuild!BW37</f>
        <v>2.2703403999999998</v>
      </c>
      <c r="BX61" s="1639">
        <f>RevBuild!BR32*RevBuild!BX37</f>
        <v>6.0696640000000004</v>
      </c>
      <c r="BY61" s="1639">
        <f>RevBuild!BS32*RevBuild!BY37</f>
        <v>12.785737599999999</v>
      </c>
      <c r="BZ61" s="1639">
        <f>RevBuild!BT32*RevBuild!BZ37</f>
        <v>17.574275</v>
      </c>
      <c r="CA61" s="1729">
        <f>RevBuild!BU32*RevBuild!CA37</f>
        <v>38.700017000000003</v>
      </c>
      <c r="CB61" s="1639"/>
      <c r="CC61" s="1649">
        <f>RevBuild!BW32*RevBuild!CC37</f>
        <v>3.4966576000000003</v>
      </c>
      <c r="CD61" s="1639">
        <f>RevBuild!BX32*RevBuild!CD37</f>
        <v>11.0206417046399</v>
      </c>
      <c r="CE61" s="1639">
        <f>RevBuild!BY32*RevBuild!CE37</f>
        <v>15.240824999999999</v>
      </c>
      <c r="CF61" s="1639">
        <f>RevBuild!BZ32*RevBuild!CF37</f>
        <v>7.3303000000000003</v>
      </c>
      <c r="CG61" s="1729">
        <f>RevBuild!CA32*RevBuild!CG37</f>
        <v>37.088424304639901</v>
      </c>
      <c r="CH61" s="1639"/>
      <c r="CI61" s="1649">
        <f>RevBuild!CC32*RevBuild!CI37</f>
        <v>12.673349514558092</v>
      </c>
      <c r="CJ61" s="1639">
        <f>RevBuild!CD32*RevBuild!CJ37</f>
        <v>16.348860701792187</v>
      </c>
      <c r="CK61" s="1639">
        <f>RevBuild!CE32*RevBuild!CK37</f>
        <v>16.510303915942217</v>
      </c>
      <c r="CL61" s="1639">
        <f>RevBuild!CF32*RevBuild!CL37</f>
        <v>12.671853555469216</v>
      </c>
      <c r="CM61" s="1729">
        <f>RevBuild!CG32*RevBuild!CM37</f>
        <v>58.204367687761724</v>
      </c>
      <c r="CN61" s="1639"/>
      <c r="CO61" s="1649">
        <f>RevBuild!CI32*RevBuild!CO37</f>
        <v>24.847450965685546</v>
      </c>
      <c r="CP61" s="1639">
        <f>RevBuild!CJ32*RevBuild!CP37</f>
        <v>11.99870096964688</v>
      </c>
      <c r="CQ61" s="1639">
        <f>RevBuild!CK32*RevBuild!CQ37</f>
        <v>13.362922075860343</v>
      </c>
      <c r="CR61" s="1639">
        <f>RevBuild!CL32*RevBuild!CR37</f>
        <v>26.469060706235211</v>
      </c>
      <c r="CS61" s="1729">
        <f>RevBuild!CM32*RevBuild!CS37</f>
        <v>76.67813471742798</v>
      </c>
      <c r="CT61" s="1639"/>
      <c r="CU61" s="1649">
        <f>RevBuild!CO32*RevBuild!CU37</f>
        <v>30.964522938893317</v>
      </c>
      <c r="CV61" s="1639">
        <f>RevBuild!CP32*RevBuild!CV37</f>
        <v>31.404149834574859</v>
      </c>
      <c r="CW61" s="1639">
        <f>RevBuild!CQ32*RevBuild!CW37</f>
        <v>31.01146169684927</v>
      </c>
      <c r="CX61" s="1639">
        <f>RevBuild!CR32*RevBuild!CX37</f>
        <v>33.70483712375956</v>
      </c>
      <c r="CY61" s="1729">
        <f>RevBuild!CS32*RevBuild!CY37</f>
        <v>127.084971594077</v>
      </c>
      <c r="EL61" s="2051"/>
      <c r="EM61" s="2051"/>
      <c r="EN61" s="2051"/>
      <c r="EO61" s="2051"/>
      <c r="EP61" s="2051"/>
      <c r="EQ61" s="2051"/>
      <c r="ER61" s="2051"/>
      <c r="ES61" s="2051"/>
      <c r="ET61" s="2051"/>
      <c r="EU61" s="2051"/>
    </row>
    <row r="62" spans="1:176" x14ac:dyDescent="0.2">
      <c r="A62" s="303" t="s">
        <v>190</v>
      </c>
      <c r="B62" s="31"/>
      <c r="C62" s="418"/>
      <c r="D62" s="1015"/>
      <c r="E62" s="1015"/>
      <c r="F62" s="1015"/>
      <c r="G62" s="1016"/>
      <c r="H62" s="31"/>
      <c r="I62" s="418"/>
      <c r="J62" s="1015"/>
      <c r="K62" s="1015"/>
      <c r="L62" s="1015"/>
      <c r="M62" s="1016"/>
      <c r="N62" s="31"/>
      <c r="O62" s="418"/>
      <c r="P62" s="1015"/>
      <c r="Q62" s="1015"/>
      <c r="R62" s="1015"/>
      <c r="S62" s="1016"/>
      <c r="T62" s="31"/>
      <c r="U62" s="1045">
        <f>RevBuild!O39*RevBuild!U44</f>
        <v>0</v>
      </c>
      <c r="V62" s="1046">
        <f>RevBuild!P39*RevBuild!V44</f>
        <v>0</v>
      </c>
      <c r="W62" s="1046">
        <f>RevBuild!Q39*RevBuild!W44</f>
        <v>0</v>
      </c>
      <c r="X62" s="1046">
        <f>RevBuild!R39*RevBuild!X44</f>
        <v>0</v>
      </c>
      <c r="Y62" s="1047">
        <f>RevBuild!S39*RevBuild!Y44</f>
        <v>0</v>
      </c>
      <c r="Z62" s="31"/>
      <c r="AA62" s="1045">
        <f>RevBuild!U39*RevBuild!AA44</f>
        <v>0</v>
      </c>
      <c r="AB62" s="1046">
        <f>RevBuild!V39*RevBuild!AB44</f>
        <v>0</v>
      </c>
      <c r="AC62" s="1046">
        <f>RevBuild!W39*RevBuild!AC44</f>
        <v>0</v>
      </c>
      <c r="AD62" s="1046">
        <f>RevBuild!X39*RevBuild!AD44</f>
        <v>0</v>
      </c>
      <c r="AE62" s="1047">
        <f>RevBuild!Y39*RevBuild!AE44</f>
        <v>0</v>
      </c>
      <c r="AF62" s="1046"/>
      <c r="AG62" s="1045">
        <v>0</v>
      </c>
      <c r="AH62" s="1046">
        <v>0</v>
      </c>
      <c r="AI62" s="1046">
        <v>0</v>
      </c>
      <c r="AJ62" s="1046">
        <v>0</v>
      </c>
      <c r="AK62" s="1047">
        <v>0</v>
      </c>
      <c r="AL62" s="1046"/>
      <c r="AM62" s="1649">
        <f>RevBuild!AG39*RevBuild!AM44</f>
        <v>4.3302868000000005</v>
      </c>
      <c r="AN62" s="1639">
        <f>RevBuild!AH39*RevBuild!AN44</f>
        <v>2.1614039999999997</v>
      </c>
      <c r="AO62" s="1639">
        <f>RevBuild!AI39*RevBuild!AO44</f>
        <v>3.1159080000000001</v>
      </c>
      <c r="AP62" s="1639">
        <f>RevBuild!AJ39*RevBuild!AP44</f>
        <v>0.86723100000000031</v>
      </c>
      <c r="AQ62" s="1729">
        <f>RevBuild!AK39*RevBuild!AQ44</f>
        <v>9.4198245000000007</v>
      </c>
      <c r="AR62" s="1639"/>
      <c r="AS62" s="1649">
        <f>RevBuild!AM39*RevBuild!AS44</f>
        <v>-2.4057124000000001</v>
      </c>
      <c r="AT62" s="1639">
        <f>RevBuild!AN39*RevBuild!AT44</f>
        <v>0.18390260000000003</v>
      </c>
      <c r="AU62" s="1639">
        <f>RevBuild!AO39*RevBuild!AU44</f>
        <v>0</v>
      </c>
      <c r="AV62" s="1639">
        <f>RevBuild!AP39*RevBuild!AV44</f>
        <v>3.0891456000000002</v>
      </c>
      <c r="AW62" s="1729">
        <f>RevBuild!AQ39*RevBuild!AW44</f>
        <v>0.73259850000000004</v>
      </c>
      <c r="AX62" s="1639"/>
      <c r="AY62" s="1649">
        <f>RevBuild!AS39*RevBuild!AY44</f>
        <v>3.6468569999999998</v>
      </c>
      <c r="AZ62" s="1639">
        <f>RevBuild!AT39*RevBuild!AZ44</f>
        <v>5.5306692000000011</v>
      </c>
      <c r="BA62" s="1639">
        <f>RevBuild!AU39*RevBuild!BA44</f>
        <v>4.2466094999999999</v>
      </c>
      <c r="BB62" s="1639">
        <f>RevBuild!AV39*RevBuild!BB44</f>
        <v>3.7455040000000013</v>
      </c>
      <c r="BC62" s="1729">
        <f>RevBuild!AW39*RevBuild!BC44</f>
        <v>17.432720800000002</v>
      </c>
      <c r="BD62" s="1639"/>
      <c r="BE62" s="1649">
        <f>RevBuild!AY39*RevBuild!BE44</f>
        <v>1.0374770000000002</v>
      </c>
      <c r="BF62" s="1639">
        <f>RevBuild!AZ39*RevBuild!BF44</f>
        <v>-0.98308160000000022</v>
      </c>
      <c r="BG62" s="1639">
        <f>RevBuild!BA39*RevBuild!BG44</f>
        <v>1.4605872</v>
      </c>
      <c r="BH62" s="1639">
        <f>RevBuild!BB39*RevBuild!BH44</f>
        <v>4.1237307999999997</v>
      </c>
      <c r="BI62" s="1729">
        <f>RevBuild!BC39*RevBuild!BI44</f>
        <v>5.6356164</v>
      </c>
      <c r="BJ62" s="1639"/>
      <c r="BK62" s="1649">
        <f>RevBuild!BE39*RevBuild!BK44</f>
        <v>3.0500512000000009</v>
      </c>
      <c r="BL62" s="1639">
        <f>RevBuild!BF39*RevBuild!BL44</f>
        <v>0.43125920000000001</v>
      </c>
      <c r="BM62" s="1639">
        <f>RevBuild!BG39*RevBuild!BM44</f>
        <v>1.8133416</v>
      </c>
      <c r="BN62" s="1639">
        <f>RevBuild!BH39*RevBuild!BN44</f>
        <v>3.7708840000000001</v>
      </c>
      <c r="BO62" s="1729">
        <f>RevBuild!BI39*RevBuild!BO44</f>
        <v>8.9809647999999989</v>
      </c>
      <c r="BP62" s="1639"/>
      <c r="BQ62" s="1649">
        <f>RevBuild!BK39*RevBuild!BQ44</f>
        <v>1.0463349500000001</v>
      </c>
      <c r="BR62" s="1639">
        <f>RevBuild!BL39*RevBuild!BR44</f>
        <v>1.5503713584999999</v>
      </c>
      <c r="BS62" s="1639">
        <f>RevBuild!BM39*RevBuild!BS44</f>
        <v>0.36643359999999997</v>
      </c>
      <c r="BT62" s="1639">
        <f>RevBuild!BN39*RevBuild!BT44</f>
        <v>0.71905300000000016</v>
      </c>
      <c r="BU62" s="1729">
        <f>RevBuild!BO39*RevBuild!BU44</f>
        <v>3.6821929084999994</v>
      </c>
      <c r="BV62" s="1639"/>
      <c r="BW62" s="1649">
        <f>RevBuild!BQ39*RevBuild!BW44</f>
        <v>-2.2404674999999994</v>
      </c>
      <c r="BX62" s="1639">
        <f>RevBuild!BR39*RevBuild!BX44</f>
        <v>1.3225478400000001</v>
      </c>
      <c r="BY62" s="1639">
        <f>RevBuild!BS39*RevBuild!BY44</f>
        <v>1.7676550500000001</v>
      </c>
      <c r="BZ62" s="1639">
        <f>RevBuild!BT39*RevBuild!BZ44</f>
        <v>1.3216875000000001</v>
      </c>
      <c r="CA62" s="1729">
        <f>RevBuild!BU39*RevBuild!CA44</f>
        <v>2.1714228900000005</v>
      </c>
      <c r="CB62" s="1639"/>
      <c r="CC62" s="1649">
        <f>RevBuild!BW39*RevBuild!CC44</f>
        <v>4.4127672000000002</v>
      </c>
      <c r="CD62" s="1639">
        <f>RevBuild!BX39*RevBuild!CD44</f>
        <v>3.2348535070071356</v>
      </c>
      <c r="CE62" s="1639">
        <f>RevBuild!BY39*RevBuild!CE44</f>
        <v>4.5722474999999996</v>
      </c>
      <c r="CF62" s="1639">
        <f>RevBuild!BZ39*RevBuild!CF44</f>
        <v>3.2986349999999995</v>
      </c>
      <c r="CG62" s="1729">
        <f>RevBuild!CA39*RevBuild!CG44</f>
        <v>15.518503207007138</v>
      </c>
      <c r="CH62" s="1639"/>
      <c r="CI62" s="1649">
        <f>RevBuild!CC39*RevBuild!CI44</f>
        <v>1.14689832</v>
      </c>
      <c r="CJ62" s="1639">
        <f>RevBuild!CD39*RevBuild!CJ44</f>
        <v>3.3212570000000001</v>
      </c>
      <c r="CK62" s="1639">
        <f>RevBuild!CE39*RevBuild!CK44</f>
        <v>2.5252920000000003</v>
      </c>
      <c r="CL62" s="1639">
        <f>RevBuild!CF39*RevBuild!CL44</f>
        <v>4.3682430000000005</v>
      </c>
      <c r="CM62" s="1729">
        <f>RevBuild!CG39*RevBuild!CM44</f>
        <v>11.361690320000001</v>
      </c>
      <c r="CN62" s="1639"/>
      <c r="CO62" s="1649">
        <f>RevBuild!CI39*RevBuild!CO44</f>
        <v>2.8127681298000002</v>
      </c>
      <c r="CP62" s="1639">
        <f>RevBuild!CJ39*RevBuild!CP44</f>
        <v>3.4225553385</v>
      </c>
      <c r="CQ62" s="1639">
        <f>RevBuild!CK39*RevBuild!CQ44</f>
        <v>3.5552503800000004</v>
      </c>
      <c r="CR62" s="1639">
        <f>RevBuild!CL39*RevBuild!CR44</f>
        <v>4.0386392099999995</v>
      </c>
      <c r="CS62" s="1729">
        <f>RevBuild!CM39*RevBuild!CS44</f>
        <v>13.829213058300001</v>
      </c>
      <c r="CT62" s="1639"/>
      <c r="CU62" s="1649">
        <f>RevBuild!CO39*RevBuild!CU44</f>
        <v>2.0439448409880003</v>
      </c>
      <c r="CV62" s="1639">
        <f>RevBuild!CP39*RevBuild!CV44</f>
        <v>2.4870568793100003</v>
      </c>
      <c r="CW62" s="1639">
        <f>RevBuild!CQ39*RevBuild!CW44</f>
        <v>2.5834819428000002</v>
      </c>
      <c r="CX62" s="1639">
        <f>RevBuild!CR39*RevBuild!CX44</f>
        <v>2.9347444926000001</v>
      </c>
      <c r="CY62" s="1729">
        <f>RevBuild!CS39*RevBuild!CY44</f>
        <v>10.049228155698001</v>
      </c>
      <c r="EL62" s="2051"/>
      <c r="EM62" s="2051"/>
      <c r="EN62" s="2051"/>
      <c r="EO62" s="2051"/>
      <c r="EP62" s="2051"/>
      <c r="EQ62" s="2051"/>
      <c r="ER62" s="2051"/>
      <c r="ES62" s="2051"/>
      <c r="ET62" s="2051"/>
      <c r="EU62" s="2051"/>
    </row>
    <row r="63" spans="1:176" x14ac:dyDescent="0.2">
      <c r="A63" s="303" t="s">
        <v>404</v>
      </c>
      <c r="B63" s="31"/>
      <c r="C63" s="418"/>
      <c r="D63" s="1015"/>
      <c r="E63" s="1015"/>
      <c r="F63" s="1015"/>
      <c r="G63" s="1016"/>
      <c r="H63" s="31"/>
      <c r="I63" s="418"/>
      <c r="J63" s="1015"/>
      <c r="K63" s="1015"/>
      <c r="L63" s="1015"/>
      <c r="M63" s="1016"/>
      <c r="N63" s="31"/>
      <c r="O63" s="418"/>
      <c r="P63" s="1015"/>
      <c r="Q63" s="1015"/>
      <c r="R63" s="1015"/>
      <c r="S63" s="1016"/>
      <c r="T63" s="31"/>
      <c r="U63" s="1045">
        <f>RevBuild!O45*RevBuild!U50</f>
        <v>0</v>
      </c>
      <c r="V63" s="1046">
        <f>RevBuild!P45*RevBuild!V50</f>
        <v>0</v>
      </c>
      <c r="W63" s="1046">
        <f>RevBuild!Q45*RevBuild!W50</f>
        <v>0</v>
      </c>
      <c r="X63" s="1046">
        <f>RevBuild!R45*RevBuild!X50</f>
        <v>0</v>
      </c>
      <c r="Y63" s="1047">
        <f>RevBuild!S45*RevBuild!Y50</f>
        <v>0</v>
      </c>
      <c r="Z63" s="31"/>
      <c r="AA63" s="1045">
        <f>RevBuild!U45*RevBuild!AA50</f>
        <v>0</v>
      </c>
      <c r="AB63" s="1046">
        <f>RevBuild!V45*RevBuild!AB50</f>
        <v>0</v>
      </c>
      <c r="AC63" s="1046">
        <f>RevBuild!W45*RevBuild!AC50</f>
        <v>0</v>
      </c>
      <c r="AD63" s="1046">
        <f>RevBuild!X45*RevBuild!AD50</f>
        <v>0</v>
      </c>
      <c r="AE63" s="1047">
        <f>RevBuild!Y45*RevBuild!AE50</f>
        <v>0</v>
      </c>
      <c r="AF63" s="1046"/>
      <c r="AG63" s="1045">
        <v>0</v>
      </c>
      <c r="AH63" s="1046">
        <v>0</v>
      </c>
      <c r="AI63" s="1046">
        <v>0</v>
      </c>
      <c r="AJ63" s="1046">
        <v>0</v>
      </c>
      <c r="AK63" s="1047">
        <v>0</v>
      </c>
      <c r="AL63" s="1046"/>
      <c r="AM63" s="1649">
        <f>RevBuild!AG45*RevBuild!AM50</f>
        <v>5.7442580000000003</v>
      </c>
      <c r="AN63" s="1639">
        <f>RevBuild!AH45*RevBuild!AN50</f>
        <v>5.4595463999999998</v>
      </c>
      <c r="AO63" s="1639">
        <f>RevBuild!AI45*RevBuild!AO50</f>
        <v>4.9075550999999997</v>
      </c>
      <c r="AP63" s="1639">
        <f>RevBuild!AJ45*RevBuild!AP50</f>
        <v>6.6776787000000022</v>
      </c>
      <c r="AQ63" s="1729">
        <f>RevBuild!AK45*RevBuild!AQ50</f>
        <v>12.543203999999999</v>
      </c>
      <c r="AR63" s="1639"/>
      <c r="AS63" s="1649">
        <f>RevBuild!AM45*RevBuild!AS50</f>
        <v>1.1103288</v>
      </c>
      <c r="AT63" s="1639">
        <f>RevBuild!AN45*RevBuild!AT50</f>
        <v>0</v>
      </c>
      <c r="AU63" s="1639">
        <f>RevBuild!AO45*RevBuild!AU50</f>
        <v>5.629199999999987E-2</v>
      </c>
      <c r="AV63" s="1639">
        <f>RevBuild!AP45*RevBuild!AV50</f>
        <v>-0.4116144000000001</v>
      </c>
      <c r="AW63" s="1729">
        <f>RevBuild!AQ45*RevBuild!AW50</f>
        <v>0.67731680000000027</v>
      </c>
      <c r="AX63" s="1639"/>
      <c r="AY63" s="1649">
        <f>RevBuild!AS45*RevBuild!AY50</f>
        <v>-5.2810800000000747E-2</v>
      </c>
      <c r="AZ63" s="1639">
        <f>RevBuild!AT45*RevBuild!AZ50</f>
        <v>-3.0011940000000008</v>
      </c>
      <c r="BA63" s="1639">
        <f>RevBuild!AU45*RevBuild!BA50</f>
        <v>1.8199755</v>
      </c>
      <c r="BB63" s="1639">
        <f>RevBuild!AV45*RevBuild!BB50</f>
        <v>0.63539800000000013</v>
      </c>
      <c r="BC63" s="1729">
        <f>RevBuild!AW45*RevBuild!BC50</f>
        <v>-1.3962199000000006</v>
      </c>
      <c r="BD63" s="1639"/>
      <c r="BE63" s="1649">
        <f>RevBuild!AY45*RevBuild!BE50</f>
        <v>-2.3713760000000002</v>
      </c>
      <c r="BF63" s="1639">
        <f>RevBuild!AZ45*RevBuild!BF50</f>
        <v>2.107704</v>
      </c>
      <c r="BG63" s="1639">
        <f>RevBuild!BA45*RevBuild!BG50</f>
        <v>-1.7093026999999996</v>
      </c>
      <c r="BH63" s="1639">
        <f>RevBuild!BB45*RevBuild!BH50</f>
        <v>0.32880319999999924</v>
      </c>
      <c r="BI63" s="1729">
        <f>RevBuild!BC45*RevBuild!BI50</f>
        <v>-0.60371990000000164</v>
      </c>
      <c r="BJ63" s="1639"/>
      <c r="BK63" s="1649">
        <f>RevBuild!BE45*RevBuild!BK50</f>
        <v>1.3089944000000002</v>
      </c>
      <c r="BL63" s="1639">
        <f>RevBuild!BF45*RevBuild!BL50</f>
        <v>-0.65625</v>
      </c>
      <c r="BM63" s="1639">
        <f>RevBuild!BG45*RevBuild!BM50</f>
        <v>2.4609635999999999</v>
      </c>
      <c r="BN63" s="1639">
        <f>RevBuild!BH45*RevBuild!BN50</f>
        <v>0.65265299999999993</v>
      </c>
      <c r="BO63" s="1729">
        <f>RevBuild!BI45*RevBuild!BO50</f>
        <v>3.6227140999999992</v>
      </c>
      <c r="BP63" s="1639"/>
      <c r="BQ63" s="1649">
        <f>RevBuild!BK45*RevBuild!BQ50</f>
        <v>0.47506354999999989</v>
      </c>
      <c r="BR63" s="1639">
        <f>RevBuild!BL45*RevBuild!BR50</f>
        <v>3.0409378585000004</v>
      </c>
      <c r="BS63" s="1639">
        <f>RevBuild!BM45*RevBuild!BS50</f>
        <v>2.5890298</v>
      </c>
      <c r="BT63" s="1639">
        <f>RevBuild!BN45*RevBuild!BT50</f>
        <v>2.3426979999999999</v>
      </c>
      <c r="BU63" s="1729">
        <f>RevBuild!BO45*RevBuild!BU50</f>
        <v>8.4477292085000002</v>
      </c>
      <c r="BV63" s="1639"/>
      <c r="BW63" s="1649">
        <f>RevBuild!BQ45*RevBuild!BW50</f>
        <v>3.5847480000000007</v>
      </c>
      <c r="BX63" s="1639">
        <f>RevBuild!BR45*RevBuild!BX50</f>
        <v>4.5362751999999995</v>
      </c>
      <c r="BY63" s="1639">
        <f>RevBuild!BS45*RevBuild!BY50</f>
        <v>1.7737685000000007</v>
      </c>
      <c r="BZ63" s="1639">
        <f>RevBuild!BT45*RevBuild!BZ50</f>
        <v>-0.31887499999999935</v>
      </c>
      <c r="CA63" s="1729">
        <f>RevBuild!BU45*RevBuild!CA50</f>
        <v>9.5023295748915402</v>
      </c>
      <c r="CB63" s="1639"/>
      <c r="CC63" s="1649">
        <f>RevBuild!BW45*RevBuild!CC50</f>
        <v>1.8627671999999997</v>
      </c>
      <c r="CD63" s="1639">
        <f>RevBuild!BX45*RevBuild!CD50</f>
        <v>2.2297052532026482</v>
      </c>
      <c r="CE63" s="1639">
        <f>RevBuild!BY45*RevBuild!CE50</f>
        <v>0.78685000000000038</v>
      </c>
      <c r="CF63" s="1639">
        <f>RevBuild!BZ45*RevBuild!CF50</f>
        <v>3.3375429999999988</v>
      </c>
      <c r="CG63" s="1729">
        <f>RevBuild!CA45*RevBuild!CG50</f>
        <v>8.2168654532026473</v>
      </c>
      <c r="CH63" s="1639"/>
      <c r="CI63" s="1649">
        <f>RevBuild!CC45*RevBuild!CI50</f>
        <v>3.1755518000000005</v>
      </c>
      <c r="CJ63" s="1639">
        <f>RevBuild!CD45*RevBuild!CJ50</f>
        <v>4.2162483600000007</v>
      </c>
      <c r="CK63" s="1639">
        <f>RevBuild!CE45*RevBuild!CK50</f>
        <v>6.8871600000000006</v>
      </c>
      <c r="CL63" s="1639">
        <f>RevBuild!CF45*RevBuild!CL50</f>
        <v>5.7819652799999997</v>
      </c>
      <c r="CM63" s="1729">
        <f>RevBuild!CG45*RevBuild!CM50</f>
        <v>20.060925439999998</v>
      </c>
      <c r="CN63" s="1639"/>
      <c r="CO63" s="1649">
        <f>RevBuild!CI45*RevBuild!CO50</f>
        <v>4.1917283760000004</v>
      </c>
      <c r="CP63" s="1639">
        <f>RevBuild!CJ45*RevBuild!CP50</f>
        <v>4.6589544378000003</v>
      </c>
      <c r="CQ63" s="1639">
        <f>RevBuild!CK45*RevBuild!CQ50</f>
        <v>4.6488329999999998</v>
      </c>
      <c r="CR63" s="1639">
        <f>RevBuild!CL45*RevBuild!CR50</f>
        <v>4.7701213559999998</v>
      </c>
      <c r="CS63" s="1729">
        <f>RevBuild!CM45*RevBuild!CS50</f>
        <v>18.269637169799999</v>
      </c>
      <c r="CT63" s="1639"/>
      <c r="CU63" s="1649">
        <f>RevBuild!CO45*RevBuild!CU50</f>
        <v>4.4432320785600004</v>
      </c>
      <c r="CV63" s="1639">
        <f>RevBuild!CP45*RevBuild!CV50</f>
        <v>4.9384917040680003</v>
      </c>
      <c r="CW63" s="1639">
        <f>RevBuild!CQ45*RevBuild!CW50</f>
        <v>4.9277629799999998</v>
      </c>
      <c r="CX63" s="1639">
        <f>RevBuild!CR45*RevBuild!CX50</f>
        <v>5.05632863736</v>
      </c>
      <c r="CY63" s="1729">
        <f>RevBuild!CS45*RevBuild!CY50</f>
        <v>19.365815399988001</v>
      </c>
      <c r="EL63" s="2051"/>
      <c r="EM63" s="2051"/>
      <c r="EN63" s="2051"/>
      <c r="EO63" s="2051"/>
      <c r="EP63" s="2051"/>
      <c r="EQ63" s="2051"/>
      <c r="ER63" s="2051"/>
      <c r="ES63" s="2051"/>
      <c r="ET63" s="2051"/>
      <c r="EU63" s="2051"/>
    </row>
    <row r="64" spans="1:176" x14ac:dyDescent="0.2">
      <c r="A64" s="1013" t="s">
        <v>235</v>
      </c>
      <c r="B64" s="391"/>
      <c r="C64" s="512"/>
      <c r="D64" s="1017"/>
      <c r="E64" s="1017"/>
      <c r="F64" s="1017"/>
      <c r="G64" s="1018"/>
      <c r="H64" s="391"/>
      <c r="I64" s="512"/>
      <c r="J64" s="1017"/>
      <c r="K64" s="1017"/>
      <c r="L64" s="1017"/>
      <c r="M64" s="1018"/>
      <c r="N64" s="391"/>
      <c r="O64" s="512"/>
      <c r="P64" s="1017"/>
      <c r="Q64" s="1017"/>
      <c r="R64" s="1017"/>
      <c r="S64" s="1018"/>
      <c r="T64" s="391"/>
      <c r="U64" s="1048">
        <f>RevBuild!O51*RevBuild!U56</f>
        <v>0</v>
      </c>
      <c r="V64" s="1049">
        <f>RevBuild!P51*RevBuild!V56</f>
        <v>0</v>
      </c>
      <c r="W64" s="1049">
        <f>RevBuild!Q51*RevBuild!W56</f>
        <v>0</v>
      </c>
      <c r="X64" s="1049">
        <f>RevBuild!R51*RevBuild!X56</f>
        <v>0</v>
      </c>
      <c r="Y64" s="1050">
        <f>RevBuild!S51*RevBuild!Y56</f>
        <v>0</v>
      </c>
      <c r="Z64" s="391"/>
      <c r="AA64" s="1048">
        <f>RevBuild!U51*RevBuild!AA56</f>
        <v>0</v>
      </c>
      <c r="AB64" s="1049">
        <f>RevBuild!V51*RevBuild!AB56</f>
        <v>0</v>
      </c>
      <c r="AC64" s="1049">
        <f>RevBuild!W51*RevBuild!AC56</f>
        <v>0</v>
      </c>
      <c r="AD64" s="1049">
        <f>RevBuild!X51*RevBuild!AD56</f>
        <v>0</v>
      </c>
      <c r="AE64" s="1050">
        <f>RevBuild!Y51*RevBuild!AE56</f>
        <v>0</v>
      </c>
      <c r="AF64" s="1049"/>
      <c r="AG64" s="1048">
        <v>0</v>
      </c>
      <c r="AH64" s="1049">
        <v>0</v>
      </c>
      <c r="AI64" s="1049">
        <v>0</v>
      </c>
      <c r="AJ64" s="1049">
        <v>0</v>
      </c>
      <c r="AK64" s="1050">
        <v>0</v>
      </c>
      <c r="AL64" s="1049"/>
      <c r="AM64" s="1730">
        <f>RevBuild!AG51*RevBuild!AM56</f>
        <v>7.1582292000000001</v>
      </c>
      <c r="AN64" s="1731">
        <f>RevBuild!AH51*RevBuild!AN56</f>
        <v>4.2587664000000007</v>
      </c>
      <c r="AO64" s="1731">
        <f>RevBuild!AI51*RevBuild!AO56</f>
        <v>0</v>
      </c>
      <c r="AP64" s="1731">
        <f>RevBuild!AJ51*RevBuild!AP56</f>
        <v>3.7580010000000019</v>
      </c>
      <c r="AQ64" s="1732">
        <f>RevBuild!AK51*RevBuild!AQ56</f>
        <v>17.876111400000006</v>
      </c>
      <c r="AR64" s="1731"/>
      <c r="AS64" s="1730">
        <f>RevBuild!AM51*RevBuild!AS56</f>
        <v>-1.4275656000000001</v>
      </c>
      <c r="AT64" s="1731">
        <f>RevBuild!AN51*RevBuild!AT56</f>
        <v>0.63052320000000006</v>
      </c>
      <c r="AU64" s="1731">
        <f>RevBuild!AO51*RevBuild!AU56</f>
        <v>4.4165037000000007</v>
      </c>
      <c r="AV64" s="1731">
        <f>RevBuild!AP51*RevBuild!AV56</f>
        <v>2.1452400000000003</v>
      </c>
      <c r="AW64" s="1732">
        <f>RevBuild!AQ51*RevBuild!AW56</f>
        <v>5.3806302000000006</v>
      </c>
      <c r="AX64" s="1731"/>
      <c r="AY64" s="1730">
        <f>RevBuild!AS51*RevBuild!AY56</f>
        <v>2.2991054999999996</v>
      </c>
      <c r="AZ64" s="1731">
        <f>RevBuild!AT51*RevBuild!AZ56</f>
        <v>0.7336602000000001</v>
      </c>
      <c r="BA64" s="1731">
        <f>RevBuild!AU51*RevBuild!BA56</f>
        <v>1.502202</v>
      </c>
      <c r="BB64" s="1731">
        <f>RevBuild!AV51*RevBuild!BB56</f>
        <v>0</v>
      </c>
      <c r="BC64" s="1732">
        <f>RevBuild!AW51*RevBuild!BC56</f>
        <v>3.0537377000000006</v>
      </c>
      <c r="BD64" s="1731"/>
      <c r="BE64" s="1730">
        <f>RevBuild!AY51*RevBuild!BE56</f>
        <v>-3.0827888000000003</v>
      </c>
      <c r="BF64" s="1731">
        <f>RevBuild!AZ51*RevBuild!BF56</f>
        <v>1.8619336</v>
      </c>
      <c r="BG64" s="1731">
        <f>RevBuild!BA51*RevBuild!BG56</f>
        <v>-1.9831627999999999</v>
      </c>
      <c r="BH64" s="1731">
        <f>RevBuild!BB51*RevBuild!BH56</f>
        <v>-0.84940560000000009</v>
      </c>
      <c r="BI64" s="1732">
        <f>RevBuild!BC51*RevBuild!BI56</f>
        <v>-4.7959243999999996</v>
      </c>
      <c r="BJ64" s="1731"/>
      <c r="BK64" s="1730">
        <f>RevBuild!BE51*RevBuild!BK56</f>
        <v>4.9536592000000006</v>
      </c>
      <c r="BL64" s="1731">
        <f>RevBuild!BF51*RevBuild!BL56</f>
        <v>-3.5672403999999998</v>
      </c>
      <c r="BM64" s="1731">
        <f>RevBuild!BG51*RevBuild!BM56</f>
        <v>0</v>
      </c>
      <c r="BN64" s="1731">
        <f>RevBuild!BH51*RevBuild!BN56</f>
        <v>5.0036729999999991</v>
      </c>
      <c r="BO64" s="1732">
        <f>RevBuild!BI51*RevBuild!BO56</f>
        <v>4.4740694000000003</v>
      </c>
      <c r="BP64" s="1731"/>
      <c r="BQ64" s="1730">
        <f>RevBuild!BK51*RevBuild!BQ56</f>
        <v>1.5541317499999998</v>
      </c>
      <c r="BR64" s="1731">
        <f>RevBuild!BL51*RevBuild!BR56</f>
        <v>3.7365355585</v>
      </c>
      <c r="BS64" s="1731">
        <f>RevBuild!BM51*RevBuild!BS56</f>
        <v>2.9931381999999997</v>
      </c>
      <c r="BT64" s="1731">
        <f>RevBuild!BN51*RevBuild!BT56</f>
        <v>4.0024240000000013</v>
      </c>
      <c r="BU64" s="1732">
        <f>RevBuild!BO51*RevBuild!BU56</f>
        <v>12.2862295085</v>
      </c>
      <c r="BV64" s="1731"/>
      <c r="BW64" s="1730">
        <f>RevBuild!BQ51*RevBuild!BW56</f>
        <v>0.47796640000000012</v>
      </c>
      <c r="BX64" s="1731">
        <f>RevBuild!BR51*RevBuild!BX56</f>
        <v>2.4534220800000006</v>
      </c>
      <c r="BY64" s="1731">
        <f>RevBuild!BS51*RevBuild!BY56</f>
        <v>-4.4571849999999177E-2</v>
      </c>
      <c r="BZ64" s="1731">
        <f>RevBuild!BT51*RevBuild!BZ56</f>
        <v>-3.0397874999999996</v>
      </c>
      <c r="CA64" s="1732">
        <f>RevBuild!BU51*RevBuild!CA56</f>
        <v>-0.15297086999999657</v>
      </c>
      <c r="CB64" s="1731"/>
      <c r="CC64" s="1730">
        <f>RevBuild!BW51*RevBuild!CC56</f>
        <v>-0.39118489999999945</v>
      </c>
      <c r="CD64" s="1731">
        <f>RevBuild!BX51*RevBuild!CD56</f>
        <v>0.53058775255781931</v>
      </c>
      <c r="CE64" s="1731">
        <f>RevBuild!BY51*RevBuild!CE56</f>
        <v>2.2477000000000299E-2</v>
      </c>
      <c r="CF64" s="1731">
        <f>RevBuild!BZ51*RevBuild!CF56</f>
        <v>2.6316649999999999</v>
      </c>
      <c r="CG64" s="1732">
        <f>RevBuild!CA51*RevBuild!CG56</f>
        <v>2.7935448525578219</v>
      </c>
      <c r="CH64" s="1731"/>
      <c r="CI64" s="1730">
        <f>RevBuild!CC51*RevBuild!CI56</f>
        <v>1.4798688000000004</v>
      </c>
      <c r="CJ64" s="1731">
        <f>RevBuild!CD51*RevBuild!CJ56</f>
        <v>0.78311743999999994</v>
      </c>
      <c r="CK64" s="1731">
        <f>RevBuild!CE51*RevBuild!CK56</f>
        <v>1.5960719999999997</v>
      </c>
      <c r="CL64" s="1731">
        <f>RevBuild!CF51*RevBuild!CL56</f>
        <v>-1.8426043200000006</v>
      </c>
      <c r="CM64" s="1732">
        <f>RevBuild!CG51*RevBuild!CM56</f>
        <v>2.01645392</v>
      </c>
      <c r="CN64" s="1731"/>
      <c r="CO64" s="1730">
        <f>RevBuild!CI51*RevBuild!CO56</f>
        <v>2.3751894240000011</v>
      </c>
      <c r="CP64" s="1731">
        <f>RevBuild!CJ51*RevBuild!CP56</f>
        <v>2.4785666975999994</v>
      </c>
      <c r="CQ64" s="1731">
        <f>RevBuild!CK51*RevBuild!CQ56</f>
        <v>2.5018428599999996</v>
      </c>
      <c r="CR64" s="1731">
        <f>RevBuild!CL51*RevBuild!CR56</f>
        <v>2.7639064800000011</v>
      </c>
      <c r="CS64" s="1732">
        <f>RevBuild!CM51*RevBuild!CS56</f>
        <v>10.119505461600001</v>
      </c>
      <c r="CT64" s="1731"/>
      <c r="CU64" s="1730">
        <f>RevBuild!CO51*RevBuild!CU56</f>
        <v>3.2619268089600015</v>
      </c>
      <c r="CV64" s="1731">
        <f>RevBuild!CP51*RevBuild!CV56</f>
        <v>3.4038982647039995</v>
      </c>
      <c r="CW64" s="1731">
        <f>RevBuild!CQ51*RevBuild!CW56</f>
        <v>3.4358641943999992</v>
      </c>
      <c r="CX64" s="1731">
        <f>RevBuild!CR51*RevBuild!CX56</f>
        <v>3.7957648992000017</v>
      </c>
      <c r="CY64" s="1732">
        <f>RevBuild!CS51*RevBuild!CY56</f>
        <v>13.897454167264003</v>
      </c>
      <c r="EF64" s="2"/>
      <c r="EG64" s="2"/>
      <c r="EH64" s="2"/>
      <c r="EI64" s="2"/>
      <c r="EJ64" s="2"/>
      <c r="EK64" s="2"/>
      <c r="EL64" s="2052"/>
      <c r="EM64" s="2052"/>
      <c r="EN64" s="2052"/>
      <c r="EO64" s="2052"/>
      <c r="EP64" s="2052"/>
      <c r="EQ64" s="2052"/>
      <c r="ER64" s="2052"/>
      <c r="ES64" s="2052"/>
      <c r="ET64" s="2052"/>
      <c r="EU64" s="205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</row>
    <row r="65" spans="1:176" x14ac:dyDescent="0.2">
      <c r="EL65" s="2051"/>
      <c r="EM65" s="2051"/>
      <c r="EN65" s="2051"/>
      <c r="EO65" s="2051"/>
      <c r="EP65" s="2051"/>
      <c r="EQ65" s="2051"/>
      <c r="ER65" s="2051"/>
      <c r="ES65" s="2051"/>
      <c r="ET65" s="2051"/>
      <c r="EU65" s="2051"/>
      <c r="FB65" s="2"/>
    </row>
    <row r="66" spans="1:176" ht="12.75" x14ac:dyDescent="0.2">
      <c r="A66" s="1019" t="s">
        <v>654</v>
      </c>
      <c r="B66" s="1019"/>
      <c r="C66" s="1019"/>
      <c r="D66" s="1019"/>
      <c r="E66" s="1019"/>
      <c r="F66" s="1019"/>
      <c r="G66" s="1019"/>
      <c r="H66" s="1020"/>
      <c r="I66" s="1019"/>
      <c r="J66" s="1019"/>
      <c r="K66" s="1019"/>
      <c r="L66" s="1019"/>
      <c r="M66" s="1019"/>
      <c r="N66" s="1020"/>
      <c r="O66" s="1019"/>
      <c r="P66" s="1019"/>
      <c r="Q66" s="1019"/>
      <c r="R66" s="1019"/>
      <c r="S66" s="1019"/>
      <c r="T66" s="1020"/>
      <c r="U66" s="1019"/>
      <c r="V66" s="1021"/>
      <c r="W66" s="1021"/>
      <c r="X66" s="1021"/>
      <c r="Y66" s="1021"/>
      <c r="Z66" s="1020"/>
      <c r="AA66" s="1021"/>
      <c r="AB66" s="1022"/>
      <c r="AC66" s="1022"/>
      <c r="AD66" s="1019"/>
      <c r="AE66" s="1019"/>
      <c r="AF66" s="1020"/>
      <c r="AG66" s="1021"/>
      <c r="AH66" s="1021"/>
      <c r="AI66" s="1021"/>
      <c r="AJ66" s="1021"/>
      <c r="AK66" s="1020"/>
      <c r="AL66" s="1020"/>
      <c r="AM66" s="1021"/>
      <c r="AN66" s="1021"/>
      <c r="AO66" s="1021"/>
      <c r="AP66" s="1021"/>
      <c r="AQ66" s="1020"/>
      <c r="AR66" s="1020"/>
      <c r="AS66" s="1021"/>
      <c r="AT66" s="1021"/>
      <c r="AU66" s="1021"/>
      <c r="AV66" s="1021"/>
      <c r="AW66" s="1020"/>
      <c r="AX66" s="1020"/>
      <c r="AY66" s="1021"/>
      <c r="AZ66" s="1021"/>
      <c r="BA66" s="1021"/>
      <c r="BB66" s="1021"/>
      <c r="BC66" s="1020"/>
      <c r="BD66" s="1020"/>
      <c r="BE66" s="1021"/>
      <c r="BF66" s="1021"/>
      <c r="BG66" s="1021"/>
      <c r="BH66" s="1021"/>
      <c r="BI66" s="1020"/>
      <c r="BJ66" s="1020"/>
      <c r="BK66" s="1021"/>
      <c r="BL66" s="1021"/>
      <c r="BM66" s="1021"/>
      <c r="BN66" s="1021"/>
      <c r="BO66" s="1020"/>
      <c r="BP66" s="10"/>
      <c r="BQ66" s="1023"/>
      <c r="BR66" s="1023"/>
      <c r="BS66" s="1023"/>
      <c r="BT66" s="1023"/>
      <c r="BU66" s="1023"/>
      <c r="BV66" s="10"/>
      <c r="BW66" s="1023"/>
      <c r="BX66" s="1023"/>
      <c r="BY66" s="1023"/>
      <c r="BZ66" s="1023"/>
      <c r="CA66" s="1023"/>
      <c r="CB66" s="10"/>
      <c r="CC66" s="1023"/>
      <c r="CD66" s="1023"/>
      <c r="CE66" s="1023"/>
      <c r="CF66" s="1023"/>
      <c r="CG66" s="1023"/>
      <c r="CH66" s="10"/>
      <c r="CI66" s="1023"/>
      <c r="CJ66" s="1023"/>
      <c r="CK66" s="1023"/>
      <c r="CL66" s="1023"/>
      <c r="CM66" s="1023"/>
      <c r="CN66" s="10"/>
      <c r="CO66" s="1023"/>
      <c r="CP66" s="1023"/>
      <c r="CQ66" s="1023"/>
      <c r="CR66" s="1023"/>
      <c r="CS66" s="1023"/>
      <c r="CT66" s="10"/>
      <c r="CU66" s="1023"/>
      <c r="CV66" s="1023"/>
      <c r="CW66" s="1023"/>
      <c r="CX66" s="1023"/>
      <c r="CY66" s="1023"/>
      <c r="EL66" s="2051"/>
      <c r="EM66" s="2051"/>
      <c r="EN66" s="2051"/>
      <c r="EO66" s="2051"/>
      <c r="EP66" s="2051"/>
      <c r="EQ66" s="2051"/>
      <c r="ER66" s="2051"/>
      <c r="ES66" s="2051"/>
      <c r="ET66" s="2051"/>
      <c r="EU66" s="2051"/>
    </row>
    <row r="67" spans="1:176" x14ac:dyDescent="0.2">
      <c r="A67" s="1014" t="s">
        <v>309</v>
      </c>
      <c r="B67" s="40"/>
      <c r="C67" s="1010"/>
      <c r="D67" s="1011"/>
      <c r="E67" s="1011"/>
      <c r="F67" s="1011"/>
      <c r="G67" s="1012"/>
      <c r="H67" s="790"/>
      <c r="I67" s="1010"/>
      <c r="J67" s="1011"/>
      <c r="K67" s="1011"/>
      <c r="L67" s="1011"/>
      <c r="M67" s="1012"/>
      <c r="N67" s="790"/>
      <c r="O67" s="1010"/>
      <c r="P67" s="1011"/>
      <c r="Q67" s="1011"/>
      <c r="R67" s="1011"/>
      <c r="S67" s="1012"/>
      <c r="T67" s="790"/>
      <c r="U67" s="1010"/>
      <c r="V67" s="1011"/>
      <c r="W67" s="1011"/>
      <c r="X67" s="1011"/>
      <c r="Y67" s="1012"/>
      <c r="Z67" s="790"/>
      <c r="AA67" s="1044" t="e">
        <f t="shared" ref="AA67:AE71" si="253">AA60+U60</f>
        <v>#REF!</v>
      </c>
      <c r="AB67" s="1051" t="e">
        <f t="shared" si="253"/>
        <v>#REF!</v>
      </c>
      <c r="AC67" s="1051" t="e">
        <f t="shared" si="253"/>
        <v>#REF!</v>
      </c>
      <c r="AD67" s="1051" t="e">
        <f t="shared" si="253"/>
        <v>#REF!</v>
      </c>
      <c r="AE67" s="1052" t="e">
        <f t="shared" si="253"/>
        <v>#REF!</v>
      </c>
      <c r="AF67" s="790"/>
      <c r="AG67" s="1044">
        <v>22.781659999999995</v>
      </c>
      <c r="AH67" s="1051">
        <v>26.146560000000004</v>
      </c>
      <c r="AI67" s="1051">
        <v>34.620000000000012</v>
      </c>
      <c r="AJ67" s="1051">
        <v>33.205340000000007</v>
      </c>
      <c r="AK67" s="1052">
        <v>116.08675000000002</v>
      </c>
      <c r="AL67" s="790"/>
      <c r="AM67" s="1044">
        <f t="shared" ref="AM67:AQ71" si="254">AM60+AG60</f>
        <v>47.084289999999996</v>
      </c>
      <c r="AN67" s="1051">
        <f t="shared" si="254"/>
        <v>38.874828000000001</v>
      </c>
      <c r="AO67" s="1051">
        <f t="shared" si="254"/>
        <v>42.409770000000016</v>
      </c>
      <c r="AP67" s="1051">
        <f t="shared" si="254"/>
        <v>24.533030000000004</v>
      </c>
      <c r="AQ67" s="1052">
        <f t="shared" si="254"/>
        <v>156.47975000000002</v>
      </c>
      <c r="AR67" s="790"/>
      <c r="AS67" s="1044">
        <f t="shared" ref="AS67:AW71" si="255">AS60+AM60</f>
        <v>19.015350000000002</v>
      </c>
      <c r="AT67" s="1051">
        <f t="shared" si="255"/>
        <v>15.355447999999996</v>
      </c>
      <c r="AU67" s="1051">
        <f t="shared" si="255"/>
        <v>-0.4397399999999978</v>
      </c>
      <c r="AV67" s="1051">
        <f t="shared" si="255"/>
        <v>22.791210000000007</v>
      </c>
      <c r="AW67" s="1052">
        <f t="shared" si="255"/>
        <v>62.14162000000001</v>
      </c>
      <c r="AX67" s="790"/>
      <c r="AY67" s="1044">
        <f t="shared" ref="AY67:BC71" si="256">AY60+AS60</f>
        <v>10.568619999999999</v>
      </c>
      <c r="AZ67" s="1051">
        <f t="shared" si="256"/>
        <v>16.736030000000007</v>
      </c>
      <c r="BA67" s="1051">
        <f t="shared" si="256"/>
        <v>3.3258900000000029</v>
      </c>
      <c r="BB67" s="1051">
        <f t="shared" si="256"/>
        <v>38.151920000000011</v>
      </c>
      <c r="BC67" s="1052">
        <f t="shared" si="256"/>
        <v>68.538500000000013</v>
      </c>
      <c r="BD67" s="790"/>
      <c r="BE67" s="1044">
        <f t="shared" ref="BE67:BI71" si="257">BE60+AY60</f>
        <v>21.784339999999997</v>
      </c>
      <c r="BF67" s="1051">
        <f t="shared" si="257"/>
        <v>17.180980000000005</v>
      </c>
      <c r="BG67" s="1051">
        <f t="shared" si="257"/>
        <v>22.205514999999998</v>
      </c>
      <c r="BH67" s="1051">
        <f t="shared" si="257"/>
        <v>13.619040000000002</v>
      </c>
      <c r="BI67" s="1052">
        <f t="shared" si="257"/>
        <v>79.71935000000002</v>
      </c>
      <c r="BJ67" s="790"/>
      <c r="BK67" s="1044">
        <f t="shared" ref="BK67:BO71" si="258">BK60+BE60</f>
        <v>11.999960000000002</v>
      </c>
      <c r="BL67" s="1051">
        <f t="shared" si="258"/>
        <v>7.2909566666666672</v>
      </c>
      <c r="BM67" s="1051">
        <f t="shared" si="258"/>
        <v>20.364444999999996</v>
      </c>
      <c r="BN67" s="1082">
        <f t="shared" si="258"/>
        <v>18.895944999999998</v>
      </c>
      <c r="BO67" s="1084">
        <f t="shared" si="258"/>
        <v>59.057150000000007</v>
      </c>
      <c r="BP67" s="790"/>
      <c r="BQ67" s="1044">
        <f t="shared" ref="BQ67:BU71" si="259">BQ60+BK60</f>
        <v>6.0715200000000014</v>
      </c>
      <c r="BR67" s="1051">
        <f t="shared" si="259"/>
        <v>13.824699666666664</v>
      </c>
      <c r="BS67" s="1051">
        <f t="shared" si="259"/>
        <v>12.48970299999996</v>
      </c>
      <c r="BT67" s="1051">
        <f t="shared" si="259"/>
        <v>16.170135000000002</v>
      </c>
      <c r="BU67" s="1052">
        <f t="shared" si="259"/>
        <v>49.629311883999904</v>
      </c>
      <c r="BV67" s="790"/>
      <c r="BW67" s="1044">
        <f t="shared" ref="BW67:CA71" si="260">BW60+BQ60</f>
        <v>9.6885609999999982</v>
      </c>
      <c r="BX67" s="1051">
        <f t="shared" si="260"/>
        <v>34.620304999999995</v>
      </c>
      <c r="BY67" s="1051">
        <f t="shared" si="260"/>
        <v>27.649032999999957</v>
      </c>
      <c r="BZ67" s="1051">
        <f t="shared" si="260"/>
        <v>30.683080000000004</v>
      </c>
      <c r="CA67" s="1052">
        <f t="shared" si="260"/>
        <v>109.40463775889145</v>
      </c>
      <c r="CB67" s="790"/>
      <c r="CC67" s="1044">
        <f t="shared" ref="CC67:CG71" si="261">CC60+BW60</f>
        <v>25.099406000000002</v>
      </c>
      <c r="CD67" s="1051">
        <f t="shared" si="261"/>
        <v>49.934597999999994</v>
      </c>
      <c r="CE67" s="1051">
        <f t="shared" si="261"/>
        <v>49.581609999999998</v>
      </c>
      <c r="CF67" s="1051">
        <f t="shared" si="261"/>
        <v>51.469149999999999</v>
      </c>
      <c r="CG67" s="1052">
        <f t="shared" si="261"/>
        <v>177.49636535382561</v>
      </c>
      <c r="CH67" s="790"/>
      <c r="CI67" s="1044">
        <f t="shared" ref="CI67:CM71" si="262">CI60+CC60</f>
        <v>36.886513434558111</v>
      </c>
      <c r="CJ67" s="1051">
        <f t="shared" si="262"/>
        <v>51.589649501792195</v>
      </c>
      <c r="CK67" s="1051">
        <f t="shared" si="262"/>
        <v>53.226777915942158</v>
      </c>
      <c r="CL67" s="1051">
        <f t="shared" si="262"/>
        <v>46.970357515469203</v>
      </c>
      <c r="CM67" s="1052">
        <f t="shared" si="262"/>
        <v>188.75675184669566</v>
      </c>
      <c r="CN67" s="790"/>
      <c r="CO67" s="1044">
        <f t="shared" ref="CO67:CS71" si="263">CO60+CI60</f>
        <v>55.702805330043631</v>
      </c>
      <c r="CP67" s="1051">
        <f t="shared" si="263"/>
        <v>49.228260945339038</v>
      </c>
      <c r="CQ67" s="1051">
        <f t="shared" si="263"/>
        <v>52.587676231802519</v>
      </c>
      <c r="CR67" s="1051">
        <f t="shared" si="263"/>
        <v>60.021185267704439</v>
      </c>
      <c r="CS67" s="1052">
        <f t="shared" si="263"/>
        <v>216.05988277488947</v>
      </c>
      <c r="CT67" s="790"/>
      <c r="CU67" s="1044">
        <f t="shared" ref="CU67:CY71" si="264">CU60+CO60</f>
        <v>74.9407635628869</v>
      </c>
      <c r="CV67" s="1051">
        <f t="shared" si="264"/>
        <v>64.792374126203711</v>
      </c>
      <c r="CW67" s="1051">
        <f t="shared" si="264"/>
        <v>66.027419129909703</v>
      </c>
      <c r="CX67" s="1051">
        <f t="shared" si="264"/>
        <v>83.533402905154844</v>
      </c>
      <c r="CY67" s="1052">
        <f t="shared" si="264"/>
        <v>289.29395972415483</v>
      </c>
      <c r="EL67" s="2051"/>
      <c r="EM67" s="2051"/>
      <c r="EN67" s="2051"/>
      <c r="EO67" s="2051"/>
      <c r="EP67" s="2051"/>
      <c r="EQ67" s="2051"/>
      <c r="ER67" s="2051"/>
      <c r="ES67" s="2051"/>
      <c r="ET67" s="2051"/>
      <c r="EU67" s="2051"/>
    </row>
    <row r="68" spans="1:176" x14ac:dyDescent="0.2">
      <c r="A68" s="303" t="s">
        <v>394</v>
      </c>
      <c r="C68" s="418"/>
      <c r="D68" s="1015"/>
      <c r="E68" s="1015"/>
      <c r="F68" s="1015"/>
      <c r="G68" s="1016"/>
      <c r="H68" s="31"/>
      <c r="I68" s="418"/>
      <c r="J68" s="1015"/>
      <c r="K68" s="1015"/>
      <c r="L68" s="1015"/>
      <c r="M68" s="1016"/>
      <c r="N68" s="31"/>
      <c r="O68" s="418"/>
      <c r="P68" s="1015"/>
      <c r="Q68" s="1015"/>
      <c r="R68" s="1015"/>
      <c r="S68" s="1016"/>
      <c r="T68" s="31"/>
      <c r="U68" s="418"/>
      <c r="V68" s="1015"/>
      <c r="W68" s="1015"/>
      <c r="X68" s="1015"/>
      <c r="Y68" s="1016"/>
      <c r="Z68" s="31"/>
      <c r="AA68" s="1045">
        <f t="shared" si="253"/>
        <v>0</v>
      </c>
      <c r="AB68" s="1046">
        <f t="shared" si="253"/>
        <v>0</v>
      </c>
      <c r="AC68" s="1046">
        <f t="shared" si="253"/>
        <v>0</v>
      </c>
      <c r="AD68" s="1046">
        <f t="shared" si="253"/>
        <v>0</v>
      </c>
      <c r="AE68" s="1047">
        <f t="shared" si="253"/>
        <v>0</v>
      </c>
      <c r="AF68" s="31"/>
      <c r="AG68" s="1045">
        <f t="shared" ref="AG68:AK71" si="265">AG61+AA61</f>
        <v>0</v>
      </c>
      <c r="AH68" s="1046">
        <f t="shared" si="265"/>
        <v>0</v>
      </c>
      <c r="AI68" s="1046">
        <f t="shared" si="265"/>
        <v>0</v>
      </c>
      <c r="AJ68" s="1046">
        <f t="shared" si="265"/>
        <v>0</v>
      </c>
      <c r="AK68" s="1047">
        <f t="shared" si="265"/>
        <v>0</v>
      </c>
      <c r="AL68" s="31"/>
      <c r="AM68" s="1045">
        <f t="shared" si="254"/>
        <v>15.244377</v>
      </c>
      <c r="AN68" s="1046">
        <f t="shared" si="254"/>
        <v>13.832985599999997</v>
      </c>
      <c r="AO68" s="1046">
        <f t="shared" si="254"/>
        <v>11.684654999999999</v>
      </c>
      <c r="AP68" s="1046">
        <f t="shared" si="254"/>
        <v>9.5106333000000038</v>
      </c>
      <c r="AQ68" s="1047">
        <f t="shared" si="254"/>
        <v>38.607980000000005</v>
      </c>
      <c r="AR68" s="31"/>
      <c r="AS68" s="1045">
        <f t="shared" si="255"/>
        <v>12.865100999999999</v>
      </c>
      <c r="AT68" s="1046">
        <f t="shared" si="255"/>
        <v>16.302534799999997</v>
      </c>
      <c r="AU68" s="1046">
        <f t="shared" si="255"/>
        <v>-3.4931580000000029</v>
      </c>
      <c r="AV68" s="1046">
        <f t="shared" si="255"/>
        <v>35.850993300000006</v>
      </c>
      <c r="AW68" s="1047">
        <f t="shared" si="255"/>
        <v>51.622502400000009</v>
      </c>
      <c r="AX68" s="31"/>
      <c r="AY68" s="1045">
        <f t="shared" si="256"/>
        <v>6.8916457999999947</v>
      </c>
      <c r="AZ68" s="1046">
        <f t="shared" si="256"/>
        <v>11.118459200000004</v>
      </c>
      <c r="BA68" s="1046">
        <f t="shared" si="256"/>
        <v>0.58025199999999799</v>
      </c>
      <c r="BB68" s="1046">
        <f t="shared" si="256"/>
        <v>32.197960000000002</v>
      </c>
      <c r="BC68" s="1047">
        <f t="shared" si="256"/>
        <v>51.536223800000002</v>
      </c>
      <c r="BD68" s="31"/>
      <c r="BE68" s="1045">
        <f t="shared" si="257"/>
        <v>20.742453199999996</v>
      </c>
      <c r="BF68" s="1046">
        <f t="shared" si="257"/>
        <v>14.547399600000002</v>
      </c>
      <c r="BG68" s="1046">
        <f t="shared" si="257"/>
        <v>30.305726</v>
      </c>
      <c r="BH68" s="1046">
        <f t="shared" si="257"/>
        <v>10.838499200000001</v>
      </c>
      <c r="BI68" s="1047">
        <f t="shared" si="257"/>
        <v>77.006233500000008</v>
      </c>
      <c r="BJ68" s="31"/>
      <c r="BK68" s="1045">
        <f t="shared" si="258"/>
        <v>12.464411400000001</v>
      </c>
      <c r="BL68" s="1046">
        <f t="shared" si="258"/>
        <v>18.189340000000001</v>
      </c>
      <c r="BM68" s="1046">
        <f t="shared" si="258"/>
        <v>24.4562776</v>
      </c>
      <c r="BN68" s="213">
        <f t="shared" si="258"/>
        <v>10.528449699999999</v>
      </c>
      <c r="BO68" s="1085">
        <f t="shared" si="258"/>
        <v>64.122705700000012</v>
      </c>
      <c r="BP68" s="31"/>
      <c r="BQ68" s="1045">
        <f t="shared" si="259"/>
        <v>1.81705385</v>
      </c>
      <c r="BR68" s="1046">
        <f t="shared" si="259"/>
        <v>15.994262258500001</v>
      </c>
      <c r="BS68" s="1046">
        <f t="shared" si="259"/>
        <v>3.4052074000000001</v>
      </c>
      <c r="BT68" s="1046">
        <f t="shared" si="259"/>
        <v>3.9935005000000001</v>
      </c>
      <c r="BU68" s="1047">
        <f t="shared" si="259"/>
        <v>22.108300108500003</v>
      </c>
      <c r="BV68" s="31"/>
      <c r="BW68" s="1045">
        <f t="shared" si="260"/>
        <v>3.0945142499999996</v>
      </c>
      <c r="BX68" s="1046">
        <f t="shared" si="260"/>
        <v>9.7730758585000004</v>
      </c>
      <c r="BY68" s="1046">
        <f t="shared" si="260"/>
        <v>6.282328399999999</v>
      </c>
      <c r="BZ68" s="1046">
        <f t="shared" si="260"/>
        <v>16.020225</v>
      </c>
      <c r="CA68" s="1047">
        <f t="shared" si="260"/>
        <v>35.170143508500004</v>
      </c>
      <c r="CB68" s="31"/>
      <c r="CC68" s="1045">
        <f t="shared" si="261"/>
        <v>5.7669980000000001</v>
      </c>
      <c r="CD68" s="1046">
        <f t="shared" si="261"/>
        <v>17.090305704639899</v>
      </c>
      <c r="CE68" s="1046">
        <f t="shared" si="261"/>
        <v>28.026562599999998</v>
      </c>
      <c r="CF68" s="1046">
        <f t="shared" si="261"/>
        <v>24.904575000000001</v>
      </c>
      <c r="CG68" s="1047">
        <f t="shared" si="261"/>
        <v>75.788441304639903</v>
      </c>
      <c r="CH68" s="31"/>
      <c r="CI68" s="1045">
        <f t="shared" si="262"/>
        <v>16.170007114558093</v>
      </c>
      <c r="CJ68" s="1046">
        <f t="shared" si="262"/>
        <v>27.369502406432087</v>
      </c>
      <c r="CK68" s="1046">
        <f t="shared" si="262"/>
        <v>31.751128915942218</v>
      </c>
      <c r="CL68" s="1046">
        <f t="shared" si="262"/>
        <v>20.002153555469217</v>
      </c>
      <c r="CM68" s="1047">
        <f t="shared" si="262"/>
        <v>95.292791992401618</v>
      </c>
      <c r="CN68" s="31"/>
      <c r="CO68" s="1045">
        <f t="shared" si="263"/>
        <v>37.520800480243636</v>
      </c>
      <c r="CP68" s="1046">
        <f t="shared" si="263"/>
        <v>28.347561671439067</v>
      </c>
      <c r="CQ68" s="1046">
        <f t="shared" si="263"/>
        <v>29.87322599180256</v>
      </c>
      <c r="CR68" s="1046">
        <f t="shared" si="263"/>
        <v>39.140914261704424</v>
      </c>
      <c r="CS68" s="1047">
        <f t="shared" si="263"/>
        <v>134.88250240518971</v>
      </c>
      <c r="CT68" s="31"/>
      <c r="CU68" s="1045">
        <f t="shared" si="264"/>
        <v>55.811973904578863</v>
      </c>
      <c r="CV68" s="1046">
        <f t="shared" si="264"/>
        <v>43.402850804221742</v>
      </c>
      <c r="CW68" s="1046">
        <f t="shared" si="264"/>
        <v>44.374383772709614</v>
      </c>
      <c r="CX68" s="1046">
        <f t="shared" si="264"/>
        <v>60.173897829994772</v>
      </c>
      <c r="CY68" s="1047">
        <f t="shared" si="264"/>
        <v>203.763106311505</v>
      </c>
      <c r="EL68" s="2051"/>
      <c r="EM68" s="2051"/>
      <c r="EN68" s="2051"/>
      <c r="EO68" s="2051"/>
      <c r="EP68" s="2051"/>
      <c r="EQ68" s="2051"/>
      <c r="ER68" s="2051"/>
      <c r="ES68" s="2051"/>
      <c r="ET68" s="2051"/>
      <c r="EU68" s="2051"/>
    </row>
    <row r="69" spans="1:176" x14ac:dyDescent="0.2">
      <c r="A69" s="303" t="s">
        <v>190</v>
      </c>
      <c r="C69" s="418"/>
      <c r="D69" s="1015"/>
      <c r="E69" s="1015"/>
      <c r="F69" s="1015"/>
      <c r="G69" s="1016"/>
      <c r="H69" s="31"/>
      <c r="I69" s="418"/>
      <c r="J69" s="1015"/>
      <c r="K69" s="1015"/>
      <c r="L69" s="1015"/>
      <c r="M69" s="1016"/>
      <c r="N69" s="31"/>
      <c r="O69" s="418"/>
      <c r="P69" s="1015"/>
      <c r="Q69" s="1015"/>
      <c r="R69" s="1015"/>
      <c r="S69" s="1016"/>
      <c r="T69" s="31"/>
      <c r="U69" s="418"/>
      <c r="V69" s="1015"/>
      <c r="W69" s="1015"/>
      <c r="X69" s="1015"/>
      <c r="Y69" s="1016"/>
      <c r="Z69" s="31"/>
      <c r="AA69" s="1045">
        <f t="shared" si="253"/>
        <v>0</v>
      </c>
      <c r="AB69" s="1046">
        <f t="shared" si="253"/>
        <v>0</v>
      </c>
      <c r="AC69" s="1046">
        <f t="shared" si="253"/>
        <v>0</v>
      </c>
      <c r="AD69" s="1046">
        <f t="shared" si="253"/>
        <v>0</v>
      </c>
      <c r="AE69" s="1047">
        <f t="shared" si="253"/>
        <v>0</v>
      </c>
      <c r="AF69" s="31"/>
      <c r="AG69" s="1045">
        <f t="shared" si="265"/>
        <v>0</v>
      </c>
      <c r="AH69" s="1046">
        <f t="shared" si="265"/>
        <v>0</v>
      </c>
      <c r="AI69" s="1046">
        <f t="shared" si="265"/>
        <v>0</v>
      </c>
      <c r="AJ69" s="1046">
        <f t="shared" si="265"/>
        <v>0</v>
      </c>
      <c r="AK69" s="1047">
        <f t="shared" si="265"/>
        <v>0</v>
      </c>
      <c r="AL69" s="31"/>
      <c r="AM69" s="1045">
        <f t="shared" si="254"/>
        <v>4.3302868000000005</v>
      </c>
      <c r="AN69" s="1046">
        <f t="shared" si="254"/>
        <v>2.1614039999999997</v>
      </c>
      <c r="AO69" s="1046">
        <f t="shared" si="254"/>
        <v>3.1159080000000001</v>
      </c>
      <c r="AP69" s="1046">
        <f t="shared" si="254"/>
        <v>0.86723100000000031</v>
      </c>
      <c r="AQ69" s="1047">
        <f t="shared" si="254"/>
        <v>9.4198245000000007</v>
      </c>
      <c r="AR69" s="31"/>
      <c r="AS69" s="1045">
        <f t="shared" si="255"/>
        <v>1.9245744000000005</v>
      </c>
      <c r="AT69" s="1046">
        <f t="shared" si="255"/>
        <v>2.3453065999999998</v>
      </c>
      <c r="AU69" s="1046">
        <f t="shared" si="255"/>
        <v>3.1159080000000001</v>
      </c>
      <c r="AV69" s="1046">
        <f t="shared" si="255"/>
        <v>3.9563766000000005</v>
      </c>
      <c r="AW69" s="1047">
        <f t="shared" si="255"/>
        <v>10.152423000000001</v>
      </c>
      <c r="AX69" s="31"/>
      <c r="AY69" s="1045">
        <f t="shared" si="256"/>
        <v>1.2411445999999997</v>
      </c>
      <c r="AZ69" s="1046">
        <f t="shared" si="256"/>
        <v>5.7145718000000008</v>
      </c>
      <c r="BA69" s="1046">
        <f t="shared" si="256"/>
        <v>4.2466094999999999</v>
      </c>
      <c r="BB69" s="1046">
        <f t="shared" si="256"/>
        <v>6.8346496000000014</v>
      </c>
      <c r="BC69" s="1047">
        <f t="shared" si="256"/>
        <v>18.165319300000004</v>
      </c>
      <c r="BD69" s="31"/>
      <c r="BE69" s="1045">
        <f t="shared" si="257"/>
        <v>4.6843339999999998</v>
      </c>
      <c r="BF69" s="1046">
        <f t="shared" si="257"/>
        <v>4.5475876000000008</v>
      </c>
      <c r="BG69" s="1046">
        <f t="shared" si="257"/>
        <v>5.7071966999999999</v>
      </c>
      <c r="BH69" s="1046">
        <f t="shared" si="257"/>
        <v>7.869234800000001</v>
      </c>
      <c r="BI69" s="1047">
        <f t="shared" si="257"/>
        <v>23.068337200000002</v>
      </c>
      <c r="BJ69" s="31"/>
      <c r="BK69" s="1045">
        <f t="shared" si="258"/>
        <v>4.0875282000000013</v>
      </c>
      <c r="BL69" s="1046">
        <f t="shared" si="258"/>
        <v>-0.55182240000000027</v>
      </c>
      <c r="BM69" s="1046">
        <f t="shared" si="258"/>
        <v>3.2739288000000002</v>
      </c>
      <c r="BN69" s="213">
        <f t="shared" si="258"/>
        <v>7.8946147999999994</v>
      </c>
      <c r="BO69" s="1085">
        <f t="shared" si="258"/>
        <v>14.616581199999999</v>
      </c>
      <c r="BP69" s="31"/>
      <c r="BQ69" s="1045">
        <f t="shared" si="259"/>
        <v>4.0963861500000007</v>
      </c>
      <c r="BR69" s="1046">
        <f t="shared" si="259"/>
        <v>1.9816305584999998</v>
      </c>
      <c r="BS69" s="1046">
        <f t="shared" si="259"/>
        <v>2.1797751999999999</v>
      </c>
      <c r="BT69" s="1046">
        <f t="shared" si="259"/>
        <v>4.4899370000000003</v>
      </c>
      <c r="BU69" s="1047">
        <f t="shared" si="259"/>
        <v>12.663157708499998</v>
      </c>
      <c r="BV69" s="31"/>
      <c r="BW69" s="1045">
        <f t="shared" si="260"/>
        <v>-1.1941325499999993</v>
      </c>
      <c r="BX69" s="1046">
        <f t="shared" si="260"/>
        <v>2.8729191985</v>
      </c>
      <c r="BY69" s="1046">
        <f t="shared" si="260"/>
        <v>2.1340886500000003</v>
      </c>
      <c r="BZ69" s="1046">
        <f t="shared" si="260"/>
        <v>2.0407405000000001</v>
      </c>
      <c r="CA69" s="1047">
        <f t="shared" si="260"/>
        <v>5.8536157984999999</v>
      </c>
      <c r="CB69" s="31"/>
      <c r="CC69" s="1045">
        <f t="shared" si="261"/>
        <v>2.1722997000000008</v>
      </c>
      <c r="CD69" s="1046">
        <f t="shared" si="261"/>
        <v>4.5574013470071355</v>
      </c>
      <c r="CE69" s="1046">
        <f t="shared" si="261"/>
        <v>6.3399025499999997</v>
      </c>
      <c r="CF69" s="1046">
        <f t="shared" si="261"/>
        <v>4.6203224999999994</v>
      </c>
      <c r="CG69" s="1047">
        <f t="shared" si="261"/>
        <v>17.689926097007138</v>
      </c>
      <c r="CH69" s="31"/>
      <c r="CI69" s="1045">
        <f t="shared" si="262"/>
        <v>5.5596655200000002</v>
      </c>
      <c r="CJ69" s="1046">
        <f t="shared" si="262"/>
        <v>6.5561105070071353</v>
      </c>
      <c r="CK69" s="1046">
        <f t="shared" si="262"/>
        <v>7.0975394999999999</v>
      </c>
      <c r="CL69" s="1046">
        <f t="shared" si="262"/>
        <v>7.6668780000000005</v>
      </c>
      <c r="CM69" s="1047">
        <f t="shared" si="262"/>
        <v>26.880193527007137</v>
      </c>
      <c r="CN69" s="31"/>
      <c r="CO69" s="1045">
        <f t="shared" si="263"/>
        <v>3.9596664498000003</v>
      </c>
      <c r="CP69" s="1046">
        <f t="shared" si="263"/>
        <v>6.7438123384999997</v>
      </c>
      <c r="CQ69" s="1046">
        <f t="shared" si="263"/>
        <v>6.0805423800000007</v>
      </c>
      <c r="CR69" s="1046">
        <f t="shared" si="263"/>
        <v>8.4068822099999991</v>
      </c>
      <c r="CS69" s="1047">
        <f t="shared" si="263"/>
        <v>25.1909033783</v>
      </c>
      <c r="CT69" s="31"/>
      <c r="CU69" s="1045">
        <f t="shared" si="264"/>
        <v>4.856712970788001</v>
      </c>
      <c r="CV69" s="1046">
        <f t="shared" si="264"/>
        <v>5.9096122178100003</v>
      </c>
      <c r="CW69" s="1046">
        <f t="shared" si="264"/>
        <v>6.138732322800001</v>
      </c>
      <c r="CX69" s="1046">
        <f t="shared" si="264"/>
        <v>6.9733837025999996</v>
      </c>
      <c r="CY69" s="1047">
        <f t="shared" si="264"/>
        <v>23.878441213998002</v>
      </c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L69" s="222"/>
      <c r="EM69" s="222"/>
      <c r="EN69" s="222"/>
      <c r="EO69" s="222"/>
      <c r="EP69" s="222"/>
      <c r="EQ69" s="222"/>
      <c r="ER69" s="222"/>
      <c r="ES69" s="222"/>
      <c r="ET69" s="222"/>
      <c r="EU69" s="222"/>
    </row>
    <row r="70" spans="1:176" x14ac:dyDescent="0.2">
      <c r="A70" s="303" t="s">
        <v>404</v>
      </c>
      <c r="C70" s="418"/>
      <c r="D70" s="1015"/>
      <c r="E70" s="1015"/>
      <c r="F70" s="1015"/>
      <c r="G70" s="1016"/>
      <c r="H70" s="31"/>
      <c r="I70" s="418"/>
      <c r="J70" s="1015"/>
      <c r="K70" s="1015"/>
      <c r="L70" s="1015"/>
      <c r="M70" s="1016"/>
      <c r="N70" s="31"/>
      <c r="O70" s="418"/>
      <c r="P70" s="1015"/>
      <c r="Q70" s="1015"/>
      <c r="R70" s="1015"/>
      <c r="S70" s="1016"/>
      <c r="T70" s="31"/>
      <c r="U70" s="418"/>
      <c r="V70" s="1015"/>
      <c r="W70" s="1015"/>
      <c r="X70" s="1015"/>
      <c r="Y70" s="1016"/>
      <c r="Z70" s="31"/>
      <c r="AA70" s="1045">
        <f t="shared" si="253"/>
        <v>0</v>
      </c>
      <c r="AB70" s="1046">
        <f t="shared" si="253"/>
        <v>0</v>
      </c>
      <c r="AC70" s="1046">
        <f t="shared" si="253"/>
        <v>0</v>
      </c>
      <c r="AD70" s="1046">
        <f t="shared" si="253"/>
        <v>0</v>
      </c>
      <c r="AE70" s="1047">
        <f t="shared" si="253"/>
        <v>0</v>
      </c>
      <c r="AF70" s="31"/>
      <c r="AG70" s="1045">
        <f t="shared" si="265"/>
        <v>0</v>
      </c>
      <c r="AH70" s="1046">
        <f t="shared" si="265"/>
        <v>0</v>
      </c>
      <c r="AI70" s="1046">
        <f t="shared" si="265"/>
        <v>0</v>
      </c>
      <c r="AJ70" s="1046">
        <f t="shared" si="265"/>
        <v>0</v>
      </c>
      <c r="AK70" s="1047">
        <f t="shared" si="265"/>
        <v>0</v>
      </c>
      <c r="AL70" s="31"/>
      <c r="AM70" s="1045">
        <f t="shared" si="254"/>
        <v>5.7442580000000003</v>
      </c>
      <c r="AN70" s="1046">
        <f t="shared" si="254"/>
        <v>5.4595463999999998</v>
      </c>
      <c r="AO70" s="1046">
        <f t="shared" si="254"/>
        <v>4.9075550999999997</v>
      </c>
      <c r="AP70" s="1046">
        <f t="shared" si="254"/>
        <v>6.6776787000000022</v>
      </c>
      <c r="AQ70" s="1047">
        <f t="shared" si="254"/>
        <v>12.543203999999999</v>
      </c>
      <c r="AR70" s="31"/>
      <c r="AS70" s="1045">
        <f t="shared" si="255"/>
        <v>6.8545867999999999</v>
      </c>
      <c r="AT70" s="1046">
        <f t="shared" si="255"/>
        <v>5.4595463999999998</v>
      </c>
      <c r="AU70" s="1046">
        <f t="shared" si="255"/>
        <v>4.9638470999999997</v>
      </c>
      <c r="AV70" s="1046">
        <f t="shared" si="255"/>
        <v>6.2660643000000018</v>
      </c>
      <c r="AW70" s="1047">
        <f t="shared" si="255"/>
        <v>13.220520799999999</v>
      </c>
      <c r="AX70" s="31"/>
      <c r="AY70" s="1045">
        <f t="shared" si="256"/>
        <v>1.0575179999999993</v>
      </c>
      <c r="AZ70" s="1046">
        <f t="shared" si="256"/>
        <v>-3.0011940000000008</v>
      </c>
      <c r="BA70" s="1046">
        <f t="shared" si="256"/>
        <v>1.8762674999999998</v>
      </c>
      <c r="BB70" s="1046">
        <f t="shared" si="256"/>
        <v>0.22378360000000003</v>
      </c>
      <c r="BC70" s="1047">
        <f t="shared" si="256"/>
        <v>-0.71890310000000035</v>
      </c>
      <c r="BD70" s="31"/>
      <c r="BE70" s="1045">
        <f t="shared" si="257"/>
        <v>-2.4241868000000011</v>
      </c>
      <c r="BF70" s="1046">
        <f t="shared" si="257"/>
        <v>-0.89349000000000078</v>
      </c>
      <c r="BG70" s="1046">
        <f t="shared" si="257"/>
        <v>0.11067280000000035</v>
      </c>
      <c r="BH70" s="1046">
        <f t="shared" si="257"/>
        <v>0.96420119999999931</v>
      </c>
      <c r="BI70" s="1047">
        <f t="shared" si="257"/>
        <v>-1.9999398000000022</v>
      </c>
      <c r="BJ70" s="31"/>
      <c r="BK70" s="1045">
        <f t="shared" si="258"/>
        <v>-1.0623815999999999</v>
      </c>
      <c r="BL70" s="1046">
        <f t="shared" si="258"/>
        <v>1.451454</v>
      </c>
      <c r="BM70" s="1046">
        <f t="shared" si="258"/>
        <v>0.7516609000000003</v>
      </c>
      <c r="BN70" s="213">
        <f t="shared" si="258"/>
        <v>0.98145619999999911</v>
      </c>
      <c r="BO70" s="1085">
        <f t="shared" si="258"/>
        <v>3.0189941999999976</v>
      </c>
      <c r="BP70" s="31"/>
      <c r="BQ70" s="1045">
        <f t="shared" si="259"/>
        <v>1.7840579500000002</v>
      </c>
      <c r="BR70" s="1046">
        <f t="shared" si="259"/>
        <v>2.3846878585000004</v>
      </c>
      <c r="BS70" s="1046">
        <f t="shared" si="259"/>
        <v>5.0499934</v>
      </c>
      <c r="BT70" s="1046">
        <f t="shared" si="259"/>
        <v>2.9953509999999999</v>
      </c>
      <c r="BU70" s="1047">
        <f t="shared" si="259"/>
        <v>12.0704433085</v>
      </c>
      <c r="BV70" s="31"/>
      <c r="BW70" s="1045">
        <f t="shared" si="260"/>
        <v>4.0598115500000009</v>
      </c>
      <c r="BX70" s="1046">
        <f t="shared" si="260"/>
        <v>7.5772130584999999</v>
      </c>
      <c r="BY70" s="1046">
        <f t="shared" si="260"/>
        <v>4.3627983000000006</v>
      </c>
      <c r="BZ70" s="1046">
        <f t="shared" si="260"/>
        <v>2.0238230000000006</v>
      </c>
      <c r="CA70" s="1047">
        <f t="shared" si="260"/>
        <v>17.95005878339154</v>
      </c>
      <c r="CB70" s="31"/>
      <c r="CC70" s="1045">
        <f t="shared" si="261"/>
        <v>5.4475152000000007</v>
      </c>
      <c r="CD70" s="1046">
        <f t="shared" si="261"/>
        <v>6.7659804532026477</v>
      </c>
      <c r="CE70" s="1046">
        <f t="shared" si="261"/>
        <v>2.5606185000000012</v>
      </c>
      <c r="CF70" s="1046">
        <f t="shared" si="261"/>
        <v>3.0186679999999995</v>
      </c>
      <c r="CG70" s="1047">
        <f t="shared" si="261"/>
        <v>17.719195028094187</v>
      </c>
      <c r="CH70" s="31"/>
      <c r="CI70" s="1045">
        <f t="shared" si="262"/>
        <v>5.0383190000000004</v>
      </c>
      <c r="CJ70" s="1046">
        <f t="shared" si="262"/>
        <v>6.4459536132026489</v>
      </c>
      <c r="CK70" s="1046">
        <f t="shared" si="262"/>
        <v>7.6740100000000009</v>
      </c>
      <c r="CL70" s="1046">
        <f t="shared" si="262"/>
        <v>9.119508279999998</v>
      </c>
      <c r="CM70" s="1047">
        <f t="shared" si="262"/>
        <v>28.277790893202646</v>
      </c>
      <c r="CN70" s="31"/>
      <c r="CO70" s="1045">
        <f t="shared" si="263"/>
        <v>7.3672801760000013</v>
      </c>
      <c r="CP70" s="1046">
        <f t="shared" si="263"/>
        <v>8.8752027978000001</v>
      </c>
      <c r="CQ70" s="1046">
        <f t="shared" si="263"/>
        <v>11.535993000000001</v>
      </c>
      <c r="CR70" s="1046">
        <f t="shared" si="263"/>
        <v>10.552086635999999</v>
      </c>
      <c r="CS70" s="1047">
        <f t="shared" si="263"/>
        <v>38.330562609799998</v>
      </c>
      <c r="CT70" s="31"/>
      <c r="CU70" s="1045">
        <f t="shared" si="264"/>
        <v>8.6349604545600016</v>
      </c>
      <c r="CV70" s="1046">
        <f t="shared" si="264"/>
        <v>9.5974461418680015</v>
      </c>
      <c r="CW70" s="1046">
        <f t="shared" si="264"/>
        <v>9.5765959800000005</v>
      </c>
      <c r="CX70" s="1046">
        <f t="shared" si="264"/>
        <v>9.8264499933600007</v>
      </c>
      <c r="CY70" s="1047">
        <f t="shared" si="264"/>
        <v>37.635452569788001</v>
      </c>
    </row>
    <row r="71" spans="1:176" x14ac:dyDescent="0.2">
      <c r="A71" s="1013" t="s">
        <v>235</v>
      </c>
      <c r="B71" s="240"/>
      <c r="C71" s="512"/>
      <c r="D71" s="1017"/>
      <c r="E71" s="1017"/>
      <c r="F71" s="1017"/>
      <c r="G71" s="1018"/>
      <c r="H71" s="391"/>
      <c r="I71" s="512"/>
      <c r="J71" s="1017"/>
      <c r="K71" s="1017"/>
      <c r="L71" s="1017"/>
      <c r="M71" s="1018"/>
      <c r="N71" s="391"/>
      <c r="O71" s="512"/>
      <c r="P71" s="1017"/>
      <c r="Q71" s="1017"/>
      <c r="R71" s="1017"/>
      <c r="S71" s="1018"/>
      <c r="T71" s="391"/>
      <c r="U71" s="512"/>
      <c r="V71" s="1017"/>
      <c r="W71" s="1017"/>
      <c r="X71" s="1017"/>
      <c r="Y71" s="1018"/>
      <c r="Z71" s="391"/>
      <c r="AA71" s="1048">
        <f t="shared" si="253"/>
        <v>0</v>
      </c>
      <c r="AB71" s="1049">
        <f t="shared" si="253"/>
        <v>0</v>
      </c>
      <c r="AC71" s="1049">
        <f t="shared" si="253"/>
        <v>0</v>
      </c>
      <c r="AD71" s="1049">
        <f t="shared" si="253"/>
        <v>0</v>
      </c>
      <c r="AE71" s="1050">
        <f t="shared" si="253"/>
        <v>0</v>
      </c>
      <c r="AF71" s="391"/>
      <c r="AG71" s="1048">
        <f t="shared" si="265"/>
        <v>0</v>
      </c>
      <c r="AH71" s="1049">
        <f t="shared" si="265"/>
        <v>0</v>
      </c>
      <c r="AI71" s="1049">
        <f t="shared" si="265"/>
        <v>0</v>
      </c>
      <c r="AJ71" s="1049">
        <f t="shared" si="265"/>
        <v>0</v>
      </c>
      <c r="AK71" s="1050">
        <f t="shared" si="265"/>
        <v>0</v>
      </c>
      <c r="AL71" s="391"/>
      <c r="AM71" s="1048">
        <f t="shared" si="254"/>
        <v>7.1582292000000001</v>
      </c>
      <c r="AN71" s="1049">
        <f t="shared" si="254"/>
        <v>4.2587664000000007</v>
      </c>
      <c r="AO71" s="1049">
        <f t="shared" si="254"/>
        <v>0</v>
      </c>
      <c r="AP71" s="1049">
        <f t="shared" si="254"/>
        <v>3.7580010000000019</v>
      </c>
      <c r="AQ71" s="1050">
        <f t="shared" si="254"/>
        <v>17.876111400000006</v>
      </c>
      <c r="AR71" s="391"/>
      <c r="AS71" s="1048">
        <f t="shared" si="255"/>
        <v>5.7306635999999997</v>
      </c>
      <c r="AT71" s="1049">
        <f t="shared" si="255"/>
        <v>4.8892896000000006</v>
      </c>
      <c r="AU71" s="1049">
        <f t="shared" si="255"/>
        <v>4.4165037000000007</v>
      </c>
      <c r="AV71" s="1049">
        <f t="shared" si="255"/>
        <v>5.9032410000000022</v>
      </c>
      <c r="AW71" s="1050">
        <f t="shared" si="255"/>
        <v>23.256741600000005</v>
      </c>
      <c r="AX71" s="391"/>
      <c r="AY71" s="1048">
        <f t="shared" si="256"/>
        <v>0.87153989999999948</v>
      </c>
      <c r="AZ71" s="1049">
        <f t="shared" si="256"/>
        <v>1.3641834000000002</v>
      </c>
      <c r="BA71" s="1049">
        <f t="shared" si="256"/>
        <v>5.9187057000000003</v>
      </c>
      <c r="BB71" s="1049">
        <f t="shared" si="256"/>
        <v>2.1452400000000003</v>
      </c>
      <c r="BC71" s="1050">
        <f t="shared" si="256"/>
        <v>8.4343679000000016</v>
      </c>
      <c r="BD71" s="391"/>
      <c r="BE71" s="1048">
        <f t="shared" si="257"/>
        <v>-0.78368330000000075</v>
      </c>
      <c r="BF71" s="1049">
        <f t="shared" si="257"/>
        <v>2.5955938000000001</v>
      </c>
      <c r="BG71" s="1049">
        <f t="shared" si="257"/>
        <v>-0.48096079999999986</v>
      </c>
      <c r="BH71" s="1049">
        <f t="shared" si="257"/>
        <v>-0.84940560000000009</v>
      </c>
      <c r="BI71" s="1050">
        <f t="shared" si="257"/>
        <v>-1.7421866999999991</v>
      </c>
      <c r="BJ71" s="391"/>
      <c r="BK71" s="1048">
        <f t="shared" si="258"/>
        <v>1.8708704000000003</v>
      </c>
      <c r="BL71" s="1049">
        <f t="shared" si="258"/>
        <v>-1.7053067999999998</v>
      </c>
      <c r="BM71" s="1049">
        <f t="shared" si="258"/>
        <v>-1.9831627999999999</v>
      </c>
      <c r="BN71" s="1083">
        <f t="shared" si="258"/>
        <v>4.1542673999999993</v>
      </c>
      <c r="BO71" s="1086">
        <f t="shared" si="258"/>
        <v>-0.32185499999999934</v>
      </c>
      <c r="BP71" s="391"/>
      <c r="BQ71" s="1048">
        <f t="shared" si="259"/>
        <v>6.5077909500000004</v>
      </c>
      <c r="BR71" s="1049">
        <f t="shared" si="259"/>
        <v>0.16929515850000021</v>
      </c>
      <c r="BS71" s="1049">
        <f t="shared" si="259"/>
        <v>2.9931381999999997</v>
      </c>
      <c r="BT71" s="1049">
        <f t="shared" si="259"/>
        <v>9.0060970000000005</v>
      </c>
      <c r="BU71" s="1050">
        <f t="shared" si="259"/>
        <v>16.760298908500001</v>
      </c>
      <c r="BV71" s="391"/>
      <c r="BW71" s="1048">
        <f t="shared" si="260"/>
        <v>2.0320981499999999</v>
      </c>
      <c r="BX71" s="1049">
        <f t="shared" si="260"/>
        <v>6.189957638500001</v>
      </c>
      <c r="BY71" s="1049">
        <f t="shared" si="260"/>
        <v>2.9485663500000006</v>
      </c>
      <c r="BZ71" s="1049">
        <f t="shared" si="260"/>
        <v>0.96263650000000167</v>
      </c>
      <c r="CA71" s="1050">
        <f t="shared" si="260"/>
        <v>12.133258638500003</v>
      </c>
      <c r="CB71" s="391"/>
      <c r="CC71" s="1048">
        <f t="shared" si="261"/>
        <v>8.6781500000000678E-2</v>
      </c>
      <c r="CD71" s="1049">
        <f t="shared" si="261"/>
        <v>2.9840098325578199</v>
      </c>
      <c r="CE71" s="1049">
        <f t="shared" si="261"/>
        <v>-2.2094849999998879E-2</v>
      </c>
      <c r="CF71" s="1049">
        <f t="shared" si="261"/>
        <v>-0.40812249999999972</v>
      </c>
      <c r="CG71" s="1050">
        <f t="shared" si="261"/>
        <v>2.6405739825578252</v>
      </c>
      <c r="CH71" s="391"/>
      <c r="CI71" s="1048">
        <f t="shared" si="262"/>
        <v>1.088683900000001</v>
      </c>
      <c r="CJ71" s="1049">
        <f t="shared" si="262"/>
        <v>1.3137051925578191</v>
      </c>
      <c r="CK71" s="1049">
        <f t="shared" si="262"/>
        <v>1.618549</v>
      </c>
      <c r="CL71" s="1049">
        <f t="shared" si="262"/>
        <v>0.78906067999999929</v>
      </c>
      <c r="CM71" s="1050">
        <f t="shared" si="262"/>
        <v>4.8099987725578224</v>
      </c>
      <c r="CN71" s="391"/>
      <c r="CO71" s="1048">
        <f t="shared" si="263"/>
        <v>3.8550582240000013</v>
      </c>
      <c r="CP71" s="1049">
        <f t="shared" si="263"/>
        <v>3.2616841375999992</v>
      </c>
      <c r="CQ71" s="1049">
        <f t="shared" si="263"/>
        <v>4.0979148599999995</v>
      </c>
      <c r="CR71" s="1049">
        <f t="shared" si="263"/>
        <v>0.92130216000000043</v>
      </c>
      <c r="CS71" s="1050">
        <f t="shared" si="263"/>
        <v>12.135959381600001</v>
      </c>
      <c r="CT71" s="391"/>
      <c r="CU71" s="1048">
        <f t="shared" si="264"/>
        <v>5.6371162329600022</v>
      </c>
      <c r="CV71" s="1049">
        <f t="shared" si="264"/>
        <v>5.8824649623039988</v>
      </c>
      <c r="CW71" s="1049">
        <f t="shared" si="264"/>
        <v>5.9377070543999988</v>
      </c>
      <c r="CX71" s="1049">
        <f t="shared" si="264"/>
        <v>6.5596713792000028</v>
      </c>
      <c r="CY71" s="1050">
        <f t="shared" si="264"/>
        <v>24.016959628864004</v>
      </c>
    </row>
    <row r="72" spans="1:176" x14ac:dyDescent="0.2"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</row>
    <row r="73" spans="1:176" x14ac:dyDescent="0.2">
      <c r="A73" s="9" t="s">
        <v>199</v>
      </c>
      <c r="B73" s="9"/>
      <c r="C73" s="388"/>
      <c r="D73" s="387"/>
      <c r="E73" s="387"/>
      <c r="F73" s="387"/>
      <c r="G73" s="389"/>
      <c r="H73" s="387"/>
      <c r="I73" s="388"/>
      <c r="J73" s="387"/>
      <c r="K73" s="387"/>
      <c r="L73" s="387"/>
      <c r="M73" s="389"/>
      <c r="N73" s="387"/>
      <c r="O73" s="388"/>
      <c r="P73" s="387"/>
      <c r="Q73" s="387"/>
      <c r="R73" s="387"/>
      <c r="S73" s="389"/>
      <c r="T73" s="40"/>
      <c r="U73" s="388"/>
      <c r="V73" s="387"/>
      <c r="W73" s="387"/>
      <c r="X73" s="387"/>
      <c r="Y73" s="389"/>
      <c r="Z73" s="387"/>
      <c r="AA73" s="388"/>
      <c r="AB73" s="387"/>
      <c r="AC73" s="387"/>
      <c r="AD73" s="387"/>
      <c r="AE73" s="389"/>
      <c r="AF73" s="387"/>
      <c r="AG73" s="388"/>
      <c r="AH73" s="387"/>
      <c r="AI73" s="387"/>
      <c r="AJ73" s="387"/>
      <c r="AK73" s="389"/>
      <c r="AL73" s="387"/>
      <c r="AM73" s="388"/>
      <c r="AN73" s="387"/>
      <c r="AO73" s="387"/>
      <c r="AP73" s="387"/>
      <c r="AQ73" s="389"/>
      <c r="AR73" s="387"/>
      <c r="AS73" s="388"/>
      <c r="AT73" s="387"/>
      <c r="AU73" s="387"/>
      <c r="AV73" s="387"/>
      <c r="AW73" s="389"/>
      <c r="AX73" s="387"/>
      <c r="AY73" s="388"/>
      <c r="AZ73" s="387"/>
      <c r="BA73" s="387"/>
      <c r="BB73" s="387"/>
      <c r="BC73" s="389"/>
      <c r="BD73" s="387"/>
      <c r="BE73" s="388"/>
      <c r="BF73" s="387"/>
      <c r="BG73" s="387"/>
      <c r="BH73" s="387"/>
      <c r="BI73" s="389"/>
      <c r="BJ73" s="387"/>
      <c r="BK73" s="388"/>
      <c r="BL73" s="387"/>
      <c r="BM73" s="387"/>
      <c r="BN73" s="387"/>
      <c r="BO73" s="389"/>
      <c r="BP73" s="387"/>
      <c r="BQ73" s="388"/>
      <c r="BR73" s="387"/>
      <c r="BS73" s="387"/>
      <c r="BT73" s="387"/>
      <c r="BU73" s="389"/>
      <c r="BV73" s="387"/>
      <c r="BW73" s="388"/>
      <c r="BX73" s="387"/>
      <c r="BY73" s="387"/>
      <c r="BZ73" s="387"/>
      <c r="CA73" s="389"/>
      <c r="CB73" s="387"/>
      <c r="CC73" s="388"/>
      <c r="CD73" s="387"/>
      <c r="CE73" s="387"/>
      <c r="CF73" s="387"/>
      <c r="CG73" s="389"/>
      <c r="CH73" s="387"/>
      <c r="CI73" s="388"/>
      <c r="CJ73" s="387"/>
      <c r="CK73" s="387"/>
      <c r="CL73" s="387"/>
      <c r="CM73" s="389"/>
      <c r="CN73" s="387"/>
      <c r="CO73" s="388"/>
      <c r="CP73" s="387"/>
      <c r="CQ73" s="387"/>
      <c r="CR73" s="387"/>
      <c r="CS73" s="389"/>
      <c r="CT73" s="387"/>
      <c r="CU73" s="388"/>
      <c r="CV73" s="387"/>
      <c r="CW73" s="387"/>
      <c r="CX73" s="387"/>
      <c r="CY73" s="389"/>
    </row>
    <row r="74" spans="1:176" s="2" customFormat="1" x14ac:dyDescent="0.2">
      <c r="A74" s="1041" t="s">
        <v>200</v>
      </c>
      <c r="B74" s="1041"/>
      <c r="C74" s="1024"/>
      <c r="D74" s="1025"/>
      <c r="E74" s="1025"/>
      <c r="F74" s="1025"/>
      <c r="G74" s="1026"/>
      <c r="H74" s="1025"/>
      <c r="I74" s="1024"/>
      <c r="J74" s="1025"/>
      <c r="K74" s="1025"/>
      <c r="L74" s="1025"/>
      <c r="M74" s="1026"/>
      <c r="N74" s="1025"/>
      <c r="O74" s="1024"/>
      <c r="P74" s="1025"/>
      <c r="Q74" s="1025"/>
      <c r="R74" s="1025"/>
      <c r="S74" s="1026"/>
      <c r="T74" s="39"/>
      <c r="U74" s="1024"/>
      <c r="V74" s="1025"/>
      <c r="W74" s="1025"/>
      <c r="X74" s="1025"/>
      <c r="Y74" s="1026"/>
      <c r="Z74" s="1025"/>
      <c r="AA74" s="1024"/>
      <c r="AB74" s="1025"/>
      <c r="AC74" s="1025"/>
      <c r="AD74" s="1025"/>
      <c r="AE74" s="1026"/>
      <c r="AF74" s="1025"/>
      <c r="AG74" s="1024"/>
      <c r="AH74" s="1025"/>
      <c r="AI74" s="1025"/>
      <c r="AJ74" s="1025"/>
      <c r="AK74" s="1026"/>
      <c r="AL74" s="1025"/>
      <c r="AM74" s="1024"/>
      <c r="AN74" s="1025"/>
      <c r="AO74" s="1025"/>
      <c r="AP74" s="1025"/>
      <c r="AQ74" s="1026"/>
      <c r="AR74" s="1025"/>
      <c r="AS74" s="1024"/>
      <c r="AT74" s="1025"/>
      <c r="AU74" s="1025"/>
      <c r="AV74" s="1025"/>
      <c r="AW74" s="1026"/>
      <c r="AX74" s="1025"/>
      <c r="AY74" s="1027"/>
      <c r="AZ74" s="1028"/>
      <c r="BA74" s="1028"/>
      <c r="BB74" s="1028"/>
      <c r="BC74" s="1029"/>
      <c r="BD74" s="1025"/>
      <c r="BE74" s="1027"/>
      <c r="BF74" s="1028"/>
      <c r="BG74" s="1028"/>
      <c r="BH74" s="1028"/>
      <c r="BI74" s="1029"/>
      <c r="BJ74" s="1025"/>
      <c r="BK74" s="1027"/>
      <c r="BL74" s="1028"/>
      <c r="BM74" s="1028"/>
      <c r="BN74" s="1028"/>
      <c r="BO74" s="1029"/>
      <c r="BP74" s="1025"/>
      <c r="BQ74" s="1027"/>
      <c r="BR74" s="1028"/>
      <c r="BS74" s="1028"/>
      <c r="BT74" s="1028"/>
      <c r="BU74" s="1029"/>
      <c r="BV74" s="1025"/>
      <c r="BW74" s="1027"/>
      <c r="BX74" s="1028"/>
      <c r="BY74" s="1028"/>
      <c r="BZ74" s="1028"/>
      <c r="CA74" s="1029"/>
      <c r="CB74" s="1025"/>
      <c r="CC74" s="1027"/>
      <c r="CD74" s="1028"/>
      <c r="CE74" s="1028"/>
      <c r="CF74" s="1028"/>
      <c r="CG74" s="1029"/>
      <c r="CH74" s="1025"/>
      <c r="CI74" s="1027"/>
      <c r="CJ74" s="1028"/>
      <c r="CK74" s="1028"/>
      <c r="CL74" s="1028"/>
      <c r="CM74" s="1029"/>
      <c r="CN74" s="1025"/>
      <c r="CO74" s="1027"/>
      <c r="CP74" s="1028"/>
      <c r="CQ74" s="1028"/>
      <c r="CR74" s="1028"/>
      <c r="CS74" s="1029"/>
      <c r="CT74" s="1025"/>
      <c r="CU74" s="1027"/>
      <c r="CV74" s="1028"/>
      <c r="CW74" s="1028"/>
      <c r="CX74" s="1028"/>
      <c r="CY74" s="1029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48"/>
      <c r="DR74" s="48"/>
      <c r="DS74" s="48"/>
      <c r="DT74" s="48"/>
      <c r="DU74" s="48"/>
      <c r="DV74" s="48"/>
      <c r="DW74" s="48"/>
      <c r="DX74" s="48"/>
      <c r="DY74" s="48"/>
      <c r="DZ74" s="48"/>
      <c r="EA74" s="48"/>
      <c r="EB74" s="48"/>
      <c r="EF74" s="48"/>
      <c r="EG74" s="48"/>
      <c r="EH74" s="48"/>
      <c r="EI74" s="48"/>
      <c r="EJ74" s="48"/>
      <c r="EK74" s="48"/>
      <c r="EL74" s="48"/>
      <c r="EM74" s="48"/>
      <c r="EN74" s="48"/>
      <c r="EO74" s="48"/>
      <c r="EP74" s="48"/>
      <c r="EQ74" s="48"/>
      <c r="ER74" s="48"/>
      <c r="ES74" s="48"/>
      <c r="ET74" s="48"/>
      <c r="EU74" s="48"/>
      <c r="EV74" s="48"/>
      <c r="EW74" s="48"/>
      <c r="EX74" s="48"/>
      <c r="EY74" s="48"/>
      <c r="EZ74" s="48"/>
      <c r="FA74" s="48"/>
      <c r="FB74" s="48"/>
      <c r="FC74" s="48"/>
      <c r="FD74" s="48"/>
      <c r="FE74" s="48"/>
      <c r="FF74" s="48"/>
      <c r="FG74" s="48"/>
      <c r="FH74" s="48"/>
      <c r="FI74" s="48"/>
      <c r="FJ74" s="48"/>
      <c r="FK74" s="48"/>
      <c r="FL74" s="48"/>
      <c r="FM74" s="48"/>
      <c r="FN74" s="48"/>
      <c r="FO74" s="48"/>
      <c r="FP74" s="48"/>
      <c r="FQ74" s="48"/>
      <c r="FR74" s="48"/>
      <c r="FS74" s="48"/>
      <c r="FT74" s="48"/>
    </row>
    <row r="75" spans="1:176" x14ac:dyDescent="0.2">
      <c r="A75" s="1042" t="s">
        <v>204</v>
      </c>
      <c r="B75" s="1042"/>
      <c r="C75" s="1030"/>
      <c r="D75" s="3"/>
      <c r="E75" s="3"/>
      <c r="F75" s="3"/>
      <c r="G75" s="1031"/>
      <c r="H75" s="3"/>
      <c r="I75" s="1032"/>
      <c r="J75" s="1033"/>
      <c r="K75" s="1033"/>
      <c r="L75" s="1033"/>
      <c r="M75" s="1034"/>
      <c r="N75" s="1033"/>
      <c r="O75" s="1032"/>
      <c r="P75" s="1033"/>
      <c r="Q75" s="1033"/>
      <c r="R75" s="1033"/>
      <c r="S75" s="1034"/>
      <c r="U75" s="1032">
        <f>('P&amp;L'!U13+'P&amp;L'!U14)-('P&amp;L'!O13+'P&amp;L'!O14)</f>
        <v>6.7289999999999992</v>
      </c>
      <c r="V75" s="1033">
        <f>('P&amp;L'!V13+'P&amp;L'!V14)-('P&amp;L'!P13+'P&amp;L'!P14)</f>
        <v>3.5279999999999987</v>
      </c>
      <c r="W75" s="1033">
        <f>('P&amp;L'!W13+'P&amp;L'!W14)-('P&amp;L'!Q13+'P&amp;L'!Q14)</f>
        <v>23.376000000000005</v>
      </c>
      <c r="X75" s="1033">
        <f>('P&amp;L'!X13+'P&amp;L'!X14)-('P&amp;L'!R13+'P&amp;L'!R14)</f>
        <v>33.072999999999993</v>
      </c>
      <c r="Y75" s="1034">
        <f>('P&amp;L'!Y13+'P&amp;L'!Y14)-('P&amp;L'!S13+'P&amp;L'!S14)</f>
        <v>66.705999999999989</v>
      </c>
      <c r="Z75" s="3"/>
      <c r="AA75" s="1032">
        <f>('P&amp;L'!AA13+'P&amp;L'!AA14)-('P&amp;L'!U13+'P&amp;L'!U14)</f>
        <v>27.583999999999996</v>
      </c>
      <c r="AB75" s="1033">
        <f>('P&amp;L'!AB13+'P&amp;L'!AB14)-('P&amp;L'!V13+'P&amp;L'!V14)</f>
        <v>31.122</v>
      </c>
      <c r="AC75" s="1033">
        <f>('P&amp;L'!AC13+'P&amp;L'!AC14)-('P&amp;L'!W13+'P&amp;L'!W14)</f>
        <v>10.981999999999999</v>
      </c>
      <c r="AD75" s="1033">
        <f>('P&amp;L'!AD13+'P&amp;L'!AD14)-('P&amp;L'!X13+'P&amp;L'!X14)</f>
        <v>-6.6000000000016712E-2</v>
      </c>
      <c r="AE75" s="1034">
        <f>('P&amp;L'!AE13+'P&amp;L'!AE14)-('P&amp;L'!Y13+'P&amp;L'!Y14)</f>
        <v>69.622000000000014</v>
      </c>
      <c r="AF75" s="1033"/>
      <c r="AG75" s="1032">
        <f>('P&amp;L'!AG13+'P&amp;L'!AG14)-('P&amp;L'!AA13+'P&amp;L'!AA14)</f>
        <v>2.9050000000000011</v>
      </c>
      <c r="AH75" s="1033">
        <f>('P&amp;L'!AH13+'P&amp;L'!AH14)-('P&amp;L'!AB13+'P&amp;L'!AB14)</f>
        <v>0.53700000000000614</v>
      </c>
      <c r="AI75" s="1033">
        <f>('P&amp;L'!AI13+'P&amp;L'!AI14)-('P&amp;L'!AC13+'P&amp;L'!AC14)</f>
        <v>5.125</v>
      </c>
      <c r="AJ75" s="1033">
        <f>('P&amp;L'!AJ13+'P&amp;L'!AJ14)-('P&amp;L'!AD13+'P&amp;L'!AD14)</f>
        <v>15.43600000000005</v>
      </c>
      <c r="AK75" s="1034">
        <f>('P&amp;L'!AK13+'P&amp;L'!AK14)-('P&amp;L'!AE13+'P&amp;L'!AE14)</f>
        <v>24.002999999999986</v>
      </c>
      <c r="AL75" s="1033"/>
      <c r="AM75" s="1032">
        <f>('P&amp;L'!AM13+'P&amp;L'!AM14)-('P&amp;L'!AG13+'P&amp;L'!AG14)</f>
        <v>8.89</v>
      </c>
      <c r="AN75" s="1033">
        <f>('P&amp;L'!AN13+'P&amp;L'!AN14)-('P&amp;L'!AH13+'P&amp;L'!AH14)</f>
        <v>9.3629999999999853</v>
      </c>
      <c r="AO75" s="1033">
        <f>('P&amp;L'!AO13+'P&amp;L'!AO14)-('P&amp;L'!AI13+'P&amp;L'!AI14)</f>
        <v>5.8860000000000099</v>
      </c>
      <c r="AP75" s="1033">
        <f>('P&amp;L'!AP13+'P&amp;L'!AP14)-('P&amp;L'!AJ13+'P&amp;L'!AJ14)</f>
        <v>-3.6930000000000405</v>
      </c>
      <c r="AQ75" s="1034">
        <f>('P&amp;L'!AQ13+'P&amp;L'!AQ14)-('P&amp;L'!AK13+'P&amp;L'!AK14)</f>
        <v>20.446000000000026</v>
      </c>
      <c r="AR75" s="1033"/>
      <c r="AS75" s="1032">
        <f>('P&amp;L'!AS13+'P&amp;L'!AS14)-('P&amp;L'!AM13+'P&amp;L'!AM14)</f>
        <v>3.7349999999999994</v>
      </c>
      <c r="AT75" s="1033">
        <f>('P&amp;L'!AT13+'P&amp;L'!AT14)-('P&amp;L'!AN13+'P&amp;L'!AN14)</f>
        <v>8.777000000000001</v>
      </c>
      <c r="AU75" s="1033">
        <f>('P&amp;L'!AU13+'P&amp;L'!AU14)-('P&amp;L'!AO13+'P&amp;L'!AO14)</f>
        <v>12.822999999999993</v>
      </c>
      <c r="AV75" s="1033">
        <f>('P&amp;L'!AV13+'P&amp;L'!AV14)-('P&amp;L'!AP13+'P&amp;L'!AP14)</f>
        <v>11.611000000000018</v>
      </c>
      <c r="AW75" s="1034">
        <f>('P&amp;L'!AW13+'P&amp;L'!AW14)-('P&amp;L'!AQ13+'P&amp;L'!AQ14)</f>
        <v>36.94599999999997</v>
      </c>
      <c r="AX75" s="1033"/>
      <c r="AY75" s="1032">
        <f>('P&amp;L'!AY13+'P&amp;L'!AY14)-('P&amp;L'!AS13+'P&amp;L'!AS14)</f>
        <v>13.176000000000002</v>
      </c>
      <c r="AZ75" s="1033">
        <f>('P&amp;L'!AZ13+'P&amp;L'!AZ14)-('P&amp;L'!AT13+'P&amp;L'!AT14)</f>
        <v>7.4660000000000082</v>
      </c>
      <c r="BA75" s="1033">
        <f>('P&amp;L'!BA13+'P&amp;L'!BA14)-('P&amp;L'!AU13+'P&amp;L'!AU14)</f>
        <v>4.5609999999999928</v>
      </c>
      <c r="BB75" s="1033">
        <f>('P&amp;L'!BB13+'P&amp;L'!BB14)-('P&amp;L'!AV13+'P&amp;L'!AV14)</f>
        <v>10.574999999999989</v>
      </c>
      <c r="BC75" s="1034">
        <f>('P&amp;L'!BC13+'P&amp;L'!BC14)-('P&amp;L'!AW13+'P&amp;L'!AW14)</f>
        <v>35.77800000000002</v>
      </c>
      <c r="BD75" s="1033"/>
      <c r="BE75" s="1032">
        <f>('P&amp;L'!BE13+'P&amp;L'!BE14)-('P&amp;L'!AY13+'P&amp;L'!AY14)</f>
        <v>5.652000000000001</v>
      </c>
      <c r="BF75" s="1033">
        <f>('P&amp;L'!BF13+'P&amp;L'!BF14)-('P&amp;L'!AZ13+'P&amp;L'!AZ14)</f>
        <v>4.2920000000000016</v>
      </c>
      <c r="BG75" s="1033">
        <f>('P&amp;L'!BG13+'P&amp;L'!BG14)-('P&amp;L'!BA13+'P&amp;L'!BA14)</f>
        <v>6.6440000000000055</v>
      </c>
      <c r="BH75" s="1033">
        <f>('P&amp;L'!BH13+'P&amp;L'!BH14)-('P&amp;L'!BB13+'P&amp;L'!BB14)</f>
        <v>2.9910000000000139</v>
      </c>
      <c r="BI75" s="1034">
        <f>('P&amp;L'!BI13+'P&amp;L'!BI14)-('P&amp;L'!BC13+'P&amp;L'!BC14)</f>
        <v>19.579000000000008</v>
      </c>
      <c r="BJ75" s="1033"/>
      <c r="BK75" s="1032">
        <f>('P&amp;L'!BK13+'P&amp;L'!BK14)-('P&amp;L'!BE13+'P&amp;L'!BE14)</f>
        <v>8.125</v>
      </c>
      <c r="BL75" s="1033">
        <f>('P&amp;L'!BL13+'P&amp;L'!BL14)-('P&amp;L'!BF13+'P&amp;L'!BF14)</f>
        <v>11.492999999999995</v>
      </c>
      <c r="BM75" s="1033">
        <f>('P&amp;L'!BM13+'P&amp;L'!BM14)-('P&amp;L'!BG13+'P&amp;L'!BG14)</f>
        <v>7.2879999999999967</v>
      </c>
      <c r="BN75" s="1033">
        <f>('P&amp;L'!BN13+'P&amp;L'!BN14)-('P&amp;L'!BH13+'P&amp;L'!BH14)</f>
        <v>14.422000000000011</v>
      </c>
      <c r="BO75" s="1034">
        <f>('P&amp;L'!BO13+'P&amp;L'!BO14)-('P&amp;L'!BI13+'P&amp;L'!BI14)</f>
        <v>41.327999999999975</v>
      </c>
      <c r="BP75" s="1033"/>
      <c r="BQ75" s="1032">
        <f>('P&amp;L'!BQ13+'P&amp;L'!BQ14)-('P&amp;L'!BK13+'P&amp;L'!BK14)</f>
        <v>-2.2859999999999872</v>
      </c>
      <c r="BR75" s="1033">
        <f>('P&amp;L'!BR13+'P&amp;L'!BR14)-('P&amp;L'!BL13+'P&amp;L'!BL14)</f>
        <v>-4.5099999999999909</v>
      </c>
      <c r="BS75" s="1033">
        <f>('P&amp;L'!BS13+'P&amp;L'!BS14)-('P&amp;L'!BM13+'P&amp;L'!BM14)</f>
        <v>-9.2199999999999989</v>
      </c>
      <c r="BT75" s="1033">
        <f>('P&amp;L'!BT13+'P&amp;L'!BT14)-('P&amp;L'!BN13+'P&amp;L'!BN14)</f>
        <v>-12.371000000000009</v>
      </c>
      <c r="BU75" s="1034">
        <f>('P&amp;L'!BU13+'P&amp;L'!BU14)-('P&amp;L'!BO13+'P&amp;L'!BO14)</f>
        <v>-28.387</v>
      </c>
      <c r="BV75" s="1033"/>
      <c r="BW75" s="1032">
        <f>('P&amp;L'!BW13+'P&amp;L'!BW14)-('P&amp;L'!BQ13+'P&amp;L'!BQ14)</f>
        <v>0.85199999999998965</v>
      </c>
      <c r="BX75" s="1033">
        <f>('P&amp;L'!BX13+'P&amp;L'!BX14)-('P&amp;L'!BR13+'P&amp;L'!BR14)</f>
        <v>9.7639999999999958</v>
      </c>
      <c r="BY75" s="1033">
        <f>('P&amp;L'!BY13+'P&amp;L'!BY14)-('P&amp;L'!BS13+'P&amp;L'!BS14)</f>
        <v>9.9429999999999978</v>
      </c>
      <c r="BZ75" s="1033">
        <f>('P&amp;L'!BZ13+'P&amp;L'!BZ14)-('P&amp;L'!BT13+'P&amp;L'!BT14)</f>
        <v>1.8063333333333276</v>
      </c>
      <c r="CA75" s="1034">
        <f>('P&amp;L'!CA13+'P&amp;L'!CA14)-('P&amp;L'!BU13+'P&amp;L'!BU14)</f>
        <v>22.365333333333297</v>
      </c>
      <c r="CB75" s="1033"/>
      <c r="CC75" s="1032">
        <f>('P&amp;L'!CC13+'P&amp;L'!CC14)-('P&amp;L'!BW13+'P&amp;L'!BW14)</f>
        <v>2.6559999999999917</v>
      </c>
      <c r="CD75" s="1033">
        <f>('P&amp;L'!CD13+'P&amp;L'!CD14)-('P&amp;L'!BX13+'P&amp;L'!BX14)</f>
        <v>-3.0079999999999956</v>
      </c>
      <c r="CE75" s="1033">
        <f>('P&amp;L'!CE13+'P&amp;L'!CE14)-('P&amp;L'!BY13+'P&amp;L'!BY14)</f>
        <v>3.9400000000000119</v>
      </c>
      <c r="CF75" s="1033">
        <f>('P&amp;L'!CF13+'P&amp;L'!CF14)-('P&amp;L'!BZ13+'P&amp;L'!BZ14)</f>
        <v>-0.59233333333332894</v>
      </c>
      <c r="CG75" s="1034">
        <f>('P&amp;L'!CG13+'P&amp;L'!CG14)-('P&amp;L'!CA13+'P&amp;L'!CA14)</f>
        <v>2.9956666666666933</v>
      </c>
      <c r="CH75" s="1033"/>
      <c r="CI75" s="1032">
        <f>('P&amp;L'!CI13+'P&amp;L'!CI14)-('P&amp;L'!CC13+'P&amp;L'!CC14)</f>
        <v>8.2345492729723588</v>
      </c>
      <c r="CJ75" s="1033">
        <f>('P&amp;L'!CJ13+'P&amp;L'!CJ14)-('P&amp;L'!CD13+'P&amp;L'!CD14)</f>
        <v>13.120495412271538</v>
      </c>
      <c r="CK75" s="1033">
        <f>('P&amp;L'!CK13+'P&amp;L'!CK14)-('P&amp;L'!CE13+'P&amp;L'!CE14)</f>
        <v>10.786818925405228</v>
      </c>
      <c r="CL75" s="1033">
        <f>('P&amp;L'!CL13+'P&amp;L'!CL14)-('P&amp;L'!CF13+'P&amp;L'!CF14)</f>
        <v>9.8665342757113024</v>
      </c>
      <c r="CM75" s="1034">
        <f>('P&amp;L'!CM13+'P&amp;L'!CM14)-('P&amp;L'!CG13+'P&amp;L'!CG14)</f>
        <v>42.008397886360456</v>
      </c>
      <c r="CN75" s="1033"/>
      <c r="CO75" s="1032">
        <f>('P&amp;L'!CO13+'P&amp;L'!CO14)-('P&amp;L'!CI13+'P&amp;L'!CI14)</f>
        <v>11.587381542164522</v>
      </c>
      <c r="CP75" s="1033">
        <f>('P&amp;L'!CP13+'P&amp;L'!CP14)-('P&amp;L'!CJ13+'P&amp;L'!CJ14)</f>
        <v>7.6415878567856623</v>
      </c>
      <c r="CQ75" s="1033">
        <f>('P&amp;L'!CQ13+'P&amp;L'!CQ14)-('P&amp;L'!CK13+'P&amp;L'!CK14)</f>
        <v>5.5112773596639215</v>
      </c>
      <c r="CR75" s="1033">
        <f>('P&amp;L'!CR13+'P&amp;L'!CR14)-('P&amp;L'!CL13+'P&amp;L'!CL14)</f>
        <v>8.6927740966783631</v>
      </c>
      <c r="CS75" s="1034">
        <f>('P&amp;L'!CS13+'P&amp;L'!CS14)-('P&amp;L'!CM13+'P&amp;L'!CM14)</f>
        <v>33.433020855292511</v>
      </c>
      <c r="CT75" s="1033"/>
      <c r="CU75" s="1032">
        <f>('P&amp;L'!CU13+'P&amp;L'!CU14)-('P&amp;L'!CO13+'P&amp;L'!CO14)</f>
        <v>12.612441033086895</v>
      </c>
      <c r="CV75" s="1033">
        <f>('P&amp;L'!CV13+'P&amp;L'!CV14)-('P&amp;L'!CP13+'P&amp;L'!CP14)</f>
        <v>12.021196635650824</v>
      </c>
      <c r="CW75" s="1033">
        <f>('P&amp;L'!CW13+'P&amp;L'!CW14)-('P&amp;L'!CQ13+'P&amp;L'!CQ14)</f>
        <v>11.559699782227369</v>
      </c>
      <c r="CX75" s="1033">
        <f>('P&amp;L'!CX13+'P&amp;L'!CX14)-('P&amp;L'!CR13+'P&amp;L'!CR14)</f>
        <v>10.917940044132735</v>
      </c>
      <c r="CY75" s="1034">
        <f>('P&amp;L'!CY13+'P&amp;L'!CY14)-('P&amp;L'!CS13+'P&amp;L'!CS14)</f>
        <v>47.111277495097738</v>
      </c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</row>
    <row r="76" spans="1:176" x14ac:dyDescent="0.2">
      <c r="A76" s="1042" t="s">
        <v>247</v>
      </c>
      <c r="B76" s="1042"/>
      <c r="C76" s="1030"/>
      <c r="D76" s="3"/>
      <c r="E76" s="3"/>
      <c r="F76" s="3"/>
      <c r="G76" s="1031"/>
      <c r="H76" s="3"/>
      <c r="I76" s="1032"/>
      <c r="J76" s="1033"/>
      <c r="K76" s="1033"/>
      <c r="L76" s="1033"/>
      <c r="M76" s="1034"/>
      <c r="N76" s="1033"/>
      <c r="O76" s="1032"/>
      <c r="P76" s="1033"/>
      <c r="Q76" s="1033"/>
      <c r="R76" s="1033"/>
      <c r="S76" s="1034"/>
      <c r="U76" s="1032">
        <f>'P&amp;L'!U12-'P&amp;L'!O12</f>
        <v>1.343</v>
      </c>
      <c r="V76" s="1033">
        <f>'P&amp;L'!V12-'P&amp;L'!P12</f>
        <v>2.4550000000000001</v>
      </c>
      <c r="W76" s="1033">
        <f>'P&amp;L'!W12-'P&amp;L'!Q12</f>
        <v>7.745000000000001</v>
      </c>
      <c r="X76" s="1033">
        <f>'P&amp;L'!X12-'P&amp;L'!R12</f>
        <v>11.832000000000001</v>
      </c>
      <c r="Y76" s="1034">
        <f>'P&amp;L'!Y12-'P&amp;L'!S12</f>
        <v>23.375</v>
      </c>
      <c r="Z76" s="3"/>
      <c r="AA76" s="1032">
        <f>'P&amp;L'!AA12-'P&amp;L'!U12</f>
        <v>9.8379999999999992</v>
      </c>
      <c r="AB76" s="1033">
        <f>'P&amp;L'!AB12-'P&amp;L'!V12</f>
        <v>11.15</v>
      </c>
      <c r="AC76" s="1033">
        <f>'P&amp;L'!AC12-'P&amp;L'!W12</f>
        <v>6.2029999999999994</v>
      </c>
      <c r="AD76" s="1033">
        <f>'P&amp;L'!AD12-'P&amp;L'!X12</f>
        <v>5.2049999999999912</v>
      </c>
      <c r="AE76" s="1034">
        <f>'P&amp;L'!AE12-'P&amp;L'!Y12</f>
        <v>32.396000000000001</v>
      </c>
      <c r="AF76" s="1033"/>
      <c r="AG76" s="1032">
        <f>'P&amp;L'!AG12-'P&amp;L'!AA12</f>
        <v>4.2740000000000009</v>
      </c>
      <c r="AH76" s="1033">
        <f>'P&amp;L'!AH12-'P&amp;L'!AB12</f>
        <v>1.1099999999999994</v>
      </c>
      <c r="AI76" s="1033">
        <f>'P&amp;L'!AI12-'P&amp;L'!AC12</f>
        <v>2.6739999999999995</v>
      </c>
      <c r="AJ76" s="1033">
        <f>'P&amp;L'!AJ12-'P&amp;L'!AD12</f>
        <v>2.5110000000000099</v>
      </c>
      <c r="AK76" s="1034">
        <f>'P&amp;L'!AK12-'P&amp;L'!AE12</f>
        <v>10.569000000000003</v>
      </c>
      <c r="AL76" s="1033"/>
      <c r="AM76" s="1032">
        <f>'P&amp;L'!AM12-'P&amp;L'!AG12</f>
        <v>5.9540000000000006</v>
      </c>
      <c r="AN76" s="1033">
        <f>'P&amp;L'!AN12-'P&amp;L'!AH12</f>
        <v>4.472999999999999</v>
      </c>
      <c r="AO76" s="1033">
        <f>'P&amp;L'!AO12-'P&amp;L'!AI12</f>
        <v>4.2330000000000005</v>
      </c>
      <c r="AP76" s="1033">
        <f>'P&amp;L'!AP12-'P&amp;L'!AJ12</f>
        <v>3.480000000000004</v>
      </c>
      <c r="AQ76" s="1034">
        <f>'P&amp;L'!AQ12-'P&amp;L'!AK12</f>
        <v>18.14</v>
      </c>
      <c r="AR76" s="1033"/>
      <c r="AS76" s="1032">
        <f>'P&amp;L'!AS12-'P&amp;L'!AM12</f>
        <v>1.0700000000000003</v>
      </c>
      <c r="AT76" s="1033">
        <f>'P&amp;L'!AT12-'P&amp;L'!AN12</f>
        <v>3.0850000000000044</v>
      </c>
      <c r="AU76" s="1033">
        <f>'P&amp;L'!AU12-'P&amp;L'!AO12</f>
        <v>1.6660000000000004</v>
      </c>
      <c r="AV76" s="1033">
        <f>'P&amp;L'!AV12-'P&amp;L'!AP12</f>
        <v>-1.2250000000000227</v>
      </c>
      <c r="AW76" s="1034">
        <f>'P&amp;L'!AW12-'P&amp;L'!AQ12</f>
        <v>4.5959999999999894</v>
      </c>
      <c r="AX76" s="1033"/>
      <c r="AY76" s="1032">
        <f>'P&amp;L'!AY12-'P&amp;L'!AS12</f>
        <v>-4.0300000000000011</v>
      </c>
      <c r="AZ76" s="1033">
        <f>'P&amp;L'!AZ12-'P&amp;L'!AT12</f>
        <v>-1.887000000000004</v>
      </c>
      <c r="BA76" s="1033">
        <f>'P&amp;L'!BA12-'P&amp;L'!AU12</f>
        <v>-1.6380000000000017</v>
      </c>
      <c r="BB76" s="1033">
        <f>'P&amp;L'!BB12-'P&amp;L'!AV12</f>
        <v>-0.60499999999997556</v>
      </c>
      <c r="BC76" s="1034">
        <f>'P&amp;L'!BC12-'P&amp;L'!AW12</f>
        <v>-8.1599999999999966</v>
      </c>
      <c r="BD76" s="1033"/>
      <c r="BE76" s="1032">
        <f>'P&amp;L'!BE12-'P&amp;L'!AY12</f>
        <v>5.6629999999999967</v>
      </c>
      <c r="BF76" s="1033">
        <f>'P&amp;L'!BF12-'P&amp;L'!AZ12</f>
        <v>3.0180000000000042</v>
      </c>
      <c r="BG76" s="1033">
        <f>'P&amp;L'!BG12-'P&amp;L'!BA12</f>
        <v>3.3320000000000043</v>
      </c>
      <c r="BH76" s="1033">
        <f>'P&amp;L'!BH12-'P&amp;L'!BB12</f>
        <v>11.581999999999994</v>
      </c>
      <c r="BI76" s="1034">
        <f>'P&amp;L'!BI12-'P&amp;L'!BC12</f>
        <v>23.594999999999999</v>
      </c>
      <c r="BJ76" s="1033"/>
      <c r="BK76" s="1032">
        <f>'P&amp;L'!BK12-'P&amp;L'!BE12</f>
        <v>6.0360000000000014</v>
      </c>
      <c r="BL76" s="1033">
        <f>'P&amp;L'!BL12-'P&amp;L'!BF12</f>
        <v>4.269999999999996</v>
      </c>
      <c r="BM76" s="1033">
        <f>'P&amp;L'!BM12-'P&amp;L'!BG12</f>
        <v>7.1209999999999951</v>
      </c>
      <c r="BN76" s="1033">
        <f>'P&amp;L'!BN12-'P&amp;L'!BH12</f>
        <v>0.12800000000000011</v>
      </c>
      <c r="BO76" s="1034">
        <f>'P&amp;L'!BO12-'P&amp;L'!BI12</f>
        <v>17.555000000000007</v>
      </c>
      <c r="BP76" s="1033"/>
      <c r="BQ76" s="1032">
        <f>'P&amp;L'!BQ12-'P&amp;L'!BK12</f>
        <v>-2.0079999999999956</v>
      </c>
      <c r="BR76" s="1033">
        <f>'P&amp;L'!BR12-'P&amp;L'!BL12</f>
        <v>-4.3339999999999961</v>
      </c>
      <c r="BS76" s="1033">
        <f>'P&amp;L'!BS12-'P&amp;L'!BM12</f>
        <v>-5.8930000000000007</v>
      </c>
      <c r="BT76" s="1033">
        <f>'P&amp;L'!BT12-'P&amp;L'!BN12</f>
        <v>-7.0100000000000051</v>
      </c>
      <c r="BU76" s="1034">
        <f>'P&amp;L'!BU12-'P&amp;L'!BO12</f>
        <v>-19.245000000000005</v>
      </c>
      <c r="BV76" s="1033"/>
      <c r="BW76" s="1032">
        <f>'P&amp;L'!BW12-'P&amp;L'!BQ12</f>
        <v>1.4309999999999974</v>
      </c>
      <c r="BX76" s="1033">
        <f>'P&amp;L'!BX12-'P&amp;L'!BR12</f>
        <v>8.5449999999999946</v>
      </c>
      <c r="BY76" s="1033">
        <f>'P&amp;L'!BY12-'P&amp;L'!BS12</f>
        <v>0.63400000000000034</v>
      </c>
      <c r="BZ76" s="1033">
        <f>'P&amp;L'!BZ12-'P&amp;L'!BT12</f>
        <v>-6.9323333333333323</v>
      </c>
      <c r="CA76" s="1034">
        <f>'P&amp;L'!CA12-'P&amp;L'!BU12</f>
        <v>3.6776666666666529</v>
      </c>
      <c r="CB76" s="1033"/>
      <c r="CC76" s="1032">
        <f>'P&amp;L'!CC12-'P&amp;L'!BW12</f>
        <v>-1.929000000000002</v>
      </c>
      <c r="CD76" s="1033">
        <f>'P&amp;L'!CD12-'P&amp;L'!BX12</f>
        <v>-3.3329999999999984</v>
      </c>
      <c r="CE76" s="1033">
        <f>'P&amp;L'!CE12-'P&amp;L'!BY12</f>
        <v>2.2270000000000039</v>
      </c>
      <c r="CF76" s="1033">
        <f>'P&amp;L'!CF12-'P&amp;L'!BZ12</f>
        <v>10.966333333333338</v>
      </c>
      <c r="CG76" s="1034">
        <f>'P&amp;L'!CG12-'P&amp;L'!CA12</f>
        <v>7.931333333333356</v>
      </c>
      <c r="CH76" s="1033"/>
      <c r="CI76" s="1032">
        <f>'P&amp;L'!CI12-'P&amp;L'!CC12</f>
        <v>12.050114905947879</v>
      </c>
      <c r="CJ76" s="1033">
        <f>'P&amp;L'!CJ12-'P&amp;L'!CD12</f>
        <v>10.194655900386685</v>
      </c>
      <c r="CK76" s="1033">
        <f>'P&amp;L'!CK12-'P&amp;L'!CE12</f>
        <v>13.449805336092275</v>
      </c>
      <c r="CL76" s="1033">
        <f>'P&amp;L'!CL12-'P&amp;L'!CF12</f>
        <v>11.002915123807774</v>
      </c>
      <c r="CM76" s="1034">
        <f>'P&amp;L'!CM12-'P&amp;L'!CG12</f>
        <v>46.697491266234607</v>
      </c>
      <c r="CN76" s="1033"/>
      <c r="CO76" s="1032">
        <f>'P&amp;L'!CO12-'P&amp;L'!CI12</f>
        <v>-2.8439278831495898</v>
      </c>
      <c r="CP76" s="1033">
        <f>'P&amp;L'!CP12-'P&amp;L'!CJ12</f>
        <v>3.5348226544700978</v>
      </c>
      <c r="CQ76" s="1033">
        <f>'P&amp;L'!CQ12-'P&amp;L'!CK12</f>
        <v>-0.92374666635409852</v>
      </c>
      <c r="CR76" s="1033">
        <f>'P&amp;L'!CR12-'P&amp;L'!CL12</f>
        <v>4.553006232252315</v>
      </c>
      <c r="CS76" s="1034">
        <f>'P&amp;L'!CS12-'P&amp;L'!CM12</f>
        <v>4.3201543372187245</v>
      </c>
      <c r="CT76" s="1033"/>
      <c r="CU76" s="1032">
        <f>'P&amp;L'!CU12-'P&amp;L'!CO12</f>
        <v>1.3143783972830576</v>
      </c>
      <c r="CV76" s="1033">
        <f>'P&amp;L'!CV12-'P&amp;L'!CP12</f>
        <v>1.3636106928743601</v>
      </c>
      <c r="CW76" s="1033">
        <f>'P&amp;L'!CW12-'P&amp;L'!CQ12</f>
        <v>1.1906150079493898</v>
      </c>
      <c r="CX76" s="1033">
        <f>'P&amp;L'!CX12-'P&amp;L'!CR12</f>
        <v>1.4137335028171805</v>
      </c>
      <c r="CY76" s="1034">
        <f>'P&amp;L'!CY12-'P&amp;L'!CS12</f>
        <v>5.2823376009239666</v>
      </c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</row>
    <row r="77" spans="1:176" x14ac:dyDescent="0.2">
      <c r="A77" s="1043" t="s">
        <v>201</v>
      </c>
      <c r="B77" s="1043"/>
      <c r="C77" s="1035"/>
      <c r="D77" s="1036"/>
      <c r="E77" s="1036"/>
      <c r="F77" s="1036"/>
      <c r="G77" s="1037"/>
      <c r="H77" s="1036"/>
      <c r="I77" s="1038"/>
      <c r="J77" s="1039"/>
      <c r="K77" s="1039"/>
      <c r="L77" s="1039"/>
      <c r="M77" s="1040"/>
      <c r="N77" s="1039"/>
      <c r="O77" s="1038"/>
      <c r="P77" s="1039"/>
      <c r="Q77" s="1039"/>
      <c r="R77" s="1039"/>
      <c r="S77" s="1040"/>
      <c r="U77" s="1733">
        <v>-6.0450000000000017</v>
      </c>
      <c r="V77" s="1734">
        <v>-8.9450000000000003</v>
      </c>
      <c r="W77" s="1734">
        <v>-14.527999999999999</v>
      </c>
      <c r="X77" s="1734">
        <v>-20.732999999999976</v>
      </c>
      <c r="Y77" s="1735">
        <v>-50.250999999999976</v>
      </c>
      <c r="Z77" s="1036"/>
      <c r="AA77" s="1733">
        <v>-18.606130574672278</v>
      </c>
      <c r="AB77" s="1734">
        <v>-18.997526317312072</v>
      </c>
      <c r="AC77" s="1734">
        <v>-15.225952434789155</v>
      </c>
      <c r="AD77" s="1734">
        <v>-6.5303638828301365</v>
      </c>
      <c r="AE77" s="1735">
        <v>-56.965564422811845</v>
      </c>
      <c r="AF77" s="1039"/>
      <c r="AG77" s="1733">
        <v>-5.4189231087901746</v>
      </c>
      <c r="AH77" s="1734">
        <v>-8.334311661063408</v>
      </c>
      <c r="AI77" s="1734">
        <v>-5.8258492422701229</v>
      </c>
      <c r="AJ77" s="1734">
        <v>-19.426422755822632</v>
      </c>
      <c r="AK77" s="1735">
        <v>-36.846251372529423</v>
      </c>
      <c r="AL77" s="1039"/>
      <c r="AM77" s="1733">
        <v>9.2113357351012546</v>
      </c>
      <c r="AN77" s="1734">
        <v>5.8330545898006436</v>
      </c>
      <c r="AO77" s="1734">
        <v>1.2223562422700907</v>
      </c>
      <c r="AP77" s="1734">
        <v>-7.0104243241009065</v>
      </c>
      <c r="AQ77" s="1735">
        <v>14.729661250503085</v>
      </c>
      <c r="AR77" s="1039"/>
      <c r="AS77" s="1733">
        <v>-3.470158379029527</v>
      </c>
      <c r="AT77" s="1734">
        <v>0.14643852098531207</v>
      </c>
      <c r="AU77" s="1734">
        <v>-13.138280700023039</v>
      </c>
      <c r="AV77" s="1734">
        <v>7.0569344069689848</v>
      </c>
      <c r="AW77" s="1735">
        <v>-9.1610887341517397</v>
      </c>
      <c r="AX77" s="1734"/>
      <c r="AY77" s="1733">
        <v>3.0644354234937943</v>
      </c>
      <c r="AZ77" s="1734">
        <v>3.5834220271782122</v>
      </c>
      <c r="BA77" s="1734">
        <v>8.4330011993494303</v>
      </c>
      <c r="BB77" s="1734">
        <v>14.587228848567989</v>
      </c>
      <c r="BC77" s="1735">
        <v>27.939417684593231</v>
      </c>
      <c r="BD77" s="1734"/>
      <c r="BE77" s="1733">
        <v>8.2334773463408339</v>
      </c>
      <c r="BF77" s="1734">
        <v>-1.8743600464395529</v>
      </c>
      <c r="BG77" s="1734">
        <v>4.7223592870790334</v>
      </c>
      <c r="BH77" s="1734">
        <v>5.6546381787156221</v>
      </c>
      <c r="BI77" s="1735">
        <v>23.24794787087545</v>
      </c>
      <c r="BJ77" s="1734"/>
      <c r="BK77" s="1733">
        <v>2.7533780791228866</v>
      </c>
      <c r="BL77" s="1734">
        <v>2.7751878059065547</v>
      </c>
      <c r="BM77" s="1734">
        <v>8.2411746583907153</v>
      </c>
      <c r="BN77" s="1734">
        <v>-5.0391209502844134</v>
      </c>
      <c r="BO77" s="1735">
        <v>1.6774755276174638</v>
      </c>
      <c r="BP77" s="1734"/>
      <c r="BQ77" s="1733">
        <v>5.8524783892560581</v>
      </c>
      <c r="BR77" s="1734">
        <v>10.152244727516837</v>
      </c>
      <c r="BS77" s="1734">
        <v>3.2644920829796007</v>
      </c>
      <c r="BT77" s="1734">
        <v>16.855460187556314</v>
      </c>
      <c r="BU77" s="1735">
        <v>42.669754058053357</v>
      </c>
      <c r="BV77" s="1734"/>
      <c r="BW77" s="1733">
        <v>-0.33734273432800599</v>
      </c>
      <c r="BX77" s="1734">
        <v>18.563011314900272</v>
      </c>
      <c r="BY77" s="1734">
        <v>19.797225475854702</v>
      </c>
      <c r="BZ77" s="1734">
        <v>23.153592490121124</v>
      </c>
      <c r="CA77" s="1735">
        <v>60.896342098999916</v>
      </c>
      <c r="CB77" s="1734"/>
      <c r="CC77" s="1733">
        <v>15.577403869661556</v>
      </c>
      <c r="CD77" s="1734">
        <v>22.204181377551361</v>
      </c>
      <c r="CE77" s="1734">
        <v>16.336806464130646</v>
      </c>
      <c r="CF77" s="1734">
        <v>13.797899999999998</v>
      </c>
      <c r="CG77" s="1735">
        <v>69.460993442646625</v>
      </c>
      <c r="CH77" s="1734"/>
      <c r="CI77" s="1733">
        <v>15.959840102919589</v>
      </c>
      <c r="CJ77" s="1734">
        <v>19.594522797315232</v>
      </c>
      <c r="CK77" s="1734">
        <v>17.309650619847957</v>
      </c>
      <c r="CL77" s="1734">
        <v>11.609343236431624</v>
      </c>
      <c r="CM77" s="1735">
        <v>62.993311756514345</v>
      </c>
      <c r="CN77" s="1734"/>
      <c r="CO77" s="1733">
        <v>23.820988501261716</v>
      </c>
      <c r="CP77" s="1734">
        <v>14.56107111711378</v>
      </c>
      <c r="CQ77" s="1734">
        <v>18.575209894298549</v>
      </c>
      <c r="CR77" s="1734">
        <v>28.966539279575677</v>
      </c>
      <c r="CS77" s="1735">
        <v>85.923808792249616</v>
      </c>
      <c r="CT77" s="1734"/>
      <c r="CU77" s="1733">
        <v>30.068972760700376</v>
      </c>
      <c r="CV77" s="1734">
        <v>31.336079507754583</v>
      </c>
      <c r="CW77" s="1734">
        <v>31.038715780197784</v>
      </c>
      <c r="CX77" s="1734">
        <v>33.683453933199814</v>
      </c>
      <c r="CY77" s="1735">
        <v>126.12722198185227</v>
      </c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</row>
    <row r="78" spans="1:176" x14ac:dyDescent="0.2">
      <c r="A78" s="1041" t="s">
        <v>202</v>
      </c>
      <c r="B78" s="1041"/>
      <c r="C78" s="1024"/>
      <c r="D78" s="1025"/>
      <c r="E78" s="1025"/>
      <c r="F78" s="1025"/>
      <c r="G78" s="1026"/>
      <c r="H78" s="1025"/>
      <c r="I78" s="1024"/>
      <c r="J78" s="1025"/>
      <c r="K78" s="1025"/>
      <c r="L78" s="1025"/>
      <c r="M78" s="1026"/>
      <c r="N78" s="1025"/>
      <c r="O78" s="1024"/>
      <c r="P78" s="1025"/>
      <c r="Q78" s="1025"/>
      <c r="R78" s="1025"/>
      <c r="S78" s="1026"/>
      <c r="U78" s="1024"/>
      <c r="V78" s="1025"/>
      <c r="W78" s="1025"/>
      <c r="X78" s="1025"/>
      <c r="Y78" s="1026"/>
      <c r="Z78" s="1025"/>
      <c r="AA78" s="1024"/>
      <c r="AB78" s="1025"/>
      <c r="AC78" s="1025"/>
      <c r="AD78" s="1025"/>
      <c r="AE78" s="1026"/>
      <c r="AF78" s="1025"/>
      <c r="AG78" s="1024"/>
      <c r="AH78" s="1025"/>
      <c r="AI78" s="1025"/>
      <c r="AJ78" s="1025"/>
      <c r="AK78" s="1026"/>
      <c r="AL78" s="1025"/>
      <c r="AM78" s="1024"/>
      <c r="AN78" s="1025"/>
      <c r="AO78" s="1025"/>
      <c r="AP78" s="1025"/>
      <c r="AQ78" s="1026"/>
      <c r="AR78" s="1025"/>
      <c r="AS78" s="1024"/>
      <c r="AT78" s="1025"/>
      <c r="AU78" s="1025"/>
      <c r="AV78" s="1025"/>
      <c r="AW78" s="1026"/>
      <c r="AX78" s="1025"/>
      <c r="AY78" s="1027"/>
      <c r="AZ78" s="1028"/>
      <c r="BA78" s="1028"/>
      <c r="BB78" s="1028"/>
      <c r="BC78" s="1029"/>
      <c r="BD78" s="1025"/>
      <c r="BE78" s="1027"/>
      <c r="BF78" s="1028"/>
      <c r="BG78" s="1028"/>
      <c r="BH78" s="1028"/>
      <c r="BI78" s="1029"/>
      <c r="BJ78" s="1025"/>
      <c r="BK78" s="1027"/>
      <c r="BL78" s="1028"/>
      <c r="BM78" s="1028"/>
      <c r="BN78" s="1028"/>
      <c r="BO78" s="1029"/>
      <c r="BP78" s="1025"/>
      <c r="BQ78" s="1027"/>
      <c r="BR78" s="1028"/>
      <c r="BS78" s="1028"/>
      <c r="BT78" s="1028"/>
      <c r="BU78" s="1029"/>
      <c r="BV78" s="1025"/>
      <c r="BW78" s="1027"/>
      <c r="BX78" s="1028"/>
      <c r="BY78" s="1028"/>
      <c r="BZ78" s="1028"/>
      <c r="CA78" s="1029"/>
      <c r="CB78" s="1025"/>
      <c r="CC78" s="1027"/>
      <c r="CD78" s="1028"/>
      <c r="CE78" s="1028"/>
      <c r="CF78" s="1028"/>
      <c r="CG78" s="1029"/>
      <c r="CH78" s="1025"/>
      <c r="CI78" s="1027"/>
      <c r="CJ78" s="1028"/>
      <c r="CK78" s="1028"/>
      <c r="CL78" s="1028"/>
      <c r="CM78" s="1029"/>
      <c r="CN78" s="1025"/>
      <c r="CO78" s="1027"/>
      <c r="CP78" s="1028"/>
      <c r="CQ78" s="1028"/>
      <c r="CR78" s="1028"/>
      <c r="CS78" s="1029"/>
      <c r="CT78" s="1025"/>
      <c r="CU78" s="1027"/>
      <c r="CV78" s="1028"/>
      <c r="CW78" s="1028"/>
      <c r="CX78" s="1028"/>
      <c r="CY78" s="1029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</row>
    <row r="79" spans="1:176" x14ac:dyDescent="0.2">
      <c r="A79" s="303" t="s">
        <v>204</v>
      </c>
      <c r="C79" s="418"/>
      <c r="D79" s="1015"/>
      <c r="E79" s="1015"/>
      <c r="F79" s="1015"/>
      <c r="G79" s="1016"/>
      <c r="H79" s="31"/>
      <c r="I79" s="418"/>
      <c r="J79" s="1015"/>
      <c r="K79" s="1015"/>
      <c r="L79" s="1015"/>
      <c r="M79" s="1016"/>
      <c r="N79" s="31"/>
      <c r="O79" s="418"/>
      <c r="P79" s="1015"/>
      <c r="Q79" s="1015"/>
      <c r="R79" s="1015"/>
      <c r="S79" s="1016"/>
      <c r="T79" s="31"/>
      <c r="U79" s="418"/>
      <c r="V79" s="1015"/>
      <c r="W79" s="1015"/>
      <c r="X79" s="1015"/>
      <c r="Y79" s="1016"/>
      <c r="Z79" s="31"/>
      <c r="AA79" s="1045">
        <f t="shared" ref="AA79:AE81" si="266">AA75+U75</f>
        <v>34.312999999999995</v>
      </c>
      <c r="AB79" s="1046">
        <f t="shared" si="266"/>
        <v>34.65</v>
      </c>
      <c r="AC79" s="1046">
        <f t="shared" si="266"/>
        <v>34.358000000000004</v>
      </c>
      <c r="AD79" s="1046">
        <f t="shared" si="266"/>
        <v>33.006999999999977</v>
      </c>
      <c r="AE79" s="1047">
        <f t="shared" si="266"/>
        <v>136.328</v>
      </c>
      <c r="AF79" s="31"/>
      <c r="AG79" s="1045">
        <f t="shared" ref="AG79:AK81" si="267">AG75+AA75</f>
        <v>30.488999999999997</v>
      </c>
      <c r="AH79" s="1046">
        <f t="shared" si="267"/>
        <v>31.659000000000006</v>
      </c>
      <c r="AI79" s="1046">
        <f t="shared" si="267"/>
        <v>16.106999999999999</v>
      </c>
      <c r="AJ79" s="1046">
        <f t="shared" si="267"/>
        <v>15.370000000000033</v>
      </c>
      <c r="AK79" s="1047">
        <f t="shared" si="267"/>
        <v>93.625</v>
      </c>
      <c r="AL79" s="31"/>
      <c r="AM79" s="1045">
        <f t="shared" ref="AM79:AQ81" si="268">AM75+AG75</f>
        <v>11.795000000000002</v>
      </c>
      <c r="AN79" s="1046">
        <f t="shared" si="268"/>
        <v>9.8999999999999915</v>
      </c>
      <c r="AO79" s="1046">
        <f t="shared" si="268"/>
        <v>11.01100000000001</v>
      </c>
      <c r="AP79" s="1046">
        <f t="shared" si="268"/>
        <v>11.743000000000009</v>
      </c>
      <c r="AQ79" s="1047">
        <f t="shared" si="268"/>
        <v>44.449000000000012</v>
      </c>
      <c r="AR79" s="31"/>
      <c r="AS79" s="1045">
        <f t="shared" ref="AS79:AW81" si="269">AS75+AM75</f>
        <v>12.625</v>
      </c>
      <c r="AT79" s="1046">
        <f t="shared" si="269"/>
        <v>18.139999999999986</v>
      </c>
      <c r="AU79" s="1046">
        <f t="shared" si="269"/>
        <v>18.709000000000003</v>
      </c>
      <c r="AV79" s="1046">
        <f t="shared" si="269"/>
        <v>7.9179999999999779</v>
      </c>
      <c r="AW79" s="1047">
        <f t="shared" si="269"/>
        <v>57.391999999999996</v>
      </c>
      <c r="AX79" s="31"/>
      <c r="AY79" s="1045">
        <f t="shared" ref="AY79:BC81" si="270">AY75+AS75</f>
        <v>16.911000000000001</v>
      </c>
      <c r="AZ79" s="1046">
        <f t="shared" si="270"/>
        <v>16.243000000000009</v>
      </c>
      <c r="BA79" s="1046">
        <f t="shared" si="270"/>
        <v>17.383999999999986</v>
      </c>
      <c r="BB79" s="1046">
        <f t="shared" si="270"/>
        <v>22.186000000000007</v>
      </c>
      <c r="BC79" s="1047">
        <f t="shared" si="270"/>
        <v>72.72399999999999</v>
      </c>
      <c r="BD79" s="31"/>
      <c r="BE79" s="1045">
        <f t="shared" ref="BE79:BI81" si="271">BE75+AY75</f>
        <v>18.828000000000003</v>
      </c>
      <c r="BF79" s="1046">
        <f t="shared" si="271"/>
        <v>11.75800000000001</v>
      </c>
      <c r="BG79" s="1046">
        <f t="shared" si="271"/>
        <v>11.204999999999998</v>
      </c>
      <c r="BH79" s="1046">
        <f t="shared" si="271"/>
        <v>13.566000000000003</v>
      </c>
      <c r="BI79" s="1047">
        <f t="shared" si="271"/>
        <v>55.357000000000028</v>
      </c>
      <c r="BJ79" s="31"/>
      <c r="BK79" s="1045">
        <f t="shared" ref="BK79:BO81" si="272">BK75+BE75</f>
        <v>13.777000000000001</v>
      </c>
      <c r="BL79" s="1046">
        <f t="shared" si="272"/>
        <v>15.784999999999997</v>
      </c>
      <c r="BM79" s="1046">
        <f t="shared" si="272"/>
        <v>13.932000000000002</v>
      </c>
      <c r="BN79" s="213">
        <f t="shared" si="272"/>
        <v>17.413000000000025</v>
      </c>
      <c r="BO79" s="1085">
        <f t="shared" si="272"/>
        <v>60.906999999999982</v>
      </c>
      <c r="BP79" s="31"/>
      <c r="BQ79" s="1045">
        <f t="shared" ref="BQ79:BU81" si="273">BQ75+BK75</f>
        <v>5.8390000000000128</v>
      </c>
      <c r="BR79" s="1046">
        <f t="shared" si="273"/>
        <v>6.9830000000000041</v>
      </c>
      <c r="BS79" s="1046">
        <f t="shared" si="273"/>
        <v>-1.9320000000000022</v>
      </c>
      <c r="BT79" s="1046">
        <f t="shared" si="273"/>
        <v>2.0510000000000019</v>
      </c>
      <c r="BU79" s="1047">
        <f t="shared" si="273"/>
        <v>12.940999999999974</v>
      </c>
      <c r="BV79" s="31"/>
      <c r="BW79" s="1045">
        <f t="shared" ref="BW79:CA81" si="274">BW75+BQ75</f>
        <v>-1.4339999999999975</v>
      </c>
      <c r="BX79" s="1046">
        <f t="shared" si="274"/>
        <v>5.2540000000000049</v>
      </c>
      <c r="BY79" s="1046">
        <f t="shared" si="274"/>
        <v>0.72299999999999898</v>
      </c>
      <c r="BZ79" s="1046">
        <f t="shared" si="274"/>
        <v>-10.564666666666682</v>
      </c>
      <c r="CA79" s="1047">
        <f t="shared" si="274"/>
        <v>-6.0216666666667038</v>
      </c>
      <c r="CB79" s="31"/>
      <c r="CC79" s="1045">
        <f t="shared" ref="CC79:CG81" si="275">CC75+BW75</f>
        <v>3.5079999999999814</v>
      </c>
      <c r="CD79" s="1046">
        <f t="shared" si="275"/>
        <v>6.7560000000000002</v>
      </c>
      <c r="CE79" s="1046">
        <f t="shared" si="275"/>
        <v>13.88300000000001</v>
      </c>
      <c r="CF79" s="1046">
        <f t="shared" si="275"/>
        <v>1.2139999999999986</v>
      </c>
      <c r="CG79" s="1047">
        <f t="shared" si="275"/>
        <v>25.36099999999999</v>
      </c>
      <c r="CH79" s="31"/>
      <c r="CI79" s="1045">
        <f t="shared" ref="CI79:CM81" si="276">CI75+CC75</f>
        <v>10.890549272972351</v>
      </c>
      <c r="CJ79" s="1046">
        <f t="shared" si="276"/>
        <v>10.112495412271542</v>
      </c>
      <c r="CK79" s="1046">
        <f t="shared" si="276"/>
        <v>14.72681892540524</v>
      </c>
      <c r="CL79" s="1046">
        <f t="shared" si="276"/>
        <v>9.2742009423779734</v>
      </c>
      <c r="CM79" s="1047">
        <f t="shared" si="276"/>
        <v>45.004064553027149</v>
      </c>
      <c r="CN79" s="31"/>
      <c r="CO79" s="1045">
        <f t="shared" ref="CO79:CS81" si="277">CO75+CI75</f>
        <v>19.821930815136881</v>
      </c>
      <c r="CP79" s="1046">
        <f t="shared" si="277"/>
        <v>20.7620832690572</v>
      </c>
      <c r="CQ79" s="1046">
        <f t="shared" si="277"/>
        <v>16.29809628506915</v>
      </c>
      <c r="CR79" s="1046">
        <f t="shared" si="277"/>
        <v>18.559308372389665</v>
      </c>
      <c r="CS79" s="1047">
        <f t="shared" si="277"/>
        <v>75.441418741652967</v>
      </c>
      <c r="CT79" s="31"/>
      <c r="CU79" s="1045">
        <f t="shared" ref="CU79:CY81" si="278">CU75+CO75</f>
        <v>24.199822575251417</v>
      </c>
      <c r="CV79" s="1046">
        <f t="shared" si="278"/>
        <v>19.662784492436487</v>
      </c>
      <c r="CW79" s="1046">
        <f t="shared" si="278"/>
        <v>17.070977141891291</v>
      </c>
      <c r="CX79" s="1046">
        <f t="shared" si="278"/>
        <v>19.610714140811098</v>
      </c>
      <c r="CY79" s="1047">
        <f t="shared" si="278"/>
        <v>80.54429835039025</v>
      </c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</row>
    <row r="80" spans="1:176" s="2" customFormat="1" collapsed="1" x14ac:dyDescent="0.2">
      <c r="A80" s="303" t="s">
        <v>247</v>
      </c>
      <c r="B80" s="39"/>
      <c r="C80" s="418"/>
      <c r="D80" s="1015"/>
      <c r="E80" s="1015"/>
      <c r="F80" s="1015"/>
      <c r="G80" s="1016"/>
      <c r="H80" s="31"/>
      <c r="I80" s="418"/>
      <c r="J80" s="1015"/>
      <c r="K80" s="1015"/>
      <c r="L80" s="1015"/>
      <c r="M80" s="1016"/>
      <c r="N80" s="31"/>
      <c r="O80" s="418"/>
      <c r="P80" s="1015"/>
      <c r="Q80" s="1015"/>
      <c r="R80" s="1015"/>
      <c r="S80" s="1016"/>
      <c r="T80" s="31"/>
      <c r="U80" s="418"/>
      <c r="V80" s="1015"/>
      <c r="W80" s="1015"/>
      <c r="X80" s="1015"/>
      <c r="Y80" s="1016"/>
      <c r="Z80" s="31"/>
      <c r="AA80" s="1045">
        <f t="shared" si="266"/>
        <v>11.180999999999999</v>
      </c>
      <c r="AB80" s="1046">
        <f t="shared" si="266"/>
        <v>13.605</v>
      </c>
      <c r="AC80" s="1046">
        <f t="shared" si="266"/>
        <v>13.948</v>
      </c>
      <c r="AD80" s="1046">
        <f t="shared" si="266"/>
        <v>17.036999999999992</v>
      </c>
      <c r="AE80" s="1047">
        <f t="shared" si="266"/>
        <v>55.771000000000001</v>
      </c>
      <c r="AF80" s="31"/>
      <c r="AG80" s="1045">
        <f t="shared" si="267"/>
        <v>14.112</v>
      </c>
      <c r="AH80" s="1046">
        <f t="shared" si="267"/>
        <v>12.26</v>
      </c>
      <c r="AI80" s="1046">
        <f t="shared" si="267"/>
        <v>8.8769999999999989</v>
      </c>
      <c r="AJ80" s="1046">
        <f t="shared" si="267"/>
        <v>7.7160000000000011</v>
      </c>
      <c r="AK80" s="1047">
        <f t="shared" si="267"/>
        <v>42.965000000000003</v>
      </c>
      <c r="AL80" s="31"/>
      <c r="AM80" s="1045">
        <f t="shared" si="268"/>
        <v>10.228000000000002</v>
      </c>
      <c r="AN80" s="1046">
        <f t="shared" si="268"/>
        <v>5.5829999999999984</v>
      </c>
      <c r="AO80" s="1046">
        <f t="shared" si="268"/>
        <v>6.907</v>
      </c>
      <c r="AP80" s="1046">
        <f t="shared" si="268"/>
        <v>5.9910000000000139</v>
      </c>
      <c r="AQ80" s="1047">
        <f t="shared" si="268"/>
        <v>28.709000000000003</v>
      </c>
      <c r="AR80" s="31"/>
      <c r="AS80" s="1045">
        <f t="shared" si="269"/>
        <v>7.0240000000000009</v>
      </c>
      <c r="AT80" s="1046">
        <f t="shared" si="269"/>
        <v>7.5580000000000034</v>
      </c>
      <c r="AU80" s="1046">
        <f t="shared" si="269"/>
        <v>5.8990000000000009</v>
      </c>
      <c r="AV80" s="1046">
        <f t="shared" si="269"/>
        <v>2.2549999999999812</v>
      </c>
      <c r="AW80" s="1047">
        <f t="shared" si="269"/>
        <v>22.73599999999999</v>
      </c>
      <c r="AX80" s="31"/>
      <c r="AY80" s="1045">
        <f t="shared" si="270"/>
        <v>-2.9600000000000009</v>
      </c>
      <c r="AZ80" s="1046">
        <f t="shared" si="270"/>
        <v>1.1980000000000004</v>
      </c>
      <c r="BA80" s="1046">
        <f t="shared" si="270"/>
        <v>2.7999999999998693E-2</v>
      </c>
      <c r="BB80" s="1046">
        <f t="shared" si="270"/>
        <v>-1.8299999999999983</v>
      </c>
      <c r="BC80" s="1047">
        <f t="shared" si="270"/>
        <v>-3.5640000000000072</v>
      </c>
      <c r="BD80" s="31"/>
      <c r="BE80" s="1045">
        <f t="shared" si="271"/>
        <v>1.6329999999999956</v>
      </c>
      <c r="BF80" s="1046">
        <f t="shared" si="271"/>
        <v>1.1310000000000002</v>
      </c>
      <c r="BG80" s="1046">
        <f t="shared" si="271"/>
        <v>1.6940000000000026</v>
      </c>
      <c r="BH80" s="1046">
        <f t="shared" si="271"/>
        <v>10.977000000000018</v>
      </c>
      <c r="BI80" s="1047">
        <f t="shared" si="271"/>
        <v>15.435000000000002</v>
      </c>
      <c r="BJ80" s="31"/>
      <c r="BK80" s="1045">
        <f t="shared" si="272"/>
        <v>11.698999999999998</v>
      </c>
      <c r="BL80" s="1046">
        <f t="shared" si="272"/>
        <v>7.2880000000000003</v>
      </c>
      <c r="BM80" s="1046">
        <f t="shared" si="272"/>
        <v>10.452999999999999</v>
      </c>
      <c r="BN80" s="213">
        <f t="shared" si="272"/>
        <v>11.709999999999994</v>
      </c>
      <c r="BO80" s="1085">
        <f t="shared" si="272"/>
        <v>41.150000000000006</v>
      </c>
      <c r="BP80" s="31"/>
      <c r="BQ80" s="1045">
        <f t="shared" si="273"/>
        <v>4.0280000000000058</v>
      </c>
      <c r="BR80" s="1046">
        <f t="shared" si="273"/>
        <v>-6.4000000000000057E-2</v>
      </c>
      <c r="BS80" s="1046">
        <f t="shared" si="273"/>
        <v>1.2279999999999944</v>
      </c>
      <c r="BT80" s="1046">
        <f t="shared" si="273"/>
        <v>-6.882000000000005</v>
      </c>
      <c r="BU80" s="1047">
        <f t="shared" si="273"/>
        <v>-1.6899999999999977</v>
      </c>
      <c r="BV80" s="31"/>
      <c r="BW80" s="1045">
        <f t="shared" si="274"/>
        <v>-0.57699999999999818</v>
      </c>
      <c r="BX80" s="1046">
        <f t="shared" si="274"/>
        <v>4.2109999999999985</v>
      </c>
      <c r="BY80" s="1046">
        <f t="shared" si="274"/>
        <v>-5.2590000000000003</v>
      </c>
      <c r="BZ80" s="1046">
        <f t="shared" si="274"/>
        <v>-13.942333333333337</v>
      </c>
      <c r="CA80" s="1047">
        <f t="shared" si="274"/>
        <v>-15.567333333333352</v>
      </c>
      <c r="CB80" s="31"/>
      <c r="CC80" s="1045">
        <f t="shared" si="275"/>
        <v>-0.49800000000000466</v>
      </c>
      <c r="CD80" s="1046">
        <f t="shared" si="275"/>
        <v>5.2119999999999962</v>
      </c>
      <c r="CE80" s="1046">
        <f t="shared" si="275"/>
        <v>2.8610000000000042</v>
      </c>
      <c r="CF80" s="1046">
        <f t="shared" si="275"/>
        <v>4.034000000000006</v>
      </c>
      <c r="CG80" s="1047">
        <f t="shared" si="275"/>
        <v>11.609000000000009</v>
      </c>
      <c r="CH80" s="31"/>
      <c r="CI80" s="1045">
        <f t="shared" si="276"/>
        <v>10.121114905947877</v>
      </c>
      <c r="CJ80" s="1046">
        <f t="shared" si="276"/>
        <v>6.8616559003866868</v>
      </c>
      <c r="CK80" s="1046">
        <f t="shared" si="276"/>
        <v>15.676805336092279</v>
      </c>
      <c r="CL80" s="1046">
        <f t="shared" si="276"/>
        <v>21.969248457141113</v>
      </c>
      <c r="CM80" s="1047">
        <f t="shared" si="276"/>
        <v>54.628824599567963</v>
      </c>
      <c r="CN80" s="31"/>
      <c r="CO80" s="1045">
        <f t="shared" si="277"/>
        <v>9.2061870227982894</v>
      </c>
      <c r="CP80" s="1046">
        <f t="shared" si="277"/>
        <v>13.729478554856783</v>
      </c>
      <c r="CQ80" s="1046">
        <f t="shared" si="277"/>
        <v>12.526058669738177</v>
      </c>
      <c r="CR80" s="1046">
        <f t="shared" si="277"/>
        <v>15.55592135606009</v>
      </c>
      <c r="CS80" s="1047">
        <f t="shared" si="277"/>
        <v>51.017645603453332</v>
      </c>
      <c r="CT80" s="31"/>
      <c r="CU80" s="1045">
        <f t="shared" si="278"/>
        <v>-1.5295494858665322</v>
      </c>
      <c r="CV80" s="1046">
        <f t="shared" si="278"/>
        <v>4.8984333473444579</v>
      </c>
      <c r="CW80" s="1046">
        <f t="shared" si="278"/>
        <v>0.26686834159529127</v>
      </c>
      <c r="CX80" s="1046">
        <f t="shared" si="278"/>
        <v>5.9667397350694955</v>
      </c>
      <c r="CY80" s="1047">
        <f t="shared" si="278"/>
        <v>9.6024919381426912</v>
      </c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F80" s="48"/>
      <c r="EG80" s="48"/>
      <c r="EH80" s="48"/>
      <c r="EI80" s="48"/>
      <c r="EJ80" s="48"/>
      <c r="EK80" s="48"/>
      <c r="EL80" s="48"/>
      <c r="EM80" s="48"/>
      <c r="EN80" s="48"/>
      <c r="EO80" s="48"/>
      <c r="EP80" s="48"/>
      <c r="EQ80" s="48"/>
      <c r="ER80" s="48"/>
      <c r="ES80" s="48"/>
      <c r="ET80" s="48"/>
      <c r="EU80" s="48"/>
      <c r="EV80" s="48"/>
      <c r="EW80" s="48"/>
      <c r="EX80" s="48"/>
      <c r="EY80" s="48"/>
      <c r="EZ80" s="48"/>
      <c r="FA80" s="48"/>
      <c r="FB80" s="48"/>
      <c r="FC80" s="48"/>
      <c r="FD80" s="48"/>
      <c r="FE80" s="48"/>
      <c r="FF80" s="48"/>
      <c r="FG80" s="48"/>
      <c r="FH80" s="48"/>
      <c r="FI80" s="48"/>
      <c r="FJ80" s="48"/>
      <c r="FK80" s="48"/>
      <c r="FL80" s="48"/>
      <c r="FM80" s="48"/>
      <c r="FN80" s="48"/>
      <c r="FO80" s="48"/>
      <c r="FP80" s="48"/>
      <c r="FQ80" s="48"/>
      <c r="FR80" s="48"/>
      <c r="FS80" s="48"/>
      <c r="FT80" s="48"/>
    </row>
    <row r="81" spans="1:176" s="35" customFormat="1" x14ac:dyDescent="0.2">
      <c r="A81" s="1013" t="s">
        <v>201</v>
      </c>
      <c r="B81" s="240"/>
      <c r="C81" s="512"/>
      <c r="D81" s="1017"/>
      <c r="E81" s="1017"/>
      <c r="F81" s="1017"/>
      <c r="G81" s="1018"/>
      <c r="H81" s="391"/>
      <c r="I81" s="512"/>
      <c r="J81" s="1017"/>
      <c r="K81" s="1017"/>
      <c r="L81" s="1017"/>
      <c r="M81" s="1018"/>
      <c r="N81" s="391"/>
      <c r="O81" s="512"/>
      <c r="P81" s="1017"/>
      <c r="Q81" s="1017"/>
      <c r="R81" s="1017"/>
      <c r="S81" s="1018"/>
      <c r="T81" s="391"/>
      <c r="U81" s="512"/>
      <c r="V81" s="1017"/>
      <c r="W81" s="1017"/>
      <c r="X81" s="1017"/>
      <c r="Y81" s="1018"/>
      <c r="Z81" s="391"/>
      <c r="AA81" s="1048">
        <f t="shared" si="266"/>
        <v>-24.65113057467228</v>
      </c>
      <c r="AB81" s="1049">
        <f t="shared" si="266"/>
        <v>-27.942526317312073</v>
      </c>
      <c r="AC81" s="1049">
        <f t="shared" si="266"/>
        <v>-29.753952434789156</v>
      </c>
      <c r="AD81" s="1049">
        <f t="shared" si="266"/>
        <v>-27.263363882830113</v>
      </c>
      <c r="AE81" s="1050">
        <f t="shared" si="266"/>
        <v>-107.21656442281181</v>
      </c>
      <c r="AF81" s="391"/>
      <c r="AG81" s="1048">
        <f t="shared" si="267"/>
        <v>-24.025053683462453</v>
      </c>
      <c r="AH81" s="1049">
        <f t="shared" si="267"/>
        <v>-27.331837978375482</v>
      </c>
      <c r="AI81" s="1049">
        <f t="shared" si="267"/>
        <v>-21.051801677059277</v>
      </c>
      <c r="AJ81" s="1049">
        <f t="shared" si="267"/>
        <v>-25.956786638652769</v>
      </c>
      <c r="AK81" s="1050">
        <f t="shared" si="267"/>
        <v>-93.811815795341261</v>
      </c>
      <c r="AL81" s="391"/>
      <c r="AM81" s="1048">
        <f t="shared" si="268"/>
        <v>3.79241262631108</v>
      </c>
      <c r="AN81" s="1049">
        <f t="shared" si="268"/>
        <v>-2.5012570712627644</v>
      </c>
      <c r="AO81" s="1049">
        <f t="shared" si="268"/>
        <v>-4.6034930000000323</v>
      </c>
      <c r="AP81" s="1049">
        <f t="shared" si="268"/>
        <v>-26.436847079923538</v>
      </c>
      <c r="AQ81" s="1050">
        <f t="shared" si="268"/>
        <v>-22.116590122026338</v>
      </c>
      <c r="AR81" s="391"/>
      <c r="AS81" s="1048">
        <f t="shared" si="269"/>
        <v>5.7411773560717272</v>
      </c>
      <c r="AT81" s="1049">
        <f t="shared" si="269"/>
        <v>5.9794931107859561</v>
      </c>
      <c r="AU81" s="1049">
        <f t="shared" si="269"/>
        <v>-11.915924457752947</v>
      </c>
      <c r="AV81" s="1049">
        <f t="shared" si="269"/>
        <v>4.6510082868078229E-2</v>
      </c>
      <c r="AW81" s="1050">
        <f t="shared" si="269"/>
        <v>5.5685725163513453</v>
      </c>
      <c r="AX81" s="391"/>
      <c r="AY81" s="1048">
        <f t="shared" si="270"/>
        <v>-0.40572295553573268</v>
      </c>
      <c r="AZ81" s="1049">
        <f t="shared" si="270"/>
        <v>3.7298605481635243</v>
      </c>
      <c r="BA81" s="1049">
        <f t="shared" si="270"/>
        <v>-4.7052795006736083</v>
      </c>
      <c r="BB81" s="1049">
        <f t="shared" si="270"/>
        <v>21.644163255536974</v>
      </c>
      <c r="BC81" s="1050">
        <f t="shared" si="270"/>
        <v>18.778328950441491</v>
      </c>
      <c r="BD81" s="391"/>
      <c r="BE81" s="1048">
        <f t="shared" si="271"/>
        <v>11.297912769834628</v>
      </c>
      <c r="BF81" s="1049">
        <f t="shared" si="271"/>
        <v>1.7090619807386593</v>
      </c>
      <c r="BG81" s="1049">
        <f t="shared" si="271"/>
        <v>13.155360486428464</v>
      </c>
      <c r="BH81" s="1049">
        <f t="shared" si="271"/>
        <v>20.241867027283611</v>
      </c>
      <c r="BI81" s="1050">
        <f t="shared" si="271"/>
        <v>51.187365555468681</v>
      </c>
      <c r="BJ81" s="391"/>
      <c r="BK81" s="1048">
        <f t="shared" si="272"/>
        <v>10.98685542546372</v>
      </c>
      <c r="BL81" s="1049">
        <f t="shared" si="272"/>
        <v>0.90082775946700178</v>
      </c>
      <c r="BM81" s="1049">
        <f t="shared" si="272"/>
        <v>12.963533945469749</v>
      </c>
      <c r="BN81" s="1083">
        <f t="shared" si="272"/>
        <v>0.61551722843120871</v>
      </c>
      <c r="BO81" s="1086">
        <f t="shared" si="272"/>
        <v>24.925423398492914</v>
      </c>
      <c r="BP81" s="391"/>
      <c r="BQ81" s="1048">
        <f t="shared" si="273"/>
        <v>8.6058564683789456</v>
      </c>
      <c r="BR81" s="1049">
        <f t="shared" si="273"/>
        <v>12.927432533423392</v>
      </c>
      <c r="BS81" s="1049">
        <f t="shared" si="273"/>
        <v>11.505666741370316</v>
      </c>
      <c r="BT81" s="1049">
        <f t="shared" si="273"/>
        <v>11.816339237271901</v>
      </c>
      <c r="BU81" s="1050">
        <f t="shared" si="273"/>
        <v>44.347229585670817</v>
      </c>
      <c r="BV81" s="391"/>
      <c r="BW81" s="1048">
        <f t="shared" si="274"/>
        <v>5.5151356549280521</v>
      </c>
      <c r="BX81" s="1049">
        <f t="shared" si="274"/>
        <v>28.71525604241711</v>
      </c>
      <c r="BY81" s="1049">
        <f t="shared" si="274"/>
        <v>23.061717558834303</v>
      </c>
      <c r="BZ81" s="1049">
        <f t="shared" si="274"/>
        <v>40.009052677677438</v>
      </c>
      <c r="CA81" s="1050">
        <f t="shared" si="274"/>
        <v>103.56609615705327</v>
      </c>
      <c r="CB81" s="391"/>
      <c r="CC81" s="1048">
        <f t="shared" si="275"/>
        <v>15.24006113533355</v>
      </c>
      <c r="CD81" s="1049">
        <f t="shared" si="275"/>
        <v>40.76719269245163</v>
      </c>
      <c r="CE81" s="1049">
        <f t="shared" si="275"/>
        <v>36.134031939985348</v>
      </c>
      <c r="CF81" s="1049">
        <f t="shared" si="275"/>
        <v>36.951492490121126</v>
      </c>
      <c r="CG81" s="1050">
        <f t="shared" si="275"/>
        <v>130.35733554164653</v>
      </c>
      <c r="CH81" s="391"/>
      <c r="CI81" s="1048">
        <f t="shared" si="276"/>
        <v>31.537243972581145</v>
      </c>
      <c r="CJ81" s="1049">
        <f t="shared" si="276"/>
        <v>41.798704174866593</v>
      </c>
      <c r="CK81" s="1049">
        <f t="shared" si="276"/>
        <v>33.646457083978603</v>
      </c>
      <c r="CL81" s="1049">
        <f t="shared" si="276"/>
        <v>25.407243236431622</v>
      </c>
      <c r="CM81" s="1050">
        <f t="shared" si="276"/>
        <v>132.45430519916096</v>
      </c>
      <c r="CN81" s="391"/>
      <c r="CO81" s="1048">
        <f t="shared" si="277"/>
        <v>39.780828604181309</v>
      </c>
      <c r="CP81" s="1049">
        <f t="shared" si="277"/>
        <v>34.155593914429012</v>
      </c>
      <c r="CQ81" s="1049">
        <f t="shared" si="277"/>
        <v>35.88486051414651</v>
      </c>
      <c r="CR81" s="1049">
        <f t="shared" si="277"/>
        <v>40.575882516007297</v>
      </c>
      <c r="CS81" s="1050">
        <f t="shared" si="277"/>
        <v>148.91712054876396</v>
      </c>
      <c r="CT81" s="391"/>
      <c r="CU81" s="1048">
        <f t="shared" si="278"/>
        <v>53.889961261962092</v>
      </c>
      <c r="CV81" s="1049">
        <f t="shared" si="278"/>
        <v>45.89715062486836</v>
      </c>
      <c r="CW81" s="1049">
        <f t="shared" si="278"/>
        <v>49.613925674496329</v>
      </c>
      <c r="CX81" s="1049">
        <f t="shared" si="278"/>
        <v>62.649993212775492</v>
      </c>
      <c r="CY81" s="1050">
        <f t="shared" si="278"/>
        <v>212.05103077410189</v>
      </c>
      <c r="EF81" s="48"/>
      <c r="EG81" s="48"/>
      <c r="EH81" s="48"/>
      <c r="EI81" s="48"/>
      <c r="EJ81" s="48"/>
      <c r="EK81" s="48"/>
      <c r="EL81" s="48"/>
      <c r="EM81" s="48"/>
      <c r="EN81" s="48"/>
      <c r="EO81" s="48"/>
      <c r="EP81" s="48"/>
      <c r="EQ81" s="48"/>
      <c r="ER81" s="48"/>
      <c r="ES81" s="48"/>
      <c r="ET81" s="48"/>
      <c r="EU81" s="48"/>
      <c r="EV81" s="48"/>
      <c r="EW81" s="48"/>
      <c r="EX81" s="48"/>
      <c r="EY81" s="48"/>
      <c r="EZ81" s="48"/>
      <c r="FA81" s="48"/>
      <c r="FB81" s="48"/>
      <c r="FC81" s="48"/>
      <c r="FD81" s="48"/>
      <c r="FE81" s="48"/>
      <c r="FF81" s="48"/>
      <c r="FG81" s="48"/>
      <c r="FH81" s="48"/>
      <c r="FI81" s="48"/>
      <c r="FJ81" s="48"/>
      <c r="FK81" s="48"/>
      <c r="FL81" s="48"/>
      <c r="FM81" s="48"/>
      <c r="FN81" s="48"/>
      <c r="FO81" s="48"/>
      <c r="FP81" s="48"/>
      <c r="FQ81" s="48"/>
      <c r="FR81" s="48"/>
      <c r="FS81" s="48"/>
      <c r="FT81" s="48"/>
    </row>
    <row r="82" spans="1:176" s="35" customFormat="1" x14ac:dyDescent="0.2">
      <c r="A82" s="48"/>
      <c r="B82" s="39"/>
      <c r="C82" s="48"/>
      <c r="D82" s="48"/>
      <c r="E82" s="48"/>
      <c r="F82" s="39"/>
      <c r="G82" s="39"/>
      <c r="H82" s="39"/>
      <c r="I82" s="48"/>
      <c r="J82" s="48"/>
      <c r="K82" s="48"/>
      <c r="L82" s="39"/>
      <c r="M82" s="39"/>
      <c r="N82" s="39"/>
      <c r="O82" s="39"/>
      <c r="P82" s="39"/>
      <c r="Q82" s="39"/>
      <c r="R82" s="39"/>
      <c r="S82" s="48"/>
      <c r="T82" s="39"/>
      <c r="U82" s="48"/>
      <c r="V82" s="48"/>
      <c r="W82" s="48"/>
      <c r="X82" s="48"/>
      <c r="Y82" s="48"/>
      <c r="Z82" s="39"/>
      <c r="AA82" s="48"/>
      <c r="AB82" s="48"/>
      <c r="AC82" s="48"/>
      <c r="AD82" s="48"/>
      <c r="AE82" s="48"/>
      <c r="AF82" s="39"/>
      <c r="AG82" s="48"/>
      <c r="AH82" s="48"/>
      <c r="AI82" s="48"/>
      <c r="AJ82" s="48"/>
      <c r="AK82" s="48"/>
      <c r="AL82" s="39"/>
      <c r="AM82" s="48"/>
      <c r="AN82" s="48"/>
      <c r="AO82" s="48"/>
      <c r="AP82" s="48"/>
      <c r="AQ82" s="48"/>
      <c r="AR82" s="39"/>
      <c r="AS82" s="48"/>
      <c r="AT82" s="48"/>
      <c r="AU82" s="48"/>
      <c r="AV82" s="48"/>
      <c r="AW82" s="48"/>
      <c r="AX82" s="39"/>
      <c r="AY82" s="48"/>
      <c r="AZ82" s="48"/>
      <c r="BA82" s="48"/>
      <c r="BB82" s="48"/>
      <c r="BC82" s="48"/>
      <c r="BD82" s="39"/>
      <c r="BE82" s="48"/>
      <c r="BF82" s="48"/>
      <c r="BG82" s="48"/>
      <c r="BH82" s="48"/>
      <c r="BI82" s="48"/>
      <c r="BJ82" s="39"/>
      <c r="BK82" s="48"/>
      <c r="BL82" s="48"/>
      <c r="BM82" s="48"/>
      <c r="BN82" s="48"/>
      <c r="BO82" s="48"/>
      <c r="BP82" s="39"/>
      <c r="BQ82" s="48"/>
      <c r="BR82" s="48"/>
      <c r="BS82" s="48"/>
      <c r="BT82" s="48"/>
      <c r="BU82" s="48"/>
      <c r="BV82" s="39"/>
      <c r="BW82" s="48"/>
      <c r="BX82" s="48"/>
      <c r="BY82" s="48"/>
      <c r="BZ82" s="48"/>
      <c r="CA82" s="48"/>
      <c r="CB82" s="39"/>
      <c r="CC82" s="48"/>
      <c r="CD82" s="48"/>
      <c r="CE82" s="48"/>
      <c r="CF82" s="48"/>
      <c r="CG82" s="48"/>
      <c r="CH82" s="39"/>
      <c r="CI82" s="48"/>
      <c r="CJ82" s="48"/>
      <c r="CK82" s="48"/>
      <c r="CL82" s="48"/>
      <c r="CM82" s="48"/>
      <c r="CN82" s="39"/>
      <c r="CO82" s="48"/>
      <c r="CP82" s="48"/>
      <c r="CQ82" s="48"/>
      <c r="CR82" s="48"/>
      <c r="CS82" s="48"/>
      <c r="CT82" s="39"/>
      <c r="CU82" s="48"/>
      <c r="CV82" s="48"/>
      <c r="CW82" s="48"/>
      <c r="CX82" s="48"/>
      <c r="CY82" s="48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F82" s="48"/>
      <c r="EG82" s="48"/>
      <c r="EH82" s="48"/>
      <c r="EI82" s="48"/>
      <c r="EJ82" s="48"/>
      <c r="EK82" s="48"/>
      <c r="EL82" s="48"/>
      <c r="EM82" s="48"/>
      <c r="EN82" s="48"/>
      <c r="EO82" s="48"/>
      <c r="EP82" s="48"/>
      <c r="EQ82" s="48"/>
      <c r="ER82" s="48"/>
      <c r="ES82" s="48"/>
      <c r="ET82" s="48"/>
      <c r="EU82" s="48"/>
      <c r="EV82" s="48"/>
      <c r="EW82" s="48"/>
      <c r="EX82" s="48"/>
      <c r="EY82" s="48"/>
      <c r="EZ82" s="48"/>
      <c r="FA82" s="48"/>
      <c r="FB82" s="48"/>
      <c r="FC82" s="48"/>
      <c r="FD82" s="48"/>
      <c r="FE82" s="48"/>
      <c r="FF82" s="48"/>
      <c r="FG82" s="48"/>
      <c r="FH82" s="48"/>
      <c r="FI82" s="48"/>
      <c r="FJ82" s="48"/>
      <c r="FK82" s="48"/>
      <c r="FL82" s="48"/>
      <c r="FM82" s="48"/>
      <c r="FN82" s="48"/>
      <c r="FO82" s="48"/>
      <c r="FP82" s="48"/>
      <c r="FQ82" s="48"/>
      <c r="FR82" s="48"/>
      <c r="FS82" s="48"/>
      <c r="FT82" s="48"/>
    </row>
    <row r="83" spans="1:176" s="35" customFormat="1" x14ac:dyDescent="0.2">
      <c r="A83" s="777" t="s">
        <v>229</v>
      </c>
      <c r="B83" s="1564"/>
      <c r="C83" s="772"/>
      <c r="D83" s="773"/>
      <c r="E83" s="773"/>
      <c r="F83" s="774"/>
      <c r="G83" s="774"/>
      <c r="H83" s="773"/>
      <c r="I83" s="772"/>
      <c r="J83" s="773"/>
      <c r="K83" s="773"/>
      <c r="L83" s="774"/>
      <c r="M83" s="774"/>
      <c r="N83" s="773"/>
      <c r="O83" s="772"/>
      <c r="P83" s="773"/>
      <c r="Q83" s="773"/>
      <c r="R83" s="774"/>
      <c r="S83" s="774"/>
      <c r="T83" s="773"/>
      <c r="U83" s="772"/>
      <c r="V83" s="773"/>
      <c r="W83" s="773"/>
      <c r="X83" s="773"/>
      <c r="Y83" s="1577"/>
      <c r="Z83" s="773"/>
      <c r="AA83" s="772"/>
      <c r="AB83" s="773"/>
      <c r="AC83" s="773"/>
      <c r="AD83" s="773"/>
      <c r="AE83" s="1577"/>
      <c r="AF83" s="773"/>
      <c r="AG83" s="772"/>
      <c r="AH83" s="773"/>
      <c r="AI83" s="773"/>
      <c r="AJ83" s="773"/>
      <c r="AK83" s="1577"/>
      <c r="AL83" s="773"/>
      <c r="AM83" s="772"/>
      <c r="AN83" s="773"/>
      <c r="AO83" s="773"/>
      <c r="AP83" s="773"/>
      <c r="AQ83" s="1577"/>
      <c r="AR83" s="773"/>
      <c r="AS83" s="772"/>
      <c r="AT83" s="773"/>
      <c r="AU83" s="773"/>
      <c r="AV83" s="774"/>
      <c r="AW83" s="1577"/>
      <c r="AX83" s="773"/>
      <c r="AY83" s="772"/>
      <c r="AZ83" s="773"/>
      <c r="BA83" s="773"/>
      <c r="BB83" s="774"/>
      <c r="BC83" s="1577"/>
      <c r="BD83" s="1565"/>
      <c r="BE83" s="772"/>
      <c r="BF83" s="773"/>
      <c r="BG83" s="773"/>
      <c r="BH83" s="774"/>
      <c r="BI83" s="1577"/>
      <c r="BJ83" s="1565"/>
      <c r="BK83" s="772"/>
      <c r="BL83" s="773"/>
      <c r="BM83" s="773"/>
      <c r="BN83" s="1566"/>
      <c r="BO83" s="1578"/>
      <c r="BP83" s="1565"/>
      <c r="BQ83" s="772"/>
      <c r="BR83" s="773"/>
      <c r="BS83" s="773"/>
      <c r="BT83" s="774"/>
      <c r="BU83" s="1577"/>
      <c r="BV83" s="1565"/>
      <c r="BW83" s="772"/>
      <c r="BX83" s="773"/>
      <c r="BY83" s="773"/>
      <c r="BZ83" s="774"/>
      <c r="CA83" s="1577"/>
      <c r="CB83" s="1565"/>
      <c r="CC83" s="772"/>
      <c r="CD83" s="773"/>
      <c r="CE83" s="773"/>
      <c r="CF83" s="774"/>
      <c r="CG83" s="1577"/>
      <c r="CH83" s="1565"/>
      <c r="CI83" s="772"/>
      <c r="CJ83" s="773"/>
      <c r="CK83" s="773"/>
      <c r="CL83" s="774"/>
      <c r="CM83" s="1577"/>
      <c r="CN83" s="1565"/>
      <c r="CO83" s="772"/>
      <c r="CP83" s="773"/>
      <c r="CQ83" s="773"/>
      <c r="CR83" s="774"/>
      <c r="CS83" s="1577"/>
      <c r="CT83" s="1565"/>
      <c r="CU83" s="772"/>
      <c r="CV83" s="773"/>
      <c r="CW83" s="773"/>
      <c r="CX83" s="774"/>
      <c r="CY83" s="1577"/>
      <c r="EF83" s="48"/>
      <c r="EG83" s="48"/>
      <c r="EH83" s="48"/>
      <c r="EI83" s="48"/>
      <c r="EJ83" s="48"/>
      <c r="EK83" s="48"/>
      <c r="EL83" s="48"/>
      <c r="EM83" s="48"/>
      <c r="EN83" s="48"/>
      <c r="EO83" s="48"/>
      <c r="EP83" s="48"/>
      <c r="EQ83" s="48"/>
      <c r="ER83" s="48"/>
      <c r="ES83" s="48"/>
      <c r="ET83" s="48"/>
      <c r="EU83" s="48"/>
      <c r="EV83" s="48"/>
      <c r="EW83" s="48"/>
      <c r="EX83" s="48"/>
      <c r="EY83" s="48"/>
      <c r="EZ83" s="48"/>
      <c r="FA83" s="48"/>
      <c r="FB83" s="48"/>
      <c r="FC83" s="48"/>
      <c r="FD83" s="48"/>
      <c r="FE83" s="48"/>
      <c r="FF83" s="48"/>
      <c r="FG83" s="48"/>
      <c r="FH83" s="48"/>
      <c r="FI83" s="48"/>
      <c r="FJ83" s="48"/>
      <c r="FK83" s="48"/>
      <c r="FL83" s="48"/>
      <c r="FM83" s="48"/>
      <c r="FN83" s="48"/>
      <c r="FO83" s="48"/>
      <c r="FP83" s="48"/>
      <c r="FQ83" s="48"/>
      <c r="FR83" s="48"/>
      <c r="FS83" s="48"/>
      <c r="FT83" s="48"/>
    </row>
    <row r="84" spans="1:176" s="35" customFormat="1" x14ac:dyDescent="0.2">
      <c r="A84" s="27" t="s">
        <v>258</v>
      </c>
      <c r="B84" s="1501"/>
      <c r="C84" s="764"/>
      <c r="D84" s="765"/>
      <c r="E84" s="765"/>
      <c r="F84" s="765"/>
      <c r="G84" s="767"/>
      <c r="H84" s="765"/>
      <c r="I84" s="764">
        <v>0.09</v>
      </c>
      <c r="J84" s="765">
        <v>0.12</v>
      </c>
      <c r="K84" s="765">
        <v>0.15</v>
      </c>
      <c r="L84" s="765">
        <v>0.16</v>
      </c>
      <c r="M84" s="767">
        <v>0.13</v>
      </c>
      <c r="N84" s="765"/>
      <c r="O84" s="764">
        <v>0.22</v>
      </c>
      <c r="P84" s="765">
        <v>0.15</v>
      </c>
      <c r="Q84" s="765">
        <v>0.18</v>
      </c>
      <c r="R84" s="765">
        <v>0.14000000000000001</v>
      </c>
      <c r="S84" s="767">
        <v>0.17</v>
      </c>
      <c r="T84" s="765"/>
      <c r="U84" s="764">
        <v>0.11</v>
      </c>
      <c r="V84" s="765">
        <v>0.15</v>
      </c>
      <c r="W84" s="765">
        <v>0.45</v>
      </c>
      <c r="X84" s="765">
        <v>0.34</v>
      </c>
      <c r="Y84" s="767">
        <v>0.34</v>
      </c>
      <c r="Z84" s="765"/>
      <c r="AA84" s="764">
        <v>0.59</v>
      </c>
      <c r="AB84" s="765">
        <v>0.55000000000000004</v>
      </c>
      <c r="AC84" s="765">
        <v>0.23</v>
      </c>
      <c r="AD84" s="765">
        <v>0.34</v>
      </c>
      <c r="AE84" s="767">
        <v>0.34</v>
      </c>
      <c r="AF84" s="765"/>
      <c r="AG84" s="764">
        <v>0.1</v>
      </c>
      <c r="AH84" s="765">
        <v>0.12</v>
      </c>
      <c r="AI84" s="765">
        <v>0.16</v>
      </c>
      <c r="AJ84" s="765">
        <v>0.13</v>
      </c>
      <c r="AK84" s="767">
        <v>0.13</v>
      </c>
      <c r="AL84" s="765"/>
      <c r="AM84" s="764">
        <v>0.15</v>
      </c>
      <c r="AN84" s="765">
        <v>0.1</v>
      </c>
      <c r="AO84" s="765">
        <v>0.1</v>
      </c>
      <c r="AP84" s="766" t="s">
        <v>251</v>
      </c>
      <c r="AQ84" s="767">
        <v>0.12</v>
      </c>
      <c r="AR84" s="765"/>
      <c r="AS84" s="764">
        <v>-0.01</v>
      </c>
      <c r="AT84" s="765">
        <v>0.02</v>
      </c>
      <c r="AU84" s="765">
        <v>0</v>
      </c>
      <c r="AV84" s="766">
        <v>0.18</v>
      </c>
      <c r="AW84" s="767">
        <v>0.05</v>
      </c>
      <c r="AX84" s="1502"/>
      <c r="AY84" s="764">
        <v>0.14000000000000001</v>
      </c>
      <c r="AZ84" s="765">
        <v>0.12</v>
      </c>
      <c r="BA84" s="765">
        <v>0.1</v>
      </c>
      <c r="BB84" s="766">
        <v>0.04</v>
      </c>
      <c r="BC84" s="767">
        <v>0.1</v>
      </c>
      <c r="BD84" s="1503"/>
      <c r="BE84" s="764">
        <v>0.04</v>
      </c>
      <c r="BF84" s="765">
        <v>0.05</v>
      </c>
      <c r="BG84" s="1502">
        <v>0.08</v>
      </c>
      <c r="BH84" s="1579">
        <v>7.0000000000000007E-2</v>
      </c>
      <c r="BI84" s="424">
        <v>0.06</v>
      </c>
      <c r="BJ84" s="1503"/>
      <c r="BK84" s="764">
        <v>0.05</v>
      </c>
      <c r="BL84" s="765">
        <v>0.05</v>
      </c>
      <c r="BM84" s="765">
        <v>0.03</v>
      </c>
      <c r="BN84" s="1504">
        <v>0.02</v>
      </c>
      <c r="BO84" s="1528">
        <v>0.04</v>
      </c>
      <c r="BP84" s="1503"/>
      <c r="BQ84" s="764">
        <v>0.02</v>
      </c>
      <c r="BR84" s="765">
        <v>0.03</v>
      </c>
      <c r="BS84" s="765">
        <v>0.01</v>
      </c>
      <c r="BT84" s="1579">
        <v>0.05</v>
      </c>
      <c r="BU84" s="424">
        <v>0.03</v>
      </c>
      <c r="BV84" s="1503"/>
      <c r="BW84" s="764">
        <v>0.02</v>
      </c>
      <c r="BX84" s="765">
        <v>0.04</v>
      </c>
      <c r="BY84" s="765">
        <v>0.09</v>
      </c>
      <c r="BZ84" s="1579">
        <v>0.08</v>
      </c>
      <c r="CA84" s="424">
        <v>0.06</v>
      </c>
      <c r="CB84" s="1503"/>
      <c r="CC84" s="764">
        <v>7.0000000000000007E-2</v>
      </c>
      <c r="CD84" s="765">
        <v>0.08</v>
      </c>
      <c r="CE84" s="765">
        <v>0.08</v>
      </c>
      <c r="CF84" s="765">
        <v>0.06</v>
      </c>
      <c r="CG84" s="424">
        <v>7.0000000000000007E-2</v>
      </c>
      <c r="CH84" s="1503"/>
      <c r="CI84" s="764"/>
      <c r="CJ84" s="765"/>
      <c r="CK84" s="1502"/>
      <c r="CL84" s="1579"/>
      <c r="CM84" s="424"/>
      <c r="CN84" s="1503"/>
      <c r="CO84" s="764"/>
      <c r="CP84" s="765"/>
      <c r="CQ84" s="1502"/>
      <c r="CR84" s="1579"/>
      <c r="CS84" s="424"/>
      <c r="CT84" s="1503"/>
      <c r="CU84" s="764"/>
      <c r="CV84" s="765"/>
      <c r="CW84" s="1502"/>
      <c r="CX84" s="1579"/>
      <c r="CY84" s="424"/>
      <c r="EC84" s="48"/>
      <c r="EF84" s="48"/>
      <c r="EG84" s="48"/>
      <c r="EH84" s="48"/>
      <c r="EI84" s="48"/>
      <c r="EJ84" s="48"/>
      <c r="EK84" s="48"/>
      <c r="EL84" s="48"/>
      <c r="EM84" s="48"/>
      <c r="EN84" s="48"/>
      <c r="EO84" s="48"/>
      <c r="EP84" s="48"/>
      <c r="EQ84" s="48"/>
      <c r="ER84" s="48"/>
      <c r="ES84" s="48"/>
      <c r="ET84" s="48"/>
      <c r="EU84" s="48"/>
      <c r="EV84" s="48"/>
      <c r="EW84" s="48"/>
      <c r="EX84" s="48"/>
      <c r="EY84" s="48"/>
      <c r="EZ84" s="48"/>
      <c r="FA84" s="48"/>
      <c r="FB84" s="48"/>
      <c r="FC84" s="48"/>
      <c r="FD84" s="48"/>
      <c r="FE84" s="48"/>
      <c r="FF84" s="48"/>
      <c r="FG84" s="48"/>
      <c r="FH84" s="48"/>
      <c r="FI84" s="48"/>
      <c r="FJ84" s="48"/>
      <c r="FK84" s="48"/>
      <c r="FL84" s="48"/>
      <c r="FM84" s="48"/>
      <c r="FN84" s="48"/>
      <c r="FO84" s="48"/>
      <c r="FP84" s="48"/>
      <c r="FQ84" s="48"/>
      <c r="FR84" s="48"/>
      <c r="FS84" s="48"/>
      <c r="FT84" s="48"/>
    </row>
    <row r="85" spans="1:176" s="35" customFormat="1" x14ac:dyDescent="0.2">
      <c r="A85" s="27" t="s">
        <v>186</v>
      </c>
      <c r="B85" s="1501"/>
      <c r="C85" s="764"/>
      <c r="D85" s="765"/>
      <c r="E85" s="765"/>
      <c r="F85" s="765"/>
      <c r="G85" s="767"/>
      <c r="H85" s="765"/>
      <c r="I85" s="764">
        <v>0.05</v>
      </c>
      <c r="J85" s="765">
        <v>0.03</v>
      </c>
      <c r="K85" s="765">
        <v>-0.14000000000000001</v>
      </c>
      <c r="L85" s="765">
        <v>0.02</v>
      </c>
      <c r="M85" s="767">
        <v>-0.01</v>
      </c>
      <c r="N85" s="765"/>
      <c r="O85" s="764">
        <v>7.0000000000000007E-2</v>
      </c>
      <c r="P85" s="765">
        <v>0.03</v>
      </c>
      <c r="Q85" s="765">
        <v>0.13</v>
      </c>
      <c r="R85" s="765">
        <v>0.47</v>
      </c>
      <c r="S85" s="767">
        <v>0.18</v>
      </c>
      <c r="T85" s="765"/>
      <c r="U85" s="764">
        <v>0.4</v>
      </c>
      <c r="V85" s="765">
        <v>0.28999999999999998</v>
      </c>
      <c r="W85" s="765">
        <v>0.39</v>
      </c>
      <c r="X85" s="765">
        <v>0.35</v>
      </c>
      <c r="Y85" s="767">
        <v>0.35</v>
      </c>
      <c r="Z85" s="765"/>
      <c r="AA85" s="764">
        <v>0.03</v>
      </c>
      <c r="AB85" s="765">
        <v>0.3</v>
      </c>
      <c r="AC85" s="765">
        <v>0.83</v>
      </c>
      <c r="AD85" s="765">
        <v>0.52</v>
      </c>
      <c r="AE85" s="767">
        <v>0.52</v>
      </c>
      <c r="AF85" s="765"/>
      <c r="AG85" s="764">
        <v>0.93</v>
      </c>
      <c r="AH85" s="765">
        <v>0.83</v>
      </c>
      <c r="AI85" s="765">
        <v>0.23</v>
      </c>
      <c r="AJ85" s="765">
        <v>0.42</v>
      </c>
      <c r="AK85" s="767">
        <v>0.42</v>
      </c>
      <c r="AL85" s="765"/>
      <c r="AM85" s="764">
        <v>0.37</v>
      </c>
      <c r="AN85" s="765">
        <v>0.1</v>
      </c>
      <c r="AO85" s="765">
        <v>-0.05</v>
      </c>
      <c r="AP85" s="766" t="s">
        <v>251</v>
      </c>
      <c r="AQ85" s="767">
        <v>0.12</v>
      </c>
      <c r="AR85" s="765"/>
      <c r="AS85" s="764">
        <v>-0.09</v>
      </c>
      <c r="AT85" s="765">
        <v>-7.0000000000000007E-2</v>
      </c>
      <c r="AU85" s="765">
        <v>0.08</v>
      </c>
      <c r="AV85" s="766">
        <v>0.11</v>
      </c>
      <c r="AW85" s="767">
        <v>0.01</v>
      </c>
      <c r="AX85" s="1502"/>
      <c r="AY85" s="764">
        <v>0.05</v>
      </c>
      <c r="AZ85" s="765">
        <v>0.28000000000000003</v>
      </c>
      <c r="BA85" s="765">
        <v>0.04</v>
      </c>
      <c r="BB85" s="766">
        <v>7.0000000000000007E-2</v>
      </c>
      <c r="BC85" s="767">
        <v>0.11</v>
      </c>
      <c r="BD85" s="1503"/>
      <c r="BE85" s="764">
        <v>-0.03</v>
      </c>
      <c r="BF85" s="765">
        <v>-0.08</v>
      </c>
      <c r="BG85" s="1502">
        <v>0</v>
      </c>
      <c r="BH85" s="1579">
        <v>-0.05</v>
      </c>
      <c r="BI85" s="424">
        <v>-0.04</v>
      </c>
      <c r="BJ85" s="1503"/>
      <c r="BK85" s="764">
        <v>0.03</v>
      </c>
      <c r="BL85" s="765">
        <v>-0.05</v>
      </c>
      <c r="BM85" s="765">
        <v>0.11</v>
      </c>
      <c r="BN85" s="1504">
        <v>0.18</v>
      </c>
      <c r="BO85" s="1528">
        <v>0.08</v>
      </c>
      <c r="BP85" s="1503"/>
      <c r="BQ85" s="764">
        <v>0.09</v>
      </c>
      <c r="BR85" s="765">
        <v>0.14000000000000001</v>
      </c>
      <c r="BS85" s="765">
        <v>0.04</v>
      </c>
      <c r="BT85" s="1579">
        <v>-0.04</v>
      </c>
      <c r="BU85" s="424">
        <v>0.05</v>
      </c>
      <c r="BV85" s="1503"/>
      <c r="BW85" s="764">
        <v>0.06</v>
      </c>
      <c r="BX85" s="765">
        <v>0.04</v>
      </c>
      <c r="BY85" s="765">
        <v>0.03</v>
      </c>
      <c r="BZ85" s="1579">
        <v>0.06</v>
      </c>
      <c r="CA85" s="424">
        <v>0.05</v>
      </c>
      <c r="CB85" s="1503"/>
      <c r="CC85" s="764">
        <v>-0.03</v>
      </c>
      <c r="CD85" s="765">
        <v>-0.04</v>
      </c>
      <c r="CE85" s="765">
        <v>0.02</v>
      </c>
      <c r="CF85" s="765">
        <v>0.06</v>
      </c>
      <c r="CG85" s="424">
        <v>0.01</v>
      </c>
      <c r="CH85" s="1503"/>
      <c r="CI85" s="764"/>
      <c r="CJ85" s="765"/>
      <c r="CK85" s="1502"/>
      <c r="CL85" s="1579"/>
      <c r="CM85" s="424"/>
      <c r="CN85" s="1503"/>
      <c r="CO85" s="764"/>
      <c r="CP85" s="765"/>
      <c r="CQ85" s="1502"/>
      <c r="CR85" s="1579"/>
      <c r="CS85" s="424"/>
      <c r="CT85" s="1503"/>
      <c r="CU85" s="764"/>
      <c r="CV85" s="765"/>
      <c r="CW85" s="1502"/>
      <c r="CX85" s="1579"/>
      <c r="CY85" s="424"/>
      <c r="EF85" s="48"/>
      <c r="EG85" s="48"/>
      <c r="EH85" s="48"/>
      <c r="EI85" s="48"/>
      <c r="EJ85" s="48"/>
      <c r="EK85" s="48"/>
      <c r="EL85" s="48"/>
      <c r="EM85" s="48"/>
      <c r="EN85" s="48"/>
      <c r="EO85" s="48"/>
      <c r="EP85" s="48"/>
      <c r="EQ85" s="48"/>
      <c r="ER85" s="48"/>
      <c r="ES85" s="48"/>
      <c r="ET85" s="48"/>
      <c r="EU85" s="48"/>
      <c r="EV85" s="48"/>
      <c r="EW85" s="48"/>
      <c r="EX85" s="48"/>
      <c r="EY85" s="48"/>
      <c r="EZ85" s="48"/>
      <c r="FA85" s="48"/>
      <c r="FB85" s="48"/>
      <c r="FC85" s="48"/>
      <c r="FD85" s="48"/>
      <c r="FE85" s="48"/>
      <c r="FF85" s="48"/>
      <c r="FG85" s="48"/>
      <c r="FH85" s="48"/>
      <c r="FI85" s="48"/>
      <c r="FJ85" s="48"/>
      <c r="FK85" s="48"/>
      <c r="FL85" s="48"/>
      <c r="FM85" s="48"/>
      <c r="FN85" s="48"/>
      <c r="FO85" s="48"/>
      <c r="FP85" s="48"/>
      <c r="FQ85" s="48"/>
      <c r="FR85" s="48"/>
      <c r="FS85" s="48"/>
      <c r="FT85" s="48"/>
    </row>
    <row r="86" spans="1:176" s="35" customFormat="1" x14ac:dyDescent="0.2">
      <c r="A86" s="27" t="s">
        <v>237</v>
      </c>
      <c r="B86" s="1501"/>
      <c r="C86" s="764"/>
      <c r="D86" s="765"/>
      <c r="E86" s="765"/>
      <c r="F86" s="765"/>
      <c r="G86" s="767"/>
      <c r="H86" s="765"/>
      <c r="I86" s="764"/>
      <c r="J86" s="765"/>
      <c r="K86" s="765"/>
      <c r="L86" s="765"/>
      <c r="M86" s="767"/>
      <c r="N86" s="765"/>
      <c r="O86" s="764"/>
      <c r="P86" s="765"/>
      <c r="Q86" s="765"/>
      <c r="R86" s="765"/>
      <c r="S86" s="767"/>
      <c r="T86" s="765"/>
      <c r="U86" s="764"/>
      <c r="V86" s="765"/>
      <c r="W86" s="765"/>
      <c r="X86" s="765"/>
      <c r="Y86" s="767"/>
      <c r="Z86" s="765"/>
      <c r="AA86" s="764"/>
      <c r="AB86" s="765"/>
      <c r="AC86" s="765"/>
      <c r="AD86" s="765"/>
      <c r="AE86" s="767"/>
      <c r="AF86" s="765"/>
      <c r="AG86" s="764" t="s">
        <v>251</v>
      </c>
      <c r="AH86" s="765" t="s">
        <v>251</v>
      </c>
      <c r="AI86" s="765" t="s">
        <v>251</v>
      </c>
      <c r="AJ86" s="766" t="s">
        <v>251</v>
      </c>
      <c r="AK86" s="424" t="s">
        <v>251</v>
      </c>
      <c r="AL86" s="765"/>
      <c r="AM86" s="764" t="s">
        <v>251</v>
      </c>
      <c r="AN86" s="765" t="s">
        <v>251</v>
      </c>
      <c r="AO86" s="765" t="s">
        <v>251</v>
      </c>
      <c r="AP86" s="766" t="s">
        <v>251</v>
      </c>
      <c r="AQ86" s="424" t="s">
        <v>251</v>
      </c>
      <c r="AR86" s="765"/>
      <c r="AS86" s="764" t="s">
        <v>251</v>
      </c>
      <c r="AT86" s="765" t="s">
        <v>251</v>
      </c>
      <c r="AU86" s="765" t="s">
        <v>251</v>
      </c>
      <c r="AV86" s="766" t="s">
        <v>251</v>
      </c>
      <c r="AW86" s="424" t="s">
        <v>251</v>
      </c>
      <c r="AX86" s="1502"/>
      <c r="AY86" s="764" t="s">
        <v>251</v>
      </c>
      <c r="AZ86" s="765" t="s">
        <v>251</v>
      </c>
      <c r="BA86" s="765" t="s">
        <v>251</v>
      </c>
      <c r="BB86" s="766" t="s">
        <v>251</v>
      </c>
      <c r="BC86" s="424" t="s">
        <v>251</v>
      </c>
      <c r="BD86" s="1503"/>
      <c r="BE86" s="764">
        <v>0.01</v>
      </c>
      <c r="BF86" s="765">
        <v>0.01</v>
      </c>
      <c r="BG86" s="1580">
        <v>0.03</v>
      </c>
      <c r="BH86" s="1579">
        <v>0.02</v>
      </c>
      <c r="BI86" s="424">
        <v>2.5000000000000001E-2</v>
      </c>
      <c r="BJ86" s="1503"/>
      <c r="BK86" s="764" t="s">
        <v>251</v>
      </c>
      <c r="BL86" s="1504" t="s">
        <v>251</v>
      </c>
      <c r="BM86" s="1504" t="s">
        <v>251</v>
      </c>
      <c r="BN86" s="1504" t="s">
        <v>251</v>
      </c>
      <c r="BO86" s="1528" t="s">
        <v>251</v>
      </c>
      <c r="BP86" s="1503"/>
      <c r="BQ86" s="764" t="s">
        <v>251</v>
      </c>
      <c r="BR86" s="1504" t="s">
        <v>251</v>
      </c>
      <c r="BS86" s="1504" t="s">
        <v>251</v>
      </c>
      <c r="BT86" s="1504" t="s">
        <v>251</v>
      </c>
      <c r="BU86" s="1528" t="s">
        <v>251</v>
      </c>
      <c r="BV86" s="1503"/>
      <c r="BW86" s="764" t="s">
        <v>251</v>
      </c>
      <c r="BX86" s="1504" t="s">
        <v>251</v>
      </c>
      <c r="BY86" s="1504" t="s">
        <v>251</v>
      </c>
      <c r="BZ86" s="1504" t="s">
        <v>251</v>
      </c>
      <c r="CA86" s="1528" t="s">
        <v>251</v>
      </c>
      <c r="CB86" s="1503"/>
      <c r="CC86" s="764" t="s">
        <v>251</v>
      </c>
      <c r="CD86" s="1504" t="s">
        <v>251</v>
      </c>
      <c r="CE86" s="1504" t="s">
        <v>251</v>
      </c>
      <c r="CF86" s="1504" t="s">
        <v>251</v>
      </c>
      <c r="CG86" s="1528" t="s">
        <v>251</v>
      </c>
      <c r="CH86" s="1503"/>
      <c r="CI86" s="764"/>
      <c r="CJ86" s="765"/>
      <c r="CK86" s="1502"/>
      <c r="CL86" s="1579"/>
      <c r="CM86" s="424"/>
      <c r="CN86" s="1503"/>
      <c r="CO86" s="764"/>
      <c r="CP86" s="765"/>
      <c r="CQ86" s="1502"/>
      <c r="CR86" s="1579"/>
      <c r="CS86" s="424"/>
      <c r="CT86" s="1503"/>
      <c r="CU86" s="764"/>
      <c r="CV86" s="765"/>
      <c r="CW86" s="1502"/>
      <c r="CX86" s="1579"/>
      <c r="CY86" s="424"/>
      <c r="EF86" s="48"/>
      <c r="EG86" s="48"/>
      <c r="EH86" s="48"/>
      <c r="EI86" s="48"/>
      <c r="EJ86" s="48"/>
      <c r="EK86" s="48"/>
      <c r="EL86" s="48"/>
      <c r="EM86" s="48"/>
      <c r="EN86" s="48"/>
      <c r="EO86" s="48"/>
      <c r="EP86" s="48"/>
      <c r="EQ86" s="48"/>
      <c r="ER86" s="48"/>
      <c r="ES86" s="48"/>
      <c r="ET86" s="48"/>
      <c r="EU86" s="48"/>
      <c r="EV86" s="48"/>
      <c r="EW86" s="48"/>
      <c r="EX86" s="48"/>
      <c r="EY86" s="48"/>
      <c r="EZ86" s="48"/>
      <c r="FA86" s="48"/>
      <c r="FB86" s="48"/>
      <c r="FC86" s="48"/>
      <c r="FD86" s="48"/>
      <c r="FE86" s="48"/>
      <c r="FF86" s="48"/>
      <c r="FG86" s="48"/>
      <c r="FH86" s="48"/>
      <c r="FI86" s="48"/>
      <c r="FJ86" s="48"/>
      <c r="FK86" s="48"/>
      <c r="FL86" s="48"/>
      <c r="FM86" s="48"/>
      <c r="FN86" s="48"/>
      <c r="FO86" s="48"/>
      <c r="FP86" s="48"/>
      <c r="FQ86" s="48"/>
      <c r="FR86" s="48"/>
      <c r="FS86" s="48"/>
      <c r="FT86" s="48"/>
    </row>
    <row r="87" spans="1:176" x14ac:dyDescent="0.2">
      <c r="A87" s="787" t="s">
        <v>47</v>
      </c>
      <c r="B87" s="1506"/>
      <c r="C87" s="1507"/>
      <c r="D87" s="1508"/>
      <c r="E87" s="1508"/>
      <c r="F87" s="1508"/>
      <c r="G87" s="1509"/>
      <c r="H87" s="1508"/>
      <c r="I87" s="1507">
        <v>-0.01</v>
      </c>
      <c r="J87" s="1508">
        <v>-0.2</v>
      </c>
      <c r="K87" s="1508">
        <v>-0.56000000000000005</v>
      </c>
      <c r="L87" s="1508">
        <v>0.3</v>
      </c>
      <c r="M87" s="1509">
        <v>-0.11749999999999999</v>
      </c>
      <c r="N87" s="1508"/>
      <c r="O87" s="1507">
        <v>-7.0000000000000007E-2</v>
      </c>
      <c r="P87" s="1508">
        <v>-0.04</v>
      </c>
      <c r="Q87" s="1508">
        <v>0.11</v>
      </c>
      <c r="R87" s="1508">
        <v>-0.51</v>
      </c>
      <c r="S87" s="1509">
        <v>-0.16</v>
      </c>
      <c r="T87" s="1508"/>
      <c r="U87" s="1507">
        <v>-0.15</v>
      </c>
      <c r="V87" s="1508">
        <v>-0.23</v>
      </c>
      <c r="W87" s="1508">
        <v>0.9</v>
      </c>
      <c r="X87" s="1508">
        <v>0.22</v>
      </c>
      <c r="Y87" s="1509">
        <v>0.22</v>
      </c>
      <c r="Z87" s="1508"/>
      <c r="AA87" s="1507">
        <v>0.59</v>
      </c>
      <c r="AB87" s="1508">
        <v>0.26</v>
      </c>
      <c r="AC87" s="1508">
        <v>-0.56999999999999995</v>
      </c>
      <c r="AD87" s="1508">
        <v>-0.22</v>
      </c>
      <c r="AE87" s="1509">
        <v>-0.22</v>
      </c>
      <c r="AF87" s="1508"/>
      <c r="AG87" s="1507">
        <v>-0.46</v>
      </c>
      <c r="AH87" s="1508">
        <v>-0.28000000000000003</v>
      </c>
      <c r="AI87" s="1508">
        <v>-0.09</v>
      </c>
      <c r="AJ87" s="1508">
        <v>0</v>
      </c>
      <c r="AK87" s="1509">
        <v>0</v>
      </c>
      <c r="AL87" s="1508"/>
      <c r="AM87" s="1507" t="s">
        <v>251</v>
      </c>
      <c r="AN87" s="1508" t="s">
        <v>251</v>
      </c>
      <c r="AO87" s="1508" t="s">
        <v>251</v>
      </c>
      <c r="AP87" s="1581" t="s">
        <v>251</v>
      </c>
      <c r="AQ87" s="1510" t="s">
        <v>251</v>
      </c>
      <c r="AR87" s="1511"/>
      <c r="AS87" s="1507" t="s">
        <v>251</v>
      </c>
      <c r="AT87" s="1508" t="s">
        <v>251</v>
      </c>
      <c r="AU87" s="1508" t="s">
        <v>251</v>
      </c>
      <c r="AV87" s="1581" t="s">
        <v>251</v>
      </c>
      <c r="AW87" s="1510" t="s">
        <v>251</v>
      </c>
      <c r="AX87" s="1508"/>
      <c r="AY87" s="1507" t="s">
        <v>251</v>
      </c>
      <c r="AZ87" s="1508" t="s">
        <v>251</v>
      </c>
      <c r="BA87" s="1508" t="s">
        <v>251</v>
      </c>
      <c r="BB87" s="1581" t="s">
        <v>251</v>
      </c>
      <c r="BC87" s="1510" t="s">
        <v>251</v>
      </c>
      <c r="BD87" s="1512"/>
      <c r="BE87" s="1507" t="s">
        <v>251</v>
      </c>
      <c r="BF87" s="1508" t="s">
        <v>251</v>
      </c>
      <c r="BG87" s="1508" t="s">
        <v>251</v>
      </c>
      <c r="BH87" s="1582" t="s">
        <v>251</v>
      </c>
      <c r="BI87" s="1510" t="s">
        <v>251</v>
      </c>
      <c r="BJ87" s="1512"/>
      <c r="BK87" s="1507" t="s">
        <v>251</v>
      </c>
      <c r="BL87" s="1513" t="s">
        <v>251</v>
      </c>
      <c r="BM87" s="1513" t="s">
        <v>251</v>
      </c>
      <c r="BN87" s="1513" t="s">
        <v>251</v>
      </c>
      <c r="BO87" s="1583" t="s">
        <v>251</v>
      </c>
      <c r="BP87" s="1512"/>
      <c r="BQ87" s="1507" t="s">
        <v>251</v>
      </c>
      <c r="BR87" s="1513" t="s">
        <v>251</v>
      </c>
      <c r="BS87" s="1513" t="s">
        <v>251</v>
      </c>
      <c r="BT87" s="1513" t="s">
        <v>251</v>
      </c>
      <c r="BU87" s="1583" t="s">
        <v>251</v>
      </c>
      <c r="BV87" s="1512"/>
      <c r="BW87" s="1507" t="s">
        <v>251</v>
      </c>
      <c r="BX87" s="1513" t="s">
        <v>251</v>
      </c>
      <c r="BY87" s="1513" t="s">
        <v>251</v>
      </c>
      <c r="BZ87" s="1513" t="s">
        <v>251</v>
      </c>
      <c r="CA87" s="1583" t="s">
        <v>251</v>
      </c>
      <c r="CB87" s="1512"/>
      <c r="CC87" s="1507" t="s">
        <v>251</v>
      </c>
      <c r="CD87" s="1513" t="s">
        <v>251</v>
      </c>
      <c r="CE87" s="1513" t="s">
        <v>251</v>
      </c>
      <c r="CF87" s="1513" t="s">
        <v>251</v>
      </c>
      <c r="CG87" s="1583" t="s">
        <v>251</v>
      </c>
      <c r="CH87" s="1512"/>
      <c r="CI87" s="1507"/>
      <c r="CJ87" s="1508"/>
      <c r="CK87" s="1511"/>
      <c r="CL87" s="1582"/>
      <c r="CM87" s="1510"/>
      <c r="CN87" s="1512"/>
      <c r="CO87" s="1507"/>
      <c r="CP87" s="1508"/>
      <c r="CQ87" s="1511"/>
      <c r="CR87" s="1582"/>
      <c r="CS87" s="1510"/>
      <c r="CT87" s="1512"/>
      <c r="CU87" s="1507"/>
      <c r="CV87" s="1508"/>
      <c r="CW87" s="1511"/>
      <c r="CX87" s="1582"/>
      <c r="CY87" s="1510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</row>
    <row r="88" spans="1:176" s="2" customFormat="1" collapsed="1" x14ac:dyDescent="0.2">
      <c r="A88" s="48"/>
      <c r="B88" s="498"/>
      <c r="C88" s="771"/>
      <c r="D88" s="771"/>
      <c r="E88" s="771"/>
      <c r="F88" s="498"/>
      <c r="G88" s="498"/>
      <c r="H88" s="498"/>
      <c r="I88" s="771"/>
      <c r="J88" s="771"/>
      <c r="K88" s="771"/>
      <c r="L88" s="498"/>
      <c r="M88" s="498"/>
      <c r="N88" s="498"/>
      <c r="O88" s="498"/>
      <c r="P88" s="498"/>
      <c r="Q88" s="498"/>
      <c r="R88" s="498"/>
      <c r="S88" s="771"/>
      <c r="T88" s="498"/>
      <c r="U88" s="771"/>
      <c r="V88" s="771"/>
      <c r="W88" s="771"/>
      <c r="X88" s="771"/>
      <c r="Y88" s="771"/>
      <c r="Z88" s="498"/>
      <c r="AA88" s="771"/>
      <c r="AB88" s="771"/>
      <c r="AC88" s="771"/>
      <c r="AD88" s="771"/>
      <c r="AE88" s="771"/>
      <c r="AF88" s="498"/>
      <c r="AG88" s="771"/>
      <c r="AH88" s="771"/>
      <c r="AI88" s="771"/>
      <c r="AJ88" s="771"/>
      <c r="AK88" s="771"/>
      <c r="AL88" s="498"/>
      <c r="AM88" s="771"/>
      <c r="AN88" s="771"/>
      <c r="AO88" s="771"/>
      <c r="AP88" s="771"/>
      <c r="AQ88" s="771"/>
      <c r="AR88" s="498"/>
      <c r="AS88" s="771"/>
      <c r="AT88" s="771"/>
      <c r="AU88" s="771"/>
      <c r="AV88" s="771"/>
      <c r="AW88" s="771"/>
      <c r="AX88" s="498"/>
      <c r="AY88" s="771"/>
      <c r="AZ88" s="771"/>
      <c r="BA88" s="771"/>
      <c r="BB88" s="771"/>
      <c r="BC88" s="771"/>
      <c r="BD88" s="498"/>
      <c r="BE88" s="771"/>
      <c r="BF88" s="771"/>
      <c r="BG88" s="771"/>
      <c r="BH88" s="771"/>
      <c r="BI88" s="771"/>
      <c r="BJ88" s="498"/>
      <c r="BK88" s="771"/>
      <c r="BL88" s="771"/>
      <c r="BM88" s="771"/>
      <c r="BN88" s="771"/>
      <c r="BO88" s="771"/>
      <c r="BP88" s="498"/>
      <c r="BQ88" s="1488">
        <f t="shared" ref="BQ88:CE88" si="279">+BQ85+BK85</f>
        <v>0.12</v>
      </c>
      <c r="BR88" s="1488">
        <f t="shared" si="279"/>
        <v>9.0000000000000011E-2</v>
      </c>
      <c r="BS88" s="1488">
        <f t="shared" si="279"/>
        <v>0.15</v>
      </c>
      <c r="BT88" s="1488">
        <f t="shared" si="279"/>
        <v>0.13999999999999999</v>
      </c>
      <c r="BU88" s="1488">
        <f t="shared" si="279"/>
        <v>0.13</v>
      </c>
      <c r="BV88" s="1488">
        <f t="shared" si="279"/>
        <v>0</v>
      </c>
      <c r="BW88" s="1488">
        <f t="shared" si="279"/>
        <v>0.15</v>
      </c>
      <c r="BX88" s="1488">
        <f t="shared" si="279"/>
        <v>0.18000000000000002</v>
      </c>
      <c r="BY88" s="1488">
        <f t="shared" si="279"/>
        <v>7.0000000000000007E-2</v>
      </c>
      <c r="BZ88" s="1488">
        <f t="shared" si="279"/>
        <v>1.9999999999999997E-2</v>
      </c>
      <c r="CA88" s="1488">
        <f t="shared" si="279"/>
        <v>0.1</v>
      </c>
      <c r="CB88" s="1488">
        <f t="shared" si="279"/>
        <v>0</v>
      </c>
      <c r="CC88" s="1488">
        <f t="shared" si="279"/>
        <v>0.03</v>
      </c>
      <c r="CD88" s="1488">
        <f t="shared" si="279"/>
        <v>0</v>
      </c>
      <c r="CE88" s="1488">
        <f t="shared" si="279"/>
        <v>0.05</v>
      </c>
      <c r="CF88" s="1488">
        <f>+CF85+BZ85</f>
        <v>0.12</v>
      </c>
      <c r="CG88" s="771"/>
      <c r="CH88" s="498"/>
      <c r="CI88" s="771"/>
      <c r="CJ88" s="771"/>
      <c r="CK88" s="771"/>
      <c r="CL88" s="771"/>
      <c r="CM88" s="771"/>
      <c r="CN88" s="498"/>
      <c r="CO88" s="771"/>
      <c r="CP88" s="771"/>
      <c r="CQ88" s="771"/>
      <c r="CR88" s="771"/>
      <c r="CS88" s="771"/>
      <c r="CT88" s="498"/>
      <c r="CU88" s="771"/>
      <c r="CV88" s="771"/>
      <c r="CW88" s="771"/>
      <c r="CX88" s="771"/>
      <c r="CY88" s="771"/>
      <c r="DD88" s="48"/>
      <c r="DE88" s="48"/>
      <c r="DF88" s="48"/>
      <c r="DG88" s="48"/>
      <c r="DH88" s="48"/>
      <c r="DI88" s="48"/>
      <c r="DJ88" s="48"/>
      <c r="DK88" s="48"/>
      <c r="DL88" s="48"/>
      <c r="DM88" s="48"/>
      <c r="DN88" s="48"/>
      <c r="DO88" s="48"/>
      <c r="DP88" s="48"/>
      <c r="DQ88" s="48"/>
      <c r="DR88" s="48"/>
      <c r="DS88" s="48"/>
      <c r="DT88" s="48"/>
      <c r="DU88" s="48"/>
      <c r="DV88" s="48"/>
      <c r="DW88" s="48"/>
      <c r="DX88" s="48"/>
      <c r="DY88" s="48"/>
      <c r="DZ88" s="48"/>
      <c r="EA88" s="48"/>
      <c r="EB88" s="48"/>
      <c r="EC88" s="35"/>
      <c r="EF88" s="48"/>
      <c r="EG88" s="48"/>
      <c r="EH88" s="48"/>
      <c r="EI88" s="48"/>
      <c r="EJ88" s="48"/>
      <c r="EK88" s="48"/>
      <c r="EL88" s="48"/>
      <c r="EM88" s="48"/>
      <c r="EN88" s="48"/>
      <c r="EO88" s="48"/>
      <c r="EP88" s="48"/>
      <c r="EQ88" s="48"/>
      <c r="ER88" s="48"/>
      <c r="ES88" s="48"/>
      <c r="ET88" s="48"/>
      <c r="EU88" s="48"/>
      <c r="EV88" s="48"/>
      <c r="EW88" s="48"/>
      <c r="EX88" s="48"/>
      <c r="EY88" s="48"/>
      <c r="EZ88" s="48"/>
      <c r="FA88" s="48"/>
      <c r="FB88" s="48"/>
      <c r="FC88" s="48"/>
      <c r="FD88" s="48"/>
      <c r="FE88" s="48"/>
      <c r="FF88" s="48"/>
      <c r="FG88" s="48"/>
      <c r="FH88" s="48"/>
      <c r="FI88" s="48"/>
      <c r="FJ88" s="48"/>
      <c r="FK88" s="48"/>
      <c r="FL88" s="48"/>
      <c r="FM88" s="48"/>
      <c r="FN88" s="48"/>
      <c r="FO88" s="48"/>
      <c r="FP88" s="48"/>
      <c r="FQ88" s="48"/>
      <c r="FR88" s="48"/>
      <c r="FS88" s="48"/>
      <c r="FT88" s="48"/>
    </row>
    <row r="89" spans="1:176" s="35" customFormat="1" x14ac:dyDescent="0.2">
      <c r="A89" s="777" t="s">
        <v>313</v>
      </c>
      <c r="B89" s="1564"/>
      <c r="C89" s="772"/>
      <c r="D89" s="773"/>
      <c r="E89" s="773"/>
      <c r="F89" s="774"/>
      <c r="G89" s="774"/>
      <c r="H89" s="773"/>
      <c r="I89" s="772"/>
      <c r="J89" s="773"/>
      <c r="K89" s="773"/>
      <c r="L89" s="774"/>
      <c r="M89" s="774"/>
      <c r="N89" s="773"/>
      <c r="O89" s="772"/>
      <c r="P89" s="773"/>
      <c r="Q89" s="773"/>
      <c r="R89" s="774"/>
      <c r="S89" s="774"/>
      <c r="T89" s="773"/>
      <c r="U89" s="772"/>
      <c r="V89" s="773"/>
      <c r="W89" s="773"/>
      <c r="X89" s="773"/>
      <c r="Y89" s="1577"/>
      <c r="Z89" s="773"/>
      <c r="AA89" s="772"/>
      <c r="AB89" s="773"/>
      <c r="AC89" s="773"/>
      <c r="AD89" s="773"/>
      <c r="AE89" s="1577"/>
      <c r="AF89" s="773"/>
      <c r="AG89" s="772"/>
      <c r="AH89" s="773"/>
      <c r="AI89" s="773"/>
      <c r="AJ89" s="773"/>
      <c r="AK89" s="1577"/>
      <c r="AL89" s="773"/>
      <c r="AM89" s="772"/>
      <c r="AN89" s="773"/>
      <c r="AO89" s="773"/>
      <c r="AP89" s="773"/>
      <c r="AQ89" s="1577"/>
      <c r="AR89" s="773"/>
      <c r="AS89" s="772"/>
      <c r="AT89" s="773"/>
      <c r="AU89" s="773"/>
      <c r="AV89" s="774"/>
      <c r="AW89" s="1577"/>
      <c r="AX89" s="773"/>
      <c r="AY89" s="772"/>
      <c r="AZ89" s="773"/>
      <c r="BA89" s="773"/>
      <c r="BB89" s="774"/>
      <c r="BC89" s="1577"/>
      <c r="BD89" s="1565"/>
      <c r="BE89" s="772"/>
      <c r="BF89" s="773"/>
      <c r="BG89" s="773"/>
      <c r="BH89" s="774"/>
      <c r="BI89" s="1577"/>
      <c r="BJ89" s="1565"/>
      <c r="BK89" s="772"/>
      <c r="BL89" s="773"/>
      <c r="BM89" s="773"/>
      <c r="BN89" s="1566"/>
      <c r="BO89" s="1578"/>
      <c r="BP89" s="1565"/>
      <c r="BQ89" s="772"/>
      <c r="BR89" s="773"/>
      <c r="BS89" s="773"/>
      <c r="BT89" s="774"/>
      <c r="BU89" s="1577"/>
      <c r="BV89" s="1565"/>
      <c r="BW89" s="772"/>
      <c r="BX89" s="773"/>
      <c r="BY89" s="773"/>
      <c r="BZ89" s="774"/>
      <c r="CA89" s="1577"/>
      <c r="CB89" s="1565"/>
      <c r="CC89" s="772"/>
      <c r="CD89" s="773"/>
      <c r="CE89" s="773"/>
      <c r="CF89" s="773"/>
      <c r="CG89" s="1577"/>
      <c r="CH89" s="1565"/>
      <c r="CI89" s="772"/>
      <c r="CJ89" s="773"/>
      <c r="CK89" s="773"/>
      <c r="CL89" s="774"/>
      <c r="CM89" s="1577"/>
      <c r="CN89" s="1565"/>
      <c r="CO89" s="772"/>
      <c r="CP89" s="773"/>
      <c r="CQ89" s="773"/>
      <c r="CR89" s="774"/>
      <c r="CS89" s="1577"/>
      <c r="CT89" s="1565"/>
      <c r="CU89" s="772"/>
      <c r="CV89" s="773"/>
      <c r="CW89" s="773"/>
      <c r="CX89" s="774"/>
      <c r="CY89" s="1577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F89" s="48"/>
      <c r="EG89" s="48"/>
      <c r="EH89" s="48"/>
      <c r="EI89" s="48"/>
      <c r="EJ89" s="48"/>
      <c r="EK89" s="48"/>
      <c r="EL89" s="48"/>
      <c r="EM89" s="48"/>
      <c r="EN89" s="48"/>
      <c r="EO89" s="48"/>
      <c r="EP89" s="48"/>
      <c r="EQ89" s="48"/>
      <c r="ER89" s="48"/>
      <c r="ES89" s="48"/>
      <c r="ET89" s="48"/>
      <c r="EU89" s="48"/>
      <c r="EV89" s="48"/>
      <c r="EW89" s="48"/>
      <c r="EX89" s="48"/>
      <c r="EY89" s="48"/>
      <c r="EZ89" s="48"/>
      <c r="FA89" s="48"/>
      <c r="FB89" s="48"/>
      <c r="FC89" s="48"/>
      <c r="FD89" s="48"/>
      <c r="FE89" s="48"/>
      <c r="FF89" s="48"/>
      <c r="FG89" s="48"/>
      <c r="FH89" s="48"/>
      <c r="FI89" s="48"/>
      <c r="FJ89" s="48"/>
      <c r="FK89" s="48"/>
      <c r="FL89" s="48"/>
      <c r="FM89" s="48"/>
      <c r="FN89" s="48"/>
      <c r="FO89" s="48"/>
      <c r="FP89" s="48"/>
      <c r="FQ89" s="48"/>
      <c r="FR89" s="48"/>
      <c r="FS89" s="48"/>
      <c r="FT89" s="48"/>
    </row>
    <row r="90" spans="1:176" s="35" customFormat="1" x14ac:dyDescent="0.2">
      <c r="A90" s="663" t="s">
        <v>399</v>
      </c>
      <c r="B90" s="1496"/>
      <c r="C90" s="760"/>
      <c r="D90" s="761"/>
      <c r="E90" s="761"/>
      <c r="F90" s="761"/>
      <c r="G90" s="763"/>
      <c r="H90" s="761"/>
      <c r="I90" s="760"/>
      <c r="J90" s="761"/>
      <c r="K90" s="761"/>
      <c r="L90" s="761"/>
      <c r="M90" s="763"/>
      <c r="N90" s="761"/>
      <c r="O90" s="760"/>
      <c r="P90" s="761"/>
      <c r="Q90" s="761"/>
      <c r="R90" s="761"/>
      <c r="S90" s="763"/>
      <c r="T90" s="761"/>
      <c r="U90" s="760">
        <v>0.48</v>
      </c>
      <c r="V90" s="761">
        <v>0.53</v>
      </c>
      <c r="W90" s="761">
        <v>0.28999999999999998</v>
      </c>
      <c r="X90" s="762" t="s">
        <v>251</v>
      </c>
      <c r="Y90" s="763">
        <v>0.39</v>
      </c>
      <c r="Z90" s="761"/>
      <c r="AA90" s="760">
        <v>0.14000000000000001</v>
      </c>
      <c r="AB90" s="761">
        <v>0.24</v>
      </c>
      <c r="AC90" s="761">
        <v>0.2</v>
      </c>
      <c r="AD90" s="762" t="s">
        <v>251</v>
      </c>
      <c r="AE90" s="763">
        <v>0.16</v>
      </c>
      <c r="AF90" s="761"/>
      <c r="AG90" s="760">
        <v>0.23</v>
      </c>
      <c r="AH90" s="761">
        <v>0.43</v>
      </c>
      <c r="AI90" s="761">
        <v>0.37</v>
      </c>
      <c r="AJ90" s="762" t="s">
        <v>251</v>
      </c>
      <c r="AK90" s="763">
        <v>0.12</v>
      </c>
      <c r="AL90" s="761"/>
      <c r="AM90" s="760" t="s">
        <v>251</v>
      </c>
      <c r="AN90" s="761">
        <v>0.19</v>
      </c>
      <c r="AO90" s="761">
        <v>0.15</v>
      </c>
      <c r="AP90" s="762" t="s">
        <v>251</v>
      </c>
      <c r="AQ90" s="1497">
        <v>0.22</v>
      </c>
      <c r="AR90" s="1498"/>
      <c r="AS90" s="760">
        <v>-0.1</v>
      </c>
      <c r="AT90" s="761">
        <v>0.08</v>
      </c>
      <c r="AU90" s="761">
        <v>0.19</v>
      </c>
      <c r="AV90" s="762">
        <v>0.18</v>
      </c>
      <c r="AW90" s="1497">
        <v>0.08</v>
      </c>
      <c r="AX90" s="1498"/>
      <c r="AY90" s="760">
        <v>0.14000000000000001</v>
      </c>
      <c r="AZ90" s="761">
        <v>0.2</v>
      </c>
      <c r="BA90" s="761">
        <v>0.14000000000000001</v>
      </c>
      <c r="BB90" s="1584">
        <f>BC90</f>
        <v>0.15</v>
      </c>
      <c r="BC90" s="1497">
        <v>0.15</v>
      </c>
      <c r="BD90" s="1499"/>
      <c r="BE90" s="760">
        <v>0.03</v>
      </c>
      <c r="BF90" s="761">
        <v>0.08</v>
      </c>
      <c r="BG90" s="1498">
        <v>7.0000000000000007E-2</v>
      </c>
      <c r="BH90" s="1584">
        <f>BI90</f>
        <v>0.06</v>
      </c>
      <c r="BI90" s="1497">
        <v>0.06</v>
      </c>
      <c r="BJ90" s="1499"/>
      <c r="BK90" s="760">
        <v>0.11</v>
      </c>
      <c r="BL90" s="761">
        <v>0.03</v>
      </c>
      <c r="BM90" s="1498">
        <v>0.06</v>
      </c>
      <c r="BN90" s="1500">
        <v>0.11</v>
      </c>
      <c r="BO90" s="1585">
        <v>0.11</v>
      </c>
      <c r="BP90" s="1499"/>
      <c r="BQ90" s="764">
        <v>7.0000000000000007E-2</v>
      </c>
      <c r="BR90" s="761">
        <v>0.14000000000000001</v>
      </c>
      <c r="BS90" s="1498">
        <v>0.01</v>
      </c>
      <c r="BT90" s="1586">
        <v>0.06</v>
      </c>
      <c r="BU90" s="1497">
        <v>7.0000000000000007E-2</v>
      </c>
      <c r="BV90" s="1499"/>
      <c r="BW90" s="760">
        <v>0.04</v>
      </c>
      <c r="BX90" s="761">
        <v>7.0000000000000007E-2</v>
      </c>
      <c r="BY90" s="761">
        <v>0.21</v>
      </c>
      <c r="BZ90" s="1586">
        <v>0.14000000000000001</v>
      </c>
      <c r="CA90" s="1497">
        <v>0.11</v>
      </c>
      <c r="CB90" s="1499"/>
      <c r="CC90" s="760">
        <v>0.1</v>
      </c>
      <c r="CD90" s="761">
        <v>0.12</v>
      </c>
      <c r="CE90" s="1498">
        <v>7.0000000000000007E-2</v>
      </c>
      <c r="CF90" s="1498">
        <v>0.05</v>
      </c>
      <c r="CG90" s="1497">
        <v>0.12</v>
      </c>
      <c r="CH90" s="1499"/>
      <c r="CI90" s="760"/>
      <c r="CJ90" s="761"/>
      <c r="CK90" s="1498"/>
      <c r="CL90" s="1586"/>
      <c r="CM90" s="1497"/>
      <c r="CN90" s="1499"/>
      <c r="CO90" s="760"/>
      <c r="CP90" s="761"/>
      <c r="CQ90" s="1498"/>
      <c r="CR90" s="1586"/>
      <c r="CS90" s="1497"/>
      <c r="CT90" s="1499"/>
      <c r="CU90" s="760"/>
      <c r="CV90" s="761"/>
      <c r="CW90" s="1498"/>
      <c r="CX90" s="1586"/>
      <c r="CY90" s="1497"/>
      <c r="EF90" s="48"/>
      <c r="EG90" s="48"/>
      <c r="EH90" s="48"/>
      <c r="EI90" s="48"/>
      <c r="EJ90" s="48"/>
      <c r="EK90" s="48"/>
      <c r="EL90" s="48"/>
      <c r="EM90" s="48"/>
      <c r="EN90" s="48"/>
      <c r="EO90" s="48"/>
      <c r="EP90" s="48"/>
      <c r="EQ90" s="48"/>
      <c r="ER90" s="48"/>
      <c r="ES90" s="48"/>
      <c r="ET90" s="48"/>
      <c r="EU90" s="48"/>
      <c r="EV90" s="48"/>
      <c r="EW90" s="48"/>
      <c r="EX90" s="48"/>
      <c r="EY90" s="48"/>
      <c r="EZ90" s="48"/>
      <c r="FA90" s="48"/>
      <c r="FB90" s="48"/>
      <c r="FC90" s="48"/>
      <c r="FD90" s="48"/>
      <c r="FE90" s="48"/>
      <c r="FF90" s="48"/>
      <c r="FG90" s="48"/>
      <c r="FH90" s="48"/>
      <c r="FI90" s="48"/>
      <c r="FJ90" s="48"/>
      <c r="FK90" s="48"/>
      <c r="FL90" s="48"/>
      <c r="FM90" s="48"/>
      <c r="FN90" s="48"/>
      <c r="FO90" s="48"/>
      <c r="FP90" s="48"/>
      <c r="FQ90" s="48"/>
      <c r="FR90" s="48"/>
      <c r="FS90" s="48"/>
      <c r="FT90" s="48"/>
    </row>
    <row r="91" spans="1:176" s="35" customFormat="1" x14ac:dyDescent="0.2">
      <c r="A91" s="189" t="s">
        <v>400</v>
      </c>
      <c r="B91" s="1501"/>
      <c r="C91" s="764"/>
      <c r="D91" s="765"/>
      <c r="E91" s="765"/>
      <c r="F91" s="765"/>
      <c r="G91" s="767"/>
      <c r="H91" s="765"/>
      <c r="I91" s="764"/>
      <c r="J91" s="765"/>
      <c r="K91" s="765"/>
      <c r="L91" s="765"/>
      <c r="M91" s="767"/>
      <c r="N91" s="765"/>
      <c r="O91" s="764"/>
      <c r="P91" s="765"/>
      <c r="Q91" s="765"/>
      <c r="R91" s="765"/>
      <c r="S91" s="767"/>
      <c r="T91" s="765"/>
      <c r="U91" s="764">
        <v>0.14000000000000001</v>
      </c>
      <c r="V91" s="765">
        <v>0.18</v>
      </c>
      <c r="W91" s="765">
        <v>0.23</v>
      </c>
      <c r="X91" s="766" t="s">
        <v>251</v>
      </c>
      <c r="Y91" s="767">
        <v>0.21</v>
      </c>
      <c r="Z91" s="765"/>
      <c r="AA91" s="764">
        <v>0.21</v>
      </c>
      <c r="AB91" s="765">
        <v>0.22</v>
      </c>
      <c r="AC91" s="765">
        <v>0.14000000000000001</v>
      </c>
      <c r="AD91" s="766" t="s">
        <v>251</v>
      </c>
      <c r="AE91" s="767">
        <v>0.17</v>
      </c>
      <c r="AF91" s="765"/>
      <c r="AG91" s="764">
        <v>0.13</v>
      </c>
      <c r="AH91" s="765">
        <v>0.14000000000000001</v>
      </c>
      <c r="AI91" s="765">
        <v>0.24</v>
      </c>
      <c r="AJ91" s="766" t="s">
        <v>251</v>
      </c>
      <c r="AK91" s="767">
        <v>0.19</v>
      </c>
      <c r="AL91" s="765"/>
      <c r="AM91" s="764" t="s">
        <v>251</v>
      </c>
      <c r="AN91" s="765">
        <v>0.26</v>
      </c>
      <c r="AO91" s="765">
        <v>0.15</v>
      </c>
      <c r="AP91" s="766" t="s">
        <v>251</v>
      </c>
      <c r="AQ91" s="424">
        <v>0.2</v>
      </c>
      <c r="AR91" s="1502"/>
      <c r="AS91" s="764">
        <v>-0.01</v>
      </c>
      <c r="AT91" s="765">
        <v>-0.05</v>
      </c>
      <c r="AU91" s="765">
        <v>0.15</v>
      </c>
      <c r="AV91" s="766">
        <v>0.22</v>
      </c>
      <c r="AW91" s="424">
        <v>7.0000000000000007E-2</v>
      </c>
      <c r="AX91" s="1502"/>
      <c r="AY91" s="764">
        <v>0.12</v>
      </c>
      <c r="AZ91" s="765">
        <v>0.18</v>
      </c>
      <c r="BA91" s="765">
        <v>7.0000000000000007E-2</v>
      </c>
      <c r="BB91" s="419">
        <f>BC91</f>
        <v>0.09</v>
      </c>
      <c r="BC91" s="424">
        <v>0.09</v>
      </c>
      <c r="BD91" s="1503"/>
      <c r="BE91" s="764">
        <v>0.04</v>
      </c>
      <c r="BF91" s="765">
        <v>0.02</v>
      </c>
      <c r="BG91" s="1502">
        <v>0.04</v>
      </c>
      <c r="BH91" s="419">
        <f>BI91</f>
        <v>0.02</v>
      </c>
      <c r="BI91" s="424">
        <v>0.02</v>
      </c>
      <c r="BJ91" s="1503"/>
      <c r="BK91" s="764">
        <v>0.03</v>
      </c>
      <c r="BL91" s="765">
        <v>7.0000000000000007E-2</v>
      </c>
      <c r="BM91" s="1502">
        <v>0.13</v>
      </c>
      <c r="BN91" s="1504">
        <v>0.06</v>
      </c>
      <c r="BO91" s="1528">
        <v>0.06</v>
      </c>
      <c r="BP91" s="1503"/>
      <c r="BQ91" s="764">
        <v>0.09</v>
      </c>
      <c r="BR91" s="765">
        <v>0.03</v>
      </c>
      <c r="BS91" s="1502">
        <v>0.06</v>
      </c>
      <c r="BT91" s="1579">
        <v>7.0000000000000007E-2</v>
      </c>
      <c r="BU91" s="424">
        <v>0.06</v>
      </c>
      <c r="BV91" s="1503"/>
      <c r="BW91" s="764">
        <v>7.0000000000000007E-2</v>
      </c>
      <c r="BX91" s="765">
        <v>0.13</v>
      </c>
      <c r="BY91" s="765">
        <v>0.01</v>
      </c>
      <c r="BZ91" s="1579">
        <v>0.1</v>
      </c>
      <c r="CA91" s="424">
        <v>0.08</v>
      </c>
      <c r="CB91" s="1503"/>
      <c r="CC91" s="764">
        <f>7%-4.5%</f>
        <v>2.5000000000000008E-2</v>
      </c>
      <c r="CD91" s="765">
        <f>8%+4.5%</f>
        <v>0.125</v>
      </c>
      <c r="CE91" s="1502">
        <v>0.15</v>
      </c>
      <c r="CF91" s="1502">
        <v>0.06</v>
      </c>
      <c r="CG91" s="424">
        <v>0.09</v>
      </c>
      <c r="CH91" s="1503"/>
      <c r="CI91" s="764"/>
      <c r="CJ91" s="765"/>
      <c r="CK91" s="1502"/>
      <c r="CL91" s="1579"/>
      <c r="CM91" s="424"/>
      <c r="CN91" s="1503"/>
      <c r="CO91" s="764"/>
      <c r="CP91" s="765"/>
      <c r="CQ91" s="1502"/>
      <c r="CR91" s="1579"/>
      <c r="CS91" s="424"/>
      <c r="CT91" s="1503"/>
      <c r="CU91" s="764"/>
      <c r="CV91" s="765"/>
      <c r="CW91" s="1502"/>
      <c r="CX91" s="1579"/>
      <c r="CY91" s="424"/>
      <c r="EF91" s="48"/>
      <c r="EG91" s="48"/>
      <c r="EH91" s="48"/>
      <c r="EI91" s="48"/>
      <c r="EJ91" s="48"/>
      <c r="EK91" s="48"/>
      <c r="EL91" s="48"/>
      <c r="EM91" s="48"/>
      <c r="EN91" s="48"/>
      <c r="EO91" s="48"/>
      <c r="EP91" s="48"/>
      <c r="EQ91" s="48"/>
      <c r="ER91" s="48"/>
      <c r="ES91" s="48"/>
      <c r="ET91" s="48"/>
      <c r="EU91" s="48"/>
      <c r="EV91" s="48"/>
      <c r="EW91" s="48"/>
      <c r="EX91" s="48"/>
      <c r="EY91" s="48"/>
      <c r="EZ91" s="48"/>
      <c r="FA91" s="48"/>
      <c r="FB91" s="48"/>
      <c r="FC91" s="48"/>
      <c r="FD91" s="48"/>
      <c r="FE91" s="48"/>
      <c r="FF91" s="48"/>
      <c r="FG91" s="48"/>
      <c r="FH91" s="48"/>
      <c r="FI91" s="48"/>
      <c r="FJ91" s="48"/>
      <c r="FK91" s="48"/>
      <c r="FL91" s="48"/>
      <c r="FM91" s="48"/>
      <c r="FN91" s="48"/>
      <c r="FO91" s="48"/>
      <c r="FP91" s="48"/>
      <c r="FQ91" s="48"/>
      <c r="FR91" s="48"/>
      <c r="FS91" s="48"/>
      <c r="FT91" s="48"/>
    </row>
    <row r="92" spans="1:176" s="35" customFormat="1" x14ac:dyDescent="0.2">
      <c r="A92" s="189" t="s">
        <v>83</v>
      </c>
      <c r="B92" s="1501"/>
      <c r="C92" s="764"/>
      <c r="D92" s="765"/>
      <c r="E92" s="765"/>
      <c r="F92" s="765"/>
      <c r="G92" s="767"/>
      <c r="H92" s="765"/>
      <c r="I92" s="764"/>
      <c r="J92" s="765"/>
      <c r="K92" s="765"/>
      <c r="L92" s="765"/>
      <c r="M92" s="767"/>
      <c r="N92" s="765"/>
      <c r="O92" s="764"/>
      <c r="P92" s="765"/>
      <c r="Q92" s="765"/>
      <c r="R92" s="765"/>
      <c r="S92" s="767"/>
      <c r="T92" s="765"/>
      <c r="U92" s="764">
        <v>0.05</v>
      </c>
      <c r="V92" s="765">
        <v>0.06</v>
      </c>
      <c r="W92" s="765">
        <v>0.7</v>
      </c>
      <c r="X92" s="765" t="s">
        <v>251</v>
      </c>
      <c r="Y92" s="767">
        <v>0.47</v>
      </c>
      <c r="Z92" s="765"/>
      <c r="AA92" s="764">
        <v>1.06</v>
      </c>
      <c r="AB92" s="765">
        <v>0.95</v>
      </c>
      <c r="AC92" s="765">
        <v>0.28000000000000003</v>
      </c>
      <c r="AD92" s="765" t="s">
        <v>251</v>
      </c>
      <c r="AE92" s="767">
        <v>0.6</v>
      </c>
      <c r="AF92" s="765"/>
      <c r="AG92" s="764">
        <v>0.12</v>
      </c>
      <c r="AH92" s="765">
        <v>0.14000000000000001</v>
      </c>
      <c r="AI92" s="765">
        <v>0.15</v>
      </c>
      <c r="AJ92" s="765" t="s">
        <v>251</v>
      </c>
      <c r="AK92" s="767">
        <v>0.12</v>
      </c>
      <c r="AL92" s="765"/>
      <c r="AM92" s="764" t="s">
        <v>251</v>
      </c>
      <c r="AN92" s="765">
        <v>0.1</v>
      </c>
      <c r="AO92" s="765">
        <v>0.15</v>
      </c>
      <c r="AP92" s="765" t="s">
        <v>251</v>
      </c>
      <c r="AQ92" s="424">
        <v>0.08</v>
      </c>
      <c r="AR92" s="1502"/>
      <c r="AS92" s="764">
        <v>0.01</v>
      </c>
      <c r="AT92" s="765">
        <v>0.05</v>
      </c>
      <c r="AU92" s="765">
        <v>-0.12</v>
      </c>
      <c r="AV92" s="765">
        <v>0.16</v>
      </c>
      <c r="AW92" s="424">
        <v>0.02</v>
      </c>
      <c r="AX92" s="1502"/>
      <c r="AY92" s="764">
        <v>0.15</v>
      </c>
      <c r="AZ92" s="765">
        <v>7.0000000000000007E-2</v>
      </c>
      <c r="BA92" s="765">
        <v>0.11</v>
      </c>
      <c r="BB92" s="419">
        <f>BC92</f>
        <v>0.08</v>
      </c>
      <c r="BC92" s="424">
        <v>0.08</v>
      </c>
      <c r="BD92" s="1503"/>
      <c r="BE92" s="764">
        <v>0.02</v>
      </c>
      <c r="BF92" s="765">
        <v>0.02</v>
      </c>
      <c r="BG92" s="1502">
        <v>0.08</v>
      </c>
      <c r="BH92" s="419">
        <f>BI92</f>
        <v>0.05</v>
      </c>
      <c r="BI92" s="424">
        <v>0.05</v>
      </c>
      <c r="BJ92" s="1503"/>
      <c r="BK92" s="764">
        <v>0.04</v>
      </c>
      <c r="BL92" s="765">
        <v>0.01</v>
      </c>
      <c r="BM92" s="1502">
        <v>-0.03</v>
      </c>
      <c r="BN92" s="1504">
        <v>-0.04</v>
      </c>
      <c r="BO92" s="1528">
        <v>-0.04</v>
      </c>
      <c r="BP92" s="1503"/>
      <c r="BQ92" s="764">
        <v>0.04</v>
      </c>
      <c r="BR92" s="765">
        <v>0.04</v>
      </c>
      <c r="BS92" s="1502">
        <v>-0.01</v>
      </c>
      <c r="BT92" s="1579">
        <v>0.02</v>
      </c>
      <c r="BU92" s="424">
        <v>0</v>
      </c>
      <c r="BV92" s="1503"/>
      <c r="BW92" s="764">
        <v>0.01</v>
      </c>
      <c r="BX92" s="765">
        <v>0.03</v>
      </c>
      <c r="BY92" s="765">
        <v>0.11</v>
      </c>
      <c r="BZ92" s="1579">
        <v>0.05</v>
      </c>
      <c r="CA92" s="424">
        <v>0.05</v>
      </c>
      <c r="CB92" s="1503"/>
      <c r="CC92" s="764">
        <v>0.03</v>
      </c>
      <c r="CD92" s="765">
        <v>0.04</v>
      </c>
      <c r="CE92" s="1502">
        <v>0.03</v>
      </c>
      <c r="CF92" s="1502">
        <v>7.0000000000000007E-2</v>
      </c>
      <c r="CG92" s="424">
        <v>0.04</v>
      </c>
      <c r="CH92" s="1503"/>
      <c r="CI92" s="764"/>
      <c r="CJ92" s="765"/>
      <c r="CK92" s="1502"/>
      <c r="CL92" s="1579"/>
      <c r="CM92" s="424"/>
      <c r="CN92" s="1503"/>
      <c r="CO92" s="764"/>
      <c r="CP92" s="765"/>
      <c r="CQ92" s="1502"/>
      <c r="CR92" s="1579"/>
      <c r="CS92" s="424"/>
      <c r="CT92" s="1503"/>
      <c r="CU92" s="764"/>
      <c r="CV92" s="765"/>
      <c r="CW92" s="1502"/>
      <c r="CX92" s="1579"/>
      <c r="CY92" s="424"/>
      <c r="EF92" s="48"/>
      <c r="EG92" s="48"/>
      <c r="EH92" s="48"/>
      <c r="EI92" s="48"/>
      <c r="EJ92" s="48"/>
      <c r="EK92" s="48"/>
      <c r="EL92" s="48"/>
      <c r="EM92" s="48"/>
      <c r="EN92" s="48"/>
      <c r="EO92" s="48"/>
      <c r="EP92" s="48"/>
      <c r="EQ92" s="48"/>
      <c r="ER92" s="48"/>
      <c r="ES92" s="48"/>
      <c r="ET92" s="48"/>
      <c r="EU92" s="48"/>
      <c r="EV92" s="48"/>
      <c r="EW92" s="48"/>
      <c r="EX92" s="48"/>
      <c r="EY92" s="48"/>
      <c r="EZ92" s="48"/>
      <c r="FA92" s="48"/>
      <c r="FB92" s="48"/>
      <c r="FC92" s="48"/>
      <c r="FD92" s="48"/>
      <c r="FE92" s="48"/>
      <c r="FF92" s="48"/>
      <c r="FG92" s="48"/>
      <c r="FH92" s="48"/>
      <c r="FI92" s="48"/>
      <c r="FJ92" s="48"/>
      <c r="FK92" s="48"/>
      <c r="FL92" s="48"/>
      <c r="FM92" s="48"/>
      <c r="FN92" s="48"/>
      <c r="FO92" s="48"/>
      <c r="FP92" s="48"/>
      <c r="FQ92" s="48"/>
      <c r="FR92" s="48"/>
      <c r="FS92" s="48"/>
      <c r="FT92" s="48"/>
    </row>
    <row r="93" spans="1:176" s="35" customFormat="1" x14ac:dyDescent="0.2">
      <c r="A93" s="189" t="s">
        <v>401</v>
      </c>
      <c r="B93" s="1501"/>
      <c r="C93" s="764"/>
      <c r="D93" s="765"/>
      <c r="E93" s="765"/>
      <c r="F93" s="765"/>
      <c r="G93" s="767"/>
      <c r="H93" s="765"/>
      <c r="I93" s="764"/>
      <c r="J93" s="765"/>
      <c r="K93" s="765"/>
      <c r="L93" s="765"/>
      <c r="M93" s="767"/>
      <c r="N93" s="765"/>
      <c r="O93" s="764"/>
      <c r="P93" s="765"/>
      <c r="Q93" s="765"/>
      <c r="R93" s="765"/>
      <c r="S93" s="767"/>
      <c r="T93" s="765"/>
      <c r="U93" s="764" t="s">
        <v>251</v>
      </c>
      <c r="V93" s="765" t="s">
        <v>251</v>
      </c>
      <c r="W93" s="765" t="s">
        <v>251</v>
      </c>
      <c r="X93" s="765" t="s">
        <v>251</v>
      </c>
      <c r="Y93" s="767" t="s">
        <v>251</v>
      </c>
      <c r="Z93" s="765"/>
      <c r="AA93" s="764">
        <v>0.02</v>
      </c>
      <c r="AB93" s="765" t="s">
        <v>251</v>
      </c>
      <c r="AC93" s="765" t="s">
        <v>251</v>
      </c>
      <c r="AD93" s="765" t="s">
        <v>251</v>
      </c>
      <c r="AE93" s="767" t="s">
        <v>251</v>
      </c>
      <c r="AF93" s="765"/>
      <c r="AG93" s="764">
        <v>1.57</v>
      </c>
      <c r="AH93" s="765" t="s">
        <v>251</v>
      </c>
      <c r="AI93" s="765" t="s">
        <v>251</v>
      </c>
      <c r="AJ93" s="765" t="s">
        <v>251</v>
      </c>
      <c r="AK93" s="767" t="s">
        <v>251</v>
      </c>
      <c r="AL93" s="765"/>
      <c r="AM93" s="764" t="s">
        <v>251</v>
      </c>
      <c r="AN93" s="765">
        <v>-0.2</v>
      </c>
      <c r="AO93" s="765" t="s">
        <v>251</v>
      </c>
      <c r="AP93" s="765" t="s">
        <v>251</v>
      </c>
      <c r="AQ93" s="767" t="s">
        <v>251</v>
      </c>
      <c r="AR93" s="765"/>
      <c r="AS93" s="764" t="s">
        <v>251</v>
      </c>
      <c r="AT93" s="765" t="s">
        <v>251</v>
      </c>
      <c r="AU93" s="765" t="s">
        <v>251</v>
      </c>
      <c r="AV93" s="765" t="s">
        <v>251</v>
      </c>
      <c r="AW93" s="424">
        <v>0.21</v>
      </c>
      <c r="AX93" s="1502"/>
      <c r="AY93" s="764">
        <v>0.25</v>
      </c>
      <c r="AZ93" s="765">
        <v>0.28000000000000003</v>
      </c>
      <c r="BA93" s="765" t="s">
        <v>251</v>
      </c>
      <c r="BB93" s="419">
        <f>BC93</f>
        <v>0.12</v>
      </c>
      <c r="BC93" s="424">
        <v>0.12</v>
      </c>
      <c r="BD93" s="1503"/>
      <c r="BE93" s="764" t="s">
        <v>251</v>
      </c>
      <c r="BF93" s="765">
        <v>0.12</v>
      </c>
      <c r="BG93" s="1502">
        <v>0.38</v>
      </c>
      <c r="BH93" s="419">
        <f>BI93</f>
        <v>0.24</v>
      </c>
      <c r="BI93" s="424">
        <v>0.24</v>
      </c>
      <c r="BJ93" s="1503"/>
      <c r="BK93" s="764">
        <v>0.04</v>
      </c>
      <c r="BL93" s="765">
        <v>0.11</v>
      </c>
      <c r="BM93" s="1502">
        <v>-0.01</v>
      </c>
      <c r="BN93" s="1504">
        <v>0.12</v>
      </c>
      <c r="BO93" s="1528">
        <v>0.12</v>
      </c>
      <c r="BP93" s="1503"/>
      <c r="BQ93" s="764">
        <v>0.22</v>
      </c>
      <c r="BR93" s="765">
        <v>0.1</v>
      </c>
      <c r="BS93" s="1502">
        <v>0.03</v>
      </c>
      <c r="BT93" s="1589" t="s">
        <v>251</v>
      </c>
      <c r="BU93" s="424">
        <v>0.08</v>
      </c>
      <c r="BV93" s="1503"/>
      <c r="BW93" s="1527">
        <v>0.19</v>
      </c>
      <c r="BX93" s="765">
        <v>0.2</v>
      </c>
      <c r="BY93" s="765">
        <v>0.2</v>
      </c>
      <c r="BZ93" s="1579">
        <v>0.17</v>
      </c>
      <c r="CA93" s="424">
        <v>0.19</v>
      </c>
      <c r="CB93" s="1503"/>
      <c r="CC93" s="1527">
        <v>0.15</v>
      </c>
      <c r="CD93" s="765">
        <v>0.12</v>
      </c>
      <c r="CE93" s="1502">
        <v>0.19</v>
      </c>
      <c r="CF93" s="1502">
        <v>0.09</v>
      </c>
      <c r="CG93" s="424">
        <v>0.13</v>
      </c>
      <c r="CH93" s="1503"/>
      <c r="CI93" s="764"/>
      <c r="CJ93" s="765"/>
      <c r="CK93" s="1502"/>
      <c r="CL93" s="1579"/>
      <c r="CM93" s="424"/>
      <c r="CN93" s="1503"/>
      <c r="CO93" s="764"/>
      <c r="CP93" s="765"/>
      <c r="CQ93" s="1502"/>
      <c r="CR93" s="1579"/>
      <c r="CS93" s="424"/>
      <c r="CT93" s="1503"/>
      <c r="CU93" s="764"/>
      <c r="CV93" s="765"/>
      <c r="CW93" s="1502"/>
      <c r="CX93" s="1579"/>
      <c r="CY93" s="424"/>
      <c r="EC93" s="48"/>
      <c r="EF93" s="48"/>
      <c r="EG93" s="48"/>
      <c r="EH93" s="48"/>
      <c r="EI93" s="48"/>
      <c r="EJ93" s="48"/>
      <c r="EK93" s="48"/>
      <c r="EL93" s="2051"/>
      <c r="EM93" s="2051"/>
      <c r="EN93" s="2051"/>
      <c r="EO93" s="2051"/>
      <c r="EP93" s="2051"/>
      <c r="EQ93" s="2051"/>
      <c r="ER93" s="2051"/>
      <c r="ES93" s="2051"/>
      <c r="ET93" s="2051"/>
      <c r="EU93" s="2051"/>
      <c r="EV93" s="48"/>
      <c r="EW93" s="48"/>
      <c r="EX93" s="48"/>
      <c r="EY93" s="48"/>
      <c r="EZ93" s="48"/>
      <c r="FA93" s="48"/>
      <c r="FB93" s="48"/>
      <c r="FC93" s="48"/>
      <c r="FD93" s="48"/>
      <c r="FE93" s="48"/>
      <c r="FF93" s="48"/>
      <c r="FG93" s="48"/>
      <c r="FH93" s="48"/>
      <c r="FI93" s="48"/>
      <c r="FJ93" s="48"/>
      <c r="FK93" s="48"/>
      <c r="FL93" s="48"/>
      <c r="FM93" s="48"/>
      <c r="FN93" s="48"/>
      <c r="FO93" s="48"/>
      <c r="FP93" s="48"/>
      <c r="FQ93" s="48"/>
      <c r="FR93" s="48"/>
      <c r="FS93" s="48"/>
      <c r="FT93" s="48"/>
    </row>
    <row r="94" spans="1:176" x14ac:dyDescent="0.2">
      <c r="A94" s="189" t="s">
        <v>615</v>
      </c>
      <c r="B94" s="1501"/>
      <c r="C94" s="764"/>
      <c r="D94" s="765"/>
      <c r="E94" s="765"/>
      <c r="F94" s="765"/>
      <c r="G94" s="767"/>
      <c r="H94" s="765"/>
      <c r="I94" s="764"/>
      <c r="J94" s="765"/>
      <c r="K94" s="765"/>
      <c r="L94" s="765"/>
      <c r="M94" s="767"/>
      <c r="N94" s="765"/>
      <c r="O94" s="764"/>
      <c r="P94" s="765"/>
      <c r="Q94" s="765"/>
      <c r="R94" s="765"/>
      <c r="S94" s="767"/>
      <c r="T94" s="765"/>
      <c r="U94" s="764"/>
      <c r="V94" s="765"/>
      <c r="W94" s="765"/>
      <c r="X94" s="765"/>
      <c r="Y94" s="767"/>
      <c r="Z94" s="765"/>
      <c r="AA94" s="764"/>
      <c r="AB94" s="765"/>
      <c r="AC94" s="765"/>
      <c r="AD94" s="765"/>
      <c r="AE94" s="767"/>
      <c r="AF94" s="765"/>
      <c r="AG94" s="764"/>
      <c r="AH94" s="765"/>
      <c r="AI94" s="765"/>
      <c r="AJ94" s="765"/>
      <c r="AK94" s="767"/>
      <c r="AL94" s="765"/>
      <c r="AM94" s="764"/>
      <c r="AN94" s="765"/>
      <c r="AO94" s="765"/>
      <c r="AP94" s="765"/>
      <c r="AQ94" s="424"/>
      <c r="AR94" s="1502"/>
      <c r="AS94" s="764"/>
      <c r="AT94" s="765"/>
      <c r="AU94" s="765"/>
      <c r="AV94" s="765"/>
      <c r="AW94" s="424"/>
      <c r="AX94" s="1502"/>
      <c r="AY94" s="764"/>
      <c r="AZ94" s="765"/>
      <c r="BA94" s="765"/>
      <c r="BB94" s="419"/>
      <c r="BC94" s="424"/>
      <c r="BD94" s="1503"/>
      <c r="BE94" s="764"/>
      <c r="BF94" s="765"/>
      <c r="BG94" s="1502"/>
      <c r="BH94" s="419"/>
      <c r="BI94" s="424"/>
      <c r="BJ94" s="1503"/>
      <c r="BK94" s="764"/>
      <c r="BL94" s="765"/>
      <c r="BM94" s="1502"/>
      <c r="BN94" s="1504"/>
      <c r="BO94" s="1528"/>
      <c r="BP94" s="1503"/>
      <c r="BQ94" s="764"/>
      <c r="BR94" s="765"/>
      <c r="BS94" s="1502"/>
      <c r="BT94" s="1579"/>
      <c r="BU94" s="424"/>
      <c r="BV94" s="1503"/>
      <c r="BW94" s="764"/>
      <c r="BX94" s="765">
        <v>0.1</v>
      </c>
      <c r="BY94" s="765">
        <v>0.1</v>
      </c>
      <c r="BZ94" s="1579"/>
      <c r="CA94" s="424"/>
      <c r="CB94" s="1503"/>
      <c r="CC94" s="764"/>
      <c r="CD94" s="765"/>
      <c r="CE94" s="1502"/>
      <c r="CF94" s="1579"/>
      <c r="CG94" s="424"/>
      <c r="CH94" s="1503"/>
      <c r="CI94" s="764"/>
      <c r="CJ94" s="765"/>
      <c r="CK94" s="1502"/>
      <c r="CL94" s="1579"/>
      <c r="CM94" s="424"/>
      <c r="CN94" s="1503"/>
      <c r="CO94" s="764"/>
      <c r="CP94" s="765"/>
      <c r="CQ94" s="1502"/>
      <c r="CR94" s="1579"/>
      <c r="CS94" s="424"/>
      <c r="CT94" s="1503"/>
      <c r="CU94" s="764"/>
      <c r="CV94" s="765"/>
      <c r="CW94" s="1502"/>
      <c r="CX94" s="1579"/>
      <c r="CY94" s="424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2"/>
    </row>
    <row r="95" spans="1:176" s="2" customFormat="1" collapsed="1" x14ac:dyDescent="0.2">
      <c r="A95" s="193" t="s">
        <v>618</v>
      </c>
      <c r="B95" s="1506"/>
      <c r="C95" s="1507"/>
      <c r="D95" s="1508"/>
      <c r="E95" s="1508"/>
      <c r="F95" s="1508"/>
      <c r="G95" s="1509"/>
      <c r="H95" s="1508"/>
      <c r="I95" s="1507"/>
      <c r="J95" s="1508"/>
      <c r="K95" s="1508"/>
      <c r="L95" s="1508"/>
      <c r="M95" s="1509"/>
      <c r="N95" s="1508"/>
      <c r="O95" s="1507"/>
      <c r="P95" s="1508"/>
      <c r="Q95" s="1508"/>
      <c r="R95" s="1508"/>
      <c r="S95" s="1509"/>
      <c r="T95" s="1508"/>
      <c r="U95" s="1507"/>
      <c r="V95" s="1508"/>
      <c r="W95" s="1508"/>
      <c r="X95" s="1508"/>
      <c r="Y95" s="1509"/>
      <c r="Z95" s="1508"/>
      <c r="AA95" s="1507"/>
      <c r="AB95" s="1508"/>
      <c r="AC95" s="1508"/>
      <c r="AD95" s="1508"/>
      <c r="AE95" s="1509"/>
      <c r="AF95" s="1508"/>
      <c r="AG95" s="1507"/>
      <c r="AH95" s="1508"/>
      <c r="AI95" s="1508"/>
      <c r="AJ95" s="1508"/>
      <c r="AK95" s="1509"/>
      <c r="AL95" s="1508"/>
      <c r="AM95" s="1507"/>
      <c r="AN95" s="1508"/>
      <c r="AO95" s="1508"/>
      <c r="AP95" s="1508"/>
      <c r="AQ95" s="1510"/>
      <c r="AR95" s="1511"/>
      <c r="AS95" s="1507"/>
      <c r="AT95" s="1508"/>
      <c r="AU95" s="1508"/>
      <c r="AV95" s="1508"/>
      <c r="AW95" s="1510"/>
      <c r="AX95" s="1511"/>
      <c r="AY95" s="1507"/>
      <c r="AZ95" s="1508"/>
      <c r="BA95" s="1508"/>
      <c r="BB95" s="1587"/>
      <c r="BC95" s="1510"/>
      <c r="BD95" s="1512"/>
      <c r="BE95" s="1507"/>
      <c r="BF95" s="1508"/>
      <c r="BG95" s="1511"/>
      <c r="BH95" s="1587"/>
      <c r="BI95" s="1510"/>
      <c r="BJ95" s="1512"/>
      <c r="BK95" s="1507"/>
      <c r="BL95" s="1508"/>
      <c r="BM95" s="1511"/>
      <c r="BN95" s="1513"/>
      <c r="BO95" s="1583"/>
      <c r="BP95" s="1512"/>
      <c r="BQ95" s="1507"/>
      <c r="BR95" s="1508"/>
      <c r="BS95" s="1511"/>
      <c r="BT95" s="1582"/>
      <c r="BU95" s="1510"/>
      <c r="BV95" s="1512"/>
      <c r="BW95" s="1507"/>
      <c r="BX95" s="1508">
        <v>-0.15</v>
      </c>
      <c r="BY95" s="1508">
        <v>0.1</v>
      </c>
      <c r="BZ95" s="1582"/>
      <c r="CA95" s="1510"/>
      <c r="CB95" s="1512"/>
      <c r="CC95" s="1507"/>
      <c r="CD95" s="1508"/>
      <c r="CE95" s="1511"/>
      <c r="CF95" s="1582"/>
      <c r="CG95" s="1510"/>
      <c r="CH95" s="1512"/>
      <c r="CI95" s="1507"/>
      <c r="CJ95" s="1508"/>
      <c r="CK95" s="1511"/>
      <c r="CL95" s="1582"/>
      <c r="CM95" s="1510"/>
      <c r="CN95" s="1512"/>
      <c r="CO95" s="1507"/>
      <c r="CP95" s="1508"/>
      <c r="CQ95" s="1511"/>
      <c r="CR95" s="1582"/>
      <c r="CS95" s="1510"/>
      <c r="CT95" s="1512"/>
      <c r="CU95" s="1507"/>
      <c r="CV95" s="1508"/>
      <c r="CW95" s="1511"/>
      <c r="CX95" s="1582"/>
      <c r="CY95" s="1510"/>
      <c r="DD95" s="48"/>
      <c r="DE95" s="48"/>
      <c r="DF95" s="48"/>
      <c r="DG95" s="48"/>
      <c r="DH95" s="48"/>
      <c r="DI95" s="48"/>
      <c r="DJ95" s="48"/>
      <c r="DK95" s="48"/>
      <c r="DL95" s="48"/>
      <c r="DM95" s="48"/>
      <c r="DN95" s="48"/>
      <c r="DO95" s="48"/>
      <c r="DP95" s="48"/>
      <c r="DQ95" s="48"/>
      <c r="DR95" s="48"/>
      <c r="DS95" s="48"/>
      <c r="DT95" s="48"/>
      <c r="DU95" s="48"/>
      <c r="DV95" s="48"/>
      <c r="DW95" s="48"/>
      <c r="DX95" s="48"/>
      <c r="DY95" s="48"/>
      <c r="DZ95" s="48"/>
      <c r="EA95" s="48"/>
      <c r="EB95" s="48"/>
      <c r="EC95" s="35"/>
      <c r="EF95" s="48"/>
      <c r="EG95" s="48"/>
      <c r="EH95" s="48"/>
      <c r="EI95" s="48"/>
      <c r="EJ95" s="48"/>
      <c r="EK95" s="48"/>
      <c r="EL95" s="48"/>
      <c r="EM95" s="48"/>
      <c r="EN95" s="48"/>
      <c r="EO95" s="48"/>
      <c r="EP95" s="48"/>
      <c r="EQ95" s="48"/>
      <c r="ER95" s="48"/>
      <c r="ES95" s="48"/>
      <c r="ET95" s="48"/>
      <c r="EU95" s="48"/>
      <c r="EV95" s="48"/>
      <c r="EW95" s="48"/>
      <c r="EX95" s="48"/>
      <c r="EY95" s="48"/>
      <c r="EZ95" s="48"/>
      <c r="FA95" s="48"/>
      <c r="FB95" s="48"/>
      <c r="FC95" s="48"/>
      <c r="FD95" s="48"/>
      <c r="FE95" s="48"/>
      <c r="FF95" s="48"/>
      <c r="FG95" s="48"/>
      <c r="FH95" s="48"/>
      <c r="FI95" s="48"/>
      <c r="FJ95" s="48"/>
      <c r="FK95" s="48"/>
      <c r="FL95" s="48"/>
      <c r="FM95" s="48"/>
      <c r="FN95" s="48"/>
      <c r="FO95" s="48"/>
      <c r="FP95" s="48"/>
      <c r="FQ95" s="48"/>
      <c r="FR95" s="48"/>
      <c r="FS95" s="48"/>
      <c r="FT95" s="48"/>
    </row>
    <row r="96" spans="1:176" s="35" customFormat="1" x14ac:dyDescent="0.2">
      <c r="A96" s="48"/>
      <c r="B96" s="498"/>
      <c r="C96" s="771"/>
      <c r="D96" s="771"/>
      <c r="E96" s="771"/>
      <c r="F96" s="498"/>
      <c r="G96" s="498"/>
      <c r="H96" s="498"/>
      <c r="I96" s="771"/>
      <c r="J96" s="771"/>
      <c r="K96" s="771"/>
      <c r="L96" s="498"/>
      <c r="M96" s="498"/>
      <c r="N96" s="498"/>
      <c r="O96" s="498"/>
      <c r="P96" s="498"/>
      <c r="Q96" s="498"/>
      <c r="R96" s="498"/>
      <c r="S96" s="771"/>
      <c r="T96" s="498"/>
      <c r="U96" s="771"/>
      <c r="V96" s="771"/>
      <c r="W96" s="771"/>
      <c r="X96" s="771"/>
      <c r="Y96" s="771"/>
      <c r="Z96" s="498"/>
      <c r="AA96" s="771"/>
      <c r="AB96" s="771"/>
      <c r="AC96" s="771"/>
      <c r="AD96" s="771"/>
      <c r="AE96" s="771"/>
      <c r="AF96" s="498"/>
      <c r="AG96" s="771"/>
      <c r="AH96" s="771"/>
      <c r="AI96" s="771"/>
      <c r="AJ96" s="771"/>
      <c r="AK96" s="771"/>
      <c r="AL96" s="498"/>
      <c r="AM96" s="771"/>
      <c r="AN96" s="771"/>
      <c r="AO96" s="771"/>
      <c r="AP96" s="771"/>
      <c r="AQ96" s="771"/>
      <c r="AR96" s="498"/>
      <c r="AS96" s="771"/>
      <c r="AT96" s="771"/>
      <c r="AU96" s="771"/>
      <c r="AV96" s="771"/>
      <c r="AW96" s="771"/>
      <c r="AX96" s="498"/>
      <c r="AY96" s="771"/>
      <c r="AZ96" s="771"/>
      <c r="BA96" s="771"/>
      <c r="BB96" s="771"/>
      <c r="BC96" s="771"/>
      <c r="BD96" s="498"/>
      <c r="BE96" s="771"/>
      <c r="BF96" s="771"/>
      <c r="BG96" s="771"/>
      <c r="BH96" s="771"/>
      <c r="BI96" s="771"/>
      <c r="BJ96" s="498"/>
      <c r="BK96" s="771"/>
      <c r="BL96" s="771"/>
      <c r="BM96" s="771"/>
      <c r="BN96" s="771"/>
      <c r="BO96" s="771"/>
      <c r="BP96" s="498"/>
      <c r="BQ96" s="771"/>
      <c r="BR96" s="771"/>
      <c r="BS96" s="771"/>
      <c r="BT96" s="771"/>
      <c r="BU96" s="771"/>
      <c r="BV96" s="498"/>
      <c r="BW96" s="771"/>
      <c r="BX96" s="771"/>
      <c r="BY96" s="771"/>
      <c r="BZ96" s="771"/>
      <c r="CA96" s="771"/>
      <c r="CB96" s="498"/>
      <c r="CC96" s="771"/>
      <c r="CD96" s="771"/>
      <c r="CE96" s="771"/>
      <c r="CF96" s="771"/>
      <c r="CG96" s="771"/>
      <c r="CH96" s="498"/>
      <c r="CI96" s="771"/>
      <c r="CJ96" s="771"/>
      <c r="CK96" s="771"/>
      <c r="CL96" s="771"/>
      <c r="CM96" s="771"/>
      <c r="CN96" s="498"/>
      <c r="CO96" s="771"/>
      <c r="CP96" s="771"/>
      <c r="CQ96" s="771"/>
      <c r="CR96" s="771"/>
      <c r="CS96" s="771"/>
      <c r="CT96" s="498"/>
      <c r="CU96" s="771"/>
      <c r="CV96" s="771"/>
      <c r="CW96" s="771"/>
      <c r="CX96" s="771"/>
      <c r="CY96" s="771"/>
      <c r="DD96" s="48"/>
      <c r="DE96" s="48"/>
      <c r="DF96" s="48"/>
      <c r="DG96" s="48"/>
      <c r="DH96" s="48"/>
      <c r="DI96" s="48"/>
      <c r="DJ96" s="48"/>
      <c r="DK96" s="48"/>
      <c r="DL96" s="48"/>
      <c r="DM96" s="48"/>
      <c r="DN96" s="48"/>
      <c r="DO96" s="48"/>
      <c r="DP96" s="48"/>
      <c r="DQ96" s="48"/>
      <c r="DR96" s="48"/>
      <c r="DS96" s="48"/>
      <c r="DT96" s="48"/>
      <c r="DU96" s="48"/>
      <c r="DV96" s="48"/>
      <c r="DW96" s="48"/>
      <c r="DX96" s="48"/>
      <c r="DY96" s="48"/>
      <c r="DZ96" s="48"/>
      <c r="EA96" s="48"/>
      <c r="EB96" s="48"/>
      <c r="EF96" s="48"/>
      <c r="EG96" s="48"/>
      <c r="EH96" s="48"/>
      <c r="EI96" s="48"/>
      <c r="EJ96" s="48"/>
      <c r="EK96" s="48"/>
      <c r="EL96" s="48"/>
      <c r="EM96" s="48"/>
      <c r="EN96" s="48"/>
      <c r="EO96" s="48"/>
      <c r="EP96" s="48"/>
      <c r="EQ96" s="48"/>
      <c r="ER96" s="48"/>
      <c r="ES96" s="48"/>
      <c r="ET96" s="48"/>
      <c r="EU96" s="48"/>
      <c r="EV96" s="48"/>
      <c r="EW96" s="48"/>
      <c r="EX96" s="48"/>
      <c r="EY96" s="48"/>
      <c r="EZ96" s="48"/>
      <c r="FA96" s="48"/>
      <c r="FB96" s="48"/>
      <c r="FC96" s="48"/>
      <c r="FD96" s="48"/>
      <c r="FE96" s="48"/>
      <c r="FF96" s="48"/>
      <c r="FG96" s="48"/>
      <c r="FH96" s="48"/>
      <c r="FI96" s="48"/>
      <c r="FJ96" s="48"/>
      <c r="FK96" s="48"/>
      <c r="FL96" s="48"/>
      <c r="FM96" s="48"/>
      <c r="FN96" s="48"/>
      <c r="FO96" s="48"/>
      <c r="FP96" s="48"/>
      <c r="FQ96" s="48"/>
      <c r="FR96" s="48"/>
      <c r="FS96" s="48"/>
      <c r="FT96" s="48"/>
    </row>
    <row r="97" spans="1:176" s="35" customFormat="1" x14ac:dyDescent="0.2">
      <c r="A97" s="759" t="s">
        <v>209</v>
      </c>
      <c r="B97" s="1564"/>
      <c r="C97" s="773"/>
      <c r="D97" s="773"/>
      <c r="E97" s="773"/>
      <c r="F97" s="774"/>
      <c r="G97" s="773"/>
      <c r="H97" s="773"/>
      <c r="I97" s="773"/>
      <c r="J97" s="773"/>
      <c r="K97" s="773"/>
      <c r="L97" s="774"/>
      <c r="M97" s="773"/>
      <c r="N97" s="773"/>
      <c r="O97" s="773"/>
      <c r="P97" s="773"/>
      <c r="Q97" s="773"/>
      <c r="R97" s="773"/>
      <c r="S97" s="772"/>
      <c r="T97" s="773"/>
      <c r="U97" s="773"/>
      <c r="V97" s="773"/>
      <c r="W97" s="773"/>
      <c r="X97" s="773"/>
      <c r="Y97" s="772"/>
      <c r="Z97" s="773"/>
      <c r="AA97" s="773"/>
      <c r="AB97" s="773"/>
      <c r="AC97" s="773"/>
      <c r="AD97" s="773"/>
      <c r="AE97" s="772"/>
      <c r="AF97" s="773"/>
      <c r="AG97" s="773"/>
      <c r="AH97" s="773"/>
      <c r="AI97" s="773"/>
      <c r="AJ97" s="773"/>
      <c r="AK97" s="772"/>
      <c r="AL97" s="773"/>
      <c r="AM97" s="773"/>
      <c r="AN97" s="773"/>
      <c r="AO97" s="773"/>
      <c r="AP97" s="773"/>
      <c r="AQ97" s="772"/>
      <c r="AR97" s="773"/>
      <c r="AS97" s="773"/>
      <c r="AT97" s="773"/>
      <c r="AU97" s="773"/>
      <c r="AV97" s="774"/>
      <c r="AW97" s="772"/>
      <c r="AX97" s="773"/>
      <c r="AY97" s="773"/>
      <c r="AZ97" s="773"/>
      <c r="BA97" s="773"/>
      <c r="BB97" s="774"/>
      <c r="BC97" s="772"/>
      <c r="BD97" s="1565"/>
      <c r="BE97" s="773"/>
      <c r="BF97" s="773"/>
      <c r="BG97" s="773"/>
      <c r="BH97" s="774"/>
      <c r="BI97" s="772"/>
      <c r="BJ97" s="1565"/>
      <c r="BK97" s="773"/>
      <c r="BL97" s="773"/>
      <c r="BM97" s="773"/>
      <c r="BN97" s="1566"/>
      <c r="BO97" s="1588"/>
      <c r="BP97" s="1565"/>
      <c r="BQ97" s="773"/>
      <c r="BR97" s="773"/>
      <c r="BS97" s="773"/>
      <c r="BT97" s="774"/>
      <c r="BU97" s="772"/>
      <c r="BV97" s="1565"/>
      <c r="BW97" s="773"/>
      <c r="BX97" s="773"/>
      <c r="BY97" s="773"/>
      <c r="BZ97" s="774"/>
      <c r="CA97" s="772"/>
      <c r="CB97" s="1565"/>
      <c r="CC97" s="773"/>
      <c r="CD97" s="773"/>
      <c r="CE97" s="773"/>
      <c r="CF97" s="774"/>
      <c r="CG97" s="1577"/>
      <c r="CH97" s="1565"/>
      <c r="CI97" s="773"/>
      <c r="CJ97" s="773"/>
      <c r="CK97" s="773"/>
      <c r="CL97" s="774"/>
      <c r="CM97" s="1577"/>
      <c r="CN97" s="1565"/>
      <c r="CO97" s="773"/>
      <c r="CP97" s="773"/>
      <c r="CQ97" s="773"/>
      <c r="CR97" s="774"/>
      <c r="CS97" s="1577"/>
      <c r="CT97" s="1565"/>
      <c r="CU97" s="773"/>
      <c r="CV97" s="773"/>
      <c r="CW97" s="773"/>
      <c r="CX97" s="774"/>
      <c r="CY97" s="1577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F97" s="48"/>
      <c r="EG97" s="48"/>
      <c r="EH97" s="48"/>
      <c r="EI97" s="48"/>
      <c r="EJ97" s="48"/>
      <c r="EK97" s="48"/>
      <c r="EL97" s="48"/>
      <c r="EM97" s="48"/>
      <c r="EN97" s="48"/>
      <c r="EO97" s="48"/>
      <c r="EP97" s="48"/>
      <c r="EQ97" s="48"/>
      <c r="ER97" s="48"/>
      <c r="ES97" s="48"/>
      <c r="ET97" s="48"/>
      <c r="EU97" s="48"/>
      <c r="EV97" s="48"/>
      <c r="EW97" s="48"/>
      <c r="EX97" s="48"/>
      <c r="EY97" s="48"/>
      <c r="EZ97" s="48"/>
      <c r="FA97" s="48"/>
      <c r="FB97" s="48"/>
      <c r="FC97" s="48"/>
      <c r="FD97" s="48"/>
      <c r="FE97" s="48"/>
      <c r="FF97" s="48"/>
      <c r="FG97" s="48"/>
      <c r="FH97" s="48"/>
      <c r="FI97" s="48"/>
      <c r="FJ97" s="48"/>
      <c r="FK97" s="48"/>
      <c r="FL97" s="48"/>
      <c r="FM97" s="48"/>
      <c r="FN97" s="48"/>
      <c r="FO97" s="48"/>
      <c r="FP97" s="48"/>
      <c r="FQ97" s="48"/>
      <c r="FR97" s="48"/>
      <c r="FS97" s="48"/>
      <c r="FT97" s="48"/>
    </row>
    <row r="98" spans="1:176" s="35" customFormat="1" x14ac:dyDescent="0.2">
      <c r="A98" s="658" t="s">
        <v>399</v>
      </c>
      <c r="B98" s="1496"/>
      <c r="C98" s="760"/>
      <c r="D98" s="761"/>
      <c r="E98" s="761"/>
      <c r="F98" s="761"/>
      <c r="G98" s="763"/>
      <c r="H98" s="761"/>
      <c r="I98" s="760"/>
      <c r="J98" s="761"/>
      <c r="K98" s="761"/>
      <c r="L98" s="761"/>
      <c r="M98" s="763"/>
      <c r="N98" s="761"/>
      <c r="O98" s="760"/>
      <c r="P98" s="761"/>
      <c r="Q98" s="761"/>
      <c r="R98" s="761"/>
      <c r="S98" s="763"/>
      <c r="T98" s="762"/>
      <c r="U98" s="760">
        <v>0.48</v>
      </c>
      <c r="V98" s="761">
        <v>0.53</v>
      </c>
      <c r="W98" s="761">
        <v>0.28999999999999998</v>
      </c>
      <c r="X98" s="762" t="s">
        <v>251</v>
      </c>
      <c r="Y98" s="763">
        <v>0.39</v>
      </c>
      <c r="Z98" s="761"/>
      <c r="AA98" s="760">
        <f>10%+2%</f>
        <v>0.12000000000000001</v>
      </c>
      <c r="AB98" s="761">
        <f>9%+2%</f>
        <v>0.11</v>
      </c>
      <c r="AC98" s="761">
        <f>9%+6%</f>
        <v>0.15</v>
      </c>
      <c r="AD98" s="762">
        <f>10%+3%</f>
        <v>0.13</v>
      </c>
      <c r="AE98" s="763"/>
      <c r="AF98" s="761"/>
      <c r="AG98" s="760">
        <f>12%+3%</f>
        <v>0.15</v>
      </c>
      <c r="AH98" s="761">
        <f>12%+3%</f>
        <v>0.15</v>
      </c>
      <c r="AI98" s="761">
        <f>11%+3%</f>
        <v>0.14000000000000001</v>
      </c>
      <c r="AJ98" s="762">
        <f>12%+3%</f>
        <v>0.15</v>
      </c>
      <c r="AK98" s="763"/>
      <c r="AL98" s="761"/>
      <c r="AM98" s="760">
        <f>12%+2%</f>
        <v>0.13999999999999999</v>
      </c>
      <c r="AN98" s="761">
        <f>11%+2%</f>
        <v>0.13</v>
      </c>
      <c r="AO98" s="761">
        <f>11%+1%</f>
        <v>0.12</v>
      </c>
      <c r="AP98" s="762">
        <f>12%+2%</f>
        <v>0.13999999999999999</v>
      </c>
      <c r="AQ98" s="1497"/>
      <c r="AR98" s="1498"/>
      <c r="AS98" s="1673">
        <f>+RevBuild!AS75</f>
        <v>0.18</v>
      </c>
      <c r="AT98" s="1672">
        <f>+RevBuild!AT75</f>
        <v>0.17</v>
      </c>
      <c r="AU98" s="1672">
        <f>+RevBuild!AU75</f>
        <v>0.17</v>
      </c>
      <c r="AV98" s="1672">
        <f>+RevBuild!AV75</f>
        <v>0.18</v>
      </c>
      <c r="AW98" s="1674">
        <f>+SUMPRODUCT(AS98:AV98,RevBuild!AS$76:AV$76)/RevBuild!AW$76</f>
        <v>0.1751180725404724</v>
      </c>
      <c r="AX98" s="1498"/>
      <c r="AY98" s="1673">
        <f>+RevBuild!AY75</f>
        <v>0.18</v>
      </c>
      <c r="AZ98" s="1672">
        <f>+RevBuild!AZ75</f>
        <v>0.19</v>
      </c>
      <c r="BA98" s="1672">
        <f>+RevBuild!BA75</f>
        <v>0.192</v>
      </c>
      <c r="BB98" s="1672">
        <f>+RevBuild!BB75</f>
        <v>0.19</v>
      </c>
      <c r="BC98" s="1674">
        <f>+SUMPRODUCT(AY98:BB98,RevBuild!AY$76:BB$76)/RevBuild!BC$76</f>
        <v>0.1881221804511278</v>
      </c>
      <c r="BD98" s="1499"/>
      <c r="BE98" s="1673">
        <f>+RevBuild!BE75</f>
        <v>0.18</v>
      </c>
      <c r="BF98" s="1672">
        <f>+RevBuild!BF75</f>
        <v>0.19333330000000001</v>
      </c>
      <c r="BG98" s="1672">
        <f>+RevBuild!BG75</f>
        <v>0.19333333333</v>
      </c>
      <c r="BH98" s="1672">
        <f>+RevBuild!BH75</f>
        <v>0.22851657923377802</v>
      </c>
      <c r="BI98" s="1674">
        <f>+SUMPRODUCT(BE98:BH98,RevBuild!BE$76:BH$76)/RevBuild!BI$76</f>
        <v>0.20000000341155741</v>
      </c>
      <c r="BJ98" s="1499"/>
      <c r="BK98" s="1673">
        <f>+RevBuild!BK75</f>
        <v>0.19</v>
      </c>
      <c r="BL98" s="1672">
        <f>+RevBuild!BL75</f>
        <v>0.18</v>
      </c>
      <c r="BM98" s="1672">
        <f>+RevBuild!BM75</f>
        <v>0.19</v>
      </c>
      <c r="BN98" s="1672">
        <f>+RevBuild!BN75</f>
        <v>0.21119982762662556</v>
      </c>
      <c r="BO98" s="1674">
        <f>+SUMPRODUCT(BK98:BN98,RevBuild!BK$76:BN$76)/RevBuild!BO$76</f>
        <v>0.19322152273138135</v>
      </c>
      <c r="BP98" s="1503"/>
      <c r="BQ98" s="1673">
        <f>+RevBuild!BQ75</f>
        <v>0.19</v>
      </c>
      <c r="BR98" s="1672">
        <f>+RevBuild!BR75</f>
        <v>0.20333333333333334</v>
      </c>
      <c r="BS98" s="1672">
        <f>+RevBuild!BS75</f>
        <v>0.19999999999999996</v>
      </c>
      <c r="BT98" s="1672">
        <f>+RevBuild!BT75</f>
        <v>0.21299999999999999</v>
      </c>
      <c r="BU98" s="1674">
        <f>+SUMPRODUCT(BQ98:BT98,RevBuild!BQ$76:BT$76)/RevBuild!BU$76</f>
        <v>0.20203556798096017</v>
      </c>
      <c r="BV98" s="1503"/>
      <c r="BW98" s="1673">
        <f>+RevBuild!BW75</f>
        <v>0.2</v>
      </c>
      <c r="BX98" s="1672">
        <f>+RevBuild!BX75</f>
        <v>0.20229999999999998</v>
      </c>
      <c r="BY98" s="1672">
        <f>+RevBuild!BY75</f>
        <v>0.21000000000000002</v>
      </c>
      <c r="BZ98" s="1672">
        <f>+RevBuild!BZ75</f>
        <v>0.21000000000000002</v>
      </c>
      <c r="CA98" s="1674">
        <f>+SUMPRODUCT(BW98:BZ98,RevBuild!BW$76:BZ$76)/RevBuild!CA$76</f>
        <v>0.20584544111283262</v>
      </c>
      <c r="CB98" s="1503"/>
      <c r="CC98" s="1673">
        <f>+RevBuild!CC75</f>
        <v>0.20800000000000002</v>
      </c>
      <c r="CD98" s="1672">
        <f>+RevBuild!CD75</f>
        <v>0.21100000000000002</v>
      </c>
      <c r="CE98" s="1672">
        <f>+RevBuild!CE75</f>
        <v>0.20700000000000002</v>
      </c>
      <c r="CF98" s="1672">
        <f>+RevBuild!CF75</f>
        <v>0.21699999999999997</v>
      </c>
      <c r="CG98" s="1674">
        <f>+SUMPRODUCT(CC98:CF98,RevBuild!CC$76:CF$76)/RevBuild!CG$76</f>
        <v>0.21100011272170072</v>
      </c>
      <c r="CH98" s="1503"/>
      <c r="CI98" s="764"/>
      <c r="CJ98" s="765"/>
      <c r="CK98" s="1502"/>
      <c r="CL98" s="1579"/>
      <c r="CM98" s="424"/>
      <c r="CN98" s="1503"/>
      <c r="CO98" s="764"/>
      <c r="CP98" s="765"/>
      <c r="CQ98" s="1502"/>
      <c r="CR98" s="1579"/>
      <c r="CS98" s="424"/>
      <c r="CT98" s="1503"/>
      <c r="CU98" s="764"/>
      <c r="CV98" s="765"/>
      <c r="CW98" s="1502"/>
      <c r="CX98" s="1579"/>
      <c r="CY98" s="424"/>
      <c r="EF98" s="48"/>
      <c r="EG98" s="48"/>
      <c r="EH98" s="48"/>
      <c r="EI98" s="48"/>
      <c r="EJ98" s="48"/>
      <c r="EK98" s="48"/>
      <c r="EL98" s="48"/>
      <c r="EM98" s="48"/>
      <c r="EN98" s="48"/>
      <c r="EO98" s="48"/>
      <c r="EP98" s="48"/>
      <c r="EQ98" s="48"/>
      <c r="ER98" s="48"/>
      <c r="ES98" s="48"/>
      <c r="ET98" s="48"/>
      <c r="EU98" s="48"/>
      <c r="EV98" s="48"/>
      <c r="EW98" s="48"/>
      <c r="EX98" s="48"/>
      <c r="EY98" s="48"/>
      <c r="EZ98" s="48"/>
      <c r="FA98" s="48"/>
      <c r="FB98" s="48"/>
      <c r="FC98" s="48"/>
      <c r="FD98" s="48"/>
      <c r="FE98" s="48"/>
      <c r="FF98" s="48"/>
      <c r="FG98" s="48"/>
      <c r="FH98" s="48"/>
      <c r="FI98" s="48"/>
      <c r="FJ98" s="48"/>
      <c r="FK98" s="48"/>
      <c r="FL98" s="48"/>
      <c r="FM98" s="48"/>
      <c r="FN98" s="48"/>
      <c r="FO98" s="48"/>
      <c r="FP98" s="48"/>
      <c r="FQ98" s="48"/>
      <c r="FR98" s="48"/>
      <c r="FS98" s="48"/>
      <c r="FT98" s="48"/>
    </row>
    <row r="99" spans="1:176" s="35" customFormat="1" x14ac:dyDescent="0.2">
      <c r="A99" s="312" t="s">
        <v>400</v>
      </c>
      <c r="B99" s="1501"/>
      <c r="C99" s="764"/>
      <c r="D99" s="765"/>
      <c r="E99" s="765"/>
      <c r="F99" s="765"/>
      <c r="G99" s="767"/>
      <c r="H99" s="765"/>
      <c r="I99" s="764"/>
      <c r="J99" s="765"/>
      <c r="K99" s="765"/>
      <c r="L99" s="765"/>
      <c r="M99" s="767"/>
      <c r="N99" s="765"/>
      <c r="O99" s="764"/>
      <c r="P99" s="765"/>
      <c r="Q99" s="765"/>
      <c r="R99" s="765"/>
      <c r="S99" s="767"/>
      <c r="T99" s="766"/>
      <c r="U99" s="764">
        <v>0.14000000000000001</v>
      </c>
      <c r="V99" s="765">
        <v>0.18</v>
      </c>
      <c r="W99" s="765">
        <v>0.23</v>
      </c>
      <c r="X99" s="766" t="s">
        <v>251</v>
      </c>
      <c r="Y99" s="767">
        <v>0.21</v>
      </c>
      <c r="Z99" s="765"/>
      <c r="AA99" s="764">
        <v>0.38</v>
      </c>
      <c r="AB99" s="765">
        <v>0.4</v>
      </c>
      <c r="AC99" s="765">
        <v>0.34</v>
      </c>
      <c r="AD99" s="766">
        <v>0.37</v>
      </c>
      <c r="AE99" s="767"/>
      <c r="AF99" s="765"/>
      <c r="AG99" s="764">
        <v>0.34</v>
      </c>
      <c r="AH99" s="765">
        <v>0.35</v>
      </c>
      <c r="AI99" s="765">
        <v>0.35</v>
      </c>
      <c r="AJ99" s="766">
        <v>0.36</v>
      </c>
      <c r="AK99" s="767"/>
      <c r="AL99" s="765"/>
      <c r="AM99" s="764">
        <v>0.38</v>
      </c>
      <c r="AN99" s="765">
        <v>0.38</v>
      </c>
      <c r="AO99" s="765">
        <v>0.35</v>
      </c>
      <c r="AP99" s="766">
        <v>0.38</v>
      </c>
      <c r="AQ99" s="424"/>
      <c r="AR99" s="1502"/>
      <c r="AS99" s="1673">
        <f>+RevBuild!AS72</f>
        <v>0.35</v>
      </c>
      <c r="AT99" s="1672">
        <f>+RevBuild!AT72</f>
        <v>0.31</v>
      </c>
      <c r="AU99" s="1672">
        <f>+RevBuild!AU72</f>
        <v>0.33</v>
      </c>
      <c r="AV99" s="1672">
        <f>+RevBuild!AV72</f>
        <v>0.36</v>
      </c>
      <c r="AW99" s="1674">
        <f>+SUMPRODUCT(AS99:AV99,RevBuild!AS$76:AV$76)/RevBuild!AW$76</f>
        <v>0.33827047216192901</v>
      </c>
      <c r="AX99" s="1502"/>
      <c r="AY99" s="1673">
        <f>+RevBuild!AY72</f>
        <v>0.34</v>
      </c>
      <c r="AZ99" s="1672">
        <f>+RevBuild!AZ72</f>
        <v>0.33</v>
      </c>
      <c r="BA99" s="1672">
        <f>+RevBuild!BA72</f>
        <v>0.33400000000000002</v>
      </c>
      <c r="BB99" s="1672">
        <f>+RevBuild!BB72</f>
        <v>0.34</v>
      </c>
      <c r="BC99" s="1674">
        <f>+SUMPRODUCT(AY99:BB99,RevBuild!AY$76:BB$76)/RevBuild!BC$76</f>
        <v>0.33609562710848367</v>
      </c>
      <c r="BD99" s="1503"/>
      <c r="BE99" s="1673">
        <f>+RevBuild!BE72</f>
        <v>0.34</v>
      </c>
      <c r="BF99" s="1672">
        <f>+RevBuild!BF72</f>
        <v>0.32333329999999999</v>
      </c>
      <c r="BG99" s="1672">
        <f>+RevBuild!BG72</f>
        <v>0.30333333299999998</v>
      </c>
      <c r="BH99" s="1672">
        <f>+RevBuild!BH72</f>
        <v>0.31523045351665696</v>
      </c>
      <c r="BI99" s="1674">
        <f>+SUMPRODUCT(BE99:BH99,RevBuild!BE$76:BH$76)/RevBuild!BI$76</f>
        <v>0.31999999921597566</v>
      </c>
      <c r="BJ99" s="1503"/>
      <c r="BK99" s="1673">
        <f>+RevBuild!BK72</f>
        <v>0.33</v>
      </c>
      <c r="BL99" s="1672">
        <f>+RevBuild!BL72</f>
        <v>0.34</v>
      </c>
      <c r="BM99" s="1672">
        <f>+RevBuild!BM72</f>
        <v>0.33</v>
      </c>
      <c r="BN99" s="1672">
        <f>+RevBuild!BN72</f>
        <v>0.36937082201414856</v>
      </c>
      <c r="BO99" s="1674">
        <f>+SUMPRODUCT(BK99:BN99,RevBuild!BK$76:BN$76)/RevBuild!BO$76</f>
        <v>0.34301296656451929</v>
      </c>
      <c r="BP99" s="1503"/>
      <c r="BQ99" s="1673">
        <f>+RevBuild!BQ72</f>
        <v>0.33</v>
      </c>
      <c r="BR99" s="1672">
        <f>+RevBuild!BR72</f>
        <v>0.30333333333333334</v>
      </c>
      <c r="BS99" s="1672">
        <f>+RevBuild!BS72</f>
        <v>0.32</v>
      </c>
      <c r="BT99" s="1672">
        <f>+RevBuild!BT72</f>
        <v>0.33300000000000002</v>
      </c>
      <c r="BU99" s="1674">
        <f>+SUMPRODUCT(BQ99:BT99,RevBuild!BQ$76:BT$76)/RevBuild!BU$76</f>
        <v>0.32171202355623613</v>
      </c>
      <c r="BV99" s="1503"/>
      <c r="BW99" s="1673">
        <f>+RevBuild!BW72</f>
        <v>0.34</v>
      </c>
      <c r="BX99" s="1672">
        <f>+RevBuild!BX72</f>
        <v>0.32400000000000001</v>
      </c>
      <c r="BY99" s="1672">
        <f>+RevBuild!BY72</f>
        <v>0.3</v>
      </c>
      <c r="BZ99" s="1672">
        <f>+RevBuild!BZ72</f>
        <v>0.33</v>
      </c>
      <c r="CA99" s="1674">
        <f>+SUMPRODUCT(BW99:BZ99,RevBuild!BW$76:BZ$76)/RevBuild!CA$76</f>
        <v>0.32313655174063205</v>
      </c>
      <c r="CB99" s="1503"/>
      <c r="CC99" s="1673">
        <f>+RevBuild!CC72</f>
        <v>0.32800000000000001</v>
      </c>
      <c r="CD99" s="1672">
        <f>+RevBuild!CD72</f>
        <v>0.32</v>
      </c>
      <c r="CE99" s="1672">
        <f>+RevBuild!CE72</f>
        <v>0.32100000000000001</v>
      </c>
      <c r="CF99" s="1672">
        <f>+RevBuild!CF72</f>
        <v>0.33850000000000002</v>
      </c>
      <c r="CG99" s="1674">
        <f>+SUMPRODUCT(CC99:CF99,RevBuild!CC$76:CF$76)/RevBuild!CG$76</f>
        <v>0.32717011360233905</v>
      </c>
      <c r="CH99" s="1503"/>
      <c r="CI99" s="764"/>
      <c r="CJ99" s="765"/>
      <c r="CK99" s="1502"/>
      <c r="CL99" s="1579"/>
      <c r="CM99" s="424"/>
      <c r="CN99" s="1503"/>
      <c r="CO99" s="764"/>
      <c r="CP99" s="765"/>
      <c r="CQ99" s="1502"/>
      <c r="CR99" s="1579"/>
      <c r="CS99" s="424"/>
      <c r="CT99" s="1503"/>
      <c r="CU99" s="764"/>
      <c r="CV99" s="765"/>
      <c r="CW99" s="1502"/>
      <c r="CX99" s="1579"/>
      <c r="CY99" s="424"/>
      <c r="EF99" s="48"/>
      <c r="EG99" s="48"/>
      <c r="EH99" s="48"/>
      <c r="EI99" s="48"/>
      <c r="EJ99" s="48"/>
      <c r="EK99" s="48"/>
      <c r="EL99" s="48"/>
      <c r="EM99" s="48"/>
      <c r="EN99" s="48"/>
      <c r="EO99" s="48"/>
      <c r="EP99" s="48"/>
      <c r="EQ99" s="48"/>
      <c r="ER99" s="48"/>
      <c r="ES99" s="48"/>
      <c r="ET99" s="48"/>
      <c r="EU99" s="48"/>
      <c r="EV99" s="48"/>
      <c r="EW99" s="48"/>
      <c r="EX99" s="48"/>
      <c r="EY99" s="48"/>
      <c r="EZ99" s="48"/>
      <c r="FA99" s="48"/>
      <c r="FB99" s="48"/>
      <c r="FC99" s="48"/>
      <c r="FD99" s="48"/>
      <c r="FE99" s="48"/>
      <c r="FF99" s="48"/>
      <c r="FG99" s="48"/>
      <c r="FH99" s="48"/>
      <c r="FI99" s="48"/>
      <c r="FJ99" s="48"/>
      <c r="FK99" s="48"/>
      <c r="FL99" s="48"/>
      <c r="FM99" s="48"/>
      <c r="FN99" s="48"/>
      <c r="FO99" s="48"/>
      <c r="FP99" s="48"/>
      <c r="FQ99" s="48"/>
      <c r="FR99" s="48"/>
      <c r="FS99" s="48"/>
      <c r="FT99" s="48"/>
    </row>
    <row r="100" spans="1:176" s="35" customFormat="1" x14ac:dyDescent="0.2">
      <c r="A100" s="312" t="s">
        <v>83</v>
      </c>
      <c r="B100" s="1501"/>
      <c r="C100" s="764"/>
      <c r="D100" s="765"/>
      <c r="E100" s="765"/>
      <c r="F100" s="765"/>
      <c r="G100" s="767"/>
      <c r="H100" s="765"/>
      <c r="I100" s="764"/>
      <c r="J100" s="765"/>
      <c r="K100" s="765"/>
      <c r="L100" s="765"/>
      <c r="M100" s="767"/>
      <c r="N100" s="765"/>
      <c r="O100" s="764"/>
      <c r="P100" s="765"/>
      <c r="Q100" s="765"/>
      <c r="R100" s="765"/>
      <c r="S100" s="767"/>
      <c r="T100" s="766"/>
      <c r="U100" s="764">
        <v>0.05</v>
      </c>
      <c r="V100" s="765">
        <v>0.06</v>
      </c>
      <c r="W100" s="765">
        <v>0.7</v>
      </c>
      <c r="X100" s="765" t="s">
        <v>251</v>
      </c>
      <c r="Y100" s="767">
        <v>0.47</v>
      </c>
      <c r="Z100" s="765"/>
      <c r="AA100" s="764">
        <v>0.5</v>
      </c>
      <c r="AB100" s="765">
        <v>0.49</v>
      </c>
      <c r="AC100" s="765">
        <v>0.51</v>
      </c>
      <c r="AD100" s="765">
        <v>0.5</v>
      </c>
      <c r="AE100" s="767"/>
      <c r="AF100" s="765"/>
      <c r="AG100" s="764">
        <v>0.51</v>
      </c>
      <c r="AH100" s="765">
        <v>0.5</v>
      </c>
      <c r="AI100" s="765">
        <v>0.51</v>
      </c>
      <c r="AJ100" s="765">
        <v>0.49</v>
      </c>
      <c r="AK100" s="767"/>
      <c r="AL100" s="765"/>
      <c r="AM100" s="764">
        <v>0.48</v>
      </c>
      <c r="AN100" s="765">
        <v>0.49</v>
      </c>
      <c r="AO100" s="765">
        <v>0.53</v>
      </c>
      <c r="AP100" s="765">
        <v>0.48</v>
      </c>
      <c r="AQ100" s="424"/>
      <c r="AR100" s="1502"/>
      <c r="AS100" s="1673">
        <f>+RevBuild!AS69</f>
        <v>0.47</v>
      </c>
      <c r="AT100" s="1672">
        <f>+RevBuild!AT69</f>
        <v>0.52</v>
      </c>
      <c r="AU100" s="1672">
        <f>+RevBuild!AU69</f>
        <v>0.5</v>
      </c>
      <c r="AV100" s="1672">
        <f>+RevBuild!AV69</f>
        <v>0.46</v>
      </c>
      <c r="AW100" s="1674">
        <f>+SUMPRODUCT(AS100:AV100,RevBuild!AS$76:AV$76)/RevBuild!AW$76</f>
        <v>0.48661145529759858</v>
      </c>
      <c r="AX100" s="1502"/>
      <c r="AY100" s="1673">
        <f>+RevBuild!AY69</f>
        <v>0.48</v>
      </c>
      <c r="AZ100" s="1672">
        <f>+RevBuild!AZ69</f>
        <v>0.48</v>
      </c>
      <c r="BA100" s="1672">
        <f>+RevBuild!BA69</f>
        <v>0.47399999999999998</v>
      </c>
      <c r="BB100" s="1672">
        <f>+RevBuild!BB69</f>
        <v>0.47000000000000003</v>
      </c>
      <c r="BC100" s="1674">
        <f>+SUMPRODUCT(AY100:BB100,RevBuild!AY$76:BB$76)/RevBuild!BC$76</f>
        <v>0.4757821924403885</v>
      </c>
      <c r="BD100" s="1503"/>
      <c r="BE100" s="1673">
        <f>+RevBuild!BE69</f>
        <v>0.48</v>
      </c>
      <c r="BF100" s="1672">
        <f>+RevBuild!BF69</f>
        <v>0.48333300000000001</v>
      </c>
      <c r="BG100" s="1672">
        <f>+RevBuild!BG69</f>
        <v>0.50333333333300001</v>
      </c>
      <c r="BH100" s="1672">
        <f>+RevBuild!BH69</f>
        <v>0.45625331661295387</v>
      </c>
      <c r="BI100" s="1674">
        <f>+SUMPRODUCT(BE100:BH100,RevBuild!BE$76:BH$76)/RevBuild!BI$76</f>
        <v>0.47999999737253946</v>
      </c>
      <c r="BJ100" s="1503"/>
      <c r="BK100" s="1673">
        <f>+RevBuild!BK69</f>
        <v>0.48</v>
      </c>
      <c r="BL100" s="1672">
        <f>+RevBuild!BL69</f>
        <v>0.48</v>
      </c>
      <c r="BM100" s="1672">
        <f>+RevBuild!BM69</f>
        <v>0.48</v>
      </c>
      <c r="BN100" s="1672">
        <f>+RevBuild!BN69</f>
        <v>0.41453394652288444</v>
      </c>
      <c r="BO100" s="1674">
        <f>+SUMPRODUCT(BK100:BN100,RevBuild!BK$76:BN$76)/RevBuild!BO$76</f>
        <v>0.46245341678317331</v>
      </c>
      <c r="BP100" s="1503"/>
      <c r="BQ100" s="1673">
        <f>+RevBuild!BQ69</f>
        <v>0.48</v>
      </c>
      <c r="BR100" s="1672">
        <f>+RevBuild!BR69</f>
        <v>0.49333333333333335</v>
      </c>
      <c r="BS100" s="1672">
        <f>+RevBuild!BS69</f>
        <v>0.48</v>
      </c>
      <c r="BT100" s="1672">
        <f>+RevBuild!BT69</f>
        <v>0.45400000000000001</v>
      </c>
      <c r="BU100" s="1674">
        <f>+SUMPRODUCT(BQ100:BT100,RevBuild!BQ$76:BT$76)/RevBuild!BU$76</f>
        <v>0.47625240846280364</v>
      </c>
      <c r="BV100" s="1503"/>
      <c r="BW100" s="1673">
        <f>+RevBuild!BW69</f>
        <v>0.46</v>
      </c>
      <c r="BX100" s="1672">
        <f>+RevBuild!BX69</f>
        <v>0.47370000000000001</v>
      </c>
      <c r="BY100" s="1672">
        <f>+RevBuild!BY69</f>
        <v>0.49</v>
      </c>
      <c r="BZ100" s="1672">
        <f>+RevBuild!BZ69</f>
        <v>0.46</v>
      </c>
      <c r="CA100" s="1674">
        <f>+SUMPRODUCT(BW100:BZ100,RevBuild!BW$76:BZ$76)/RevBuild!CA$76</f>
        <v>0.47101800714653536</v>
      </c>
      <c r="CB100" s="1503"/>
      <c r="CC100" s="1673">
        <f>+RevBuild!CC69</f>
        <v>0.46400000000000002</v>
      </c>
      <c r="CD100" s="1672">
        <f>+RevBuild!CD69</f>
        <v>0.46899999999999997</v>
      </c>
      <c r="CE100" s="1672">
        <f>+RevBuild!CE69</f>
        <v>0.47199999999999998</v>
      </c>
      <c r="CF100" s="1672">
        <f>+RevBuild!CF69</f>
        <v>0.44450000000000001</v>
      </c>
      <c r="CG100" s="1674">
        <f>+SUMPRODUCT(CC100:CF100,RevBuild!CC$76:CF$76)/RevBuild!CG$76</f>
        <v>0.4618297736759604</v>
      </c>
      <c r="CH100" s="1503"/>
      <c r="CI100" s="764"/>
      <c r="CJ100" s="765"/>
      <c r="CK100" s="1502"/>
      <c r="CL100" s="1579"/>
      <c r="CM100" s="424"/>
      <c r="CN100" s="1503"/>
      <c r="CO100" s="764"/>
      <c r="CP100" s="765"/>
      <c r="CQ100" s="1502"/>
      <c r="CR100" s="1579"/>
      <c r="CS100" s="424"/>
      <c r="CT100" s="1503"/>
      <c r="CU100" s="764"/>
      <c r="CV100" s="765"/>
      <c r="CW100" s="1502"/>
      <c r="CX100" s="1579"/>
      <c r="CY100" s="424"/>
      <c r="EC100" s="48"/>
      <c r="EF100" s="48"/>
      <c r="EG100" s="48"/>
      <c r="EH100" s="48"/>
      <c r="EI100" s="48"/>
      <c r="EJ100" s="48"/>
      <c r="EK100" s="48"/>
      <c r="EL100" s="48"/>
      <c r="EM100" s="48"/>
      <c r="EN100" s="48"/>
      <c r="EO100" s="48"/>
      <c r="EP100" s="48"/>
      <c r="EQ100" s="48"/>
      <c r="ER100" s="48"/>
      <c r="ES100" s="48"/>
      <c r="ET100" s="48"/>
      <c r="EU100" s="48"/>
      <c r="EV100" s="48"/>
      <c r="EW100" s="48"/>
      <c r="EX100" s="48"/>
      <c r="EY100" s="48"/>
      <c r="EZ100" s="48"/>
      <c r="FA100" s="48"/>
      <c r="FB100" s="48"/>
      <c r="FC100" s="48"/>
      <c r="FD100" s="48"/>
      <c r="FE100" s="48"/>
      <c r="FF100" s="48"/>
      <c r="FG100" s="48"/>
      <c r="FH100" s="48"/>
      <c r="FI100" s="48"/>
      <c r="FJ100" s="48"/>
      <c r="FK100" s="48"/>
      <c r="FL100" s="48"/>
      <c r="FM100" s="48"/>
      <c r="FN100" s="48"/>
      <c r="FO100" s="48"/>
      <c r="FP100" s="48"/>
      <c r="FQ100" s="48"/>
      <c r="FR100" s="48"/>
      <c r="FS100" s="48"/>
      <c r="FT100" s="48"/>
    </row>
    <row r="101" spans="1:176" x14ac:dyDescent="0.2">
      <c r="A101" s="312" t="s">
        <v>401</v>
      </c>
      <c r="B101" s="1501"/>
      <c r="C101" s="764"/>
      <c r="D101" s="765"/>
      <c r="E101" s="765"/>
      <c r="F101" s="765"/>
      <c r="G101" s="767"/>
      <c r="H101" s="765"/>
      <c r="I101" s="764"/>
      <c r="J101" s="765"/>
      <c r="K101" s="765"/>
      <c r="L101" s="765"/>
      <c r="M101" s="767"/>
      <c r="N101" s="765"/>
      <c r="O101" s="764"/>
      <c r="P101" s="765"/>
      <c r="Q101" s="765"/>
      <c r="R101" s="765"/>
      <c r="S101" s="767"/>
      <c r="T101" s="766"/>
      <c r="U101" s="764" t="s">
        <v>251</v>
      </c>
      <c r="V101" s="765" t="s">
        <v>251</v>
      </c>
      <c r="W101" s="765" t="s">
        <v>251</v>
      </c>
      <c r="X101" s="765" t="s">
        <v>251</v>
      </c>
      <c r="Y101" s="767" t="s">
        <v>251</v>
      </c>
      <c r="Z101" s="765"/>
      <c r="AA101" s="764" t="s">
        <v>251</v>
      </c>
      <c r="AB101" s="765" t="s">
        <v>251</v>
      </c>
      <c r="AC101" s="765" t="s">
        <v>251</v>
      </c>
      <c r="AD101" s="765" t="s">
        <v>251</v>
      </c>
      <c r="AE101" s="767"/>
      <c r="AF101" s="765"/>
      <c r="AG101" s="764" t="s">
        <v>251</v>
      </c>
      <c r="AH101" s="765" t="s">
        <v>251</v>
      </c>
      <c r="AI101" s="765" t="s">
        <v>251</v>
      </c>
      <c r="AJ101" s="765" t="s">
        <v>251</v>
      </c>
      <c r="AK101" s="767"/>
      <c r="AL101" s="765"/>
      <c r="AM101" s="764" t="s">
        <v>251</v>
      </c>
      <c r="AN101" s="765" t="s">
        <v>251</v>
      </c>
      <c r="AO101" s="765" t="s">
        <v>251</v>
      </c>
      <c r="AP101" s="765" t="s">
        <v>251</v>
      </c>
      <c r="AQ101" s="767"/>
      <c r="AR101" s="765"/>
      <c r="AS101" s="764" t="s">
        <v>251</v>
      </c>
      <c r="AT101" s="765" t="s">
        <v>251</v>
      </c>
      <c r="AU101" s="765" t="s">
        <v>251</v>
      </c>
      <c r="AV101" s="765" t="s">
        <v>251</v>
      </c>
      <c r="AW101" s="424">
        <v>0.12</v>
      </c>
      <c r="AX101" s="1502"/>
      <c r="AY101" s="764" t="s">
        <v>251</v>
      </c>
      <c r="AZ101" s="765" t="s">
        <v>251</v>
      </c>
      <c r="BA101" s="765" t="s">
        <v>251</v>
      </c>
      <c r="BB101" s="1561" t="str">
        <f>BC101</f>
        <v>ND</v>
      </c>
      <c r="BC101" s="424" t="s">
        <v>251</v>
      </c>
      <c r="BD101" s="1503"/>
      <c r="BE101" s="764" t="s">
        <v>251</v>
      </c>
      <c r="BF101" s="765">
        <v>0.13</v>
      </c>
      <c r="BG101" s="1502">
        <v>0.15</v>
      </c>
      <c r="BH101" s="1561">
        <f>BI101</f>
        <v>0.14000000000000001</v>
      </c>
      <c r="BI101" s="424">
        <v>0.14000000000000001</v>
      </c>
      <c r="BJ101" s="1503"/>
      <c r="BK101" s="764" t="s">
        <v>251</v>
      </c>
      <c r="BL101" s="1504" t="s">
        <v>251</v>
      </c>
      <c r="BM101" s="1504" t="s">
        <v>251</v>
      </c>
      <c r="BN101" s="1504">
        <v>0.17</v>
      </c>
      <c r="BO101" s="1528">
        <v>0.17</v>
      </c>
      <c r="BP101" s="1503"/>
      <c r="BQ101" s="764">
        <v>0.12</v>
      </c>
      <c r="BR101" s="765">
        <v>0.15</v>
      </c>
      <c r="BS101" s="1502">
        <v>0.14000000000000001</v>
      </c>
      <c r="BT101" s="1589" t="s">
        <v>251</v>
      </c>
      <c r="BU101" s="424">
        <v>0.15</v>
      </c>
      <c r="BV101" s="1503"/>
      <c r="BW101" s="1527">
        <v>0.13</v>
      </c>
      <c r="BX101" s="765">
        <v>0.16</v>
      </c>
      <c r="BY101" s="765">
        <v>0.15</v>
      </c>
      <c r="BZ101" s="1589">
        <v>0.17</v>
      </c>
      <c r="CA101" s="424">
        <v>0.15</v>
      </c>
      <c r="CB101" s="1503"/>
      <c r="CC101" s="1527">
        <v>0.14000000000000001</v>
      </c>
      <c r="CD101" s="765">
        <v>0.17</v>
      </c>
      <c r="CE101" s="765">
        <v>0.17</v>
      </c>
      <c r="CF101" s="1589">
        <v>0.18</v>
      </c>
      <c r="CG101" s="424">
        <v>0.16</v>
      </c>
      <c r="CH101" s="1503"/>
      <c r="CI101" s="764"/>
      <c r="CJ101" s="765"/>
      <c r="CK101" s="1502"/>
      <c r="CL101" s="1579"/>
      <c r="CM101" s="424"/>
      <c r="CN101" s="1503"/>
      <c r="CO101" s="764"/>
      <c r="CP101" s="765"/>
      <c r="CQ101" s="1502"/>
      <c r="CR101" s="1579"/>
      <c r="CS101" s="424"/>
      <c r="CT101" s="1503"/>
      <c r="CU101" s="764"/>
      <c r="CV101" s="765"/>
      <c r="CW101" s="1502"/>
      <c r="CX101" s="1579"/>
      <c r="CY101" s="424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</row>
    <row r="102" spans="1:176" x14ac:dyDescent="0.2">
      <c r="A102" s="380" t="s">
        <v>84</v>
      </c>
      <c r="B102" s="780"/>
      <c r="C102" s="785"/>
      <c r="D102" s="781"/>
      <c r="E102" s="781"/>
      <c r="F102" s="781"/>
      <c r="G102" s="783"/>
      <c r="H102" s="781"/>
      <c r="I102" s="785"/>
      <c r="J102" s="781"/>
      <c r="K102" s="781"/>
      <c r="L102" s="781"/>
      <c r="M102" s="783"/>
      <c r="N102" s="781"/>
      <c r="O102" s="785"/>
      <c r="P102" s="781"/>
      <c r="Q102" s="781"/>
      <c r="R102" s="781"/>
      <c r="S102" s="783"/>
      <c r="T102" s="781"/>
      <c r="U102" s="1590">
        <f>SUM(U98:U100)</f>
        <v>0.67</v>
      </c>
      <c r="V102" s="1591">
        <f>SUM(V98:V100)</f>
        <v>0.77</v>
      </c>
      <c r="W102" s="1591">
        <f>SUM(W98:W100)</f>
        <v>1.22</v>
      </c>
      <c r="X102" s="1591">
        <f>SUM(X98:X100)</f>
        <v>0</v>
      </c>
      <c r="Y102" s="1592">
        <f>SUM(Y98:Y100)</f>
        <v>1.0699999999999998</v>
      </c>
      <c r="Z102" s="1591"/>
      <c r="AA102" s="1590">
        <f>SUM(AA98:AA100)</f>
        <v>1</v>
      </c>
      <c r="AB102" s="1591">
        <f>SUM(AB98:AB100)</f>
        <v>1</v>
      </c>
      <c r="AC102" s="1591">
        <f>SUM(AC98:AC100)</f>
        <v>1</v>
      </c>
      <c r="AD102" s="1591">
        <f>SUM(AD98:AD100)</f>
        <v>1</v>
      </c>
      <c r="AE102" s="1592"/>
      <c r="AF102" s="1591"/>
      <c r="AG102" s="1590">
        <f>SUM(AG98:AG100)</f>
        <v>1</v>
      </c>
      <c r="AH102" s="1591">
        <f>SUM(AH98:AH100)</f>
        <v>1</v>
      </c>
      <c r="AI102" s="1591">
        <f>SUM(AI98:AI100)</f>
        <v>1</v>
      </c>
      <c r="AJ102" s="1591">
        <f>SUM(AJ98:AJ100)</f>
        <v>1</v>
      </c>
      <c r="AK102" s="1592"/>
      <c r="AL102" s="1591"/>
      <c r="AM102" s="1590">
        <f>SUM(AM98:AM100)</f>
        <v>1</v>
      </c>
      <c r="AN102" s="1591">
        <f>SUM(AN98:AN100)</f>
        <v>1</v>
      </c>
      <c r="AO102" s="1591">
        <f>SUM(AO98:AO100)</f>
        <v>1</v>
      </c>
      <c r="AP102" s="1591">
        <f>SUM(AP98:AP100)</f>
        <v>1</v>
      </c>
      <c r="AQ102" s="1592"/>
      <c r="AR102" s="1591"/>
      <c r="AS102" s="1590">
        <f>SUM(AS98:AS100)</f>
        <v>1</v>
      </c>
      <c r="AT102" s="1591">
        <f>SUM(AT98:AT100)</f>
        <v>1</v>
      </c>
      <c r="AU102" s="1591">
        <f>SUM(AU98:AU100)</f>
        <v>1</v>
      </c>
      <c r="AV102" s="1591">
        <f>SUM(AV98:AV100)</f>
        <v>1</v>
      </c>
      <c r="AW102" s="1592">
        <f>SUM(AW98:AW100)</f>
        <v>1</v>
      </c>
      <c r="AX102" s="1591"/>
      <c r="AY102" s="1590">
        <f>SUM(AY98:AY100)</f>
        <v>1</v>
      </c>
      <c r="AZ102" s="1591">
        <f>SUM(AZ98:AZ100)</f>
        <v>1</v>
      </c>
      <c r="BA102" s="1591">
        <f>SUM(BA98:BA100)</f>
        <v>1</v>
      </c>
      <c r="BB102" s="1591">
        <f>SUM(BB98:BB100)</f>
        <v>1</v>
      </c>
      <c r="BC102" s="1592">
        <f>SUM(BC98:BC100)</f>
        <v>1</v>
      </c>
      <c r="BD102" s="784"/>
      <c r="BE102" s="1590">
        <f>SUM(BE98:BE100)</f>
        <v>1</v>
      </c>
      <c r="BF102" s="1591">
        <f>SUM(BF98:BF100)</f>
        <v>0.99999959999999999</v>
      </c>
      <c r="BG102" s="1591">
        <f>SUM(BG98:BG100)</f>
        <v>0.99999999966300002</v>
      </c>
      <c r="BH102" s="1591">
        <f>SUM(BH98:BH100)</f>
        <v>1.0000003493633889</v>
      </c>
      <c r="BI102" s="1592">
        <f>SUM(BI98:BI100)</f>
        <v>1.0000000000000726</v>
      </c>
      <c r="BJ102" s="784"/>
      <c r="BK102" s="1590">
        <f>SUM(BK98:BK100)</f>
        <v>1</v>
      </c>
      <c r="BL102" s="1591">
        <f>SUM(BL98:BL100)</f>
        <v>1</v>
      </c>
      <c r="BM102" s="1591">
        <f>SUM(BM98:BM100)</f>
        <v>1</v>
      </c>
      <c r="BN102" s="1591">
        <f>SUM(BN98:BN100)</f>
        <v>0.99510459616365854</v>
      </c>
      <c r="BO102" s="1592">
        <f>SUM(BO98:BO100)</f>
        <v>0.99868790607907398</v>
      </c>
      <c r="BP102" s="784"/>
      <c r="BQ102" s="1590">
        <f>SUM(BQ98:BQ100)</f>
        <v>1</v>
      </c>
      <c r="BR102" s="1591">
        <f>SUM(BR98:BR100)</f>
        <v>1</v>
      </c>
      <c r="BS102" s="1591">
        <f>SUM(BS98:BS100)</f>
        <v>1</v>
      </c>
      <c r="BT102" s="1591">
        <f>SUM(BT98:BT100)</f>
        <v>1</v>
      </c>
      <c r="BU102" s="1592">
        <f>SUM(BU98:BU100)</f>
        <v>1</v>
      </c>
      <c r="BV102" s="784"/>
      <c r="BW102" s="1590">
        <f>SUM(BW98:BW100)</f>
        <v>1</v>
      </c>
      <c r="BX102" s="1591">
        <f>SUM(BX98:BX100)</f>
        <v>1</v>
      </c>
      <c r="BY102" s="1591">
        <f>SUM(BY98:BY100)</f>
        <v>1</v>
      </c>
      <c r="BZ102" s="1591">
        <f>SUM(BZ98:BZ100)</f>
        <v>1</v>
      </c>
      <c r="CA102" s="1592">
        <f>SUM(CA98:CA100)</f>
        <v>1</v>
      </c>
      <c r="CB102" s="784"/>
      <c r="CC102" s="1590">
        <f>SUM(CC98:CC100)</f>
        <v>1</v>
      </c>
      <c r="CD102" s="1591">
        <f>SUM(CD98:CD100)</f>
        <v>1</v>
      </c>
      <c r="CE102" s="1591">
        <f>SUM(CE98:CE100)</f>
        <v>1</v>
      </c>
      <c r="CF102" s="1591">
        <f>SUM(CF98:CF100)</f>
        <v>1</v>
      </c>
      <c r="CG102" s="1592">
        <f>SUM(CG98:CG100)</f>
        <v>1.0000000000000002</v>
      </c>
      <c r="CH102" s="784"/>
      <c r="CI102" s="785"/>
      <c r="CJ102" s="781"/>
      <c r="CK102" s="781"/>
      <c r="CL102" s="782"/>
      <c r="CM102" s="783"/>
      <c r="CN102" s="784"/>
      <c r="CO102" s="785"/>
      <c r="CP102" s="781"/>
      <c r="CQ102" s="781"/>
      <c r="CR102" s="782"/>
      <c r="CS102" s="783"/>
      <c r="CT102" s="784"/>
      <c r="CU102" s="785"/>
      <c r="CV102" s="781"/>
      <c r="CW102" s="781"/>
      <c r="CX102" s="782"/>
      <c r="CY102" s="783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2"/>
    </row>
    <row r="103" spans="1:176" s="2" customFormat="1" collapsed="1" x14ac:dyDescent="0.2">
      <c r="A103" s="280"/>
      <c r="B103" s="1593"/>
      <c r="C103" s="1550"/>
      <c r="D103" s="1550"/>
      <c r="E103" s="1550"/>
      <c r="F103" s="1550"/>
      <c r="G103" s="1550"/>
      <c r="H103" s="1550"/>
      <c r="I103" s="1550"/>
      <c r="J103" s="1550"/>
      <c r="K103" s="1550"/>
      <c r="L103" s="1550"/>
      <c r="M103" s="1550"/>
      <c r="N103" s="1550"/>
      <c r="O103" s="1550"/>
      <c r="P103" s="1550"/>
      <c r="Q103" s="1550"/>
      <c r="R103" s="1550"/>
      <c r="S103" s="1550"/>
      <c r="T103" s="1550"/>
      <c r="U103" s="1550"/>
      <c r="V103" s="1550"/>
      <c r="W103" s="1550"/>
      <c r="X103" s="1550"/>
      <c r="Y103" s="1550"/>
      <c r="Z103" s="1550"/>
      <c r="AA103" s="1550"/>
      <c r="AB103" s="1550"/>
      <c r="AC103" s="1550"/>
      <c r="AD103" s="1550"/>
      <c r="AE103" s="1550"/>
      <c r="AF103" s="1550"/>
      <c r="AG103" s="1550"/>
      <c r="AH103" s="1550"/>
      <c r="AI103" s="1550"/>
      <c r="AJ103" s="1550"/>
      <c r="AK103" s="1550"/>
      <c r="AL103" s="1550"/>
      <c r="AM103" s="1550"/>
      <c r="AN103" s="1550"/>
      <c r="AO103" s="1550"/>
      <c r="AP103" s="1550"/>
      <c r="AQ103" s="1550"/>
      <c r="AR103" s="1550"/>
      <c r="AS103" s="1550"/>
      <c r="AT103" s="1550"/>
      <c r="AU103" s="1550"/>
      <c r="AV103" s="1550"/>
      <c r="AW103" s="1594"/>
      <c r="AX103" s="1594"/>
      <c r="AY103" s="1550"/>
      <c r="AZ103" s="1550"/>
      <c r="BA103" s="1550"/>
      <c r="BB103" s="1594"/>
      <c r="BC103" s="1594"/>
      <c r="BD103" s="1556"/>
      <c r="BE103" s="1550"/>
      <c r="BF103" s="1550"/>
      <c r="BG103" s="1594"/>
      <c r="BH103" s="1594"/>
      <c r="BI103" s="1594"/>
      <c r="BJ103" s="1556"/>
      <c r="BK103" s="1550"/>
      <c r="BL103" s="1550"/>
      <c r="BM103" s="1594"/>
      <c r="BN103" s="1594"/>
      <c r="BO103" s="1594"/>
      <c r="BP103" s="1594"/>
      <c r="BQ103" s="1594"/>
      <c r="BR103" s="1594"/>
      <c r="BS103" s="1594"/>
      <c r="BT103" s="1594"/>
      <c r="BU103" s="1594"/>
      <c r="BV103" s="1594"/>
      <c r="BW103" s="1594"/>
      <c r="BX103" s="1594"/>
      <c r="BY103" s="1594"/>
      <c r="BZ103" s="1594"/>
      <c r="CA103" s="1594"/>
      <c r="CB103" s="1556"/>
      <c r="CC103" s="1550"/>
      <c r="CD103" s="1550"/>
      <c r="CE103" s="1594"/>
      <c r="CF103" s="1594"/>
      <c r="CG103" s="1594"/>
      <c r="CH103" s="1556"/>
      <c r="CI103" s="1550"/>
      <c r="CJ103" s="1550"/>
      <c r="CK103" s="1594"/>
      <c r="CL103" s="1594"/>
      <c r="CM103" s="1594"/>
      <c r="CN103" s="1556"/>
      <c r="CO103" s="1550"/>
      <c r="CP103" s="1550"/>
      <c r="CQ103" s="1594"/>
      <c r="CR103" s="1594"/>
      <c r="CS103" s="1594"/>
      <c r="CT103" s="1556"/>
      <c r="CU103" s="1550"/>
      <c r="CV103" s="1550"/>
      <c r="CW103" s="1594"/>
      <c r="CX103" s="1594"/>
      <c r="CY103" s="1594"/>
      <c r="DD103" s="48"/>
      <c r="DE103" s="48"/>
      <c r="DF103" s="48"/>
      <c r="DG103" s="48"/>
      <c r="DH103" s="48"/>
      <c r="DI103" s="48"/>
      <c r="DJ103" s="48"/>
      <c r="DK103" s="48"/>
      <c r="DL103" s="48"/>
      <c r="DM103" s="48"/>
      <c r="DN103" s="48"/>
      <c r="DO103" s="48"/>
      <c r="DP103" s="48"/>
      <c r="DQ103" s="48"/>
      <c r="DR103" s="48"/>
      <c r="DS103" s="48"/>
      <c r="DT103" s="48"/>
      <c r="DU103" s="48"/>
      <c r="DV103" s="48"/>
      <c r="DW103" s="48"/>
      <c r="DX103" s="48"/>
      <c r="DY103" s="48"/>
      <c r="DZ103" s="48"/>
      <c r="EA103" s="48"/>
      <c r="EB103" s="48"/>
      <c r="EC103" s="35"/>
      <c r="EF103" s="48"/>
      <c r="EG103" s="48"/>
      <c r="EH103" s="48"/>
      <c r="EI103" s="48"/>
      <c r="EJ103" s="48"/>
      <c r="EK103" s="48"/>
      <c r="EL103" s="48"/>
      <c r="EM103" s="48"/>
      <c r="EN103" s="48"/>
      <c r="EO103" s="48"/>
      <c r="EP103" s="48"/>
      <c r="EQ103" s="48"/>
      <c r="ER103" s="48"/>
      <c r="ES103" s="48"/>
      <c r="ET103" s="48"/>
      <c r="EU103" s="48"/>
      <c r="EV103" s="48"/>
      <c r="EW103" s="48"/>
      <c r="EX103" s="48"/>
      <c r="EY103" s="48"/>
      <c r="EZ103" s="48"/>
      <c r="FA103" s="48"/>
      <c r="FB103" s="48"/>
      <c r="FC103" s="48"/>
      <c r="FD103" s="48"/>
      <c r="FE103" s="48"/>
      <c r="FF103" s="48"/>
      <c r="FG103" s="48"/>
      <c r="FH103" s="48"/>
      <c r="FI103" s="48"/>
      <c r="FJ103" s="48"/>
      <c r="FK103" s="48"/>
      <c r="FL103" s="48"/>
      <c r="FM103" s="48"/>
      <c r="FN103" s="48"/>
      <c r="FO103" s="48"/>
      <c r="FP103" s="48"/>
      <c r="FQ103" s="48"/>
      <c r="FR103" s="48"/>
      <c r="FS103" s="48"/>
      <c r="FT103" s="48"/>
    </row>
    <row r="104" spans="1:176" s="35" customFormat="1" x14ac:dyDescent="0.2">
      <c r="A104" s="753" t="s">
        <v>238</v>
      </c>
      <c r="B104" s="1595"/>
      <c r="C104" s="1596"/>
      <c r="D104" s="1597"/>
      <c r="E104" s="1597"/>
      <c r="F104" s="1598"/>
      <c r="G104" s="1599"/>
      <c r="H104" s="1597"/>
      <c r="I104" s="1596"/>
      <c r="J104" s="1597"/>
      <c r="K104" s="1597"/>
      <c r="L104" s="1598"/>
      <c r="M104" s="1599"/>
      <c r="N104" s="1597"/>
      <c r="O104" s="1596"/>
      <c r="P104" s="1597"/>
      <c r="Q104" s="1597"/>
      <c r="R104" s="1598"/>
      <c r="S104" s="1599"/>
      <c r="T104" s="1597"/>
      <c r="U104" s="1596"/>
      <c r="V104" s="1597"/>
      <c r="W104" s="1597"/>
      <c r="X104" s="1597"/>
      <c r="Y104" s="1599"/>
      <c r="Z104" s="1597"/>
      <c r="AA104" s="1596"/>
      <c r="AB104" s="1597"/>
      <c r="AC104" s="1597"/>
      <c r="AD104" s="1597"/>
      <c r="AE104" s="1599"/>
      <c r="AF104" s="1597"/>
      <c r="AG104" s="1596"/>
      <c r="AH104" s="1597"/>
      <c r="AI104" s="1597"/>
      <c r="AJ104" s="1597"/>
      <c r="AK104" s="1599"/>
      <c r="AL104" s="1597"/>
      <c r="AM104" s="1596"/>
      <c r="AN104" s="1597"/>
      <c r="AO104" s="1597"/>
      <c r="AP104" s="1597"/>
      <c r="AQ104" s="1599"/>
      <c r="AR104" s="1597"/>
      <c r="AS104" s="1596"/>
      <c r="AT104" s="1597"/>
      <c r="AU104" s="1597"/>
      <c r="AV104" s="1598"/>
      <c r="AW104" s="1599"/>
      <c r="AX104" s="1597"/>
      <c r="AY104" s="1596"/>
      <c r="AZ104" s="1597"/>
      <c r="BA104" s="1597"/>
      <c r="BB104" s="1598"/>
      <c r="BC104" s="1599"/>
      <c r="BD104" s="1600"/>
      <c r="BE104" s="1596"/>
      <c r="BF104" s="1597"/>
      <c r="BG104" s="1597"/>
      <c r="BH104" s="1598"/>
      <c r="BI104" s="1599"/>
      <c r="BJ104" s="1600"/>
      <c r="BK104" s="1597"/>
      <c r="BL104" s="1597"/>
      <c r="BM104" s="1597"/>
      <c r="BN104" s="1601"/>
      <c r="BO104" s="1602"/>
      <c r="BP104" s="1600"/>
      <c r="BQ104" s="1597"/>
      <c r="BR104" s="1597"/>
      <c r="BS104" s="1597"/>
      <c r="BT104" s="1598"/>
      <c r="BU104" s="1596"/>
      <c r="BV104" s="1600"/>
      <c r="BW104" s="1597"/>
      <c r="BX104" s="1597"/>
      <c r="BY104" s="1597"/>
      <c r="BZ104" s="1598"/>
      <c r="CA104" s="1596"/>
      <c r="CB104" s="1600"/>
      <c r="CC104" s="1597"/>
      <c r="CD104" s="1597"/>
      <c r="CE104" s="1597"/>
      <c r="CF104" s="1598"/>
      <c r="CG104" s="1599"/>
      <c r="CH104" s="1600"/>
      <c r="CI104" s="1597"/>
      <c r="CJ104" s="1597"/>
      <c r="CK104" s="1597"/>
      <c r="CL104" s="1598"/>
      <c r="CM104" s="1599"/>
      <c r="CN104" s="1600"/>
      <c r="CO104" s="1597"/>
      <c r="CP104" s="1597"/>
      <c r="CQ104" s="1597"/>
      <c r="CR104" s="1598"/>
      <c r="CS104" s="1599"/>
      <c r="CT104" s="1600"/>
      <c r="CU104" s="1597"/>
      <c r="CV104" s="1597"/>
      <c r="CW104" s="1597"/>
      <c r="CX104" s="1598"/>
      <c r="CY104" s="1599"/>
      <c r="DD104" s="48"/>
      <c r="DE104" s="48"/>
      <c r="DF104" s="48"/>
      <c r="DG104" s="48"/>
      <c r="DH104" s="48"/>
      <c r="DI104" s="48"/>
      <c r="DJ104" s="48"/>
      <c r="DK104" s="48"/>
      <c r="DL104" s="48"/>
      <c r="DM104" s="48"/>
      <c r="DN104" s="48"/>
      <c r="DO104" s="48"/>
      <c r="DP104" s="48"/>
      <c r="DQ104" s="48"/>
      <c r="DR104" s="48"/>
      <c r="DS104" s="48"/>
      <c r="DT104" s="48"/>
      <c r="DU104" s="48"/>
      <c r="DV104" s="48"/>
      <c r="DW104" s="48"/>
      <c r="DX104" s="48"/>
      <c r="DY104" s="48"/>
      <c r="DZ104" s="48"/>
      <c r="EA104" s="48"/>
      <c r="EB104" s="48"/>
      <c r="EF104" s="48"/>
      <c r="EG104" s="48"/>
      <c r="EH104" s="48"/>
      <c r="EI104" s="48"/>
      <c r="EJ104" s="48"/>
      <c r="EK104" s="48"/>
      <c r="EL104" s="48"/>
      <c r="EM104" s="48"/>
      <c r="EN104" s="48"/>
      <c r="EO104" s="48"/>
      <c r="EP104" s="48"/>
      <c r="EQ104" s="48"/>
      <c r="ER104" s="48"/>
      <c r="ES104" s="48"/>
      <c r="ET104" s="48"/>
      <c r="EU104" s="48"/>
      <c r="EV104" s="48"/>
      <c r="EW104" s="48"/>
      <c r="EX104" s="48"/>
      <c r="EY104" s="48"/>
      <c r="EZ104" s="48"/>
      <c r="FA104" s="48"/>
      <c r="FB104" s="48"/>
      <c r="FC104" s="48"/>
      <c r="FD104" s="48"/>
      <c r="FE104" s="48"/>
      <c r="FF104" s="48"/>
      <c r="FG104" s="48"/>
      <c r="FH104" s="48"/>
      <c r="FI104" s="48"/>
      <c r="FJ104" s="48"/>
      <c r="FK104" s="48"/>
      <c r="FL104" s="48"/>
      <c r="FM104" s="48"/>
      <c r="FN104" s="48"/>
      <c r="FO104" s="48"/>
      <c r="FP104" s="48"/>
      <c r="FQ104" s="48"/>
      <c r="FR104" s="48"/>
      <c r="FS104" s="48"/>
      <c r="FT104" s="48"/>
    </row>
    <row r="105" spans="1:176" s="35" customFormat="1" x14ac:dyDescent="0.2">
      <c r="A105" s="312" t="s">
        <v>159</v>
      </c>
      <c r="B105" s="1501"/>
      <c r="C105" s="760"/>
      <c r="D105" s="761"/>
      <c r="E105" s="761"/>
      <c r="F105" s="761"/>
      <c r="G105" s="763"/>
      <c r="H105" s="765"/>
      <c r="I105" s="760"/>
      <c r="J105" s="761"/>
      <c r="K105" s="761"/>
      <c r="L105" s="761"/>
      <c r="M105" s="763"/>
      <c r="N105" s="765"/>
      <c r="O105" s="760"/>
      <c r="P105" s="761"/>
      <c r="Q105" s="761"/>
      <c r="R105" s="761"/>
      <c r="S105" s="763"/>
      <c r="T105" s="765"/>
      <c r="U105" s="760">
        <v>0.48</v>
      </c>
      <c r="V105" s="761">
        <v>0.53</v>
      </c>
      <c r="W105" s="761">
        <v>0.28999999999999998</v>
      </c>
      <c r="X105" s="762" t="s">
        <v>251</v>
      </c>
      <c r="Y105" s="763">
        <v>0.39</v>
      </c>
      <c r="Z105" s="765"/>
      <c r="AA105" s="1603">
        <v>96.9</v>
      </c>
      <c r="AB105" s="1604">
        <v>99</v>
      </c>
      <c r="AC105" s="1604">
        <v>106.8</v>
      </c>
      <c r="AD105" s="1605">
        <v>107.5</v>
      </c>
      <c r="AE105" s="775">
        <v>410.3</v>
      </c>
      <c r="AF105" s="1606"/>
      <c r="AG105" s="760" t="s">
        <v>251</v>
      </c>
      <c r="AH105" s="761" t="s">
        <v>251</v>
      </c>
      <c r="AI105" s="761" t="s">
        <v>251</v>
      </c>
      <c r="AJ105" s="1605">
        <v>114.1</v>
      </c>
      <c r="AK105" s="775">
        <v>446</v>
      </c>
      <c r="AL105" s="1606"/>
      <c r="AM105" s="1603">
        <v>109.7</v>
      </c>
      <c r="AN105" s="1604">
        <v>118.1</v>
      </c>
      <c r="AO105" s="1604">
        <v>134.4</v>
      </c>
      <c r="AP105" s="1605">
        <v>105.9</v>
      </c>
      <c r="AQ105" s="775">
        <v>472.8</v>
      </c>
      <c r="AR105" s="1606"/>
      <c r="AS105" s="1603">
        <v>107.5</v>
      </c>
      <c r="AT105" s="1604">
        <v>121.5</v>
      </c>
      <c r="AU105" s="1604">
        <v>115.9</v>
      </c>
      <c r="AV105" s="1605">
        <v>121.1</v>
      </c>
      <c r="AW105" s="775">
        <v>521.63900000000001</v>
      </c>
      <c r="AX105" s="1606"/>
      <c r="AY105" s="1607">
        <v>123.1</v>
      </c>
      <c r="AZ105" s="1606">
        <v>131.1</v>
      </c>
      <c r="BA105" s="1606">
        <v>132</v>
      </c>
      <c r="BB105" s="1605">
        <v>132.19999999999999</v>
      </c>
      <c r="BC105" s="1608">
        <f t="shared" ref="BC105:BC110" si="280">SUM(AY105:BB105)</f>
        <v>518.4</v>
      </c>
      <c r="BD105" s="1503"/>
      <c r="BE105" s="1607">
        <v>124.6</v>
      </c>
      <c r="BF105" s="1606">
        <v>133.6</v>
      </c>
      <c r="BG105" s="1606">
        <v>141.69999999999999</v>
      </c>
      <c r="BH105" s="1605">
        <v>137.30000000000001</v>
      </c>
      <c r="BI105" s="1608">
        <f t="shared" ref="BI105:BI110" si="281">SUM(BE105:BH105)</f>
        <v>537.20000000000005</v>
      </c>
      <c r="BJ105" s="1503"/>
      <c r="BK105" s="1609">
        <v>127.7</v>
      </c>
      <c r="BL105" s="1610">
        <v>131.6</v>
      </c>
      <c r="BM105" s="1610">
        <v>139.19999999999999</v>
      </c>
      <c r="BN105" s="1610">
        <v>133.80000000000001</v>
      </c>
      <c r="BO105" s="1611">
        <f t="shared" ref="BO105:BO110" si="282">SUM(BK105:BN105)</f>
        <v>532.29999999999995</v>
      </c>
      <c r="BP105" s="1503"/>
      <c r="BQ105" s="1609">
        <v>129.4</v>
      </c>
      <c r="BR105" s="1610">
        <v>139</v>
      </c>
      <c r="BS105" s="1610">
        <v>136.4</v>
      </c>
      <c r="BT105" s="1610">
        <v>135.4</v>
      </c>
      <c r="BU105" s="1611">
        <f t="shared" ref="BU105:BU110" si="283">SUM(BQ105:BT105)</f>
        <v>540.19999999999993</v>
      </c>
      <c r="BV105" s="1503"/>
      <c r="BW105" s="1609">
        <v>124.7</v>
      </c>
      <c r="BX105" s="1610">
        <v>141.6</v>
      </c>
      <c r="BY105" s="1610">
        <v>143.6</v>
      </c>
      <c r="BZ105" s="1610">
        <v>138.9</v>
      </c>
      <c r="CA105" s="1611">
        <f t="shared" ref="CA105:CA110" si="284">SUM(BW105:BZ105)</f>
        <v>548.79999999999995</v>
      </c>
      <c r="CB105" s="1503"/>
      <c r="CC105" s="1609">
        <v>125.7</v>
      </c>
      <c r="CD105" s="1610">
        <v>148.19999999999999</v>
      </c>
      <c r="CE105" s="1610">
        <v>152.9</v>
      </c>
      <c r="CF105" s="1610">
        <v>143.6</v>
      </c>
      <c r="CG105" s="1611">
        <f t="shared" ref="CG105:CG110" si="285">SUM(CC105:CF105)</f>
        <v>570.4</v>
      </c>
      <c r="CH105" s="1503"/>
      <c r="CI105" s="760"/>
      <c r="CJ105" s="761"/>
      <c r="CK105" s="1498"/>
      <c r="CL105" s="1586"/>
      <c r="CM105" s="1497"/>
      <c r="CN105" s="1503"/>
      <c r="CO105" s="760"/>
      <c r="CP105" s="761"/>
      <c r="CQ105" s="1498"/>
      <c r="CR105" s="1586"/>
      <c r="CS105" s="1497"/>
      <c r="CT105" s="1503"/>
      <c r="CU105" s="760"/>
      <c r="CV105" s="761"/>
      <c r="CW105" s="1498"/>
      <c r="CX105" s="1586"/>
      <c r="CY105" s="1497"/>
      <c r="DD105" s="48"/>
      <c r="DE105" s="48"/>
      <c r="DF105" s="48"/>
      <c r="DG105" s="48"/>
      <c r="DH105" s="48"/>
      <c r="DI105" s="48"/>
      <c r="DJ105" s="48"/>
      <c r="DK105" s="48"/>
      <c r="DL105" s="48"/>
      <c r="DM105" s="48"/>
      <c r="DN105" s="48"/>
      <c r="DO105" s="48"/>
      <c r="DP105" s="48"/>
      <c r="DQ105" s="48"/>
      <c r="DR105" s="48"/>
      <c r="DS105" s="48"/>
      <c r="DT105" s="48"/>
      <c r="DU105" s="48"/>
      <c r="DV105" s="48"/>
      <c r="DW105" s="48"/>
      <c r="DX105" s="48"/>
      <c r="DY105" s="48"/>
      <c r="DZ105" s="48"/>
      <c r="EA105" s="48"/>
      <c r="EB105" s="48"/>
      <c r="EF105" s="48"/>
      <c r="EG105" s="48"/>
      <c r="EH105" s="48"/>
      <c r="EI105" s="48"/>
      <c r="EJ105" s="48"/>
      <c r="EK105" s="48"/>
      <c r="EL105" s="48"/>
      <c r="EM105" s="48"/>
      <c r="EN105" s="48"/>
      <c r="EO105" s="48"/>
      <c r="EP105" s="48"/>
      <c r="EQ105" s="48"/>
      <c r="ER105" s="48"/>
      <c r="ES105" s="48"/>
      <c r="ET105" s="48"/>
      <c r="EU105" s="48"/>
      <c r="EV105" s="48"/>
      <c r="EW105" s="48"/>
      <c r="EX105" s="48"/>
      <c r="EY105" s="48"/>
      <c r="EZ105" s="48"/>
      <c r="FA105" s="48"/>
      <c r="FB105" s="48"/>
      <c r="FC105" s="48"/>
      <c r="FD105" s="48"/>
      <c r="FE105" s="48"/>
      <c r="FF105" s="48"/>
      <c r="FG105" s="48"/>
      <c r="FH105" s="48"/>
      <c r="FI105" s="48"/>
      <c r="FJ105" s="48"/>
      <c r="FK105" s="48"/>
      <c r="FL105" s="48"/>
      <c r="FM105" s="48"/>
      <c r="FN105" s="48"/>
      <c r="FO105" s="48"/>
      <c r="FP105" s="48"/>
      <c r="FQ105" s="48"/>
      <c r="FR105" s="48"/>
      <c r="FS105" s="48"/>
      <c r="FT105" s="48"/>
    </row>
    <row r="106" spans="1:176" s="35" customFormat="1" x14ac:dyDescent="0.2">
      <c r="A106" s="312" t="s">
        <v>321</v>
      </c>
      <c r="B106" s="1501"/>
      <c r="C106" s="764"/>
      <c r="D106" s="765"/>
      <c r="E106" s="765"/>
      <c r="F106" s="765"/>
      <c r="G106" s="767"/>
      <c r="H106" s="765"/>
      <c r="I106" s="764"/>
      <c r="J106" s="765"/>
      <c r="K106" s="765"/>
      <c r="L106" s="765"/>
      <c r="M106" s="767"/>
      <c r="N106" s="765"/>
      <c r="O106" s="764"/>
      <c r="P106" s="765"/>
      <c r="Q106" s="765"/>
      <c r="R106" s="765"/>
      <c r="S106" s="767"/>
      <c r="T106" s="765"/>
      <c r="U106" s="764">
        <v>0.14000000000000001</v>
      </c>
      <c r="V106" s="765">
        <v>0.18</v>
      </c>
      <c r="W106" s="765">
        <v>0.23</v>
      </c>
      <c r="X106" s="766" t="s">
        <v>251</v>
      </c>
      <c r="Y106" s="767">
        <v>0.21</v>
      </c>
      <c r="Z106" s="765"/>
      <c r="AA106" s="1607">
        <v>57.2</v>
      </c>
      <c r="AB106" s="1606">
        <v>63</v>
      </c>
      <c r="AC106" s="1606">
        <v>55.5</v>
      </c>
      <c r="AD106" s="1612">
        <v>57.2</v>
      </c>
      <c r="AE106" s="776">
        <v>233</v>
      </c>
      <c r="AF106" s="1606"/>
      <c r="AG106" s="764" t="s">
        <v>251</v>
      </c>
      <c r="AH106" s="765" t="s">
        <v>251</v>
      </c>
      <c r="AI106" s="765" t="s">
        <v>251</v>
      </c>
      <c r="AJ106" s="1612">
        <v>80.599999999999994</v>
      </c>
      <c r="AK106" s="776">
        <v>262.5</v>
      </c>
      <c r="AL106" s="1606"/>
      <c r="AM106" s="1607">
        <v>72.599999999999994</v>
      </c>
      <c r="AN106" s="1606">
        <v>64.5</v>
      </c>
      <c r="AO106" s="1606">
        <v>58.6</v>
      </c>
      <c r="AP106" s="1612">
        <v>65</v>
      </c>
      <c r="AQ106" s="776">
        <v>270.2</v>
      </c>
      <c r="AR106" s="1606"/>
      <c r="AS106" s="1607">
        <v>69.900000000000006</v>
      </c>
      <c r="AT106" s="1606">
        <v>75.400000000000006</v>
      </c>
      <c r="AU106" s="1606">
        <v>80</v>
      </c>
      <c r="AV106" s="1612">
        <v>85.3</v>
      </c>
      <c r="AW106" s="776">
        <v>444.44099999999997</v>
      </c>
      <c r="AX106" s="1606"/>
      <c r="AY106" s="1607">
        <v>74.8</v>
      </c>
      <c r="AZ106" s="1606">
        <v>76.400000000000006</v>
      </c>
      <c r="BA106" s="1606">
        <v>72.3</v>
      </c>
      <c r="BB106" s="1612">
        <v>87.7</v>
      </c>
      <c r="BC106" s="1057">
        <f t="shared" si="280"/>
        <v>311.2</v>
      </c>
      <c r="BD106" s="1503"/>
      <c r="BE106" s="1607">
        <v>75.7</v>
      </c>
      <c r="BF106" s="1606">
        <v>82.1</v>
      </c>
      <c r="BG106" s="1606">
        <v>79.400000000000006</v>
      </c>
      <c r="BH106" s="1612">
        <v>92.8</v>
      </c>
      <c r="BI106" s="1057">
        <f t="shared" si="281"/>
        <v>330</v>
      </c>
      <c r="BJ106" s="1503"/>
      <c r="BK106" s="1609">
        <v>85.4</v>
      </c>
      <c r="BL106" s="1610">
        <v>90.2</v>
      </c>
      <c r="BM106" s="1610">
        <v>86.4</v>
      </c>
      <c r="BN106" s="1610">
        <v>90.2</v>
      </c>
      <c r="BO106" s="1613">
        <f t="shared" si="282"/>
        <v>352.2</v>
      </c>
      <c r="BP106" s="1503"/>
      <c r="BQ106" s="1609">
        <v>69</v>
      </c>
      <c r="BR106" s="1610">
        <v>70.5</v>
      </c>
      <c r="BS106" s="1610">
        <v>76.400000000000006</v>
      </c>
      <c r="BT106" s="1610">
        <v>83.2</v>
      </c>
      <c r="BU106" s="1613">
        <f t="shared" si="283"/>
        <v>299.10000000000002</v>
      </c>
      <c r="BV106" s="1503"/>
      <c r="BW106" s="1609">
        <v>69</v>
      </c>
      <c r="BX106" s="1610">
        <v>76.5</v>
      </c>
      <c r="BY106" s="1610">
        <v>72</v>
      </c>
      <c r="BZ106" s="1610">
        <v>88.6</v>
      </c>
      <c r="CA106" s="1613">
        <f t="shared" si="284"/>
        <v>306.10000000000002</v>
      </c>
      <c r="CB106" s="1503"/>
      <c r="CC106" s="1609">
        <v>70.2</v>
      </c>
      <c r="CD106" s="1610">
        <v>77.599999999999994</v>
      </c>
      <c r="CE106" s="1610">
        <v>80.8</v>
      </c>
      <c r="CF106" s="1610">
        <v>100.7</v>
      </c>
      <c r="CG106" s="1613">
        <f t="shared" si="285"/>
        <v>329.3</v>
      </c>
      <c r="CH106" s="1503"/>
      <c r="CI106" s="764"/>
      <c r="CJ106" s="765"/>
      <c r="CK106" s="1502"/>
      <c r="CL106" s="1579"/>
      <c r="CM106" s="424"/>
      <c r="CN106" s="1503"/>
      <c r="CO106" s="764"/>
      <c r="CP106" s="765"/>
      <c r="CQ106" s="1502"/>
      <c r="CR106" s="1579"/>
      <c r="CS106" s="424"/>
      <c r="CT106" s="1503"/>
      <c r="CU106" s="764"/>
      <c r="CV106" s="765"/>
      <c r="CW106" s="1502"/>
      <c r="CX106" s="1579"/>
      <c r="CY106" s="424"/>
      <c r="DD106" s="48"/>
      <c r="DE106" s="48"/>
      <c r="DF106" s="48"/>
      <c r="DG106" s="48"/>
      <c r="DH106" s="48"/>
      <c r="DI106" s="48"/>
      <c r="DJ106" s="48"/>
      <c r="DK106" s="48"/>
      <c r="DL106" s="48"/>
      <c r="DM106" s="48"/>
      <c r="DN106" s="48"/>
      <c r="DO106" s="48"/>
      <c r="DP106" s="48"/>
      <c r="DQ106" s="48"/>
      <c r="DR106" s="48"/>
      <c r="DS106" s="48"/>
      <c r="DT106" s="48"/>
      <c r="DU106" s="48"/>
      <c r="DV106" s="48"/>
      <c r="DW106" s="48"/>
      <c r="DX106" s="48"/>
      <c r="DY106" s="48"/>
      <c r="DZ106" s="48"/>
      <c r="EA106" s="48"/>
      <c r="EB106" s="48"/>
      <c r="EF106" s="48"/>
      <c r="EG106" s="48"/>
      <c r="EH106" s="48"/>
      <c r="EI106" s="48"/>
      <c r="EJ106" s="48"/>
      <c r="EK106" s="48"/>
      <c r="EL106" s="48"/>
      <c r="EM106" s="48"/>
      <c r="EN106" s="48"/>
      <c r="EO106" s="48"/>
      <c r="EP106" s="48"/>
      <c r="EQ106" s="48"/>
      <c r="ER106" s="48"/>
      <c r="ES106" s="48"/>
      <c r="ET106" s="48"/>
      <c r="EU106" s="48"/>
      <c r="EV106" s="48"/>
      <c r="EW106" s="48"/>
      <c r="EX106" s="48"/>
      <c r="EY106" s="48"/>
      <c r="EZ106" s="48"/>
      <c r="FA106" s="48"/>
      <c r="FB106" s="48"/>
      <c r="FC106" s="48"/>
      <c r="FD106" s="48"/>
      <c r="FE106" s="48"/>
      <c r="FF106" s="48"/>
      <c r="FG106" s="48"/>
      <c r="FH106" s="48"/>
      <c r="FI106" s="48"/>
      <c r="FJ106" s="48"/>
      <c r="FK106" s="48"/>
      <c r="FL106" s="48"/>
      <c r="FM106" s="48"/>
      <c r="FN106" s="48"/>
      <c r="FO106" s="48"/>
      <c r="FP106" s="48"/>
      <c r="FQ106" s="48"/>
      <c r="FR106" s="48"/>
      <c r="FS106" s="48"/>
      <c r="FT106" s="48"/>
    </row>
    <row r="107" spans="1:176" s="35" customFormat="1" x14ac:dyDescent="0.2">
      <c r="A107" s="312" t="s">
        <v>322</v>
      </c>
      <c r="B107" s="1501"/>
      <c r="C107" s="764"/>
      <c r="D107" s="765"/>
      <c r="E107" s="765"/>
      <c r="F107" s="765"/>
      <c r="G107" s="767"/>
      <c r="H107" s="765"/>
      <c r="I107" s="764"/>
      <c r="J107" s="765"/>
      <c r="K107" s="765"/>
      <c r="L107" s="765"/>
      <c r="M107" s="767"/>
      <c r="N107" s="765"/>
      <c r="O107" s="764"/>
      <c r="P107" s="765"/>
      <c r="Q107" s="765"/>
      <c r="R107" s="765"/>
      <c r="S107" s="767"/>
      <c r="T107" s="765"/>
      <c r="U107" s="764">
        <v>0.05</v>
      </c>
      <c r="V107" s="765">
        <v>0.06</v>
      </c>
      <c r="W107" s="765">
        <v>0.7</v>
      </c>
      <c r="X107" s="765" t="s">
        <v>251</v>
      </c>
      <c r="Y107" s="767">
        <v>0.47</v>
      </c>
      <c r="Z107" s="765"/>
      <c r="AA107" s="1607">
        <v>12.7</v>
      </c>
      <c r="AB107" s="1606">
        <v>13</v>
      </c>
      <c r="AC107" s="1606">
        <v>12.8</v>
      </c>
      <c r="AD107" s="1606">
        <v>10.1</v>
      </c>
      <c r="AE107" s="776">
        <v>48.4</v>
      </c>
      <c r="AF107" s="1606"/>
      <c r="AG107" s="764" t="s">
        <v>251</v>
      </c>
      <c r="AH107" s="765" t="s">
        <v>251</v>
      </c>
      <c r="AI107" s="765" t="s">
        <v>251</v>
      </c>
      <c r="AJ107" s="1606">
        <v>16.399999999999999</v>
      </c>
      <c r="AK107" s="776">
        <v>54.6</v>
      </c>
      <c r="AL107" s="1606"/>
      <c r="AM107" s="1607">
        <v>18.399999999999999</v>
      </c>
      <c r="AN107" s="1606">
        <v>10</v>
      </c>
      <c r="AO107" s="1606">
        <v>12.5</v>
      </c>
      <c r="AP107" s="1606">
        <v>17.600000000000001</v>
      </c>
      <c r="AQ107" s="776">
        <v>74.599999999999994</v>
      </c>
      <c r="AR107" s="1606"/>
      <c r="AS107" s="1607">
        <v>17.7</v>
      </c>
      <c r="AT107" s="1606">
        <v>15.2</v>
      </c>
      <c r="AU107" s="1606">
        <v>16.600000000000001</v>
      </c>
      <c r="AV107" s="1606">
        <v>22.4</v>
      </c>
      <c r="AW107" s="776" t="s">
        <v>251</v>
      </c>
      <c r="AX107" s="1606"/>
      <c r="AY107" s="1607">
        <v>18.7</v>
      </c>
      <c r="AZ107" s="1606">
        <v>17.3</v>
      </c>
      <c r="BA107" s="1606">
        <v>18.3</v>
      </c>
      <c r="BB107" s="1612">
        <v>26.1</v>
      </c>
      <c r="BC107" s="1057">
        <f t="shared" si="280"/>
        <v>80.400000000000006</v>
      </c>
      <c r="BD107" s="1503"/>
      <c r="BE107" s="1607">
        <v>20.8</v>
      </c>
      <c r="BF107" s="1606">
        <v>15.7</v>
      </c>
      <c r="BG107" s="1606">
        <v>14.8</v>
      </c>
      <c r="BH107" s="1612">
        <v>14.6</v>
      </c>
      <c r="BI107" s="1057">
        <f t="shared" si="281"/>
        <v>65.899999999999991</v>
      </c>
      <c r="BJ107" s="1503"/>
      <c r="BK107" s="1609">
        <v>21.8</v>
      </c>
      <c r="BL107" s="1610">
        <v>21.1</v>
      </c>
      <c r="BM107" s="1610">
        <v>21</v>
      </c>
      <c r="BN107" s="1610">
        <v>30.7</v>
      </c>
      <c r="BO107" s="1613">
        <f t="shared" si="282"/>
        <v>94.600000000000009</v>
      </c>
      <c r="BP107" s="1503"/>
      <c r="BQ107" s="1609">
        <v>21.2</v>
      </c>
      <c r="BR107" s="1610">
        <v>24</v>
      </c>
      <c r="BS107" s="1610">
        <v>21.6</v>
      </c>
      <c r="BT107" s="1610">
        <v>29.6</v>
      </c>
      <c r="BU107" s="1613">
        <f t="shared" si="283"/>
        <v>96.4</v>
      </c>
      <c r="BV107" s="1503"/>
      <c r="BW107" s="1609">
        <v>21.8</v>
      </c>
      <c r="BX107" s="1610">
        <v>22.3</v>
      </c>
      <c r="BY107" s="1610">
        <v>25.7</v>
      </c>
      <c r="BZ107" s="1610">
        <v>24.3</v>
      </c>
      <c r="CA107" s="1613">
        <f t="shared" si="284"/>
        <v>94.1</v>
      </c>
      <c r="CB107" s="1503"/>
      <c r="CC107" s="1609">
        <v>20.6</v>
      </c>
      <c r="CD107" s="1610">
        <v>21.1</v>
      </c>
      <c r="CE107" s="1610">
        <v>25.6</v>
      </c>
      <c r="CF107" s="1610">
        <v>32.4</v>
      </c>
      <c r="CG107" s="1613">
        <f t="shared" si="285"/>
        <v>99.700000000000017</v>
      </c>
      <c r="CH107" s="1503"/>
      <c r="CI107" s="764"/>
      <c r="CJ107" s="765"/>
      <c r="CK107" s="1502"/>
      <c r="CL107" s="1579"/>
      <c r="CM107" s="424"/>
      <c r="CN107" s="1503"/>
      <c r="CO107" s="764"/>
      <c r="CP107" s="765"/>
      <c r="CQ107" s="1502"/>
      <c r="CR107" s="1579"/>
      <c r="CS107" s="424"/>
      <c r="CT107" s="1503"/>
      <c r="CU107" s="764"/>
      <c r="CV107" s="765"/>
      <c r="CW107" s="1502"/>
      <c r="CX107" s="1579"/>
      <c r="CY107" s="424"/>
      <c r="DD107" s="48"/>
      <c r="DE107" s="48"/>
      <c r="DF107" s="48"/>
      <c r="DG107" s="48"/>
      <c r="DH107" s="48"/>
      <c r="DI107" s="48"/>
      <c r="DJ107" s="48"/>
      <c r="DK107" s="48"/>
      <c r="DL107" s="48"/>
      <c r="DM107" s="48"/>
      <c r="DN107" s="48"/>
      <c r="DO107" s="48"/>
      <c r="DP107" s="48"/>
      <c r="DQ107" s="48"/>
      <c r="DR107" s="48"/>
      <c r="DS107" s="48"/>
      <c r="DT107" s="48"/>
      <c r="DU107" s="48"/>
      <c r="DV107" s="48"/>
      <c r="DW107" s="48"/>
      <c r="DX107" s="48"/>
      <c r="DY107" s="48"/>
      <c r="DZ107" s="48"/>
      <c r="EA107" s="48"/>
      <c r="EB107" s="48"/>
      <c r="EF107" s="48"/>
      <c r="EG107" s="48"/>
      <c r="EH107" s="48"/>
      <c r="EI107" s="48"/>
      <c r="EJ107" s="48"/>
      <c r="EK107" s="48"/>
      <c r="EL107" s="48"/>
      <c r="EM107" s="48"/>
      <c r="EN107" s="48"/>
      <c r="EO107" s="48"/>
      <c r="EP107" s="48"/>
      <c r="EQ107" s="48"/>
      <c r="ER107" s="48"/>
      <c r="ES107" s="48"/>
      <c r="ET107" s="48"/>
      <c r="EU107" s="48"/>
      <c r="EV107" s="48"/>
      <c r="EW107" s="48"/>
      <c r="EX107" s="48"/>
      <c r="EY107" s="48"/>
      <c r="EZ107" s="48"/>
      <c r="FA107" s="48"/>
      <c r="FB107" s="48"/>
      <c r="FC107" s="48"/>
      <c r="FD107" s="48"/>
      <c r="FE107" s="48"/>
      <c r="FF107" s="48"/>
      <c r="FG107" s="48"/>
      <c r="FH107" s="48"/>
      <c r="FI107" s="48"/>
      <c r="FJ107" s="48"/>
      <c r="FK107" s="48"/>
      <c r="FL107" s="48"/>
      <c r="FM107" s="48"/>
      <c r="FN107" s="48"/>
      <c r="FO107" s="48"/>
      <c r="FP107" s="48"/>
      <c r="FQ107" s="48"/>
      <c r="FR107" s="48"/>
      <c r="FS107" s="48"/>
      <c r="FT107" s="48"/>
    </row>
    <row r="108" spans="1:176" s="35" customFormat="1" x14ac:dyDescent="0.2">
      <c r="A108" s="312" t="s">
        <v>323</v>
      </c>
      <c r="B108" s="1501"/>
      <c r="C108" s="764"/>
      <c r="D108" s="765"/>
      <c r="E108" s="765"/>
      <c r="F108" s="765"/>
      <c r="G108" s="767"/>
      <c r="H108" s="765"/>
      <c r="I108" s="764"/>
      <c r="J108" s="765"/>
      <c r="K108" s="765"/>
      <c r="L108" s="765"/>
      <c r="M108" s="767"/>
      <c r="N108" s="765"/>
      <c r="O108" s="764"/>
      <c r="P108" s="765"/>
      <c r="Q108" s="765"/>
      <c r="R108" s="765"/>
      <c r="S108" s="767"/>
      <c r="T108" s="765"/>
      <c r="U108" s="764">
        <v>0.14000000000000001</v>
      </c>
      <c r="V108" s="765">
        <v>0.18</v>
      </c>
      <c r="W108" s="765">
        <v>0.23</v>
      </c>
      <c r="X108" s="766" t="s">
        <v>251</v>
      </c>
      <c r="Y108" s="767">
        <v>0.21</v>
      </c>
      <c r="Z108" s="765"/>
      <c r="AA108" s="1607">
        <v>12.6</v>
      </c>
      <c r="AB108" s="1606">
        <v>8</v>
      </c>
      <c r="AC108" s="1606">
        <v>9.3000000000000007</v>
      </c>
      <c r="AD108" s="1612">
        <v>11.8</v>
      </c>
      <c r="AE108" s="776">
        <v>41.9</v>
      </c>
      <c r="AF108" s="1606"/>
      <c r="AG108" s="764" t="s">
        <v>251</v>
      </c>
      <c r="AH108" s="765" t="s">
        <v>251</v>
      </c>
      <c r="AI108" s="765" t="s">
        <v>251</v>
      </c>
      <c r="AJ108" s="1612">
        <v>14.6</v>
      </c>
      <c r="AK108" s="776">
        <v>49.9</v>
      </c>
      <c r="AL108" s="1606"/>
      <c r="AM108" s="1607">
        <v>16.600000000000001</v>
      </c>
      <c r="AN108" s="1606">
        <v>20.100000000000001</v>
      </c>
      <c r="AO108" s="1606">
        <v>18.899999999999999</v>
      </c>
      <c r="AP108" s="1612">
        <v>14.6</v>
      </c>
      <c r="AQ108" s="776">
        <v>57.4</v>
      </c>
      <c r="AR108" s="1606"/>
      <c r="AS108" s="1607">
        <v>20.2</v>
      </c>
      <c r="AT108" s="1606">
        <v>12.2</v>
      </c>
      <c r="AU108" s="1606">
        <v>16.100000000000001</v>
      </c>
      <c r="AV108" s="1612">
        <v>17.8</v>
      </c>
      <c r="AW108" s="776" t="s">
        <v>251</v>
      </c>
      <c r="AX108" s="1606"/>
      <c r="AY108" s="1607">
        <v>21.8</v>
      </c>
      <c r="AZ108" s="1606">
        <v>12.6</v>
      </c>
      <c r="BA108" s="1606">
        <v>15.2</v>
      </c>
      <c r="BB108" s="1612">
        <v>19</v>
      </c>
      <c r="BC108" s="1057">
        <f t="shared" si="280"/>
        <v>68.599999999999994</v>
      </c>
      <c r="BD108" s="1503"/>
      <c r="BE108" s="1607">
        <v>18.100000000000001</v>
      </c>
      <c r="BF108" s="1606">
        <v>11.7</v>
      </c>
      <c r="BG108" s="1606">
        <v>12.1</v>
      </c>
      <c r="BH108" s="1612">
        <v>23.5</v>
      </c>
      <c r="BI108" s="1057">
        <f t="shared" si="281"/>
        <v>65.400000000000006</v>
      </c>
      <c r="BJ108" s="1503"/>
      <c r="BK108" s="1614">
        <v>17.7</v>
      </c>
      <c r="BL108" s="1610">
        <v>9.5</v>
      </c>
      <c r="BM108" s="1610">
        <v>11.2</v>
      </c>
      <c r="BN108" s="1610">
        <v>12.7</v>
      </c>
      <c r="BO108" s="1613">
        <f t="shared" si="282"/>
        <v>51.099999999999994</v>
      </c>
      <c r="BP108" s="1503"/>
      <c r="BQ108" s="1614">
        <v>15.4</v>
      </c>
      <c r="BR108" s="1610">
        <v>9.3000000000000007</v>
      </c>
      <c r="BS108" s="1610">
        <v>9</v>
      </c>
      <c r="BT108" s="1610">
        <v>11.4</v>
      </c>
      <c r="BU108" s="1613">
        <f t="shared" si="283"/>
        <v>45.1</v>
      </c>
      <c r="BV108" s="1503"/>
      <c r="BW108" s="1614">
        <v>14.9</v>
      </c>
      <c r="BX108" s="1610">
        <v>9.5</v>
      </c>
      <c r="BY108" s="1610">
        <v>12.6</v>
      </c>
      <c r="BZ108" s="1610">
        <v>14.6</v>
      </c>
      <c r="CA108" s="1613">
        <f t="shared" si="284"/>
        <v>51.6</v>
      </c>
      <c r="CB108" s="1503"/>
      <c r="CC108" s="1614">
        <v>15.5</v>
      </c>
      <c r="CD108" s="1610">
        <v>10.199999999999999</v>
      </c>
      <c r="CE108" s="1610">
        <v>11.7</v>
      </c>
      <c r="CF108" s="1610">
        <v>13.6</v>
      </c>
      <c r="CG108" s="1613">
        <f t="shared" si="285"/>
        <v>51</v>
      </c>
      <c r="CH108" s="1503"/>
      <c r="CI108" s="764"/>
      <c r="CJ108" s="765"/>
      <c r="CK108" s="1502"/>
      <c r="CL108" s="1579"/>
      <c r="CM108" s="424"/>
      <c r="CN108" s="1503"/>
      <c r="CO108" s="764"/>
      <c r="CP108" s="765"/>
      <c r="CQ108" s="1502"/>
      <c r="CR108" s="1579"/>
      <c r="CS108" s="424"/>
      <c r="CT108" s="1503"/>
      <c r="CU108" s="764"/>
      <c r="CV108" s="765"/>
      <c r="CW108" s="1502"/>
      <c r="CX108" s="1579"/>
      <c r="CY108" s="424"/>
      <c r="DD108" s="48"/>
      <c r="DE108" s="48"/>
      <c r="DF108" s="48"/>
      <c r="DG108" s="48"/>
      <c r="DH108" s="48"/>
      <c r="DI108" s="48"/>
      <c r="DJ108" s="48"/>
      <c r="DK108" s="48"/>
      <c r="DL108" s="48"/>
      <c r="DM108" s="48"/>
      <c r="DN108" s="48"/>
      <c r="DO108" s="48"/>
      <c r="DP108" s="48"/>
      <c r="DQ108" s="48"/>
      <c r="DR108" s="48"/>
      <c r="DS108" s="48"/>
      <c r="DT108" s="48"/>
      <c r="DU108" s="48"/>
      <c r="DV108" s="48"/>
      <c r="DW108" s="48"/>
      <c r="DX108" s="48"/>
      <c r="DY108" s="48"/>
      <c r="DZ108" s="48"/>
      <c r="EA108" s="48"/>
      <c r="EB108" s="48"/>
      <c r="EC108" s="48"/>
      <c r="EF108" s="48"/>
      <c r="EG108" s="48"/>
      <c r="EH108" s="48"/>
      <c r="EI108" s="48"/>
      <c r="EJ108" s="48"/>
      <c r="EK108" s="48"/>
      <c r="EL108" s="48"/>
      <c r="EM108" s="48"/>
      <c r="EN108" s="48"/>
      <c r="EO108" s="48"/>
      <c r="EP108" s="48"/>
      <c r="EQ108" s="48"/>
      <c r="ER108" s="48"/>
      <c r="ES108" s="48"/>
      <c r="ET108" s="48"/>
      <c r="EU108" s="48"/>
      <c r="EV108" s="48"/>
      <c r="EW108" s="48"/>
      <c r="EX108" s="48"/>
      <c r="EY108" s="48"/>
      <c r="EZ108" s="48"/>
      <c r="FA108" s="48"/>
      <c r="FB108" s="48"/>
      <c r="FC108" s="48"/>
      <c r="FD108" s="48"/>
      <c r="FE108" s="48"/>
      <c r="FF108" s="48"/>
      <c r="FG108" s="48"/>
      <c r="FH108" s="48"/>
      <c r="FI108" s="48"/>
      <c r="FJ108" s="48"/>
      <c r="FK108" s="48"/>
      <c r="FL108" s="48"/>
      <c r="FM108" s="48"/>
      <c r="FN108" s="48"/>
      <c r="FO108" s="48"/>
      <c r="FP108" s="48"/>
      <c r="FQ108" s="48"/>
      <c r="FR108" s="48"/>
      <c r="FS108" s="48"/>
      <c r="FT108" s="48"/>
    </row>
    <row r="109" spans="1:176" x14ac:dyDescent="0.2">
      <c r="A109" s="312" t="s">
        <v>47</v>
      </c>
      <c r="B109" s="1501"/>
      <c r="C109" s="764"/>
      <c r="D109" s="765"/>
      <c r="E109" s="765"/>
      <c r="F109" s="765"/>
      <c r="G109" s="767"/>
      <c r="H109" s="765"/>
      <c r="I109" s="764"/>
      <c r="J109" s="765"/>
      <c r="K109" s="765"/>
      <c r="L109" s="765"/>
      <c r="M109" s="767"/>
      <c r="N109" s="765"/>
      <c r="O109" s="764"/>
      <c r="P109" s="765"/>
      <c r="Q109" s="765"/>
      <c r="R109" s="765"/>
      <c r="S109" s="767"/>
      <c r="T109" s="765"/>
      <c r="U109" s="764">
        <v>0.05</v>
      </c>
      <c r="V109" s="765">
        <v>0.06</v>
      </c>
      <c r="W109" s="765">
        <v>0.7</v>
      </c>
      <c r="X109" s="765" t="s">
        <v>251</v>
      </c>
      <c r="Y109" s="767">
        <v>0.47</v>
      </c>
      <c r="Z109" s="765"/>
      <c r="AA109" s="1607">
        <v>27.7</v>
      </c>
      <c r="AB109" s="1606">
        <v>35</v>
      </c>
      <c r="AC109" s="1606">
        <v>46.4</v>
      </c>
      <c r="AD109" s="1606">
        <v>50.6</v>
      </c>
      <c r="AE109" s="776">
        <v>159.4</v>
      </c>
      <c r="AF109" s="1606"/>
      <c r="AG109" s="764" t="s">
        <v>251</v>
      </c>
      <c r="AH109" s="765" t="s">
        <v>251</v>
      </c>
      <c r="AI109" s="765" t="s">
        <v>251</v>
      </c>
      <c r="AJ109" s="1606">
        <v>63.4</v>
      </c>
      <c r="AK109" s="776">
        <v>196.8</v>
      </c>
      <c r="AL109" s="1606"/>
      <c r="AM109" s="1607">
        <v>47.1</v>
      </c>
      <c r="AN109" s="1606">
        <v>50</v>
      </c>
      <c r="AO109" s="1606">
        <v>49.9</v>
      </c>
      <c r="AP109" s="1606">
        <v>59.9</v>
      </c>
      <c r="AQ109" s="776">
        <v>212.4</v>
      </c>
      <c r="AR109" s="1606"/>
      <c r="AS109" s="1607">
        <v>49</v>
      </c>
      <c r="AT109" s="1606">
        <v>57.9</v>
      </c>
      <c r="AU109" s="1606">
        <v>60.3</v>
      </c>
      <c r="AV109" s="1606">
        <v>87.8</v>
      </c>
      <c r="AW109" s="776">
        <v>203.667</v>
      </c>
      <c r="AX109" s="1606"/>
      <c r="AY109" s="1607">
        <v>58</v>
      </c>
      <c r="AZ109" s="1606">
        <v>69.8</v>
      </c>
      <c r="BA109" s="1606">
        <v>66.5</v>
      </c>
      <c r="BB109" s="1612">
        <v>81.5</v>
      </c>
      <c r="BC109" s="1057">
        <f t="shared" si="280"/>
        <v>275.8</v>
      </c>
      <c r="BD109" s="1503"/>
      <c r="BE109" s="1607">
        <v>64.400000000000006</v>
      </c>
      <c r="BF109" s="1606">
        <v>73.3</v>
      </c>
      <c r="BG109" s="1606">
        <v>75.8</v>
      </c>
      <c r="BH109" s="1612">
        <v>94.4</v>
      </c>
      <c r="BI109" s="1057">
        <f t="shared" si="281"/>
        <v>307.89999999999998</v>
      </c>
      <c r="BJ109" s="1503"/>
      <c r="BK109" s="1609">
        <f>64.8</f>
        <v>64.8</v>
      </c>
      <c r="BL109" s="1610">
        <v>78.8</v>
      </c>
      <c r="BM109" s="1610">
        <v>79</v>
      </c>
      <c r="BN109" s="1610">
        <v>93.4</v>
      </c>
      <c r="BO109" s="1613">
        <f t="shared" si="282"/>
        <v>316</v>
      </c>
      <c r="BP109" s="1503"/>
      <c r="BQ109" s="1609">
        <f>63.7</f>
        <v>63.7</v>
      </c>
      <c r="BR109" s="1610">
        <v>76.7</v>
      </c>
      <c r="BS109" s="1610">
        <v>71.2</v>
      </c>
      <c r="BT109" s="1610">
        <v>88.9</v>
      </c>
      <c r="BU109" s="1613">
        <f t="shared" si="283"/>
        <v>300.5</v>
      </c>
      <c r="BV109" s="1503"/>
      <c r="BW109" s="1609">
        <v>68</v>
      </c>
      <c r="BX109" s="1610">
        <v>84.5</v>
      </c>
      <c r="BY109" s="1610">
        <v>84.8</v>
      </c>
      <c r="BZ109" s="1610">
        <v>100.1</v>
      </c>
      <c r="CA109" s="1613">
        <f t="shared" si="284"/>
        <v>337.4</v>
      </c>
      <c r="CB109" s="1503"/>
      <c r="CC109" s="1609">
        <v>76.3</v>
      </c>
      <c r="CD109" s="1610">
        <v>92.5</v>
      </c>
      <c r="CE109" s="1610">
        <v>93.4</v>
      </c>
      <c r="CF109" s="1610">
        <v>106.8</v>
      </c>
      <c r="CG109" s="1613">
        <f t="shared" si="285"/>
        <v>369.00000000000006</v>
      </c>
      <c r="CH109" s="1503"/>
      <c r="CI109" s="764"/>
      <c r="CJ109" s="765"/>
      <c r="CK109" s="1502"/>
      <c r="CL109" s="1579"/>
      <c r="CM109" s="424"/>
      <c r="CN109" s="1503"/>
      <c r="CO109" s="764"/>
      <c r="CP109" s="765"/>
      <c r="CQ109" s="1502"/>
      <c r="CR109" s="1579"/>
      <c r="CS109" s="424"/>
      <c r="CT109" s="1503"/>
      <c r="CU109" s="764"/>
      <c r="CV109" s="765"/>
      <c r="CW109" s="1502"/>
      <c r="CX109" s="1579"/>
      <c r="CY109" s="424"/>
    </row>
    <row r="110" spans="1:176" x14ac:dyDescent="0.2">
      <c r="A110" s="715" t="s">
        <v>84</v>
      </c>
      <c r="B110" s="1615"/>
      <c r="C110" s="768"/>
      <c r="D110" s="769"/>
      <c r="E110" s="769"/>
      <c r="F110" s="769"/>
      <c r="G110" s="770"/>
      <c r="H110" s="769"/>
      <c r="I110" s="768"/>
      <c r="J110" s="769"/>
      <c r="K110" s="769"/>
      <c r="L110" s="769"/>
      <c r="M110" s="770"/>
      <c r="N110" s="769"/>
      <c r="O110" s="768"/>
      <c r="P110" s="769"/>
      <c r="Q110" s="769"/>
      <c r="R110" s="769"/>
      <c r="S110" s="770"/>
      <c r="T110" s="769"/>
      <c r="U110" s="768" t="s">
        <v>251</v>
      </c>
      <c r="V110" s="769" t="s">
        <v>251</v>
      </c>
      <c r="W110" s="769" t="s">
        <v>251</v>
      </c>
      <c r="X110" s="769" t="s">
        <v>251</v>
      </c>
      <c r="Y110" s="770" t="s">
        <v>251</v>
      </c>
      <c r="Z110" s="769"/>
      <c r="AA110" s="1616">
        <f t="shared" ref="AA110:AK110" si="286">SUM(AA105:AA109)</f>
        <v>207.1</v>
      </c>
      <c r="AB110" s="1617">
        <f t="shared" si="286"/>
        <v>218</v>
      </c>
      <c r="AC110" s="1617">
        <f t="shared" si="286"/>
        <v>230.80000000000004</v>
      </c>
      <c r="AD110" s="1617">
        <f t="shared" si="286"/>
        <v>237.2</v>
      </c>
      <c r="AE110" s="1618">
        <f t="shared" si="286"/>
        <v>892.99999999999989</v>
      </c>
      <c r="AF110" s="1617"/>
      <c r="AG110" s="1616">
        <f t="shared" si="286"/>
        <v>0</v>
      </c>
      <c r="AH110" s="1617">
        <f t="shared" si="286"/>
        <v>0</v>
      </c>
      <c r="AI110" s="1617">
        <f t="shared" si="286"/>
        <v>0</v>
      </c>
      <c r="AJ110" s="1617">
        <f t="shared" si="286"/>
        <v>289.09999999999997</v>
      </c>
      <c r="AK110" s="1618">
        <f t="shared" si="286"/>
        <v>1009.8</v>
      </c>
      <c r="AL110" s="1617"/>
      <c r="AM110" s="1616">
        <f t="shared" ref="AM110:AW110" si="287">SUM(AM105:AM109)</f>
        <v>264.40000000000003</v>
      </c>
      <c r="AN110" s="1617">
        <f t="shared" si="287"/>
        <v>262.7</v>
      </c>
      <c r="AO110" s="1617">
        <f t="shared" si="287"/>
        <v>274.3</v>
      </c>
      <c r="AP110" s="1617">
        <f t="shared" si="287"/>
        <v>263</v>
      </c>
      <c r="AQ110" s="1618">
        <f t="shared" si="287"/>
        <v>1087.4000000000001</v>
      </c>
      <c r="AR110" s="1617"/>
      <c r="AS110" s="1616">
        <f t="shared" si="287"/>
        <v>264.29999999999995</v>
      </c>
      <c r="AT110" s="1617">
        <f t="shared" si="287"/>
        <v>282.2</v>
      </c>
      <c r="AU110" s="1617">
        <f t="shared" si="287"/>
        <v>288.89999999999998</v>
      </c>
      <c r="AV110" s="1617">
        <f t="shared" si="287"/>
        <v>334.4</v>
      </c>
      <c r="AW110" s="1618">
        <f t="shared" si="287"/>
        <v>1169.7469999999998</v>
      </c>
      <c r="AX110" s="1617"/>
      <c r="AY110" s="1616">
        <f>SUM(AY105:AY109)</f>
        <v>296.39999999999998</v>
      </c>
      <c r="AZ110" s="1617">
        <f>SUM(AZ105:AZ109)</f>
        <v>307.2</v>
      </c>
      <c r="BA110" s="1617">
        <f>SUM(BA105:BA109)</f>
        <v>304.3</v>
      </c>
      <c r="BB110" s="1619">
        <f>SUM(BB105:BB109)</f>
        <v>346.5</v>
      </c>
      <c r="BC110" s="1620">
        <f t="shared" si="280"/>
        <v>1254.3999999999999</v>
      </c>
      <c r="BD110" s="1621"/>
      <c r="BE110" s="1616">
        <f>SUM(BE105:BE109)</f>
        <v>303.60000000000002</v>
      </c>
      <c r="BF110" s="1617">
        <f>SUM(BF105:BF109)</f>
        <v>316.39999999999998</v>
      </c>
      <c r="BG110" s="1617">
        <f>SUM(BG105:BG109)</f>
        <v>323.8</v>
      </c>
      <c r="BH110" s="1619">
        <f>SUM(BH105:BH109)</f>
        <v>362.6</v>
      </c>
      <c r="BI110" s="1620">
        <f t="shared" si="281"/>
        <v>1306.4000000000001</v>
      </c>
      <c r="BJ110" s="1621"/>
      <c r="BK110" s="1616">
        <f>SUM(BK105:BK109)</f>
        <v>317.40000000000003</v>
      </c>
      <c r="BL110" s="1617">
        <f>SUM(BL105:BL109)</f>
        <v>331.2</v>
      </c>
      <c r="BM110" s="1617">
        <f>SUM(BM105:BM109)</f>
        <v>336.8</v>
      </c>
      <c r="BN110" s="1617">
        <f>SUM(BN105:BN109)</f>
        <v>360.79999999999995</v>
      </c>
      <c r="BO110" s="1620">
        <f t="shared" si="282"/>
        <v>1346.2</v>
      </c>
      <c r="BP110" s="1621"/>
      <c r="BQ110" s="1616">
        <f>SUM(BQ105:BQ109)</f>
        <v>298.7</v>
      </c>
      <c r="BR110" s="1617">
        <f>SUM(BR105:BR109)</f>
        <v>319.5</v>
      </c>
      <c r="BS110" s="1617">
        <f>SUM(BS105:BS109)</f>
        <v>314.60000000000002</v>
      </c>
      <c r="BT110" s="1617">
        <f>SUM(BT105:BT109)</f>
        <v>348.5</v>
      </c>
      <c r="BU110" s="1620">
        <f t="shared" si="283"/>
        <v>1281.3000000000002</v>
      </c>
      <c r="BV110" s="1621"/>
      <c r="BW110" s="1616">
        <f>SUM(BW105:BW109)</f>
        <v>298.39999999999998</v>
      </c>
      <c r="BX110" s="1617">
        <f>SUM(BX105:BX109)</f>
        <v>334.4</v>
      </c>
      <c r="BY110" s="1617">
        <f>SUM(BY105:BY109)</f>
        <v>338.7</v>
      </c>
      <c r="BZ110" s="1617">
        <f>SUM(BZ105:BZ109)</f>
        <v>366.5</v>
      </c>
      <c r="CA110" s="1620">
        <f t="shared" si="284"/>
        <v>1338</v>
      </c>
      <c r="CB110" s="1621"/>
      <c r="CC110" s="1616">
        <f>SUM(CC105:CC109)</f>
        <v>308.3</v>
      </c>
      <c r="CD110" s="1617">
        <f>SUM(CD105:CD109)</f>
        <v>349.59999999999997</v>
      </c>
      <c r="CE110" s="1617">
        <f>SUM(CE105:CE109)</f>
        <v>364.4</v>
      </c>
      <c r="CF110" s="1617">
        <f>SUM(CF105:CF109)</f>
        <v>397.1</v>
      </c>
      <c r="CG110" s="1618">
        <f t="shared" si="285"/>
        <v>1419.4</v>
      </c>
      <c r="CH110" s="1621"/>
      <c r="CI110" s="768"/>
      <c r="CJ110" s="769"/>
      <c r="CK110" s="1622"/>
      <c r="CL110" s="1623"/>
      <c r="CM110" s="1624"/>
      <c r="CN110" s="1621"/>
      <c r="CO110" s="768"/>
      <c r="CP110" s="769"/>
      <c r="CQ110" s="1622"/>
      <c r="CR110" s="1623"/>
      <c r="CS110" s="1624"/>
      <c r="CT110" s="1621"/>
      <c r="CU110" s="768"/>
      <c r="CV110" s="769"/>
      <c r="CW110" s="1622"/>
      <c r="CX110" s="1623"/>
      <c r="CY110" s="1624"/>
    </row>
    <row r="111" spans="1:176" collapsed="1" x14ac:dyDescent="0.2">
      <c r="B111" s="498"/>
      <c r="C111" s="771"/>
      <c r="D111" s="771"/>
      <c r="E111" s="771"/>
      <c r="F111" s="498"/>
      <c r="G111" s="498"/>
      <c r="H111" s="498"/>
      <c r="I111" s="771"/>
      <c r="J111" s="771"/>
      <c r="K111" s="771"/>
      <c r="L111" s="498"/>
      <c r="M111" s="498"/>
      <c r="N111" s="498"/>
      <c r="O111" s="498"/>
      <c r="P111" s="498"/>
      <c r="Q111" s="498"/>
      <c r="R111" s="498"/>
      <c r="S111" s="771"/>
      <c r="T111" s="498"/>
      <c r="U111" s="771"/>
      <c r="V111" s="771"/>
      <c r="W111" s="771"/>
      <c r="X111" s="771"/>
      <c r="Y111" s="771"/>
      <c r="Z111" s="498"/>
      <c r="AA111" s="771"/>
      <c r="AB111" s="771"/>
      <c r="AC111" s="771"/>
      <c r="AD111" s="771"/>
      <c r="AE111" s="771"/>
      <c r="AF111" s="498"/>
      <c r="AG111" s="771"/>
      <c r="AH111" s="771"/>
      <c r="AI111" s="771"/>
      <c r="AJ111" s="771"/>
      <c r="AK111" s="771"/>
      <c r="AL111" s="498"/>
      <c r="AM111" s="771"/>
      <c r="AN111" s="771"/>
      <c r="AO111" s="771"/>
      <c r="AP111" s="771"/>
      <c r="AQ111" s="771"/>
      <c r="AR111" s="498"/>
      <c r="AS111" s="771"/>
      <c r="AT111" s="771"/>
      <c r="AU111" s="771"/>
      <c r="AV111" s="771"/>
      <c r="AW111" s="771"/>
      <c r="AX111" s="498"/>
      <c r="AY111" s="771"/>
      <c r="AZ111" s="771"/>
      <c r="BA111" s="771"/>
      <c r="BB111" s="771"/>
      <c r="BC111" s="771"/>
      <c r="BD111" s="498"/>
      <c r="BE111" s="771"/>
      <c r="BF111" s="771"/>
      <c r="BG111" s="771"/>
      <c r="BH111" s="771"/>
      <c r="BI111" s="771"/>
      <c r="BJ111" s="498"/>
      <c r="BK111" s="771"/>
      <c r="BL111" s="771"/>
      <c r="BM111" s="771"/>
      <c r="BN111" s="771"/>
      <c r="BO111" s="771"/>
      <c r="BP111" s="498"/>
      <c r="BQ111" s="771"/>
      <c r="BR111" s="771"/>
      <c r="BS111" s="771"/>
      <c r="BT111" s="771"/>
      <c r="BU111" s="771"/>
      <c r="BV111" s="498"/>
      <c r="BW111" s="771"/>
      <c r="BX111" s="771"/>
      <c r="BY111" s="771"/>
      <c r="BZ111" s="771"/>
      <c r="CA111" s="771"/>
      <c r="CB111" s="498"/>
      <c r="CC111" s="771"/>
      <c r="CD111" s="771"/>
      <c r="CE111" s="771"/>
      <c r="CF111" s="771"/>
      <c r="CG111" s="771"/>
      <c r="CH111" s="498"/>
      <c r="CI111" s="771"/>
      <c r="CJ111" s="771"/>
      <c r="CK111" s="771"/>
      <c r="CL111" s="771"/>
      <c r="CM111" s="771"/>
      <c r="CN111" s="498"/>
      <c r="CO111" s="771"/>
      <c r="CP111" s="771"/>
      <c r="CQ111" s="771"/>
      <c r="CR111" s="771"/>
      <c r="CS111" s="771"/>
      <c r="CT111" s="498"/>
      <c r="CU111" s="771"/>
      <c r="CV111" s="771"/>
      <c r="CW111" s="771"/>
      <c r="CX111" s="771"/>
      <c r="CY111" s="771"/>
    </row>
    <row r="112" spans="1:176" x14ac:dyDescent="0.2">
      <c r="A112" s="759" t="s">
        <v>210</v>
      </c>
      <c r="B112" s="1564"/>
      <c r="C112" s="1625"/>
      <c r="D112" s="773"/>
      <c r="E112" s="773"/>
      <c r="F112" s="773"/>
      <c r="G112" s="1577"/>
      <c r="H112" s="773"/>
      <c r="I112" s="1625"/>
      <c r="J112" s="773"/>
      <c r="K112" s="773"/>
      <c r="L112" s="773"/>
      <c r="M112" s="1577"/>
      <c r="N112" s="773"/>
      <c r="O112" s="1625"/>
      <c r="P112" s="773"/>
      <c r="Q112" s="773"/>
      <c r="R112" s="773"/>
      <c r="S112" s="1577"/>
      <c r="T112" s="772"/>
      <c r="U112" s="772"/>
      <c r="V112" s="773"/>
      <c r="W112" s="773"/>
      <c r="X112" s="773"/>
      <c r="Y112" s="774"/>
      <c r="Z112" s="773"/>
      <c r="AA112" s="772"/>
      <c r="AB112" s="773"/>
      <c r="AC112" s="773"/>
      <c r="AD112" s="773"/>
      <c r="AE112" s="1577"/>
      <c r="AF112" s="773"/>
      <c r="AG112" s="773"/>
      <c r="AH112" s="773"/>
      <c r="AI112" s="773"/>
      <c r="AJ112" s="773"/>
      <c r="AK112" s="773"/>
      <c r="AL112" s="772"/>
      <c r="AM112" s="773"/>
      <c r="AN112" s="773"/>
      <c r="AO112" s="773"/>
      <c r="AP112" s="773"/>
      <c r="AQ112" s="773"/>
      <c r="AR112" s="772"/>
      <c r="AS112" s="773"/>
      <c r="AT112" s="773"/>
      <c r="AU112" s="773"/>
      <c r="AV112" s="773"/>
      <c r="AW112" s="773"/>
      <c r="AX112" s="772"/>
      <c r="AY112" s="772"/>
      <c r="AZ112" s="773"/>
      <c r="BA112" s="773"/>
      <c r="BB112" s="773"/>
      <c r="BC112" s="774"/>
      <c r="BD112" s="773"/>
      <c r="BE112" s="1626"/>
      <c r="BF112" s="773"/>
      <c r="BG112" s="773"/>
      <c r="BH112" s="773"/>
      <c r="BI112" s="774"/>
      <c r="BJ112" s="773"/>
      <c r="BK112" s="1627"/>
      <c r="BL112" s="1628"/>
      <c r="BM112" s="1628"/>
      <c r="BN112" s="1628"/>
      <c r="BO112" s="1629"/>
      <c r="BP112" s="772"/>
      <c r="BQ112" s="1626"/>
      <c r="BR112" s="773"/>
      <c r="BS112" s="773"/>
      <c r="BT112" s="773"/>
      <c r="BU112" s="774"/>
      <c r="BV112" s="772"/>
      <c r="BW112" s="1626"/>
      <c r="BX112" s="773"/>
      <c r="BY112" s="773"/>
      <c r="BZ112" s="773"/>
      <c r="CA112" s="774"/>
      <c r="CB112" s="772"/>
      <c r="CC112" s="1626"/>
      <c r="CD112" s="773"/>
      <c r="CE112" s="773"/>
      <c r="CF112" s="773"/>
      <c r="CG112" s="774"/>
      <c r="CH112" s="772"/>
      <c r="CI112" s="1626"/>
      <c r="CJ112" s="773"/>
      <c r="CK112" s="773"/>
      <c r="CL112" s="773"/>
      <c r="CM112" s="774"/>
      <c r="CN112" s="772"/>
      <c r="CO112" s="1626"/>
      <c r="CP112" s="773"/>
      <c r="CQ112" s="773"/>
      <c r="CR112" s="773"/>
      <c r="CS112" s="774"/>
      <c r="CT112" s="772"/>
      <c r="CU112" s="1626"/>
      <c r="CV112" s="773"/>
      <c r="CW112" s="773"/>
      <c r="CX112" s="773"/>
      <c r="CY112" s="774"/>
    </row>
    <row r="113" spans="1:103" x14ac:dyDescent="0.2">
      <c r="A113" s="658" t="s">
        <v>159</v>
      </c>
      <c r="B113" s="1496"/>
      <c r="C113" s="760"/>
      <c r="D113" s="761"/>
      <c r="E113" s="761"/>
      <c r="F113" s="761"/>
      <c r="G113" s="763"/>
      <c r="H113" s="761"/>
      <c r="I113" s="760"/>
      <c r="J113" s="761"/>
      <c r="K113" s="761"/>
      <c r="L113" s="761"/>
      <c r="M113" s="763"/>
      <c r="N113" s="761"/>
      <c r="O113" s="760"/>
      <c r="P113" s="761"/>
      <c r="Q113" s="761"/>
      <c r="R113" s="761"/>
      <c r="S113" s="763"/>
      <c r="T113" s="761"/>
      <c r="U113" s="760">
        <v>0.48</v>
      </c>
      <c r="V113" s="761">
        <v>0.53</v>
      </c>
      <c r="W113" s="761">
        <v>0.28999999999999998</v>
      </c>
      <c r="X113" s="762" t="s">
        <v>251</v>
      </c>
      <c r="Y113" s="763">
        <v>0.39</v>
      </c>
      <c r="Z113" s="761"/>
      <c r="AA113" s="1603">
        <v>0</v>
      </c>
      <c r="AB113" s="1604">
        <v>0</v>
      </c>
      <c r="AC113" s="1604">
        <v>0</v>
      </c>
      <c r="AD113" s="1604">
        <v>0</v>
      </c>
      <c r="AE113" s="775">
        <v>0</v>
      </c>
      <c r="AF113" s="1604"/>
      <c r="AG113" s="1603">
        <v>-2</v>
      </c>
      <c r="AH113" s="1604">
        <v>-2</v>
      </c>
      <c r="AI113" s="1604">
        <v>-3</v>
      </c>
      <c r="AJ113" s="1604">
        <v>0</v>
      </c>
      <c r="AK113" s="775">
        <v>0</v>
      </c>
      <c r="AL113" s="1604"/>
      <c r="AM113" s="1603">
        <v>0</v>
      </c>
      <c r="AN113" s="1604">
        <v>0</v>
      </c>
      <c r="AO113" s="1604">
        <v>0</v>
      </c>
      <c r="AP113" s="1604">
        <v>0</v>
      </c>
      <c r="AQ113" s="775">
        <v>0</v>
      </c>
      <c r="AR113" s="1604"/>
      <c r="AS113" s="1603">
        <v>0</v>
      </c>
      <c r="AT113" s="1604">
        <v>0</v>
      </c>
      <c r="AU113" s="1604">
        <v>0</v>
      </c>
      <c r="AV113" s="1604">
        <v>0</v>
      </c>
      <c r="AW113" s="775" t="s">
        <v>251</v>
      </c>
      <c r="AX113" s="1604"/>
      <c r="AY113" s="1603">
        <v>0</v>
      </c>
      <c r="AZ113" s="1604">
        <v>0</v>
      </c>
      <c r="BA113" s="1604">
        <v>0</v>
      </c>
      <c r="BB113" s="1605">
        <v>0</v>
      </c>
      <c r="BC113" s="1608">
        <f t="shared" ref="BC113:BC118" si="288">SUM(AY113:BB113)</f>
        <v>0</v>
      </c>
      <c r="BD113" s="1499"/>
      <c r="BE113" s="1603">
        <v>0</v>
      </c>
      <c r="BF113" s="1604">
        <v>0</v>
      </c>
      <c r="BG113" s="1604">
        <v>0</v>
      </c>
      <c r="BH113" s="1605">
        <v>0</v>
      </c>
      <c r="BI113" s="1608">
        <f t="shared" ref="BI113:BI118" si="289">SUM(BE113:BH113)</f>
        <v>0</v>
      </c>
      <c r="BJ113" s="1499"/>
      <c r="BK113" s="1630">
        <v>0</v>
      </c>
      <c r="BL113" s="1631">
        <v>0</v>
      </c>
      <c r="BM113" s="1631">
        <v>0</v>
      </c>
      <c r="BN113" s="1631">
        <v>0</v>
      </c>
      <c r="BO113" s="1632">
        <f t="shared" ref="BO113:BO118" si="290">SUM(BK113:BN113)</f>
        <v>0</v>
      </c>
      <c r="BP113" s="1499"/>
      <c r="BQ113" s="1630">
        <v>0</v>
      </c>
      <c r="BR113" s="1631">
        <v>0</v>
      </c>
      <c r="BS113" s="1631">
        <v>0</v>
      </c>
      <c r="BT113" s="1631">
        <v>0</v>
      </c>
      <c r="BU113" s="1632">
        <f t="shared" ref="BU113:BU118" si="291">SUM(BQ113:BT113)</f>
        <v>0</v>
      </c>
      <c r="BV113" s="1499"/>
      <c r="BW113" s="1630">
        <v>0</v>
      </c>
      <c r="BX113" s="1631">
        <v>0</v>
      </c>
      <c r="BY113" s="1631">
        <v>0</v>
      </c>
      <c r="BZ113" s="1631">
        <v>0</v>
      </c>
      <c r="CA113" s="1632">
        <f t="shared" ref="CA113:CA117" si="292">SUM(BW113:BZ113)</f>
        <v>0</v>
      </c>
      <c r="CB113" s="1499"/>
      <c r="CC113" s="1876">
        <v>0</v>
      </c>
      <c r="CD113" s="2061">
        <v>0</v>
      </c>
      <c r="CE113" s="2061">
        <v>0</v>
      </c>
      <c r="CF113" s="2168">
        <v>0</v>
      </c>
      <c r="CG113" s="2169">
        <v>0</v>
      </c>
      <c r="CH113" s="1499"/>
      <c r="CI113" s="760"/>
      <c r="CJ113" s="761"/>
      <c r="CK113" s="1498"/>
      <c r="CL113" s="1586"/>
      <c r="CM113" s="1497"/>
      <c r="CN113" s="1499"/>
      <c r="CO113" s="760"/>
      <c r="CP113" s="761"/>
      <c r="CQ113" s="1498"/>
      <c r="CR113" s="1586"/>
      <c r="CS113" s="1497"/>
      <c r="CT113" s="1499"/>
      <c r="CU113" s="760"/>
      <c r="CV113" s="761"/>
      <c r="CW113" s="1498"/>
      <c r="CX113" s="1586"/>
      <c r="CY113" s="1497"/>
    </row>
    <row r="114" spans="1:103" x14ac:dyDescent="0.2">
      <c r="A114" s="312" t="s">
        <v>321</v>
      </c>
      <c r="B114" s="1501"/>
      <c r="C114" s="764"/>
      <c r="D114" s="765"/>
      <c r="E114" s="765"/>
      <c r="F114" s="765"/>
      <c r="G114" s="767"/>
      <c r="H114" s="765"/>
      <c r="I114" s="764"/>
      <c r="J114" s="765"/>
      <c r="K114" s="765"/>
      <c r="L114" s="765"/>
      <c r="M114" s="767"/>
      <c r="N114" s="765"/>
      <c r="O114" s="764"/>
      <c r="P114" s="765"/>
      <c r="Q114" s="765"/>
      <c r="R114" s="765"/>
      <c r="S114" s="767"/>
      <c r="T114" s="765"/>
      <c r="U114" s="764">
        <v>0.14000000000000001</v>
      </c>
      <c r="V114" s="765">
        <v>0.18</v>
      </c>
      <c r="W114" s="765">
        <v>0.23</v>
      </c>
      <c r="X114" s="766" t="s">
        <v>251</v>
      </c>
      <c r="Y114" s="767">
        <v>0.21</v>
      </c>
      <c r="Z114" s="765"/>
      <c r="AA114" s="1607">
        <v>0.6</v>
      </c>
      <c r="AB114" s="1606">
        <v>3</v>
      </c>
      <c r="AC114" s="1606">
        <v>0.8</v>
      </c>
      <c r="AD114" s="1606">
        <v>-7.1</v>
      </c>
      <c r="AE114" s="776">
        <v>-2.2999999999999998</v>
      </c>
      <c r="AF114" s="1606"/>
      <c r="AG114" s="1607">
        <v>-18</v>
      </c>
      <c r="AH114" s="1606">
        <v>-16</v>
      </c>
      <c r="AI114" s="1606">
        <v>-7</v>
      </c>
      <c r="AJ114" s="1606">
        <v>10.8</v>
      </c>
      <c r="AK114" s="776">
        <v>22.5</v>
      </c>
      <c r="AL114" s="1606"/>
      <c r="AM114" s="1607">
        <v>4.0999999999999996</v>
      </c>
      <c r="AN114" s="1606">
        <v>-5.3</v>
      </c>
      <c r="AO114" s="1606">
        <v>-6.4</v>
      </c>
      <c r="AP114" s="1606">
        <v>-5.8</v>
      </c>
      <c r="AQ114" s="776">
        <v>-14.3</v>
      </c>
      <c r="AR114" s="1606"/>
      <c r="AS114" s="1607">
        <v>-0.4</v>
      </c>
      <c r="AT114" s="1606">
        <v>9</v>
      </c>
      <c r="AU114" s="1606">
        <v>6.4</v>
      </c>
      <c r="AV114" s="1606">
        <v>-0.6</v>
      </c>
      <c r="AW114" s="776" t="s">
        <v>251</v>
      </c>
      <c r="AX114" s="1606"/>
      <c r="AY114" s="1607">
        <v>-3.3</v>
      </c>
      <c r="AZ114" s="1606">
        <v>-9.5</v>
      </c>
      <c r="BA114" s="1606">
        <v>-9.4</v>
      </c>
      <c r="BB114" s="1612">
        <v>-3.3</v>
      </c>
      <c r="BC114" s="1057">
        <f t="shared" si="288"/>
        <v>-25.500000000000004</v>
      </c>
      <c r="BD114" s="1503"/>
      <c r="BE114" s="1607">
        <v>0.5</v>
      </c>
      <c r="BF114" s="1606">
        <v>1.6</v>
      </c>
      <c r="BG114" s="1606">
        <v>4.3</v>
      </c>
      <c r="BH114" s="1612">
        <v>4.4000000000000004</v>
      </c>
      <c r="BI114" s="1057">
        <f t="shared" si="289"/>
        <v>10.8</v>
      </c>
      <c r="BJ114" s="1503"/>
      <c r="BK114" s="1609">
        <v>3.4</v>
      </c>
      <c r="BL114" s="1610">
        <v>4.0999999999999996</v>
      </c>
      <c r="BM114" s="1610">
        <v>-0.2</v>
      </c>
      <c r="BN114" s="1610">
        <v>-8.1999999999999993</v>
      </c>
      <c r="BO114" s="1633">
        <f t="shared" si="290"/>
        <v>-0.89999999999999947</v>
      </c>
      <c r="BP114" s="1503"/>
      <c r="BQ114" s="1609">
        <v>-15.3</v>
      </c>
      <c r="BR114" s="1610">
        <v>-16.8</v>
      </c>
      <c r="BS114" s="1610">
        <v>-14.3</v>
      </c>
      <c r="BT114" s="1610">
        <v>-11.7</v>
      </c>
      <c r="BU114" s="1613">
        <f t="shared" si="291"/>
        <v>-58.100000000000009</v>
      </c>
      <c r="BV114" s="1503"/>
      <c r="BW114" s="1609">
        <v>-1.1000000000000001</v>
      </c>
      <c r="BX114" s="1610">
        <v>1.5</v>
      </c>
      <c r="BY114" s="1610">
        <v>0.2</v>
      </c>
      <c r="BZ114" s="1610">
        <v>-1.5</v>
      </c>
      <c r="CA114" s="1613">
        <f t="shared" si="292"/>
        <v>-0.90000000000000013</v>
      </c>
      <c r="CB114" s="1503"/>
      <c r="CC114" s="1877">
        <v>-2</v>
      </c>
      <c r="CD114" s="2062">
        <v>-3</v>
      </c>
      <c r="CE114" s="2062">
        <v>3.4</v>
      </c>
      <c r="CF114" s="2170">
        <v>7.3</v>
      </c>
      <c r="CG114" s="2171">
        <v>6.4</v>
      </c>
      <c r="CH114" s="1503"/>
      <c r="CI114" s="764"/>
      <c r="CJ114" s="765"/>
      <c r="CK114" s="1502"/>
      <c r="CL114" s="1579"/>
      <c r="CM114" s="424"/>
      <c r="CN114" s="1503"/>
      <c r="CO114" s="764"/>
      <c r="CP114" s="765"/>
      <c r="CQ114" s="1502"/>
      <c r="CR114" s="1579"/>
      <c r="CS114" s="424"/>
      <c r="CT114" s="1503"/>
      <c r="CU114" s="764"/>
      <c r="CV114" s="765"/>
      <c r="CW114" s="1502"/>
      <c r="CX114" s="1579"/>
      <c r="CY114" s="424"/>
    </row>
    <row r="115" spans="1:103" x14ac:dyDescent="0.2">
      <c r="A115" s="312" t="s">
        <v>322</v>
      </c>
      <c r="B115" s="1501"/>
      <c r="C115" s="764"/>
      <c r="D115" s="765"/>
      <c r="E115" s="765"/>
      <c r="F115" s="765"/>
      <c r="G115" s="767"/>
      <c r="H115" s="765"/>
      <c r="I115" s="764"/>
      <c r="J115" s="765"/>
      <c r="K115" s="765"/>
      <c r="L115" s="765"/>
      <c r="M115" s="767"/>
      <c r="N115" s="765"/>
      <c r="O115" s="764"/>
      <c r="P115" s="765"/>
      <c r="Q115" s="765"/>
      <c r="R115" s="765"/>
      <c r="S115" s="767"/>
      <c r="T115" s="765"/>
      <c r="U115" s="764">
        <v>0.05</v>
      </c>
      <c r="V115" s="765">
        <v>0.06</v>
      </c>
      <c r="W115" s="765">
        <v>0.7</v>
      </c>
      <c r="X115" s="765" t="s">
        <v>251</v>
      </c>
      <c r="Y115" s="767">
        <v>0.47</v>
      </c>
      <c r="Z115" s="765"/>
      <c r="AA115" s="1607">
        <v>0</v>
      </c>
      <c r="AB115" s="1606">
        <v>0</v>
      </c>
      <c r="AC115" s="1606">
        <v>-0.6</v>
      </c>
      <c r="AD115" s="1606">
        <v>-2.7</v>
      </c>
      <c r="AE115" s="776">
        <v>-3.3</v>
      </c>
      <c r="AF115" s="1606"/>
      <c r="AG115" s="1607">
        <v>0</v>
      </c>
      <c r="AH115" s="1606">
        <v>0</v>
      </c>
      <c r="AI115" s="1606">
        <v>0</v>
      </c>
      <c r="AJ115" s="1606">
        <v>1.9</v>
      </c>
      <c r="AK115" s="776">
        <v>4.7</v>
      </c>
      <c r="AL115" s="1606"/>
      <c r="AM115" s="1607">
        <v>0.6</v>
      </c>
      <c r="AN115" s="1606">
        <v>0.5</v>
      </c>
      <c r="AO115" s="1606">
        <v>1.1000000000000001</v>
      </c>
      <c r="AP115" s="1606">
        <v>-0.6</v>
      </c>
      <c r="AQ115" s="776">
        <v>-1.6</v>
      </c>
      <c r="AR115" s="1606"/>
      <c r="AS115" s="1607">
        <v>0.6</v>
      </c>
      <c r="AT115" s="1606">
        <v>1.3</v>
      </c>
      <c r="AU115" s="1606">
        <v>0.5</v>
      </c>
      <c r="AV115" s="1606">
        <v>-0.1</v>
      </c>
      <c r="AW115" s="776" t="s">
        <v>251</v>
      </c>
      <c r="AX115" s="1606"/>
      <c r="AY115" s="1607">
        <v>-0.4</v>
      </c>
      <c r="AZ115" s="1606">
        <v>-0.6</v>
      </c>
      <c r="BA115" s="1606">
        <v>-0.2</v>
      </c>
      <c r="BB115" s="1606">
        <v>0.7</v>
      </c>
      <c r="BC115" s="1057">
        <f t="shared" si="288"/>
        <v>-0.5</v>
      </c>
      <c r="BD115" s="1503"/>
      <c r="BE115" s="1607">
        <v>-0.3</v>
      </c>
      <c r="BF115" s="1606">
        <v>-0.4</v>
      </c>
      <c r="BG115" s="1606">
        <v>-0.3</v>
      </c>
      <c r="BH115" s="1606">
        <v>-3.4</v>
      </c>
      <c r="BI115" s="1057">
        <f t="shared" si="289"/>
        <v>-4.4000000000000004</v>
      </c>
      <c r="BJ115" s="1503"/>
      <c r="BK115" s="1609">
        <v>1.4</v>
      </c>
      <c r="BL115" s="1610">
        <v>1.8</v>
      </c>
      <c r="BM115" s="1610">
        <v>1.4</v>
      </c>
      <c r="BN115" s="1610">
        <v>-0.9</v>
      </c>
      <c r="BO115" s="1633">
        <f t="shared" si="290"/>
        <v>3.6999999999999997</v>
      </c>
      <c r="BP115" s="1503"/>
      <c r="BQ115" s="1609">
        <v>-2</v>
      </c>
      <c r="BR115" s="1610">
        <v>-2.4</v>
      </c>
      <c r="BS115" s="1610">
        <v>-1.7</v>
      </c>
      <c r="BT115" s="1610">
        <v>-1.3</v>
      </c>
      <c r="BU115" s="1613">
        <f t="shared" si="291"/>
        <v>-7.4</v>
      </c>
      <c r="BV115" s="1503"/>
      <c r="BW115" s="1609">
        <v>-1.3</v>
      </c>
      <c r="BX115" s="1610">
        <v>-1.6</v>
      </c>
      <c r="BY115" s="1610">
        <v>-4.5</v>
      </c>
      <c r="BZ115" s="1610">
        <v>-5.3</v>
      </c>
      <c r="CA115" s="1613">
        <f t="shared" si="292"/>
        <v>-12.7</v>
      </c>
      <c r="CB115" s="1503"/>
      <c r="CC115" s="1877">
        <v>-3</v>
      </c>
      <c r="CD115" s="2062">
        <v>-3</v>
      </c>
      <c r="CE115" s="2062">
        <v>-0.2</v>
      </c>
      <c r="CF115" s="2170">
        <v>0.9</v>
      </c>
      <c r="CG115" s="2171">
        <v>-5</v>
      </c>
      <c r="CH115" s="1503"/>
      <c r="CI115" s="764"/>
      <c r="CJ115" s="765"/>
      <c r="CK115" s="1502"/>
      <c r="CL115" s="1579"/>
      <c r="CM115" s="424"/>
      <c r="CN115" s="1503"/>
      <c r="CO115" s="764"/>
      <c r="CP115" s="765"/>
      <c r="CQ115" s="1502"/>
      <c r="CR115" s="1579"/>
      <c r="CS115" s="424"/>
      <c r="CT115" s="1503"/>
      <c r="CU115" s="764"/>
      <c r="CV115" s="765"/>
      <c r="CW115" s="1502"/>
      <c r="CX115" s="1579"/>
      <c r="CY115" s="424"/>
    </row>
    <row r="116" spans="1:103" x14ac:dyDescent="0.2">
      <c r="A116" s="312" t="s">
        <v>323</v>
      </c>
      <c r="B116" s="1501"/>
      <c r="C116" s="764"/>
      <c r="D116" s="765"/>
      <c r="E116" s="765"/>
      <c r="F116" s="765"/>
      <c r="G116" s="767"/>
      <c r="H116" s="765"/>
      <c r="I116" s="764"/>
      <c r="J116" s="765"/>
      <c r="K116" s="765"/>
      <c r="L116" s="765"/>
      <c r="M116" s="767"/>
      <c r="N116" s="765"/>
      <c r="O116" s="764"/>
      <c r="P116" s="765"/>
      <c r="Q116" s="765"/>
      <c r="R116" s="765"/>
      <c r="S116" s="767"/>
      <c r="T116" s="765"/>
      <c r="U116" s="764">
        <v>0.14000000000000001</v>
      </c>
      <c r="V116" s="765">
        <v>0.18</v>
      </c>
      <c r="W116" s="765">
        <v>0.23</v>
      </c>
      <c r="X116" s="766" t="s">
        <v>251</v>
      </c>
      <c r="Y116" s="767">
        <v>0.21</v>
      </c>
      <c r="Z116" s="765"/>
      <c r="AA116" s="1607">
        <v>0.1</v>
      </c>
      <c r="AB116" s="1606">
        <v>0</v>
      </c>
      <c r="AC116" s="1606">
        <v>-0.7</v>
      </c>
      <c r="AD116" s="1606">
        <v>0.5</v>
      </c>
      <c r="AE116" s="776">
        <v>-0.4</v>
      </c>
      <c r="AF116" s="1606"/>
      <c r="AG116" s="1607">
        <v>1</v>
      </c>
      <c r="AH116" s="1606">
        <v>0</v>
      </c>
      <c r="AI116" s="1606">
        <v>1</v>
      </c>
      <c r="AJ116" s="1606">
        <v>0</v>
      </c>
      <c r="AK116" s="776">
        <v>-1.7</v>
      </c>
      <c r="AL116" s="1606"/>
      <c r="AM116" s="1607">
        <v>1.3</v>
      </c>
      <c r="AN116" s="1606">
        <v>-1.1000000000000001</v>
      </c>
      <c r="AO116" s="1606">
        <v>-1</v>
      </c>
      <c r="AP116" s="1606">
        <v>1.2</v>
      </c>
      <c r="AQ116" s="776">
        <v>3.4</v>
      </c>
      <c r="AR116" s="1606"/>
      <c r="AS116" s="1607">
        <v>1.9</v>
      </c>
      <c r="AT116" s="1606">
        <v>1.4</v>
      </c>
      <c r="AU116" s="1606">
        <v>1.5</v>
      </c>
      <c r="AV116" s="1606">
        <v>1.2</v>
      </c>
      <c r="AW116" s="776" t="s">
        <v>251</v>
      </c>
      <c r="AX116" s="1606"/>
      <c r="AY116" s="1607">
        <v>0.9</v>
      </c>
      <c r="AZ116" s="1606">
        <v>0.3</v>
      </c>
      <c r="BA116" s="1606">
        <v>-0.2</v>
      </c>
      <c r="BB116" s="1612">
        <v>-1</v>
      </c>
      <c r="BC116" s="1057">
        <f t="shared" si="288"/>
        <v>0</v>
      </c>
      <c r="BD116" s="1503"/>
      <c r="BE116" s="1607">
        <v>-3</v>
      </c>
      <c r="BF116" s="1606">
        <v>-2.7</v>
      </c>
      <c r="BG116" s="1606">
        <v>-3.1</v>
      </c>
      <c r="BH116" s="1612">
        <v>0.2</v>
      </c>
      <c r="BI116" s="1057">
        <f t="shared" si="289"/>
        <v>-8.6000000000000014</v>
      </c>
      <c r="BJ116" s="1503"/>
      <c r="BK116" s="1609">
        <v>-2</v>
      </c>
      <c r="BL116" s="1610">
        <v>-0.3</v>
      </c>
      <c r="BM116" s="1610">
        <v>-0.5</v>
      </c>
      <c r="BN116" s="1610">
        <v>-1.8</v>
      </c>
      <c r="BO116" s="1633">
        <f t="shared" si="290"/>
        <v>-4.5999999999999996</v>
      </c>
      <c r="BP116" s="1503"/>
      <c r="BQ116" s="1609">
        <v>-2.4</v>
      </c>
      <c r="BR116" s="1610">
        <v>-1.9</v>
      </c>
      <c r="BS116" s="1610">
        <v>-1.5</v>
      </c>
      <c r="BT116" s="1610">
        <v>-0.7</v>
      </c>
      <c r="BU116" s="1613">
        <f t="shared" si="291"/>
        <v>-6.5</v>
      </c>
      <c r="BV116" s="1503"/>
      <c r="BW116" s="1609">
        <v>0.5</v>
      </c>
      <c r="BX116" s="1610">
        <v>1</v>
      </c>
      <c r="BY116" s="1610">
        <v>2</v>
      </c>
      <c r="BZ116" s="1610">
        <v>1.4</v>
      </c>
      <c r="CA116" s="1613">
        <f t="shared" si="292"/>
        <v>4.9000000000000004</v>
      </c>
      <c r="CB116" s="1503"/>
      <c r="CC116" s="1877">
        <v>0</v>
      </c>
      <c r="CD116" s="2062">
        <v>0</v>
      </c>
      <c r="CE116" s="2062">
        <v>-1</v>
      </c>
      <c r="CF116" s="2170">
        <v>-0.3</v>
      </c>
      <c r="CG116" s="2171">
        <v>-1.5</v>
      </c>
      <c r="CH116" s="1503"/>
      <c r="CI116" s="764"/>
      <c r="CJ116" s="765"/>
      <c r="CK116" s="1502"/>
      <c r="CL116" s="1579"/>
      <c r="CM116" s="424"/>
      <c r="CN116" s="1503"/>
      <c r="CO116" s="764"/>
      <c r="CP116" s="765"/>
      <c r="CQ116" s="1502"/>
      <c r="CR116" s="1579"/>
      <c r="CS116" s="424"/>
      <c r="CT116" s="1503"/>
      <c r="CU116" s="764"/>
      <c r="CV116" s="765"/>
      <c r="CW116" s="1502"/>
      <c r="CX116" s="1579"/>
      <c r="CY116" s="424"/>
    </row>
    <row r="117" spans="1:103" x14ac:dyDescent="0.2">
      <c r="A117" s="312" t="s">
        <v>47</v>
      </c>
      <c r="B117" s="1501"/>
      <c r="C117" s="764"/>
      <c r="D117" s="765"/>
      <c r="E117" s="765"/>
      <c r="F117" s="765"/>
      <c r="G117" s="767"/>
      <c r="H117" s="765"/>
      <c r="I117" s="764"/>
      <c r="J117" s="765"/>
      <c r="K117" s="765"/>
      <c r="L117" s="765"/>
      <c r="M117" s="767"/>
      <c r="N117" s="765"/>
      <c r="O117" s="764"/>
      <c r="P117" s="765"/>
      <c r="Q117" s="765"/>
      <c r="R117" s="765"/>
      <c r="S117" s="767"/>
      <c r="T117" s="765"/>
      <c r="U117" s="764">
        <v>0.05</v>
      </c>
      <c r="V117" s="765">
        <v>0.06</v>
      </c>
      <c r="W117" s="765">
        <v>0.7</v>
      </c>
      <c r="X117" s="765" t="s">
        <v>251</v>
      </c>
      <c r="Y117" s="767">
        <v>0.47</v>
      </c>
      <c r="Z117" s="765"/>
      <c r="AA117" s="1607">
        <v>0.2</v>
      </c>
      <c r="AB117" s="1606">
        <v>0</v>
      </c>
      <c r="AC117" s="1606">
        <v>-0.5</v>
      </c>
      <c r="AD117" s="1606">
        <v>-9.9</v>
      </c>
      <c r="AE117" s="776">
        <v>-9.9</v>
      </c>
      <c r="AF117" s="1606"/>
      <c r="AG117" s="1607">
        <v>0</v>
      </c>
      <c r="AH117" s="1606">
        <v>0</v>
      </c>
      <c r="AI117" s="1606">
        <v>0</v>
      </c>
      <c r="AJ117" s="1606">
        <v>8.5</v>
      </c>
      <c r="AK117" s="776">
        <v>16.5</v>
      </c>
      <c r="AL117" s="1606"/>
      <c r="AM117" s="1607">
        <v>5.7</v>
      </c>
      <c r="AN117" s="1606">
        <v>2.7</v>
      </c>
      <c r="AO117" s="1606">
        <v>1.5</v>
      </c>
      <c r="AP117" s="1606">
        <v>2.2000000000000002</v>
      </c>
      <c r="AQ117" s="776">
        <v>12.7</v>
      </c>
      <c r="AR117" s="1606"/>
      <c r="AS117" s="1607">
        <v>3.1</v>
      </c>
      <c r="AT117" s="1606">
        <v>5.6</v>
      </c>
      <c r="AU117" s="1606">
        <v>4.3</v>
      </c>
      <c r="AV117" s="1606">
        <v>-1.8</v>
      </c>
      <c r="AW117" s="776" t="s">
        <v>251</v>
      </c>
      <c r="AX117" s="1606"/>
      <c r="AY117" s="1607">
        <v>-0.2</v>
      </c>
      <c r="AZ117" s="1606">
        <v>-3.9</v>
      </c>
      <c r="BA117" s="1606">
        <v>-2.6</v>
      </c>
      <c r="BB117" s="1606">
        <f>-5.5-SUM(AY117:BA117)</f>
        <v>1.1999999999999993</v>
      </c>
      <c r="BC117" s="1057">
        <f t="shared" si="288"/>
        <v>-5.5</v>
      </c>
      <c r="BD117" s="1503"/>
      <c r="BE117" s="1607">
        <v>0</v>
      </c>
      <c r="BF117" s="1606">
        <v>0.7</v>
      </c>
      <c r="BG117" s="1606">
        <v>-1.5</v>
      </c>
      <c r="BH117" s="1606">
        <v>-2.2000000000000002</v>
      </c>
      <c r="BI117" s="1057">
        <f t="shared" si="289"/>
        <v>-3</v>
      </c>
      <c r="BJ117" s="1503"/>
      <c r="BK117" s="1609">
        <v>-3.3</v>
      </c>
      <c r="BL117" s="1610">
        <v>-1.9</v>
      </c>
      <c r="BM117" s="1610">
        <v>-0.9</v>
      </c>
      <c r="BN117" s="1610">
        <v>-5.6</v>
      </c>
      <c r="BO117" s="1633">
        <f t="shared" si="290"/>
        <v>-11.7</v>
      </c>
      <c r="BP117" s="1503"/>
      <c r="BQ117" s="1609">
        <v>-6.4</v>
      </c>
      <c r="BR117" s="1610">
        <v>-8.3000000000000007</v>
      </c>
      <c r="BS117" s="1610">
        <v>-10.4</v>
      </c>
      <c r="BT117" s="1610">
        <v>-10.4</v>
      </c>
      <c r="BU117" s="1613">
        <f t="shared" si="291"/>
        <v>-35.5</v>
      </c>
      <c r="BV117" s="1503"/>
      <c r="BW117" s="1609">
        <v>-5.3</v>
      </c>
      <c r="BX117" s="1610">
        <v>-4.5999999999999996</v>
      </c>
      <c r="BY117" s="1610">
        <v>-0.8</v>
      </c>
      <c r="BZ117" s="1610">
        <v>-3.7</v>
      </c>
      <c r="CA117" s="1613">
        <f t="shared" si="292"/>
        <v>-14.399999999999999</v>
      </c>
      <c r="CB117" s="1503"/>
      <c r="CC117" s="1877">
        <v>-1</v>
      </c>
      <c r="CD117" s="2062">
        <f>-1-2</f>
        <v>-3</v>
      </c>
      <c r="CE117" s="2062">
        <v>-0.3</v>
      </c>
      <c r="CF117" s="2170">
        <v>2.4</v>
      </c>
      <c r="CG117" s="2171">
        <v>-1.3</v>
      </c>
      <c r="CH117" s="1503"/>
      <c r="CI117" s="764"/>
      <c r="CJ117" s="765"/>
      <c r="CK117" s="1502"/>
      <c r="CL117" s="1579"/>
      <c r="CM117" s="424"/>
      <c r="CN117" s="1503"/>
      <c r="CO117" s="764"/>
      <c r="CP117" s="765"/>
      <c r="CQ117" s="1502"/>
      <c r="CR117" s="1579"/>
      <c r="CS117" s="424"/>
      <c r="CT117" s="1503"/>
      <c r="CU117" s="764"/>
      <c r="CV117" s="765"/>
      <c r="CW117" s="1502"/>
      <c r="CX117" s="1579"/>
      <c r="CY117" s="424"/>
    </row>
    <row r="118" spans="1:103" x14ac:dyDescent="0.2">
      <c r="A118" s="715" t="s">
        <v>84</v>
      </c>
      <c r="B118" s="1615"/>
      <c r="C118" s="768"/>
      <c r="D118" s="769"/>
      <c r="E118" s="769"/>
      <c r="F118" s="769"/>
      <c r="G118" s="770"/>
      <c r="H118" s="769"/>
      <c r="I118" s="768"/>
      <c r="J118" s="769"/>
      <c r="K118" s="769"/>
      <c r="L118" s="769"/>
      <c r="M118" s="770"/>
      <c r="N118" s="769"/>
      <c r="O118" s="768"/>
      <c r="P118" s="769"/>
      <c r="Q118" s="769"/>
      <c r="R118" s="769"/>
      <c r="S118" s="770"/>
      <c r="T118" s="769"/>
      <c r="U118" s="768" t="s">
        <v>251</v>
      </c>
      <c r="V118" s="769" t="s">
        <v>251</v>
      </c>
      <c r="W118" s="769" t="s">
        <v>251</v>
      </c>
      <c r="X118" s="769" t="s">
        <v>251</v>
      </c>
      <c r="Y118" s="770" t="s">
        <v>251</v>
      </c>
      <c r="Z118" s="769"/>
      <c r="AA118" s="1616">
        <f t="shared" ref="AA118:AK118" si="293">SUM(AA113:AA117)</f>
        <v>0.89999999999999991</v>
      </c>
      <c r="AB118" s="1617">
        <f t="shared" si="293"/>
        <v>3</v>
      </c>
      <c r="AC118" s="1617">
        <f t="shared" si="293"/>
        <v>-0.99999999999999989</v>
      </c>
      <c r="AD118" s="1617">
        <f t="shared" si="293"/>
        <v>-19.200000000000003</v>
      </c>
      <c r="AE118" s="1618">
        <f t="shared" si="293"/>
        <v>-15.9</v>
      </c>
      <c r="AF118" s="1617"/>
      <c r="AG118" s="1616">
        <f t="shared" si="293"/>
        <v>-19</v>
      </c>
      <c r="AH118" s="1617">
        <f t="shared" si="293"/>
        <v>-18</v>
      </c>
      <c r="AI118" s="1617">
        <f t="shared" si="293"/>
        <v>-9</v>
      </c>
      <c r="AJ118" s="1617">
        <f t="shared" si="293"/>
        <v>21.200000000000003</v>
      </c>
      <c r="AK118" s="1618">
        <f t="shared" si="293"/>
        <v>42</v>
      </c>
      <c r="AL118" s="1617"/>
      <c r="AM118" s="1616">
        <f t="shared" ref="AM118:AW118" si="294">SUM(AM113:AM117)</f>
        <v>11.7</v>
      </c>
      <c r="AN118" s="1617">
        <f t="shared" si="294"/>
        <v>-3.2</v>
      </c>
      <c r="AO118" s="1617">
        <f t="shared" si="294"/>
        <v>-4.8000000000000007</v>
      </c>
      <c r="AP118" s="1617">
        <f t="shared" si="294"/>
        <v>-2.9999999999999991</v>
      </c>
      <c r="AQ118" s="1618">
        <f t="shared" si="294"/>
        <v>0.19999999999999929</v>
      </c>
      <c r="AR118" s="1617"/>
      <c r="AS118" s="1616">
        <f t="shared" si="294"/>
        <v>5.1999999999999993</v>
      </c>
      <c r="AT118" s="1617">
        <f t="shared" si="294"/>
        <v>17.3</v>
      </c>
      <c r="AU118" s="1617">
        <f t="shared" si="294"/>
        <v>12.7</v>
      </c>
      <c r="AV118" s="1617">
        <f t="shared" si="294"/>
        <v>-1.3</v>
      </c>
      <c r="AW118" s="1618">
        <f t="shared" si="294"/>
        <v>0</v>
      </c>
      <c r="AX118" s="1617"/>
      <c r="AY118" s="1616">
        <f>SUM(AY113:AY117)</f>
        <v>-3</v>
      </c>
      <c r="AZ118" s="1617">
        <f>SUM(AZ113:AZ117)</f>
        <v>-13.7</v>
      </c>
      <c r="BA118" s="1617">
        <f>SUM(BA113:BA117)</f>
        <v>-12.399999999999999</v>
      </c>
      <c r="BB118" s="1617">
        <f>SUM(BB113:BB117)</f>
        <v>-2.4000000000000004</v>
      </c>
      <c r="BC118" s="1618">
        <f t="shared" si="288"/>
        <v>-31.5</v>
      </c>
      <c r="BD118" s="1621"/>
      <c r="BE118" s="1616">
        <f>SUM(BE113:BE117)</f>
        <v>-2.8</v>
      </c>
      <c r="BF118" s="1617">
        <f>SUM(BF113:BF117)</f>
        <v>-0.8</v>
      </c>
      <c r="BG118" s="1617">
        <f>SUM(BG113:BG117)</f>
        <v>-0.60000000000000009</v>
      </c>
      <c r="BH118" s="1617">
        <f>SUM(BH113:BH117)</f>
        <v>-0.99999999999999978</v>
      </c>
      <c r="BI118" s="1618">
        <f t="shared" si="289"/>
        <v>-5.1999999999999993</v>
      </c>
      <c r="BJ118" s="1621"/>
      <c r="BK118" s="1616">
        <f>SUM(BK113:BK117)</f>
        <v>-0.5</v>
      </c>
      <c r="BL118" s="1617">
        <f>SUM(BL113:BL117)</f>
        <v>3.6999999999999997</v>
      </c>
      <c r="BM118" s="1617">
        <f>SUM(BM113:BM117)</f>
        <v>-0.20000000000000007</v>
      </c>
      <c r="BN118" s="1617">
        <f>SUM(BN113:BN117)</f>
        <v>-16.5</v>
      </c>
      <c r="BO118" s="1634">
        <f t="shared" si="290"/>
        <v>-13.5</v>
      </c>
      <c r="BP118" s="1621"/>
      <c r="BQ118" s="1616">
        <f>SUM(BQ113:BQ117)</f>
        <v>-26.1</v>
      </c>
      <c r="BR118" s="1617">
        <f>SUM(BR113:BR117)</f>
        <v>-29.4</v>
      </c>
      <c r="BS118" s="1617">
        <f>SUM(BS113:BS117)</f>
        <v>-27.9</v>
      </c>
      <c r="BT118" s="1617">
        <f>SUM(BT113:BT117)</f>
        <v>-24.1</v>
      </c>
      <c r="BU118" s="1618">
        <f t="shared" si="291"/>
        <v>-107.5</v>
      </c>
      <c r="BV118" s="1621"/>
      <c r="BW118" s="1616">
        <f>SUM(BW113:BW117)</f>
        <v>-7.2</v>
      </c>
      <c r="BX118" s="1617">
        <f>SUM(BX113:BX117)</f>
        <v>-3.6999999999999997</v>
      </c>
      <c r="BY118" s="1617">
        <f>SUM(BY113:BY117)</f>
        <v>-3.0999999999999996</v>
      </c>
      <c r="BZ118" s="1617">
        <f>SUM(BZ113:BZ117)</f>
        <v>-9.1000000000000014</v>
      </c>
      <c r="CA118" s="1618">
        <f>SUM(BW118:BZ118)</f>
        <v>-23.1</v>
      </c>
      <c r="CB118" s="1621"/>
      <c r="CC118" s="1616">
        <f>SUM(CC113:CC117)</f>
        <v>-6</v>
      </c>
      <c r="CD118" s="1617">
        <f>SUM(CD113:CD117)</f>
        <v>-9</v>
      </c>
      <c r="CE118" s="1617">
        <f>SUM(CE113:CE117)</f>
        <v>1.8999999999999997</v>
      </c>
      <c r="CF118" s="1617">
        <f>SUM(CF113:CF117)</f>
        <v>10.299999999999999</v>
      </c>
      <c r="CG118" s="1618">
        <f>SUM(CG113:CG117)</f>
        <v>-1.3999999999999997</v>
      </c>
      <c r="CH118" s="1621"/>
      <c r="CI118" s="768"/>
      <c r="CJ118" s="769"/>
      <c r="CK118" s="1622"/>
      <c r="CL118" s="1623"/>
      <c r="CM118" s="1624"/>
      <c r="CN118" s="1621"/>
      <c r="CO118" s="768"/>
      <c r="CP118" s="769"/>
      <c r="CQ118" s="1622"/>
      <c r="CR118" s="1623"/>
      <c r="CS118" s="1624"/>
      <c r="CT118" s="1621"/>
      <c r="CU118" s="768"/>
      <c r="CV118" s="769"/>
      <c r="CW118" s="1622"/>
      <c r="CX118" s="1623"/>
      <c r="CY118" s="1624"/>
    </row>
    <row r="119" spans="1:103" x14ac:dyDescent="0.2">
      <c r="B119" s="498"/>
      <c r="C119" s="771"/>
      <c r="D119" s="771"/>
      <c r="E119" s="771"/>
      <c r="F119" s="498"/>
      <c r="G119" s="498"/>
      <c r="H119" s="498"/>
      <c r="I119" s="771"/>
      <c r="J119" s="771"/>
      <c r="K119" s="771"/>
      <c r="L119" s="498"/>
      <c r="M119" s="498"/>
      <c r="N119" s="498"/>
      <c r="O119" s="498"/>
      <c r="P119" s="498"/>
      <c r="Q119" s="498"/>
      <c r="R119" s="498"/>
      <c r="S119" s="771"/>
      <c r="T119" s="498"/>
      <c r="U119" s="771"/>
      <c r="V119" s="771"/>
      <c r="W119" s="771"/>
      <c r="X119" s="771"/>
      <c r="Y119" s="771"/>
      <c r="Z119" s="498"/>
      <c r="AA119" s="771"/>
      <c r="AB119" s="771"/>
      <c r="AC119" s="771"/>
      <c r="AD119" s="771"/>
      <c r="AE119" s="771"/>
      <c r="AF119" s="498"/>
      <c r="AG119" s="771"/>
      <c r="AH119" s="771"/>
      <c r="AI119" s="771"/>
      <c r="AJ119" s="771"/>
      <c r="AK119" s="771"/>
      <c r="AL119" s="498"/>
      <c r="AM119" s="771"/>
      <c r="AN119" s="771"/>
      <c r="AO119" s="771"/>
      <c r="AP119" s="771"/>
      <c r="AQ119" s="771"/>
      <c r="AR119" s="498"/>
      <c r="AS119" s="771"/>
      <c r="AT119" s="771"/>
      <c r="AU119" s="771"/>
      <c r="AV119" s="771"/>
      <c r="AW119" s="771"/>
      <c r="AX119" s="498"/>
      <c r="AY119" s="771"/>
      <c r="AZ119" s="771"/>
      <c r="BA119" s="771"/>
      <c r="BB119" s="771"/>
      <c r="BC119" s="771"/>
      <c r="BD119" s="498"/>
      <c r="BE119" s="771"/>
      <c r="BF119" s="771"/>
      <c r="BG119" s="771"/>
      <c r="BH119" s="771"/>
      <c r="BI119" s="771"/>
      <c r="BJ119" s="498"/>
      <c r="BK119" s="771"/>
      <c r="BL119" s="771"/>
      <c r="BM119" s="771"/>
      <c r="BN119" s="771"/>
      <c r="BO119" s="771"/>
      <c r="BP119" s="498"/>
      <c r="BQ119" s="771"/>
      <c r="BR119" s="771"/>
      <c r="BS119" s="771"/>
      <c r="BT119" s="771"/>
      <c r="BU119" s="771"/>
      <c r="BV119" s="498"/>
      <c r="BW119" s="771"/>
      <c r="BX119" s="771"/>
      <c r="BY119" s="771"/>
      <c r="BZ119" s="771"/>
      <c r="CA119" s="771"/>
      <c r="CB119" s="498"/>
      <c r="CC119" s="771"/>
      <c r="CD119" s="771"/>
      <c r="CE119" s="771"/>
      <c r="CF119" s="771"/>
      <c r="CG119" s="771"/>
      <c r="CH119" s="498"/>
      <c r="CI119" s="771"/>
      <c r="CJ119" s="771"/>
      <c r="CK119" s="771"/>
      <c r="CL119" s="771"/>
      <c r="CM119" s="771"/>
      <c r="CN119" s="498"/>
      <c r="CO119" s="771"/>
      <c r="CP119" s="771"/>
      <c r="CQ119" s="771"/>
      <c r="CR119" s="771"/>
      <c r="CS119" s="771"/>
      <c r="CT119" s="498"/>
      <c r="CU119" s="771"/>
      <c r="CV119" s="771"/>
      <c r="CW119" s="771"/>
      <c r="CX119" s="771"/>
      <c r="CY119" s="771"/>
    </row>
    <row r="125" spans="1:103" x14ac:dyDescent="0.2">
      <c r="AK125" s="224"/>
      <c r="AQ125" s="224"/>
      <c r="AW125" s="224"/>
      <c r="BC125" s="224"/>
      <c r="BI125" s="224"/>
    </row>
    <row r="126" spans="1:103" x14ac:dyDescent="0.2">
      <c r="AW126" s="224"/>
      <c r="BC126" s="224"/>
      <c r="BI126" s="224"/>
    </row>
    <row r="127" spans="1:103" x14ac:dyDescent="0.2">
      <c r="AW127" s="222"/>
      <c r="BC127" s="222"/>
      <c r="BI127" s="222"/>
    </row>
    <row r="129" spans="1:103" x14ac:dyDescent="0.2">
      <c r="AW129" s="192"/>
      <c r="BC129" s="192"/>
      <c r="BI129" s="192"/>
    </row>
    <row r="130" spans="1:103" x14ac:dyDescent="0.2">
      <c r="AW130" s="192"/>
      <c r="BC130" s="192"/>
      <c r="BI130" s="192"/>
    </row>
    <row r="131" spans="1:103" x14ac:dyDescent="0.2">
      <c r="AW131" s="225"/>
      <c r="BC131" s="225"/>
      <c r="BI131" s="225"/>
    </row>
    <row r="134" spans="1:103" x14ac:dyDescent="0.2">
      <c r="AM134" s="1932"/>
      <c r="AN134" s="1932"/>
      <c r="AO134" s="1932"/>
      <c r="AP134" s="1932"/>
      <c r="AQ134" s="1932"/>
      <c r="AR134" s="1932"/>
      <c r="AS134" s="1932"/>
      <c r="AT134" s="1932"/>
      <c r="AU134" s="1932"/>
      <c r="AV134" s="1932"/>
      <c r="AW134" s="1932"/>
      <c r="AX134" s="1932"/>
      <c r="AY134" s="1932"/>
      <c r="AZ134" s="1932"/>
      <c r="BA134" s="1932"/>
      <c r="BB134" s="1932"/>
      <c r="BC134" s="1932"/>
      <c r="BD134" s="1932"/>
      <c r="BE134" s="1932"/>
      <c r="BF134" s="1932"/>
      <c r="BG134" s="1932"/>
      <c r="BH134" s="1932"/>
      <c r="BI134" s="1932"/>
      <c r="BJ134" s="1932"/>
      <c r="BK134" s="1932"/>
      <c r="BL134" s="1932"/>
      <c r="BM134" s="1932"/>
      <c r="BN134" s="1932"/>
      <c r="BO134" s="1932"/>
      <c r="BP134" s="1932"/>
      <c r="BQ134" s="1932"/>
      <c r="BR134" s="1932"/>
      <c r="BS134" s="1932"/>
      <c r="BT134" s="1932"/>
      <c r="BU134" s="1932"/>
      <c r="BV134" s="1932"/>
      <c r="BW134" s="1932"/>
      <c r="BX134" s="1932"/>
      <c r="BY134" s="1932"/>
      <c r="BZ134" s="1932"/>
      <c r="CA134" s="1932"/>
      <c r="CB134" s="1932"/>
      <c r="CC134" s="1932"/>
      <c r="CD134" s="1932"/>
      <c r="CE134" s="1932"/>
      <c r="CF134" s="1932"/>
      <c r="CG134" s="1932"/>
      <c r="CH134" s="1932"/>
      <c r="CI134" s="1932"/>
      <c r="CJ134" s="1932"/>
      <c r="CK134" s="1932"/>
      <c r="CL134" s="1932"/>
      <c r="CM134" s="1932"/>
      <c r="CN134" s="1932"/>
      <c r="CO134" s="1932"/>
      <c r="CP134" s="1932"/>
      <c r="CQ134" s="1932"/>
      <c r="CR134" s="1932"/>
      <c r="CS134" s="1932"/>
      <c r="CT134" s="1932"/>
      <c r="CU134" s="1932"/>
      <c r="CV134" s="1932"/>
      <c r="CW134" s="1932"/>
      <c r="CX134" s="1932"/>
      <c r="CY134" s="1932"/>
    </row>
    <row r="136" spans="1:103" x14ac:dyDescent="0.2">
      <c r="AS136" s="1103"/>
      <c r="AT136" s="1103"/>
      <c r="AU136" s="1103"/>
      <c r="AV136" s="1103"/>
      <c r="AW136" s="1103"/>
      <c r="AY136" s="1103"/>
      <c r="AZ136" s="1103"/>
      <c r="BA136" s="1103"/>
      <c r="BB136" s="1103"/>
      <c r="BC136" s="1103"/>
      <c r="BE136" s="1103"/>
      <c r="BF136" s="1103"/>
      <c r="BG136" s="1103"/>
      <c r="BH136" s="1103"/>
      <c r="BI136" s="1103"/>
      <c r="BK136" s="1103"/>
      <c r="BL136" s="1103"/>
      <c r="BM136" s="1103"/>
      <c r="BN136" s="1103"/>
      <c r="BO136" s="1103"/>
      <c r="BQ136" s="1103"/>
      <c r="BR136" s="1103"/>
      <c r="BS136" s="1103"/>
      <c r="BT136" s="1103"/>
      <c r="BU136" s="1103"/>
      <c r="BW136" s="1103"/>
      <c r="BX136" s="1103"/>
      <c r="BY136" s="1103"/>
      <c r="BZ136" s="1103"/>
      <c r="CA136" s="1103"/>
      <c r="CC136" s="1103"/>
      <c r="CD136" s="1103"/>
      <c r="CE136" s="1103"/>
      <c r="CF136" s="1103"/>
      <c r="CG136" s="1103"/>
      <c r="CI136" s="1103"/>
      <c r="CJ136" s="1103"/>
      <c r="CK136" s="1103"/>
      <c r="CL136" s="1103"/>
      <c r="CM136" s="1103"/>
      <c r="CO136" s="1103"/>
      <c r="CP136" s="1103"/>
      <c r="CQ136" s="1103"/>
      <c r="CR136" s="1103"/>
      <c r="CS136" s="1103"/>
      <c r="CU136" s="1103"/>
      <c r="CV136" s="1103"/>
      <c r="CW136" s="1103"/>
      <c r="CX136" s="1103"/>
      <c r="CY136" s="1103"/>
    </row>
    <row r="137" spans="1:103" x14ac:dyDescent="0.2">
      <c r="BK137" s="39"/>
      <c r="BM137" s="225"/>
    </row>
    <row r="138" spans="1:103" x14ac:dyDescent="0.2">
      <c r="BK138" s="39"/>
      <c r="BM138" s="225"/>
    </row>
    <row r="139" spans="1:103" x14ac:dyDescent="0.2">
      <c r="A139" s="354"/>
      <c r="B139" s="58"/>
      <c r="C139" s="185"/>
      <c r="D139" s="185"/>
      <c r="E139" s="185"/>
      <c r="F139" s="185"/>
      <c r="G139" s="629"/>
      <c r="H139" s="557"/>
      <c r="I139" s="1962"/>
      <c r="J139" s="185"/>
      <c r="K139" s="185"/>
      <c r="L139" s="185"/>
      <c r="M139" s="629"/>
      <c r="N139" s="557"/>
      <c r="O139" s="1962"/>
      <c r="P139" s="185"/>
      <c r="Q139" s="185"/>
      <c r="R139" s="185"/>
      <c r="S139" s="629"/>
      <c r="T139" s="185"/>
      <c r="U139" s="1962"/>
      <c r="V139" s="185"/>
      <c r="W139" s="185"/>
      <c r="X139" s="185"/>
      <c r="Y139" s="629"/>
      <c r="Z139" s="578"/>
      <c r="AA139" s="581"/>
      <c r="AB139" s="550"/>
      <c r="AC139" s="601"/>
      <c r="AD139" s="852"/>
      <c r="AE139" s="580"/>
      <c r="AF139" s="557"/>
      <c r="AG139" s="581"/>
      <c r="AH139" s="550"/>
      <c r="AI139" s="550"/>
      <c r="AJ139" s="582"/>
      <c r="AK139" s="580"/>
      <c r="AL139" s="557"/>
      <c r="AM139" s="581"/>
      <c r="AN139" s="550"/>
      <c r="AO139" s="550"/>
      <c r="AP139" s="550"/>
      <c r="AQ139" s="580"/>
      <c r="AR139" s="557"/>
      <c r="AS139" s="581"/>
      <c r="AT139" s="601"/>
      <c r="AU139" s="601"/>
      <c r="AV139" s="601"/>
      <c r="AW139" s="580"/>
      <c r="AX139" s="557"/>
      <c r="AY139" s="581"/>
      <c r="AZ139" s="550"/>
      <c r="BA139" s="550"/>
      <c r="BB139" s="550"/>
      <c r="BC139" s="580"/>
      <c r="BD139" s="557"/>
      <c r="BE139" s="581"/>
      <c r="BF139" s="550"/>
      <c r="BG139" s="550"/>
      <c r="BH139" s="1963"/>
      <c r="BI139" s="1964"/>
      <c r="BJ139" s="628"/>
      <c r="BK139" s="550"/>
      <c r="BL139" s="550"/>
      <c r="BM139" s="550"/>
      <c r="BN139" s="550"/>
      <c r="BO139" s="1964"/>
      <c r="BP139" s="557"/>
      <c r="BQ139" s="581"/>
      <c r="BR139" s="550"/>
      <c r="BS139" s="550"/>
      <c r="BT139" s="550"/>
      <c r="BU139" s="580"/>
      <c r="BV139" s="557"/>
      <c r="BW139" s="581"/>
      <c r="BX139" s="550"/>
      <c r="BY139" s="550"/>
      <c r="BZ139" s="550"/>
      <c r="CA139" s="580"/>
      <c r="CB139" s="557"/>
      <c r="CC139" s="1965"/>
      <c r="CD139" s="550"/>
      <c r="CE139" s="550"/>
      <c r="CF139" s="550"/>
      <c r="CG139" s="580"/>
      <c r="CH139" s="557"/>
      <c r="CI139" s="1965"/>
      <c r="CJ139" s="550"/>
      <c r="CK139" s="550"/>
      <c r="CL139" s="550"/>
      <c r="CM139" s="580"/>
      <c r="CN139" s="557"/>
      <c r="CO139" s="1965"/>
      <c r="CP139" s="550"/>
      <c r="CQ139" s="550"/>
      <c r="CR139" s="550"/>
      <c r="CS139" s="580"/>
      <c r="CT139" s="557"/>
      <c r="CU139" s="1965"/>
      <c r="CV139" s="550"/>
      <c r="CW139" s="550"/>
      <c r="CX139" s="550"/>
      <c r="CY139" s="580"/>
    </row>
    <row r="140" spans="1:103" x14ac:dyDescent="0.2">
      <c r="A140" s="1966"/>
      <c r="B140" s="58"/>
      <c r="C140" s="185"/>
      <c r="D140" s="185"/>
      <c r="E140" s="185"/>
      <c r="F140" s="185"/>
      <c r="G140" s="629"/>
      <c r="H140" s="557"/>
      <c r="I140" s="1962"/>
      <c r="J140" s="185"/>
      <c r="K140" s="185"/>
      <c r="L140" s="185"/>
      <c r="M140" s="629"/>
      <c r="N140" s="557"/>
      <c r="O140" s="1962"/>
      <c r="P140" s="185"/>
      <c r="Q140" s="185"/>
      <c r="R140" s="185"/>
      <c r="S140" s="629"/>
      <c r="T140" s="185"/>
      <c r="U140" s="1962"/>
      <c r="V140" s="185"/>
      <c r="W140" s="185"/>
      <c r="X140" s="185"/>
      <c r="Y140" s="629"/>
      <c r="Z140" s="578"/>
      <c r="AA140" s="652"/>
      <c r="AB140" s="653"/>
      <c r="AC140" s="653"/>
      <c r="AD140" s="1967"/>
      <c r="AE140" s="1968"/>
      <c r="AF140" s="557"/>
      <c r="AG140" s="652"/>
      <c r="AH140" s="653"/>
      <c r="AI140" s="653"/>
      <c r="AJ140" s="1967"/>
      <c r="AK140" s="649"/>
      <c r="AL140" s="557"/>
      <c r="AM140" s="1969"/>
      <c r="AN140" s="1970"/>
      <c r="AO140" s="1970"/>
      <c r="AP140" s="1970"/>
      <c r="AQ140" s="1971"/>
      <c r="AR140" s="657"/>
      <c r="AS140" s="652"/>
      <c r="AT140" s="653"/>
      <c r="AU140" s="653"/>
      <c r="AV140" s="653"/>
      <c r="AW140" s="1971"/>
      <c r="AX140" s="657"/>
      <c r="AY140" s="1308"/>
      <c r="AZ140" s="1118"/>
      <c r="BA140" s="1118"/>
      <c r="BB140" s="651"/>
      <c r="BC140" s="849"/>
      <c r="BD140" s="657"/>
      <c r="BE140" s="1308"/>
      <c r="BF140" s="1118"/>
      <c r="BG140" s="1118"/>
      <c r="BH140" s="1972"/>
      <c r="BI140" s="1973"/>
      <c r="BJ140" s="672"/>
      <c r="BK140" s="1118"/>
      <c r="BL140" s="1114"/>
      <c r="BM140" s="1114"/>
      <c r="BN140" s="1114"/>
      <c r="BO140" s="1971"/>
      <c r="BP140" s="657"/>
      <c r="BQ140" s="1115"/>
      <c r="BR140" s="1114"/>
      <c r="BS140" s="1114"/>
      <c r="BT140" s="1114"/>
      <c r="BU140" s="1971"/>
      <c r="BV140" s="657"/>
      <c r="BW140" s="1115"/>
      <c r="BX140" s="1114"/>
      <c r="BY140" s="1114"/>
      <c r="BZ140" s="1114"/>
      <c r="CA140" s="1971"/>
      <c r="CB140" s="657"/>
      <c r="CC140" s="1115"/>
      <c r="CD140" s="1114"/>
      <c r="CE140" s="1114"/>
      <c r="CF140" s="1114"/>
      <c r="CG140" s="1971"/>
      <c r="CH140" s="657"/>
      <c r="CI140" s="1115"/>
      <c r="CJ140" s="1114"/>
      <c r="CK140" s="1114"/>
      <c r="CL140" s="1114"/>
      <c r="CM140" s="1971"/>
      <c r="CN140" s="657"/>
      <c r="CO140" s="1115"/>
      <c r="CP140" s="1114"/>
      <c r="CQ140" s="1114"/>
      <c r="CR140" s="1114"/>
      <c r="CS140" s="1971"/>
      <c r="CT140" s="657"/>
      <c r="CU140" s="1115"/>
      <c r="CV140" s="1114"/>
      <c r="CW140" s="1114"/>
      <c r="CX140" s="1114"/>
      <c r="CY140" s="1971"/>
    </row>
    <row r="141" spans="1:103" x14ac:dyDescent="0.2">
      <c r="A141" s="432"/>
      <c r="B141" s="58"/>
      <c r="C141" s="558"/>
      <c r="D141" s="558"/>
      <c r="E141" s="558"/>
      <c r="F141" s="558"/>
      <c r="G141" s="629"/>
      <c r="H141" s="557"/>
      <c r="I141" s="704"/>
      <c r="J141" s="558"/>
      <c r="K141" s="558"/>
      <c r="L141" s="558"/>
      <c r="M141" s="629"/>
      <c r="N141" s="557"/>
      <c r="O141" s="704"/>
      <c r="P141" s="558"/>
      <c r="Q141" s="558"/>
      <c r="R141" s="558"/>
      <c r="S141" s="629"/>
      <c r="T141" s="558"/>
      <c r="U141" s="704"/>
      <c r="V141" s="558"/>
      <c r="W141" s="558"/>
      <c r="X141" s="558"/>
      <c r="Y141" s="629"/>
      <c r="Z141" s="578"/>
      <c r="AA141" s="685"/>
      <c r="AB141" s="578"/>
      <c r="AC141" s="578"/>
      <c r="AD141" s="582"/>
      <c r="AE141" s="579"/>
      <c r="AF141" s="557"/>
      <c r="AG141" s="685"/>
      <c r="AH141" s="578"/>
      <c r="AI141" s="578"/>
      <c r="AJ141" s="582"/>
      <c r="AK141" s="580"/>
      <c r="AL141" s="557"/>
      <c r="AM141" s="581"/>
      <c r="AN141" s="550"/>
      <c r="AO141" s="550"/>
      <c r="AP141" s="550"/>
      <c r="AQ141" s="580"/>
      <c r="AR141" s="557"/>
      <c r="AS141" s="581"/>
      <c r="AT141" s="550"/>
      <c r="AU141" s="550"/>
      <c r="AV141" s="550"/>
      <c r="AW141" s="580"/>
      <c r="AX141" s="557"/>
      <c r="AY141" s="581"/>
      <c r="AZ141" s="550"/>
      <c r="BA141" s="550"/>
      <c r="BB141" s="550"/>
      <c r="BC141" s="580"/>
      <c r="BD141" s="557"/>
      <c r="BE141" s="581"/>
      <c r="BF141" s="550"/>
      <c r="BG141" s="550"/>
      <c r="BH141" s="1963"/>
      <c r="BI141" s="1964"/>
      <c r="BJ141" s="629"/>
      <c r="BK141" s="550"/>
      <c r="BL141" s="1963"/>
      <c r="BM141" s="1963"/>
      <c r="BN141" s="1963"/>
      <c r="BO141" s="580"/>
      <c r="BP141" s="557"/>
      <c r="BQ141" s="1974"/>
      <c r="BR141" s="550"/>
      <c r="BS141" s="550"/>
      <c r="BT141" s="550"/>
      <c r="BU141" s="580"/>
      <c r="BV141" s="557"/>
      <c r="BW141" s="581"/>
      <c r="BX141" s="550"/>
      <c r="BY141" s="550"/>
      <c r="BZ141" s="550"/>
      <c r="CA141" s="580"/>
      <c r="CB141" s="557"/>
      <c r="CC141" s="581"/>
      <c r="CD141" s="550"/>
      <c r="CE141" s="550"/>
      <c r="CF141" s="550"/>
      <c r="CG141" s="580"/>
      <c r="CH141" s="557"/>
      <c r="CI141" s="581"/>
      <c r="CJ141" s="550"/>
      <c r="CK141" s="550"/>
      <c r="CL141" s="550"/>
      <c r="CM141" s="580"/>
      <c r="CN141" s="557"/>
      <c r="CO141" s="581"/>
      <c r="CP141" s="550"/>
      <c r="CQ141" s="550"/>
      <c r="CR141" s="550"/>
      <c r="CS141" s="580"/>
      <c r="CT141" s="557"/>
      <c r="CU141" s="581"/>
      <c r="CV141" s="550"/>
      <c r="CW141" s="550"/>
      <c r="CX141" s="550"/>
      <c r="CY141" s="580"/>
    </row>
    <row r="142" spans="1:103" x14ac:dyDescent="0.2">
      <c r="A142" s="1966"/>
      <c r="B142" s="58"/>
      <c r="C142" s="558"/>
      <c r="D142" s="558"/>
      <c r="E142" s="558"/>
      <c r="F142" s="558"/>
      <c r="G142" s="629"/>
      <c r="H142" s="557"/>
      <c r="I142" s="704"/>
      <c r="J142" s="558"/>
      <c r="K142" s="558"/>
      <c r="L142" s="558"/>
      <c r="M142" s="629"/>
      <c r="N142" s="557"/>
      <c r="O142" s="704"/>
      <c r="P142" s="558"/>
      <c r="Q142" s="558"/>
      <c r="R142" s="558"/>
      <c r="S142" s="629"/>
      <c r="T142" s="558"/>
      <c r="U142" s="704"/>
      <c r="V142" s="558"/>
      <c r="W142" s="558"/>
      <c r="X142" s="558"/>
      <c r="Y142" s="629"/>
      <c r="Z142" s="578"/>
      <c r="AA142" s="685"/>
      <c r="AB142" s="578"/>
      <c r="AC142" s="578"/>
      <c r="AD142" s="582"/>
      <c r="AE142" s="579"/>
      <c r="AF142" s="557"/>
      <c r="AG142" s="685"/>
      <c r="AH142" s="578"/>
      <c r="AI142" s="578"/>
      <c r="AJ142" s="582"/>
      <c r="AK142" s="580"/>
      <c r="AL142" s="557"/>
      <c r="AM142" s="581"/>
      <c r="AN142" s="550"/>
      <c r="AO142" s="550"/>
      <c r="AP142" s="550"/>
      <c r="AQ142" s="580"/>
      <c r="AR142" s="557"/>
      <c r="AS142" s="581"/>
      <c r="AT142" s="550"/>
      <c r="AU142" s="627"/>
      <c r="AV142" s="550"/>
      <c r="AW142" s="580"/>
      <c r="AX142" s="557"/>
      <c r="AY142" s="581"/>
      <c r="AZ142" s="550"/>
      <c r="BA142" s="550"/>
      <c r="BB142" s="1213"/>
      <c r="BC142" s="1117"/>
      <c r="BD142" s="557"/>
      <c r="BE142" s="1115"/>
      <c r="BF142" s="1114"/>
      <c r="BG142" s="1114"/>
      <c r="BH142" s="1972"/>
      <c r="BI142" s="1973"/>
      <c r="BJ142" s="629"/>
      <c r="BK142" s="1105"/>
      <c r="BL142" s="1105"/>
      <c r="BM142" s="1105"/>
      <c r="BN142" s="1105"/>
      <c r="BO142" s="1106"/>
      <c r="BP142" s="557"/>
      <c r="BQ142" s="1107"/>
      <c r="BR142" s="1118"/>
      <c r="BS142" s="1118"/>
      <c r="BT142" s="1975"/>
      <c r="BU142" s="1971"/>
      <c r="BV142" s="557"/>
      <c r="BW142" s="1308"/>
      <c r="BX142" s="1118"/>
      <c r="BY142" s="1118"/>
      <c r="BZ142" s="1975"/>
      <c r="CA142" s="1971"/>
      <c r="CB142" s="557"/>
      <c r="CC142" s="1308"/>
      <c r="CD142" s="1118"/>
      <c r="CE142" s="1118"/>
      <c r="CF142" s="1975"/>
      <c r="CG142" s="1971"/>
      <c r="CH142" s="557"/>
      <c r="CI142" s="1308"/>
      <c r="CJ142" s="1118"/>
      <c r="CK142" s="1118"/>
      <c r="CL142" s="1975"/>
      <c r="CM142" s="1971"/>
      <c r="CN142" s="557"/>
      <c r="CO142" s="1308"/>
      <c r="CP142" s="1118"/>
      <c r="CQ142" s="1118"/>
      <c r="CR142" s="1975"/>
      <c r="CS142" s="1971"/>
      <c r="CT142" s="557"/>
      <c r="CU142" s="1308"/>
      <c r="CV142" s="1118"/>
      <c r="CW142" s="1118"/>
      <c r="CX142" s="1975"/>
      <c r="CY142" s="1971"/>
    </row>
    <row r="143" spans="1:103" x14ac:dyDescent="0.2">
      <c r="A143" s="1976"/>
      <c r="B143" s="1977"/>
      <c r="C143" s="1978"/>
      <c r="D143" s="1978"/>
      <c r="E143" s="1978"/>
      <c r="F143" s="1978"/>
      <c r="G143" s="1979"/>
      <c r="H143" s="1980"/>
      <c r="I143" s="1981"/>
      <c r="J143" s="1978"/>
      <c r="K143" s="1978"/>
      <c r="L143" s="1978"/>
      <c r="M143" s="1979"/>
      <c r="N143" s="1980"/>
      <c r="O143" s="1981"/>
      <c r="P143" s="1978"/>
      <c r="Q143" s="1978"/>
      <c r="R143" s="1978"/>
      <c r="S143" s="1979"/>
      <c r="T143" s="1978"/>
      <c r="U143" s="1981"/>
      <c r="V143" s="1978"/>
      <c r="W143" s="1978"/>
      <c r="X143" s="1978"/>
      <c r="Y143" s="1979"/>
      <c r="Z143" s="1982"/>
      <c r="AA143" s="1983"/>
      <c r="AB143" s="1982"/>
      <c r="AC143" s="1982"/>
      <c r="AD143" s="1984"/>
      <c r="AE143" s="1985"/>
      <c r="AF143" s="1980"/>
      <c r="AG143" s="1983"/>
      <c r="AH143" s="1982"/>
      <c r="AI143" s="1982"/>
      <c r="AJ143" s="1984"/>
      <c r="AK143" s="1986"/>
      <c r="AL143" s="1980"/>
      <c r="AM143" s="1987"/>
      <c r="AN143" s="1988"/>
      <c r="AO143" s="1988"/>
      <c r="AP143" s="1988"/>
      <c r="AQ143" s="1986"/>
      <c r="AR143" s="1980"/>
      <c r="AS143" s="1987"/>
      <c r="AT143" s="1988"/>
      <c r="AU143" s="1989"/>
      <c r="AV143" s="1988"/>
      <c r="AW143" s="1990"/>
      <c r="AX143" s="1980"/>
      <c r="AY143" s="1991"/>
      <c r="AZ143" s="1992"/>
      <c r="BA143" s="1992"/>
      <c r="BB143" s="1992"/>
      <c r="BC143" s="1990"/>
      <c r="BD143" s="1980"/>
      <c r="BE143" s="1991"/>
      <c r="BF143" s="1992"/>
      <c r="BG143" s="1992"/>
      <c r="BH143" s="1992"/>
      <c r="BI143" s="1990"/>
      <c r="BJ143" s="1980"/>
      <c r="BK143" s="1991"/>
      <c r="BL143" s="1992"/>
      <c r="BM143" s="1992"/>
      <c r="BN143" s="1992"/>
      <c r="BO143" s="1990"/>
      <c r="BP143" s="1980"/>
      <c r="BQ143" s="1991"/>
      <c r="BR143" s="1992"/>
      <c r="BS143" s="1992"/>
      <c r="BT143" s="1992"/>
      <c r="BU143" s="1993"/>
      <c r="BV143" s="1980"/>
      <c r="BW143" s="1991"/>
      <c r="BX143" s="1992"/>
      <c r="BY143" s="1992"/>
      <c r="BZ143" s="1992"/>
      <c r="CA143" s="1993"/>
      <c r="CB143" s="1980"/>
      <c r="CC143" s="1991"/>
      <c r="CD143" s="1992"/>
      <c r="CE143" s="1992"/>
      <c r="CF143" s="1992"/>
      <c r="CG143" s="1993"/>
      <c r="CH143" s="1980"/>
      <c r="CI143" s="1991"/>
      <c r="CJ143" s="1992"/>
      <c r="CK143" s="1992"/>
      <c r="CL143" s="1992"/>
      <c r="CM143" s="1993"/>
      <c r="CN143" s="1980"/>
      <c r="CO143" s="1991"/>
      <c r="CP143" s="1992"/>
      <c r="CQ143" s="1992"/>
      <c r="CR143" s="1992"/>
      <c r="CS143" s="1993"/>
      <c r="CT143" s="1980"/>
      <c r="CU143" s="1991"/>
      <c r="CV143" s="1992"/>
      <c r="CW143" s="1992"/>
      <c r="CX143" s="1992"/>
      <c r="CY143" s="1993"/>
    </row>
    <row r="144" spans="1:103" x14ac:dyDescent="0.2">
      <c r="A144" s="432"/>
      <c r="B144" s="58"/>
      <c r="C144" s="558"/>
      <c r="D144" s="558"/>
      <c r="E144" s="558"/>
      <c r="F144" s="558"/>
      <c r="G144" s="629"/>
      <c r="H144" s="557"/>
      <c r="I144" s="704"/>
      <c r="J144" s="558"/>
      <c r="K144" s="558"/>
      <c r="L144" s="558"/>
      <c r="M144" s="629"/>
      <c r="N144" s="557"/>
      <c r="O144" s="704"/>
      <c r="P144" s="558"/>
      <c r="Q144" s="558"/>
      <c r="R144" s="558"/>
      <c r="S144" s="629"/>
      <c r="T144" s="558"/>
      <c r="U144" s="704"/>
      <c r="V144" s="558"/>
      <c r="W144" s="558"/>
      <c r="X144" s="558"/>
      <c r="Y144" s="629"/>
      <c r="Z144" s="578"/>
      <c r="AA144" s="685"/>
      <c r="AB144" s="578"/>
      <c r="AC144" s="578"/>
      <c r="AD144" s="582"/>
      <c r="AE144" s="579"/>
      <c r="AF144" s="557"/>
      <c r="AG144" s="685"/>
      <c r="AH144" s="578"/>
      <c r="AI144" s="578"/>
      <c r="AJ144" s="582"/>
      <c r="AK144" s="580"/>
      <c r="AL144" s="557"/>
      <c r="AM144" s="581"/>
      <c r="AN144" s="550"/>
      <c r="AO144" s="550"/>
      <c r="AP144" s="550"/>
      <c r="AQ144" s="580"/>
      <c r="AR144" s="557"/>
      <c r="AS144" s="581"/>
      <c r="AT144" s="550"/>
      <c r="AU144" s="550"/>
      <c r="AV144" s="550"/>
      <c r="AW144" s="580"/>
      <c r="AX144" s="557"/>
      <c r="AY144" s="581"/>
      <c r="AZ144" s="550"/>
      <c r="BA144" s="550"/>
      <c r="BB144" s="550"/>
      <c r="BC144" s="580"/>
      <c r="BD144" s="557"/>
      <c r="BE144" s="581"/>
      <c r="BF144" s="550"/>
      <c r="BG144" s="550"/>
      <c r="BH144" s="550"/>
      <c r="BI144" s="580"/>
      <c r="BJ144" s="629"/>
      <c r="BK144" s="550"/>
      <c r="BL144" s="1963"/>
      <c r="BM144" s="550"/>
      <c r="BN144" s="550"/>
      <c r="BO144" s="580"/>
      <c r="BP144" s="557"/>
      <c r="BQ144" s="581"/>
      <c r="BR144" s="550"/>
      <c r="BS144" s="550"/>
      <c r="BT144" s="550"/>
      <c r="BU144" s="580"/>
      <c r="BV144" s="557"/>
      <c r="BW144" s="581"/>
      <c r="BX144" s="550"/>
      <c r="BY144" s="550"/>
      <c r="BZ144" s="550"/>
      <c r="CA144" s="580"/>
      <c r="CB144" s="557"/>
      <c r="CC144" s="581"/>
      <c r="CD144" s="550"/>
      <c r="CE144" s="550"/>
      <c r="CF144" s="550"/>
      <c r="CG144" s="580"/>
      <c r="CH144" s="557"/>
      <c r="CI144" s="581"/>
      <c r="CJ144" s="550"/>
      <c r="CK144" s="550"/>
      <c r="CL144" s="550"/>
      <c r="CM144" s="580"/>
      <c r="CN144" s="557"/>
      <c r="CO144" s="581"/>
      <c r="CP144" s="550"/>
      <c r="CQ144" s="550"/>
      <c r="CR144" s="550"/>
      <c r="CS144" s="580"/>
      <c r="CT144" s="557"/>
      <c r="CU144" s="581"/>
      <c r="CV144" s="550"/>
      <c r="CW144" s="550"/>
      <c r="CX144" s="550"/>
      <c r="CY144" s="580"/>
    </row>
    <row r="145" spans="1:103" x14ac:dyDescent="0.2">
      <c r="A145" s="1966"/>
      <c r="B145" s="58"/>
      <c r="C145" s="558"/>
      <c r="D145" s="558"/>
      <c r="E145" s="558"/>
      <c r="F145" s="558"/>
      <c r="G145" s="629"/>
      <c r="H145" s="557"/>
      <c r="I145" s="704"/>
      <c r="J145" s="558"/>
      <c r="K145" s="558"/>
      <c r="L145" s="558"/>
      <c r="M145" s="629"/>
      <c r="N145" s="557"/>
      <c r="O145" s="704"/>
      <c r="P145" s="558"/>
      <c r="Q145" s="558"/>
      <c r="R145" s="558"/>
      <c r="S145" s="629"/>
      <c r="T145" s="558"/>
      <c r="U145" s="704"/>
      <c r="V145" s="558"/>
      <c r="W145" s="558"/>
      <c r="X145" s="558"/>
      <c r="Y145" s="629"/>
      <c r="Z145" s="578"/>
      <c r="AA145" s="685"/>
      <c r="AB145" s="578"/>
      <c r="AC145" s="578"/>
      <c r="AD145" s="582"/>
      <c r="AE145" s="579"/>
      <c r="AF145" s="557"/>
      <c r="AG145" s="685"/>
      <c r="AH145" s="578"/>
      <c r="AI145" s="578"/>
      <c r="AJ145" s="582"/>
      <c r="AK145" s="580"/>
      <c r="AL145" s="557"/>
      <c r="AM145" s="581"/>
      <c r="AN145" s="550"/>
      <c r="AO145" s="550"/>
      <c r="AP145" s="550"/>
      <c r="AQ145" s="580"/>
      <c r="AR145" s="557"/>
      <c r="AS145" s="581"/>
      <c r="AT145" s="550"/>
      <c r="AU145" s="550"/>
      <c r="AV145" s="550"/>
      <c r="AW145" s="580"/>
      <c r="AX145" s="557"/>
      <c r="AY145" s="581"/>
      <c r="AZ145" s="550"/>
      <c r="BA145" s="550"/>
      <c r="BB145" s="1213"/>
      <c r="BC145" s="1117"/>
      <c r="BD145" s="557"/>
      <c r="BE145" s="1115"/>
      <c r="BF145" s="1114"/>
      <c r="BG145" s="1114"/>
      <c r="BH145" s="1972"/>
      <c r="BI145" s="1973"/>
      <c r="BJ145" s="629"/>
      <c r="BK145" s="1114"/>
      <c r="BL145" s="1105"/>
      <c r="BM145" s="1118"/>
      <c r="BN145" s="1118"/>
      <c r="BO145" s="1971"/>
      <c r="BP145" s="557"/>
      <c r="BQ145" s="1308"/>
      <c r="BR145" s="1118"/>
      <c r="BS145" s="1118"/>
      <c r="BT145" s="1118"/>
      <c r="BU145" s="1971"/>
      <c r="BV145" s="557"/>
      <c r="BW145" s="1308"/>
      <c r="BX145" s="1118"/>
      <c r="BY145" s="1118"/>
      <c r="BZ145" s="1118"/>
      <c r="CA145" s="1971"/>
      <c r="CB145" s="557"/>
      <c r="CC145" s="1308"/>
      <c r="CD145" s="1118"/>
      <c r="CE145" s="1118"/>
      <c r="CF145" s="1118"/>
      <c r="CG145" s="1971"/>
      <c r="CH145" s="557"/>
      <c r="CI145" s="1308"/>
      <c r="CJ145" s="1118"/>
      <c r="CK145" s="1118"/>
      <c r="CL145" s="1118"/>
      <c r="CM145" s="1971"/>
      <c r="CN145" s="557"/>
      <c r="CO145" s="1308"/>
      <c r="CP145" s="1118"/>
      <c r="CQ145" s="1118"/>
      <c r="CR145" s="1118"/>
      <c r="CS145" s="1971"/>
      <c r="CT145" s="557"/>
      <c r="CU145" s="1308"/>
      <c r="CV145" s="1118"/>
      <c r="CW145" s="1118"/>
      <c r="CX145" s="1118"/>
      <c r="CY145" s="1971"/>
    </row>
    <row r="146" spans="1:103" x14ac:dyDescent="0.2">
      <c r="A146" s="1966"/>
      <c r="B146" s="58"/>
      <c r="C146" s="558"/>
      <c r="D146" s="558"/>
      <c r="E146" s="558"/>
      <c r="F146" s="558"/>
      <c r="G146" s="629"/>
      <c r="H146" s="557"/>
      <c r="I146" s="704"/>
      <c r="J146" s="558"/>
      <c r="K146" s="558"/>
      <c r="L146" s="558"/>
      <c r="M146" s="629"/>
      <c r="N146" s="557"/>
      <c r="O146" s="704"/>
      <c r="P146" s="558"/>
      <c r="Q146" s="558"/>
      <c r="R146" s="558"/>
      <c r="S146" s="629"/>
      <c r="T146" s="558"/>
      <c r="U146" s="704"/>
      <c r="V146" s="558"/>
      <c r="W146" s="558"/>
      <c r="X146" s="558"/>
      <c r="Y146" s="629"/>
      <c r="Z146" s="578"/>
      <c r="AA146" s="685"/>
      <c r="AB146" s="578"/>
      <c r="AC146" s="578"/>
      <c r="AD146" s="582"/>
      <c r="AE146" s="579"/>
      <c r="AF146" s="557"/>
      <c r="AG146" s="685"/>
      <c r="AH146" s="578"/>
      <c r="AI146" s="578"/>
      <c r="AJ146" s="582"/>
      <c r="AK146" s="580"/>
      <c r="AL146" s="557"/>
      <c r="AM146" s="581"/>
      <c r="AN146" s="550"/>
      <c r="AO146" s="550"/>
      <c r="AP146" s="550"/>
      <c r="AQ146" s="580"/>
      <c r="AR146" s="557"/>
      <c r="AS146" s="581"/>
      <c r="AT146" s="550"/>
      <c r="AU146" s="550"/>
      <c r="AV146" s="550"/>
      <c r="AW146" s="580"/>
      <c r="AX146" s="557"/>
      <c r="AY146" s="581"/>
      <c r="AZ146" s="550"/>
      <c r="BA146" s="550"/>
      <c r="BB146" s="1132"/>
      <c r="BC146" s="1117"/>
      <c r="BD146" s="557"/>
      <c r="BE146" s="1115"/>
      <c r="BF146" s="1114"/>
      <c r="BG146" s="1114"/>
      <c r="BH146" s="1972"/>
      <c r="BI146" s="1973"/>
      <c r="BJ146" s="629"/>
      <c r="BK146" s="1114"/>
      <c r="BL146" s="1114"/>
      <c r="BM146" s="1118"/>
      <c r="BN146" s="1118"/>
      <c r="BO146" s="1971"/>
      <c r="BP146" s="557"/>
      <c r="BQ146" s="1308"/>
      <c r="BR146" s="1118"/>
      <c r="BS146" s="1118"/>
      <c r="BT146" s="1118"/>
      <c r="BU146" s="1971"/>
      <c r="BV146" s="557"/>
      <c r="BW146" s="1308"/>
      <c r="BX146" s="1118"/>
      <c r="BY146" s="1118"/>
      <c r="BZ146" s="1118"/>
      <c r="CA146" s="1971"/>
      <c r="CB146" s="557"/>
      <c r="CC146" s="1308"/>
      <c r="CD146" s="1118"/>
      <c r="CE146" s="1118"/>
      <c r="CF146" s="1118"/>
      <c r="CG146" s="1971"/>
      <c r="CH146" s="557"/>
      <c r="CI146" s="1308"/>
      <c r="CJ146" s="1118"/>
      <c r="CK146" s="1118"/>
      <c r="CL146" s="1118"/>
      <c r="CM146" s="1971"/>
      <c r="CN146" s="557"/>
      <c r="CO146" s="1308"/>
      <c r="CP146" s="1118"/>
      <c r="CQ146" s="1118"/>
      <c r="CR146" s="1118"/>
      <c r="CS146" s="1971"/>
      <c r="CT146" s="557"/>
      <c r="CU146" s="1308"/>
      <c r="CV146" s="1118"/>
      <c r="CW146" s="1118"/>
      <c r="CX146" s="1118"/>
      <c r="CY146" s="1971"/>
    </row>
    <row r="147" spans="1:103" x14ac:dyDescent="0.2">
      <c r="A147" s="1966"/>
      <c r="B147" s="58"/>
      <c r="C147" s="558"/>
      <c r="D147" s="558"/>
      <c r="E147" s="558"/>
      <c r="F147" s="558"/>
      <c r="G147" s="629"/>
      <c r="H147" s="557"/>
      <c r="I147" s="704"/>
      <c r="J147" s="558"/>
      <c r="K147" s="558"/>
      <c r="L147" s="558"/>
      <c r="M147" s="629"/>
      <c r="N147" s="557"/>
      <c r="O147" s="704"/>
      <c r="P147" s="558"/>
      <c r="Q147" s="558"/>
      <c r="R147" s="558"/>
      <c r="S147" s="629"/>
      <c r="T147" s="558"/>
      <c r="U147" s="704"/>
      <c r="V147" s="558"/>
      <c r="W147" s="558"/>
      <c r="X147" s="558"/>
      <c r="Y147" s="629"/>
      <c r="Z147" s="578"/>
      <c r="AA147" s="685"/>
      <c r="AB147" s="578"/>
      <c r="AC147" s="578"/>
      <c r="AD147" s="582"/>
      <c r="AE147" s="579"/>
      <c r="AF147" s="557"/>
      <c r="AG147" s="685"/>
      <c r="AH147" s="578"/>
      <c r="AI147" s="578"/>
      <c r="AJ147" s="582"/>
      <c r="AK147" s="580"/>
      <c r="AL147" s="557"/>
      <c r="AM147" s="581"/>
      <c r="AN147" s="550"/>
      <c r="AO147" s="550"/>
      <c r="AP147" s="550"/>
      <c r="AQ147" s="580"/>
      <c r="AR147" s="557"/>
      <c r="AS147" s="581"/>
      <c r="AT147" s="550"/>
      <c r="AU147" s="550"/>
      <c r="AV147" s="550"/>
      <c r="AW147" s="580"/>
      <c r="AX147" s="557"/>
      <c r="AY147" s="581"/>
      <c r="AZ147" s="550"/>
      <c r="BA147" s="550"/>
      <c r="BB147" s="1132"/>
      <c r="BC147" s="1117"/>
      <c r="BD147" s="557"/>
      <c r="BE147" s="1115"/>
      <c r="BF147" s="1114"/>
      <c r="BG147" s="1114"/>
      <c r="BH147" s="1972"/>
      <c r="BI147" s="1973"/>
      <c r="BJ147" s="629"/>
      <c r="BK147" s="1114"/>
      <c r="BL147" s="1114"/>
      <c r="BM147" s="1118"/>
      <c r="BN147" s="1118"/>
      <c r="BO147" s="1971"/>
      <c r="BP147" s="557"/>
      <c r="BQ147" s="1308"/>
      <c r="BR147" s="1118"/>
      <c r="BS147" s="1118"/>
      <c r="BT147" s="1118"/>
      <c r="BU147" s="1971"/>
      <c r="BV147" s="557"/>
      <c r="BW147" s="1308"/>
      <c r="BX147" s="1118"/>
      <c r="BY147" s="1118"/>
      <c r="BZ147" s="1118"/>
      <c r="CA147" s="1971"/>
      <c r="CB147" s="557"/>
      <c r="CC147" s="1308"/>
      <c r="CD147" s="1118"/>
      <c r="CE147" s="1118"/>
      <c r="CF147" s="1118"/>
      <c r="CG147" s="1971"/>
      <c r="CH147" s="557"/>
      <c r="CI147" s="1308"/>
      <c r="CJ147" s="1118"/>
      <c r="CK147" s="1118"/>
      <c r="CL147" s="1118"/>
      <c r="CM147" s="1971"/>
      <c r="CN147" s="557"/>
      <c r="CO147" s="1308"/>
      <c r="CP147" s="1118"/>
      <c r="CQ147" s="1118"/>
      <c r="CR147" s="1118"/>
      <c r="CS147" s="1971"/>
      <c r="CT147" s="557"/>
      <c r="CU147" s="1308"/>
      <c r="CV147" s="1118"/>
      <c r="CW147" s="1118"/>
      <c r="CX147" s="1118"/>
      <c r="CY147" s="1971"/>
    </row>
    <row r="148" spans="1:103" x14ac:dyDescent="0.2">
      <c r="A148" s="1966"/>
      <c r="B148" s="58"/>
      <c r="C148" s="558"/>
      <c r="D148" s="558"/>
      <c r="E148" s="558"/>
      <c r="F148" s="558"/>
      <c r="G148" s="629"/>
      <c r="H148" s="557"/>
      <c r="I148" s="704"/>
      <c r="J148" s="558"/>
      <c r="K148" s="558"/>
      <c r="L148" s="558"/>
      <c r="M148" s="629"/>
      <c r="N148" s="557"/>
      <c r="O148" s="704"/>
      <c r="P148" s="558"/>
      <c r="Q148" s="558"/>
      <c r="R148" s="558"/>
      <c r="S148" s="629"/>
      <c r="T148" s="558"/>
      <c r="U148" s="704"/>
      <c r="V148" s="558"/>
      <c r="W148" s="558"/>
      <c r="X148" s="558"/>
      <c r="Y148" s="629"/>
      <c r="Z148" s="578"/>
      <c r="AA148" s="685"/>
      <c r="AB148" s="578"/>
      <c r="AC148" s="578"/>
      <c r="AD148" s="582"/>
      <c r="AE148" s="579"/>
      <c r="AF148" s="557"/>
      <c r="AG148" s="685"/>
      <c r="AH148" s="578"/>
      <c r="AI148" s="578"/>
      <c r="AJ148" s="582"/>
      <c r="AK148" s="580"/>
      <c r="AL148" s="557"/>
      <c r="AM148" s="581"/>
      <c r="AN148" s="550"/>
      <c r="AO148" s="550"/>
      <c r="AP148" s="550"/>
      <c r="AQ148" s="580"/>
      <c r="AR148" s="557"/>
      <c r="AS148" s="581"/>
      <c r="AT148" s="550"/>
      <c r="AU148" s="550"/>
      <c r="AV148" s="550"/>
      <c r="AW148" s="580"/>
      <c r="AX148" s="557"/>
      <c r="AY148" s="581"/>
      <c r="AZ148" s="550"/>
      <c r="BA148" s="550"/>
      <c r="BB148" s="1132"/>
      <c r="BC148" s="1117"/>
      <c r="BD148" s="557"/>
      <c r="BE148" s="1115"/>
      <c r="BF148" s="1114"/>
      <c r="BG148" s="1114"/>
      <c r="BH148" s="1972"/>
      <c r="BI148" s="1973"/>
      <c r="BJ148" s="629"/>
      <c r="BK148" s="1114"/>
      <c r="BL148" s="1114"/>
      <c r="BM148" s="1118"/>
      <c r="BN148" s="1118"/>
      <c r="BO148" s="1971"/>
      <c r="BP148" s="557"/>
      <c r="BQ148" s="1308"/>
      <c r="BR148" s="1118"/>
      <c r="BS148" s="1118"/>
      <c r="BT148" s="1118"/>
      <c r="BU148" s="1971"/>
      <c r="BV148" s="557"/>
      <c r="BW148" s="1308"/>
      <c r="BX148" s="1118"/>
      <c r="BY148" s="1118"/>
      <c r="BZ148" s="1118"/>
      <c r="CA148" s="1971"/>
      <c r="CB148" s="557"/>
      <c r="CC148" s="1308"/>
      <c r="CD148" s="1118"/>
      <c r="CE148" s="1118"/>
      <c r="CF148" s="1118"/>
      <c r="CG148" s="1971"/>
      <c r="CH148" s="557"/>
      <c r="CI148" s="1308"/>
      <c r="CJ148" s="1118"/>
      <c r="CK148" s="1118"/>
      <c r="CL148" s="1118"/>
      <c r="CM148" s="1971"/>
      <c r="CN148" s="557"/>
      <c r="CO148" s="1308"/>
      <c r="CP148" s="1118"/>
      <c r="CQ148" s="1118"/>
      <c r="CR148" s="1118"/>
      <c r="CS148" s="1971"/>
      <c r="CT148" s="557"/>
      <c r="CU148" s="1308"/>
      <c r="CV148" s="1118"/>
      <c r="CW148" s="1118"/>
      <c r="CX148" s="1118"/>
      <c r="CY148" s="1971"/>
    </row>
    <row r="149" spans="1:103" x14ac:dyDescent="0.2">
      <c r="A149" s="1966"/>
      <c r="B149" s="58"/>
      <c r="C149" s="558"/>
      <c r="D149" s="558"/>
      <c r="E149" s="558"/>
      <c r="F149" s="558"/>
      <c r="G149" s="629"/>
      <c r="H149" s="557"/>
      <c r="I149" s="704"/>
      <c r="J149" s="558"/>
      <c r="K149" s="558"/>
      <c r="L149" s="558"/>
      <c r="M149" s="629"/>
      <c r="N149" s="557"/>
      <c r="O149" s="704"/>
      <c r="P149" s="558"/>
      <c r="Q149" s="558"/>
      <c r="R149" s="558"/>
      <c r="S149" s="629"/>
      <c r="T149" s="558"/>
      <c r="U149" s="704"/>
      <c r="V149" s="558"/>
      <c r="W149" s="558"/>
      <c r="X149" s="558"/>
      <c r="Y149" s="629"/>
      <c r="Z149" s="578"/>
      <c r="AA149" s="685"/>
      <c r="AB149" s="578"/>
      <c r="AC149" s="578"/>
      <c r="AD149" s="582"/>
      <c r="AE149" s="579"/>
      <c r="AF149" s="557"/>
      <c r="AG149" s="685"/>
      <c r="AH149" s="578"/>
      <c r="AI149" s="578"/>
      <c r="AJ149" s="582"/>
      <c r="AK149" s="580"/>
      <c r="AL149" s="557"/>
      <c r="AM149" s="581"/>
      <c r="AN149" s="550"/>
      <c r="AO149" s="550"/>
      <c r="AP149" s="550"/>
      <c r="AQ149" s="580"/>
      <c r="AR149" s="557"/>
      <c r="AS149" s="581"/>
      <c r="AT149" s="550"/>
      <c r="AU149" s="550"/>
      <c r="AV149" s="550"/>
      <c r="AW149" s="580"/>
      <c r="AX149" s="557"/>
      <c r="AY149" s="581"/>
      <c r="AZ149" s="550"/>
      <c r="BA149" s="550"/>
      <c r="BB149" s="1132"/>
      <c r="BC149" s="1117"/>
      <c r="BD149" s="557"/>
      <c r="BE149" s="1115"/>
      <c r="BF149" s="1114"/>
      <c r="BG149" s="1114"/>
      <c r="BH149" s="1972"/>
      <c r="BI149" s="1973"/>
      <c r="BJ149" s="629"/>
      <c r="BK149" s="1114"/>
      <c r="BL149" s="1114"/>
      <c r="BM149" s="1118"/>
      <c r="BN149" s="1118"/>
      <c r="BO149" s="1971"/>
      <c r="BP149" s="557"/>
      <c r="BQ149" s="1308"/>
      <c r="BR149" s="1118"/>
      <c r="BS149" s="1118"/>
      <c r="BT149" s="1118"/>
      <c r="BU149" s="1971"/>
      <c r="BV149" s="557"/>
      <c r="BW149" s="1308"/>
      <c r="BX149" s="1118"/>
      <c r="BY149" s="1118"/>
      <c r="BZ149" s="1118"/>
      <c r="CA149" s="1971"/>
      <c r="CB149" s="557"/>
      <c r="CC149" s="1308"/>
      <c r="CD149" s="1118"/>
      <c r="CE149" s="1118"/>
      <c r="CF149" s="1118"/>
      <c r="CG149" s="1971"/>
      <c r="CH149" s="557"/>
      <c r="CI149" s="1308"/>
      <c r="CJ149" s="1118"/>
      <c r="CK149" s="1118"/>
      <c r="CL149" s="1118"/>
      <c r="CM149" s="1971"/>
      <c r="CN149" s="557"/>
      <c r="CO149" s="1308"/>
      <c r="CP149" s="1118"/>
      <c r="CQ149" s="1118"/>
      <c r="CR149" s="1118"/>
      <c r="CS149" s="1971"/>
      <c r="CT149" s="557"/>
      <c r="CU149" s="1308"/>
      <c r="CV149" s="1118"/>
      <c r="CW149" s="1118"/>
      <c r="CX149" s="1118"/>
      <c r="CY149" s="1971"/>
    </row>
    <row r="150" spans="1:103" x14ac:dyDescent="0.2">
      <c r="A150" s="1966"/>
      <c r="B150" s="58"/>
      <c r="C150" s="558"/>
      <c r="D150" s="558"/>
      <c r="E150" s="558"/>
      <c r="F150" s="558"/>
      <c r="G150" s="629"/>
      <c r="H150" s="557"/>
      <c r="I150" s="704"/>
      <c r="J150" s="558"/>
      <c r="K150" s="558"/>
      <c r="L150" s="558"/>
      <c r="M150" s="629"/>
      <c r="N150" s="557"/>
      <c r="O150" s="704"/>
      <c r="P150" s="558"/>
      <c r="Q150" s="558"/>
      <c r="R150" s="558"/>
      <c r="S150" s="629"/>
      <c r="T150" s="558"/>
      <c r="U150" s="704"/>
      <c r="V150" s="558"/>
      <c r="W150" s="558"/>
      <c r="X150" s="558"/>
      <c r="Y150" s="629"/>
      <c r="Z150" s="578"/>
      <c r="AA150" s="685"/>
      <c r="AB150" s="578"/>
      <c r="AC150" s="578"/>
      <c r="AD150" s="582"/>
      <c r="AE150" s="579"/>
      <c r="AF150" s="557"/>
      <c r="AG150" s="685"/>
      <c r="AH150" s="578"/>
      <c r="AI150" s="578"/>
      <c r="AJ150" s="582"/>
      <c r="AK150" s="580"/>
      <c r="AL150" s="557"/>
      <c r="AM150" s="581"/>
      <c r="AN150" s="550"/>
      <c r="AO150" s="550"/>
      <c r="AP150" s="550"/>
      <c r="AQ150" s="580"/>
      <c r="AR150" s="557"/>
      <c r="AS150" s="581"/>
      <c r="AT150" s="550"/>
      <c r="AU150" s="550"/>
      <c r="AV150" s="550"/>
      <c r="AW150" s="580"/>
      <c r="AX150" s="557"/>
      <c r="AY150" s="581"/>
      <c r="AZ150" s="550"/>
      <c r="BA150" s="550"/>
      <c r="BB150" s="1132"/>
      <c r="BC150" s="1117"/>
      <c r="BD150" s="557"/>
      <c r="BE150" s="1115"/>
      <c r="BF150" s="1114"/>
      <c r="BG150" s="1114"/>
      <c r="BH150" s="1972"/>
      <c r="BI150" s="1973"/>
      <c r="BJ150" s="629"/>
      <c r="BK150" s="1114"/>
      <c r="BL150" s="1114"/>
      <c r="BM150" s="1118"/>
      <c r="BN150" s="1118"/>
      <c r="BO150" s="1971"/>
      <c r="BP150" s="557"/>
      <c r="BQ150" s="1308"/>
      <c r="BR150" s="1118"/>
      <c r="BS150" s="1118"/>
      <c r="BT150" s="1118"/>
      <c r="BU150" s="1971"/>
      <c r="BV150" s="557"/>
      <c r="BW150" s="1308"/>
      <c r="BX150" s="1118"/>
      <c r="BY150" s="1118"/>
      <c r="BZ150" s="1118"/>
      <c r="CA150" s="1971"/>
      <c r="CB150" s="557"/>
      <c r="CC150" s="1308"/>
      <c r="CD150" s="1118"/>
      <c r="CE150" s="1118"/>
      <c r="CF150" s="1118"/>
      <c r="CG150" s="1971"/>
      <c r="CH150" s="557"/>
      <c r="CI150" s="1308"/>
      <c r="CJ150" s="1118"/>
      <c r="CK150" s="1118"/>
      <c r="CL150" s="1118"/>
      <c r="CM150" s="1971"/>
      <c r="CN150" s="557"/>
      <c r="CO150" s="1308"/>
      <c r="CP150" s="1118"/>
      <c r="CQ150" s="1118"/>
      <c r="CR150" s="1118"/>
      <c r="CS150" s="1971"/>
      <c r="CT150" s="557"/>
      <c r="CU150" s="1308"/>
      <c r="CV150" s="1118"/>
      <c r="CW150" s="1118"/>
      <c r="CX150" s="1118"/>
      <c r="CY150" s="1971"/>
    </row>
    <row r="151" spans="1:103" x14ac:dyDescent="0.2">
      <c r="A151" s="1966"/>
      <c r="B151" s="58"/>
      <c r="C151" s="558"/>
      <c r="D151" s="558"/>
      <c r="E151" s="558"/>
      <c r="F151" s="558"/>
      <c r="G151" s="629"/>
      <c r="H151" s="557"/>
      <c r="I151" s="704"/>
      <c r="J151" s="558"/>
      <c r="K151" s="558"/>
      <c r="L151" s="558"/>
      <c r="M151" s="629"/>
      <c r="N151" s="557"/>
      <c r="O151" s="704"/>
      <c r="P151" s="558"/>
      <c r="Q151" s="558"/>
      <c r="R151" s="558"/>
      <c r="S151" s="629"/>
      <c r="T151" s="558"/>
      <c r="U151" s="704"/>
      <c r="V151" s="558"/>
      <c r="W151" s="558"/>
      <c r="X151" s="558"/>
      <c r="Y151" s="629"/>
      <c r="Z151" s="578"/>
      <c r="AA151" s="685"/>
      <c r="AB151" s="578"/>
      <c r="AC151" s="578"/>
      <c r="AD151" s="582"/>
      <c r="AE151" s="579"/>
      <c r="AF151" s="557"/>
      <c r="AG151" s="685"/>
      <c r="AH151" s="578"/>
      <c r="AI151" s="578"/>
      <c r="AJ151" s="582"/>
      <c r="AK151" s="580"/>
      <c r="AL151" s="557"/>
      <c r="AM151" s="581"/>
      <c r="AN151" s="550"/>
      <c r="AO151" s="550"/>
      <c r="AP151" s="550"/>
      <c r="AQ151" s="580"/>
      <c r="AR151" s="557"/>
      <c r="AS151" s="581"/>
      <c r="AT151" s="550"/>
      <c r="AU151" s="550"/>
      <c r="AV151" s="550"/>
      <c r="AW151" s="580"/>
      <c r="AX151" s="557"/>
      <c r="AY151" s="581"/>
      <c r="AZ151" s="550"/>
      <c r="BA151" s="550"/>
      <c r="BB151" s="1132"/>
      <c r="BC151" s="1117"/>
      <c r="BD151" s="557"/>
      <c r="BE151" s="1115"/>
      <c r="BF151" s="1114"/>
      <c r="BG151" s="1114"/>
      <c r="BH151" s="1972"/>
      <c r="BI151" s="1973"/>
      <c r="BJ151" s="629"/>
      <c r="BK151" s="1114"/>
      <c r="BL151" s="1114"/>
      <c r="BM151" s="1118"/>
      <c r="BN151" s="1118"/>
      <c r="BO151" s="1971"/>
      <c r="BP151" s="557"/>
      <c r="BQ151" s="1308"/>
      <c r="BR151" s="1118"/>
      <c r="BS151" s="1118"/>
      <c r="BT151" s="1118"/>
      <c r="BU151" s="1971"/>
      <c r="BV151" s="557"/>
      <c r="BW151" s="1308"/>
      <c r="BX151" s="1118"/>
      <c r="BY151" s="1118"/>
      <c r="BZ151" s="1118"/>
      <c r="CA151" s="1971"/>
      <c r="CB151" s="557"/>
      <c r="CC151" s="1308"/>
      <c r="CD151" s="1118"/>
      <c r="CE151" s="1118"/>
      <c r="CF151" s="1118"/>
      <c r="CG151" s="1971"/>
      <c r="CH151" s="557"/>
      <c r="CI151" s="1308"/>
      <c r="CJ151" s="1118"/>
      <c r="CK151" s="1118"/>
      <c r="CL151" s="1118"/>
      <c r="CM151" s="1971"/>
      <c r="CN151" s="557"/>
      <c r="CO151" s="1308"/>
      <c r="CP151" s="1118"/>
      <c r="CQ151" s="1118"/>
      <c r="CR151" s="1118"/>
      <c r="CS151" s="1971"/>
      <c r="CT151" s="557"/>
      <c r="CU151" s="1308"/>
      <c r="CV151" s="1118"/>
      <c r="CW151" s="1118"/>
      <c r="CX151" s="1118"/>
      <c r="CY151" s="1971"/>
    </row>
    <row r="152" spans="1:103" x14ac:dyDescent="0.2">
      <c r="A152" s="354"/>
      <c r="B152" s="58"/>
      <c r="C152" s="185"/>
      <c r="D152" s="185"/>
      <c r="E152" s="185"/>
      <c r="F152" s="185"/>
      <c r="G152" s="629"/>
      <c r="H152" s="557"/>
      <c r="I152" s="1962"/>
      <c r="J152" s="185"/>
      <c r="K152" s="185"/>
      <c r="L152" s="185"/>
      <c r="M152" s="629"/>
      <c r="N152" s="557"/>
      <c r="O152" s="1962"/>
      <c r="P152" s="185"/>
      <c r="Q152" s="185"/>
      <c r="R152" s="185"/>
      <c r="S152" s="629"/>
      <c r="T152" s="185"/>
      <c r="U152" s="1962"/>
      <c r="V152" s="185"/>
      <c r="W152" s="185"/>
      <c r="X152" s="185"/>
      <c r="Y152" s="629"/>
      <c r="Z152" s="578"/>
      <c r="AA152" s="1994"/>
      <c r="AB152" s="593"/>
      <c r="AC152" s="593"/>
      <c r="AD152" s="852"/>
      <c r="AE152" s="579"/>
      <c r="AF152" s="557"/>
      <c r="AG152" s="1994"/>
      <c r="AH152" s="593"/>
      <c r="AI152" s="593"/>
      <c r="AJ152" s="852"/>
      <c r="AK152" s="580"/>
      <c r="AL152" s="557"/>
      <c r="AM152" s="851"/>
      <c r="AN152" s="601"/>
      <c r="AO152" s="601"/>
      <c r="AP152" s="550"/>
      <c r="AQ152" s="580"/>
      <c r="AR152" s="557"/>
      <c r="AS152" s="851"/>
      <c r="AT152" s="601"/>
      <c r="AU152" s="601"/>
      <c r="AV152" s="601"/>
      <c r="AW152" s="580"/>
      <c r="AX152" s="557"/>
      <c r="AY152" s="851"/>
      <c r="AZ152" s="601"/>
      <c r="BA152" s="601"/>
      <c r="BB152" s="550"/>
      <c r="BC152" s="580"/>
      <c r="BD152" s="557"/>
      <c r="BE152" s="851"/>
      <c r="BF152" s="1963"/>
      <c r="BG152" s="550"/>
      <c r="BH152" s="1963"/>
      <c r="BI152" s="1964"/>
      <c r="BJ152" s="629"/>
      <c r="BK152" s="550"/>
      <c r="BL152" s="550"/>
      <c r="BM152" s="550"/>
      <c r="BN152" s="550"/>
      <c r="BO152" s="580"/>
      <c r="BP152" s="557"/>
      <c r="BQ152" s="581"/>
      <c r="BR152" s="550"/>
      <c r="BS152" s="550"/>
      <c r="BT152" s="550"/>
      <c r="BU152" s="580"/>
      <c r="BV152" s="557"/>
      <c r="BW152" s="581"/>
      <c r="BX152" s="550"/>
      <c r="BY152" s="550"/>
      <c r="BZ152" s="550"/>
      <c r="CA152" s="580"/>
      <c r="CB152" s="557"/>
      <c r="CC152" s="581"/>
      <c r="CD152" s="550"/>
      <c r="CE152" s="550"/>
      <c r="CF152" s="550"/>
      <c r="CG152" s="580"/>
      <c r="CH152" s="557"/>
      <c r="CI152" s="581"/>
      <c r="CJ152" s="550"/>
      <c r="CK152" s="550"/>
      <c r="CL152" s="550"/>
      <c r="CM152" s="580"/>
      <c r="CN152" s="557"/>
      <c r="CO152" s="581"/>
      <c r="CP152" s="550"/>
      <c r="CQ152" s="550"/>
      <c r="CR152" s="550"/>
      <c r="CS152" s="580"/>
      <c r="CT152" s="557"/>
      <c r="CU152" s="581"/>
      <c r="CV152" s="550"/>
      <c r="CW152" s="550"/>
      <c r="CX152" s="550"/>
      <c r="CY152" s="580"/>
    </row>
    <row r="153" spans="1:103" x14ac:dyDescent="0.2">
      <c r="A153" s="1966"/>
      <c r="B153" s="961"/>
      <c r="C153" s="1995"/>
      <c r="D153" s="1995"/>
      <c r="E153" s="1995"/>
      <c r="F153" s="1995"/>
      <c r="G153" s="594"/>
      <c r="H153" s="592"/>
      <c r="I153" s="1996"/>
      <c r="J153" s="1995"/>
      <c r="K153" s="1995"/>
      <c r="L153" s="1995"/>
      <c r="M153" s="594"/>
      <c r="N153" s="592"/>
      <c r="O153" s="1996"/>
      <c r="P153" s="1995"/>
      <c r="Q153" s="1995"/>
      <c r="R153" s="1995"/>
      <c r="S153" s="594"/>
      <c r="T153" s="1995"/>
      <c r="U153" s="1996"/>
      <c r="V153" s="1995"/>
      <c r="W153" s="1995"/>
      <c r="X153" s="1995"/>
      <c r="Y153" s="594"/>
      <c r="Z153" s="593"/>
      <c r="AA153" s="600"/>
      <c r="AB153" s="592"/>
      <c r="AC153" s="592"/>
      <c r="AD153" s="681"/>
      <c r="AE153" s="594"/>
      <c r="AF153" s="592"/>
      <c r="AG153" s="600"/>
      <c r="AH153" s="592"/>
      <c r="AI153" s="592"/>
      <c r="AJ153" s="681"/>
      <c r="AK153" s="1997"/>
      <c r="AL153" s="592"/>
      <c r="AM153" s="1969"/>
      <c r="AN153" s="1970"/>
      <c r="AO153" s="1998"/>
      <c r="AP153" s="1970"/>
      <c r="AQ153" s="1971"/>
      <c r="AR153" s="592"/>
      <c r="AS153" s="652"/>
      <c r="AT153" s="653"/>
      <c r="AU153" s="653"/>
      <c r="AV153" s="653"/>
      <c r="AW153" s="1971"/>
      <c r="AX153" s="592"/>
      <c r="AY153" s="652"/>
      <c r="AZ153" s="653"/>
      <c r="BA153" s="1999"/>
      <c r="BB153" s="651"/>
      <c r="BC153" s="649"/>
      <c r="BD153" s="557"/>
      <c r="BE153" s="1115"/>
      <c r="BF153" s="1118"/>
      <c r="BG153" s="1118"/>
      <c r="BH153" s="2000"/>
      <c r="BI153" s="2001"/>
      <c r="BJ153" s="629"/>
      <c r="BK153" s="1118"/>
      <c r="BL153" s="1118"/>
      <c r="BM153" s="2002"/>
      <c r="BN153" s="2002"/>
      <c r="BO153" s="649"/>
      <c r="BP153" s="557"/>
      <c r="BQ153" s="2003"/>
      <c r="BR153" s="651"/>
      <c r="BS153" s="651"/>
      <c r="BT153" s="651"/>
      <c r="BU153" s="649"/>
      <c r="BV153" s="557"/>
      <c r="BW153" s="650"/>
      <c r="BX153" s="651"/>
      <c r="BY153" s="651"/>
      <c r="BZ153" s="651"/>
      <c r="CA153" s="649"/>
      <c r="CB153" s="557"/>
      <c r="CC153" s="650"/>
      <c r="CD153" s="651"/>
      <c r="CE153" s="651"/>
      <c r="CF153" s="651"/>
      <c r="CG153" s="649"/>
      <c r="CH153" s="557"/>
      <c r="CI153" s="650"/>
      <c r="CJ153" s="651"/>
      <c r="CK153" s="651"/>
      <c r="CL153" s="651"/>
      <c r="CM153" s="649"/>
      <c r="CN153" s="557"/>
      <c r="CO153" s="650"/>
      <c r="CP153" s="651"/>
      <c r="CQ153" s="651"/>
      <c r="CR153" s="651"/>
      <c r="CS153" s="649"/>
      <c r="CT153" s="557"/>
      <c r="CU153" s="650"/>
      <c r="CV153" s="651"/>
      <c r="CW153" s="651"/>
      <c r="CX153" s="651"/>
      <c r="CY153" s="649"/>
    </row>
    <row r="154" spans="1:103" x14ac:dyDescent="0.2">
      <c r="A154" s="354"/>
      <c r="B154" s="58"/>
      <c r="C154" s="185"/>
      <c r="D154" s="185"/>
      <c r="E154" s="185"/>
      <c r="F154" s="185"/>
      <c r="G154" s="629"/>
      <c r="H154" s="557"/>
      <c r="I154" s="1962"/>
      <c r="J154" s="185"/>
      <c r="K154" s="185"/>
      <c r="L154" s="185"/>
      <c r="M154" s="629"/>
      <c r="N154" s="557"/>
      <c r="O154" s="1962"/>
      <c r="P154" s="185"/>
      <c r="Q154" s="185"/>
      <c r="R154" s="185"/>
      <c r="S154" s="2004"/>
      <c r="T154" s="185"/>
      <c r="U154" s="1962"/>
      <c r="V154" s="185"/>
      <c r="W154" s="185"/>
      <c r="X154" s="185"/>
      <c r="Y154" s="2004"/>
      <c r="Z154" s="578"/>
      <c r="AA154" s="1994"/>
      <c r="AB154" s="593"/>
      <c r="AC154" s="593"/>
      <c r="AD154" s="689"/>
      <c r="AE154" s="2004"/>
      <c r="AF154" s="557"/>
      <c r="AG154" s="685"/>
      <c r="AH154" s="578"/>
      <c r="AI154" s="578"/>
      <c r="AJ154" s="687"/>
      <c r="AK154" s="2005"/>
      <c r="AL154" s="557"/>
      <c r="AM154" s="581"/>
      <c r="AN154" s="550"/>
      <c r="AO154" s="550"/>
      <c r="AP154" s="550"/>
      <c r="AQ154" s="2005"/>
      <c r="AR154" s="557"/>
      <c r="AS154" s="851"/>
      <c r="AT154" s="601"/>
      <c r="AU154" s="601"/>
      <c r="AV154" s="601"/>
      <c r="AW154" s="580"/>
      <c r="AX154" s="557"/>
      <c r="AY154" s="851"/>
      <c r="AZ154" s="601"/>
      <c r="BA154" s="550"/>
      <c r="BB154" s="550"/>
      <c r="BC154" s="580"/>
      <c r="BD154" s="557"/>
      <c r="BE154" s="581"/>
      <c r="BF154" s="550"/>
      <c r="BG154" s="550"/>
      <c r="BH154" s="1963"/>
      <c r="BI154" s="1964"/>
      <c r="BJ154" s="629"/>
      <c r="BK154" s="550"/>
      <c r="BL154" s="550"/>
      <c r="BM154" s="550"/>
      <c r="BN154" s="550"/>
      <c r="BO154" s="580"/>
      <c r="BP154" s="557"/>
      <c r="BQ154" s="581"/>
      <c r="BR154" s="550"/>
      <c r="BS154" s="550"/>
      <c r="BT154" s="550"/>
      <c r="BU154" s="580"/>
      <c r="BV154" s="557"/>
      <c r="BW154" s="581"/>
      <c r="BX154" s="550"/>
      <c r="BY154" s="550"/>
      <c r="BZ154" s="550"/>
      <c r="CA154" s="580"/>
      <c r="CB154" s="557"/>
      <c r="CC154" s="581"/>
      <c r="CD154" s="550"/>
      <c r="CE154" s="550"/>
      <c r="CF154" s="550"/>
      <c r="CG154" s="580"/>
      <c r="CH154" s="557"/>
      <c r="CI154" s="581"/>
      <c r="CJ154" s="550"/>
      <c r="CK154" s="550"/>
      <c r="CL154" s="550"/>
      <c r="CM154" s="580"/>
      <c r="CN154" s="557"/>
      <c r="CO154" s="581"/>
      <c r="CP154" s="550"/>
      <c r="CQ154" s="550"/>
      <c r="CR154" s="550"/>
      <c r="CS154" s="580"/>
      <c r="CT154" s="557"/>
      <c r="CU154" s="581"/>
      <c r="CV154" s="550"/>
      <c r="CW154" s="550"/>
      <c r="CX154" s="550"/>
      <c r="CY154" s="580"/>
    </row>
    <row r="155" spans="1:103" x14ac:dyDescent="0.2">
      <c r="A155" s="1966"/>
      <c r="B155" s="961"/>
      <c r="C155" s="1995"/>
      <c r="D155" s="1995"/>
      <c r="E155" s="1995"/>
      <c r="F155" s="1995"/>
      <c r="G155" s="594"/>
      <c r="H155" s="592"/>
      <c r="I155" s="1996"/>
      <c r="J155" s="1995"/>
      <c r="K155" s="1995"/>
      <c r="L155" s="1995"/>
      <c r="M155" s="594"/>
      <c r="N155" s="592"/>
      <c r="O155" s="1996"/>
      <c r="P155" s="1995"/>
      <c r="Q155" s="1995"/>
      <c r="R155" s="1995"/>
      <c r="S155" s="594"/>
      <c r="T155" s="1995"/>
      <c r="U155" s="1996"/>
      <c r="V155" s="1995"/>
      <c r="W155" s="1995"/>
      <c r="X155" s="1995"/>
      <c r="Y155" s="849"/>
      <c r="Z155" s="593"/>
      <c r="AA155" s="688"/>
      <c r="AB155" s="593"/>
      <c r="AC155" s="593"/>
      <c r="AD155" s="689"/>
      <c r="AE155" s="849"/>
      <c r="AF155" s="592"/>
      <c r="AG155" s="688"/>
      <c r="AH155" s="593"/>
      <c r="AI155" s="593"/>
      <c r="AJ155" s="689"/>
      <c r="AK155" s="849"/>
      <c r="AL155" s="592"/>
      <c r="AM155" s="688"/>
      <c r="AN155" s="597"/>
      <c r="AO155" s="597"/>
      <c r="AP155" s="597"/>
      <c r="AQ155" s="849"/>
      <c r="AR155" s="592"/>
      <c r="AS155" s="1704"/>
      <c r="AT155" s="1705"/>
      <c r="AU155" s="1705"/>
      <c r="AV155" s="1705"/>
      <c r="AW155" s="2006"/>
      <c r="AX155" s="592"/>
      <c r="AY155" s="600"/>
      <c r="AZ155" s="592"/>
      <c r="BA155" s="653"/>
      <c r="BB155" s="651"/>
      <c r="BC155" s="649"/>
      <c r="BD155" s="592"/>
      <c r="BE155" s="1308"/>
      <c r="BF155" s="1118"/>
      <c r="BG155" s="1118"/>
      <c r="BH155" s="2000"/>
      <c r="BI155" s="2001"/>
      <c r="BJ155" s="594"/>
      <c r="BK155" s="1118"/>
      <c r="BL155" s="1118"/>
      <c r="BM155" s="2002"/>
      <c r="BN155" s="2002"/>
      <c r="BO155" s="649"/>
      <c r="BP155" s="592"/>
      <c r="BQ155" s="2003"/>
      <c r="BR155" s="651"/>
      <c r="BS155" s="651"/>
      <c r="BT155" s="651"/>
      <c r="BU155" s="2007"/>
      <c r="BV155" s="592"/>
      <c r="BW155" s="650"/>
      <c r="BX155" s="651"/>
      <c r="BY155" s="651"/>
      <c r="BZ155" s="651"/>
      <c r="CA155" s="649"/>
      <c r="CB155" s="592"/>
      <c r="CC155" s="650"/>
      <c r="CD155" s="651"/>
      <c r="CE155" s="651"/>
      <c r="CF155" s="651"/>
      <c r="CG155" s="649"/>
      <c r="CH155" s="592"/>
      <c r="CI155" s="650"/>
      <c r="CJ155" s="651"/>
      <c r="CK155" s="651"/>
      <c r="CL155" s="651"/>
      <c r="CM155" s="649"/>
      <c r="CN155" s="592"/>
      <c r="CO155" s="650"/>
      <c r="CP155" s="651"/>
      <c r="CQ155" s="651"/>
      <c r="CR155" s="651"/>
      <c r="CS155" s="649"/>
      <c r="CT155" s="592"/>
      <c r="CU155" s="650"/>
      <c r="CV155" s="651"/>
      <c r="CW155" s="651"/>
      <c r="CX155" s="651"/>
      <c r="CY155" s="649"/>
    </row>
    <row r="156" spans="1:103" x14ac:dyDescent="0.2">
      <c r="A156" s="354"/>
      <c r="B156" s="961"/>
      <c r="C156" s="1995"/>
      <c r="D156" s="1995"/>
      <c r="E156" s="1995"/>
      <c r="F156" s="1995"/>
      <c r="G156" s="594"/>
      <c r="H156" s="592"/>
      <c r="I156" s="1996"/>
      <c r="J156" s="1995"/>
      <c r="K156" s="1995"/>
      <c r="L156" s="1995"/>
      <c r="M156" s="594"/>
      <c r="N156" s="592"/>
      <c r="O156" s="1996"/>
      <c r="P156" s="1995"/>
      <c r="Q156" s="1995"/>
      <c r="R156" s="1995"/>
      <c r="S156" s="594"/>
      <c r="T156" s="1995"/>
      <c r="U156" s="1996"/>
      <c r="V156" s="1995"/>
      <c r="W156" s="1995"/>
      <c r="X156" s="1995"/>
      <c r="Y156" s="594"/>
      <c r="Z156" s="593"/>
      <c r="AA156" s="688"/>
      <c r="AB156" s="593"/>
      <c r="AC156" s="593"/>
      <c r="AD156" s="689"/>
      <c r="AE156" s="594"/>
      <c r="AF156" s="592"/>
      <c r="AG156" s="688"/>
      <c r="AH156" s="593"/>
      <c r="AI156" s="593"/>
      <c r="AJ156" s="689"/>
      <c r="AK156" s="1997"/>
      <c r="AL156" s="592"/>
      <c r="AM156" s="688"/>
      <c r="AN156" s="597"/>
      <c r="AO156" s="597"/>
      <c r="AP156" s="597"/>
      <c r="AQ156" s="849"/>
      <c r="AR156" s="592"/>
      <c r="AS156" s="1704"/>
      <c r="AT156" s="1705"/>
      <c r="AU156" s="1705"/>
      <c r="AV156" s="1705"/>
      <c r="AW156" s="1971"/>
      <c r="AX156" s="592"/>
      <c r="AY156" s="600"/>
      <c r="AZ156" s="592"/>
      <c r="BA156" s="653"/>
      <c r="BB156" s="651"/>
      <c r="BC156" s="649"/>
      <c r="BD156" s="592"/>
      <c r="BE156" s="2008"/>
      <c r="BF156" s="2009"/>
      <c r="BG156" s="601"/>
      <c r="BH156" s="2010"/>
      <c r="BI156" s="1964"/>
      <c r="BJ156" s="594"/>
      <c r="BK156" s="550"/>
      <c r="BL156" s="550"/>
      <c r="BM156" s="550"/>
      <c r="BN156" s="550"/>
      <c r="BO156" s="580"/>
      <c r="BP156" s="592"/>
      <c r="BQ156" s="581"/>
      <c r="BR156" s="550"/>
      <c r="BS156" s="550"/>
      <c r="BT156" s="582"/>
      <c r="BU156" s="580"/>
      <c r="BV156" s="592"/>
      <c r="BW156" s="581"/>
      <c r="BX156" s="550"/>
      <c r="BY156" s="550"/>
      <c r="BZ156" s="582"/>
      <c r="CA156" s="580"/>
      <c r="CB156" s="592"/>
      <c r="CC156" s="581"/>
      <c r="CD156" s="550"/>
      <c r="CE156" s="550"/>
      <c r="CF156" s="582"/>
      <c r="CG156" s="580"/>
      <c r="CH156" s="592"/>
      <c r="CI156" s="581"/>
      <c r="CJ156" s="550"/>
      <c r="CK156" s="550"/>
      <c r="CL156" s="582"/>
      <c r="CM156" s="580"/>
      <c r="CN156" s="592"/>
      <c r="CO156" s="581"/>
      <c r="CP156" s="550"/>
      <c r="CQ156" s="550"/>
      <c r="CR156" s="582"/>
      <c r="CS156" s="580"/>
      <c r="CT156" s="592"/>
      <c r="CU156" s="581"/>
      <c r="CV156" s="550"/>
      <c r="CW156" s="550"/>
      <c r="CX156" s="582"/>
      <c r="CY156" s="580"/>
    </row>
    <row r="157" spans="1:103" x14ac:dyDescent="0.2">
      <c r="A157" s="1966"/>
      <c r="B157" s="961"/>
      <c r="C157" s="1995"/>
      <c r="D157" s="1995"/>
      <c r="E157" s="1995"/>
      <c r="F157" s="1995"/>
      <c r="G157" s="594"/>
      <c r="H157" s="592"/>
      <c r="I157" s="1996"/>
      <c r="J157" s="1995"/>
      <c r="K157" s="1995"/>
      <c r="L157" s="1995"/>
      <c r="M157" s="594"/>
      <c r="N157" s="592"/>
      <c r="O157" s="1996"/>
      <c r="P157" s="1995"/>
      <c r="Q157" s="1995"/>
      <c r="R157" s="1995"/>
      <c r="S157" s="594"/>
      <c r="T157" s="1995"/>
      <c r="U157" s="1996"/>
      <c r="V157" s="1995"/>
      <c r="W157" s="1995"/>
      <c r="X157" s="1995"/>
      <c r="Y157" s="594"/>
      <c r="Z157" s="593"/>
      <c r="AA157" s="688"/>
      <c r="AB157" s="593"/>
      <c r="AC157" s="593"/>
      <c r="AD157" s="689"/>
      <c r="AE157" s="594"/>
      <c r="AF157" s="592"/>
      <c r="AG157" s="688"/>
      <c r="AH157" s="593"/>
      <c r="AI157" s="593"/>
      <c r="AJ157" s="689"/>
      <c r="AK157" s="1997"/>
      <c r="AL157" s="592"/>
      <c r="AM157" s="688"/>
      <c r="AN157" s="597"/>
      <c r="AO157" s="597"/>
      <c r="AP157" s="597"/>
      <c r="AQ157" s="849"/>
      <c r="AR157" s="592"/>
      <c r="AS157" s="1704"/>
      <c r="AT157" s="1705"/>
      <c r="AU157" s="1705"/>
      <c r="AV157" s="1705"/>
      <c r="AW157" s="1971"/>
      <c r="AX157" s="592"/>
      <c r="AY157" s="600"/>
      <c r="AZ157" s="592"/>
      <c r="BA157" s="653"/>
      <c r="BB157" s="651"/>
      <c r="BC157" s="649"/>
      <c r="BD157" s="592"/>
      <c r="BE157" s="600"/>
      <c r="BF157" s="651"/>
      <c r="BG157" s="651"/>
      <c r="BH157" s="2011"/>
      <c r="BI157" s="2001"/>
      <c r="BJ157" s="594"/>
      <c r="BK157" s="1118"/>
      <c r="BL157" s="1118"/>
      <c r="BM157" s="2002"/>
      <c r="BN157" s="2002"/>
      <c r="BO157" s="649"/>
      <c r="BP157" s="592"/>
      <c r="BQ157" s="2012"/>
      <c r="BR157" s="1118"/>
      <c r="BS157" s="1118"/>
      <c r="BT157" s="1118"/>
      <c r="BU157" s="649"/>
      <c r="BV157" s="592"/>
      <c r="BW157" s="1308"/>
      <c r="BX157" s="1118"/>
      <c r="BY157" s="1118"/>
      <c r="BZ157" s="1118"/>
      <c r="CA157" s="649"/>
      <c r="CB157" s="592"/>
      <c r="CC157" s="1308"/>
      <c r="CD157" s="1118"/>
      <c r="CE157" s="1118"/>
      <c r="CF157" s="1118"/>
      <c r="CG157" s="649"/>
      <c r="CH157" s="592"/>
      <c r="CI157" s="1308"/>
      <c r="CJ157" s="1118"/>
      <c r="CK157" s="1118"/>
      <c r="CL157" s="1118"/>
      <c r="CM157" s="649"/>
      <c r="CN157" s="592"/>
      <c r="CO157" s="1308"/>
      <c r="CP157" s="1118"/>
      <c r="CQ157" s="1118"/>
      <c r="CR157" s="1118"/>
      <c r="CS157" s="649"/>
      <c r="CT157" s="592"/>
      <c r="CU157" s="1308"/>
      <c r="CV157" s="1118"/>
      <c r="CW157" s="1118"/>
      <c r="CX157" s="1118"/>
      <c r="CY157" s="649"/>
    </row>
    <row r="158" spans="1:103" x14ac:dyDescent="0.2">
      <c r="A158" s="354"/>
      <c r="B158" s="58"/>
      <c r="C158" s="185"/>
      <c r="D158" s="185"/>
      <c r="E158" s="185"/>
      <c r="F158" s="185"/>
      <c r="G158" s="629"/>
      <c r="H158" s="557"/>
      <c r="I158" s="1962"/>
      <c r="J158" s="185"/>
      <c r="K158" s="185"/>
      <c r="L158" s="185"/>
      <c r="M158" s="629"/>
      <c r="N158" s="557"/>
      <c r="O158" s="1962"/>
      <c r="P158" s="185"/>
      <c r="Q158" s="185"/>
      <c r="R158" s="185"/>
      <c r="S158" s="629"/>
      <c r="T158" s="185"/>
      <c r="U158" s="1962"/>
      <c r="V158" s="185"/>
      <c r="W158" s="185"/>
      <c r="X158" s="185"/>
      <c r="Y158" s="629"/>
      <c r="Z158" s="578"/>
      <c r="AA158" s="581"/>
      <c r="AB158" s="550"/>
      <c r="AC158" s="550"/>
      <c r="AD158" s="550"/>
      <c r="AE158" s="580"/>
      <c r="AF158" s="557"/>
      <c r="AG158" s="581"/>
      <c r="AH158" s="550"/>
      <c r="AI158" s="550"/>
      <c r="AJ158" s="550"/>
      <c r="AK158" s="580"/>
      <c r="AL158" s="550"/>
      <c r="AM158" s="851"/>
      <c r="AN158" s="601"/>
      <c r="AO158" s="550"/>
      <c r="AP158" s="550"/>
      <c r="AQ158" s="580"/>
      <c r="AR158" s="550"/>
      <c r="AS158" s="581"/>
      <c r="AT158" s="550"/>
      <c r="AU158" s="550"/>
      <c r="AV158" s="550"/>
      <c r="AW158" s="580"/>
      <c r="AX158" s="550"/>
      <c r="AY158" s="581"/>
      <c r="AZ158" s="550"/>
      <c r="BA158" s="550"/>
      <c r="BB158" s="550"/>
      <c r="BC158" s="580"/>
      <c r="BD158" s="550"/>
      <c r="BE158" s="581"/>
      <c r="BF158" s="550"/>
      <c r="BG158" s="550"/>
      <c r="BH158" s="1963"/>
      <c r="BI158" s="1964"/>
      <c r="BJ158" s="580"/>
      <c r="BK158" s="581"/>
      <c r="BL158" s="550"/>
      <c r="BM158" s="550"/>
      <c r="BN158" s="550"/>
      <c r="BO158" s="580"/>
      <c r="BP158" s="550"/>
      <c r="BQ158" s="581"/>
      <c r="BR158" s="550"/>
      <c r="BS158" s="550"/>
      <c r="BT158" s="550"/>
      <c r="BU158" s="580"/>
      <c r="BV158" s="550"/>
      <c r="BW158" s="581"/>
      <c r="BX158" s="550"/>
      <c r="BY158" s="550"/>
      <c r="BZ158" s="550"/>
      <c r="CA158" s="580"/>
      <c r="CB158" s="550"/>
      <c r="CC158" s="581"/>
      <c r="CD158" s="550"/>
      <c r="CE158" s="550"/>
      <c r="CF158" s="550"/>
      <c r="CG158" s="580"/>
      <c r="CH158" s="550"/>
      <c r="CI158" s="581"/>
      <c r="CJ158" s="550"/>
      <c r="CK158" s="550"/>
      <c r="CL158" s="550"/>
      <c r="CM158" s="580"/>
      <c r="CN158" s="550"/>
      <c r="CO158" s="581"/>
      <c r="CP158" s="550"/>
      <c r="CQ158" s="550"/>
      <c r="CR158" s="550"/>
      <c r="CS158" s="580"/>
      <c r="CT158" s="550"/>
      <c r="CU158" s="581"/>
      <c r="CV158" s="550"/>
      <c r="CW158" s="550"/>
      <c r="CX158" s="550"/>
      <c r="CY158" s="580"/>
    </row>
    <row r="159" spans="1:103" x14ac:dyDescent="0.2">
      <c r="A159" s="1966"/>
      <c r="B159" s="961"/>
      <c r="C159" s="1995"/>
      <c r="D159" s="1995"/>
      <c r="E159" s="1995"/>
      <c r="F159" s="1995"/>
      <c r="G159" s="594"/>
      <c r="H159" s="592"/>
      <c r="I159" s="1996"/>
      <c r="J159" s="1995"/>
      <c r="K159" s="1995"/>
      <c r="L159" s="1995"/>
      <c r="M159" s="594"/>
      <c r="N159" s="592"/>
      <c r="O159" s="1996"/>
      <c r="P159" s="1995"/>
      <c r="Q159" s="1995"/>
      <c r="R159" s="1995"/>
      <c r="S159" s="594"/>
      <c r="T159" s="1995"/>
      <c r="U159" s="1996"/>
      <c r="V159" s="1995"/>
      <c r="W159" s="1995"/>
      <c r="X159" s="1995"/>
      <c r="Y159" s="594"/>
      <c r="Z159" s="593"/>
      <c r="AA159" s="652"/>
      <c r="AB159" s="653"/>
      <c r="AC159" s="653"/>
      <c r="AD159" s="1967"/>
      <c r="AE159" s="594"/>
      <c r="AF159" s="592"/>
      <c r="AG159" s="652"/>
      <c r="AH159" s="653"/>
      <c r="AI159" s="653"/>
      <c r="AJ159" s="1967"/>
      <c r="AK159" s="649"/>
      <c r="AL159" s="601"/>
      <c r="AM159" s="652"/>
      <c r="AN159" s="653"/>
      <c r="AO159" s="653"/>
      <c r="AP159" s="653"/>
      <c r="AQ159" s="649"/>
      <c r="AR159" s="601"/>
      <c r="AS159" s="652"/>
      <c r="AT159" s="653"/>
      <c r="AU159" s="653"/>
      <c r="AV159" s="653"/>
      <c r="AW159" s="649"/>
      <c r="AX159" s="601"/>
      <c r="AY159" s="652"/>
      <c r="AZ159" s="653"/>
      <c r="BA159" s="653"/>
      <c r="BB159" s="653"/>
      <c r="BC159" s="649"/>
      <c r="BD159" s="967"/>
      <c r="BE159" s="653"/>
      <c r="BF159" s="653"/>
      <c r="BG159" s="653"/>
      <c r="BH159" s="2013"/>
      <c r="BI159" s="2001"/>
      <c r="BJ159" s="967"/>
      <c r="BK159" s="653"/>
      <c r="BL159" s="653"/>
      <c r="BM159" s="653"/>
      <c r="BN159" s="653"/>
      <c r="BO159" s="649"/>
      <c r="BP159" s="601"/>
      <c r="BQ159" s="652"/>
      <c r="BR159" s="651"/>
      <c r="BS159" s="651"/>
      <c r="BT159" s="651"/>
      <c r="BU159" s="649"/>
      <c r="BV159" s="601"/>
      <c r="BW159" s="650"/>
      <c r="BX159" s="651"/>
      <c r="BY159" s="651"/>
      <c r="BZ159" s="651"/>
      <c r="CA159" s="649"/>
      <c r="CB159" s="601"/>
      <c r="CC159" s="650"/>
      <c r="CD159" s="651"/>
      <c r="CE159" s="651"/>
      <c r="CF159" s="651"/>
      <c r="CG159" s="649"/>
      <c r="CH159" s="601"/>
      <c r="CI159" s="650"/>
      <c r="CJ159" s="651"/>
      <c r="CK159" s="651"/>
      <c r="CL159" s="651"/>
      <c r="CM159" s="649"/>
      <c r="CN159" s="601"/>
      <c r="CO159" s="650"/>
      <c r="CP159" s="651"/>
      <c r="CQ159" s="651"/>
      <c r="CR159" s="651"/>
      <c r="CS159" s="649"/>
      <c r="CT159" s="601"/>
      <c r="CU159" s="650"/>
      <c r="CV159" s="651"/>
      <c r="CW159" s="651"/>
      <c r="CX159" s="651"/>
      <c r="CY159" s="649"/>
    </row>
    <row r="160" spans="1:103" x14ac:dyDescent="0.2">
      <c r="A160" s="354"/>
      <c r="B160" s="961"/>
      <c r="C160" s="1995"/>
      <c r="D160" s="1995"/>
      <c r="E160" s="1995"/>
      <c r="F160" s="1995"/>
      <c r="G160" s="594"/>
      <c r="H160" s="592"/>
      <c r="I160" s="1996"/>
      <c r="J160" s="1995"/>
      <c r="K160" s="1995"/>
      <c r="L160" s="1995"/>
      <c r="M160" s="594"/>
      <c r="N160" s="592"/>
      <c r="O160" s="1996"/>
      <c r="P160" s="1995"/>
      <c r="Q160" s="1995"/>
      <c r="R160" s="1995"/>
      <c r="S160" s="594"/>
      <c r="T160" s="1995"/>
      <c r="U160" s="1996"/>
      <c r="V160" s="1995"/>
      <c r="W160" s="1995"/>
      <c r="X160" s="1995"/>
      <c r="Y160" s="594"/>
      <c r="Z160" s="593"/>
      <c r="AA160" s="652"/>
      <c r="AB160" s="653"/>
      <c r="AC160" s="653"/>
      <c r="AD160" s="1967"/>
      <c r="AE160" s="594"/>
      <c r="AF160" s="592"/>
      <c r="AG160" s="652"/>
      <c r="AH160" s="653"/>
      <c r="AI160" s="653"/>
      <c r="AJ160" s="1967"/>
      <c r="AK160" s="649"/>
      <c r="AL160" s="601"/>
      <c r="AM160" s="652"/>
      <c r="AN160" s="653"/>
      <c r="AO160" s="653"/>
      <c r="AP160" s="653"/>
      <c r="AQ160" s="649"/>
      <c r="AR160" s="601"/>
      <c r="AS160" s="652"/>
      <c r="AT160" s="653"/>
      <c r="AU160" s="653"/>
      <c r="AV160" s="653"/>
      <c r="AW160" s="649"/>
      <c r="AX160" s="601"/>
      <c r="AY160" s="652"/>
      <c r="AZ160" s="653"/>
      <c r="BA160" s="653"/>
      <c r="BB160" s="651"/>
      <c r="BC160" s="649"/>
      <c r="BD160" s="967"/>
      <c r="BE160" s="581"/>
      <c r="BF160" s="550"/>
      <c r="BG160" s="550"/>
      <c r="BH160" s="1963"/>
      <c r="BI160" s="1964"/>
      <c r="BJ160" s="580"/>
      <c r="BK160" s="581"/>
      <c r="BL160" s="550"/>
      <c r="BM160" s="550"/>
      <c r="BN160" s="550"/>
      <c r="BO160" s="649"/>
      <c r="BP160" s="601"/>
      <c r="BQ160" s="581"/>
      <c r="BR160" s="651"/>
      <c r="BS160" s="651"/>
      <c r="BT160" s="651"/>
      <c r="BU160" s="649"/>
      <c r="BV160" s="601"/>
      <c r="BW160" s="650"/>
      <c r="BX160" s="651"/>
      <c r="BY160" s="651"/>
      <c r="BZ160" s="651"/>
      <c r="CA160" s="649"/>
      <c r="CB160" s="601"/>
      <c r="CC160" s="650"/>
      <c r="CD160" s="651"/>
      <c r="CE160" s="651"/>
      <c r="CF160" s="651"/>
      <c r="CG160" s="649"/>
      <c r="CH160" s="601"/>
      <c r="CI160" s="650"/>
      <c r="CJ160" s="651"/>
      <c r="CK160" s="651"/>
      <c r="CL160" s="651"/>
      <c r="CM160" s="649"/>
      <c r="CN160" s="601"/>
      <c r="CO160" s="650"/>
      <c r="CP160" s="651"/>
      <c r="CQ160" s="651"/>
      <c r="CR160" s="651"/>
      <c r="CS160" s="649"/>
      <c r="CT160" s="601"/>
      <c r="CU160" s="650"/>
      <c r="CV160" s="651"/>
      <c r="CW160" s="651"/>
      <c r="CX160" s="651"/>
      <c r="CY160" s="649"/>
    </row>
    <row r="161" spans="1:103" x14ac:dyDescent="0.2">
      <c r="A161" s="1966"/>
      <c r="B161" s="961"/>
      <c r="C161" s="1995"/>
      <c r="D161" s="1995"/>
      <c r="E161" s="1995"/>
      <c r="F161" s="1995"/>
      <c r="G161" s="594"/>
      <c r="H161" s="592"/>
      <c r="I161" s="1996"/>
      <c r="J161" s="1995"/>
      <c r="K161" s="1995"/>
      <c r="L161" s="1995"/>
      <c r="M161" s="594"/>
      <c r="N161" s="592"/>
      <c r="O161" s="1996"/>
      <c r="P161" s="1995"/>
      <c r="Q161" s="1995"/>
      <c r="R161" s="1995"/>
      <c r="S161" s="594"/>
      <c r="T161" s="1995"/>
      <c r="U161" s="1996"/>
      <c r="V161" s="1995"/>
      <c r="W161" s="1995"/>
      <c r="X161" s="1995"/>
      <c r="Y161" s="594"/>
      <c r="Z161" s="593"/>
      <c r="AA161" s="652"/>
      <c r="AB161" s="653"/>
      <c r="AC161" s="653"/>
      <c r="AD161" s="1967"/>
      <c r="AE161" s="594"/>
      <c r="AF161" s="592"/>
      <c r="AG161" s="652"/>
      <c r="AH161" s="653"/>
      <c r="AI161" s="653"/>
      <c r="AJ161" s="1967"/>
      <c r="AK161" s="649"/>
      <c r="AL161" s="601"/>
      <c r="AM161" s="652"/>
      <c r="AN161" s="653"/>
      <c r="AO161" s="653"/>
      <c r="AP161" s="653"/>
      <c r="AQ161" s="649"/>
      <c r="AR161" s="601"/>
      <c r="AS161" s="1116"/>
      <c r="AT161" s="1116"/>
      <c r="AU161" s="1116"/>
      <c r="AV161" s="1116"/>
      <c r="AW161" s="2014"/>
      <c r="AX161" s="601"/>
      <c r="AY161" s="1116"/>
      <c r="AZ161" s="1116"/>
      <c r="BA161" s="1116"/>
      <c r="BB161" s="1116"/>
      <c r="BC161" s="2015"/>
      <c r="BD161" s="967"/>
      <c r="BE161" s="1116"/>
      <c r="BF161" s="1116"/>
      <c r="BG161" s="1116"/>
      <c r="BH161" s="1116"/>
      <c r="BI161" s="2015"/>
      <c r="BJ161" s="967"/>
      <c r="BK161" s="1116"/>
      <c r="BL161" s="1116"/>
      <c r="BM161" s="1116"/>
      <c r="BN161" s="1116"/>
      <c r="BO161" s="649"/>
      <c r="BP161" s="601"/>
      <c r="BQ161" s="652"/>
      <c r="BR161" s="651"/>
      <c r="BS161" s="651"/>
      <c r="BT161" s="651"/>
      <c r="BU161" s="649"/>
      <c r="BV161" s="601"/>
      <c r="BW161" s="650"/>
      <c r="BX161" s="651"/>
      <c r="BY161" s="651"/>
      <c r="BZ161" s="651"/>
      <c r="CA161" s="649"/>
      <c r="CB161" s="601"/>
      <c r="CC161" s="650"/>
      <c r="CD161" s="651"/>
      <c r="CE161" s="651"/>
      <c r="CF161" s="651"/>
      <c r="CG161" s="649"/>
      <c r="CH161" s="601"/>
      <c r="CI161" s="650"/>
      <c r="CJ161" s="651"/>
      <c r="CK161" s="651"/>
      <c r="CL161" s="651"/>
      <c r="CM161" s="649"/>
      <c r="CN161" s="601"/>
      <c r="CO161" s="650"/>
      <c r="CP161" s="651"/>
      <c r="CQ161" s="651"/>
      <c r="CR161" s="651"/>
      <c r="CS161" s="649"/>
      <c r="CT161" s="601"/>
      <c r="CU161" s="650"/>
      <c r="CV161" s="651"/>
      <c r="CW161" s="651"/>
      <c r="CX161" s="651"/>
      <c r="CY161" s="649"/>
    </row>
  </sheetData>
  <phoneticPr fontId="4" type="noConversion"/>
  <pageMargins left="0" right="0" top="0" bottom="0" header="0" footer="0"/>
  <pageSetup paperSize="5" scale="32" orientation="landscape" r:id="rId1"/>
  <headerFooter alignWithMargins="0"/>
  <ignoredErrors>
    <ignoredError sqref="BF102:BG102 BE102:BE104 BH102:BI104 BF103:BG104 BN102:BS102 BU102" formulaRange="1"/>
    <ignoredError sqref="BR36:BW38 BR51 BR32:BW32 BV51:BV52 BR33:BV33 BR26:BW26 BR22:BW22 BR39:BV3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70C0"/>
  </sheetPr>
  <dimension ref="A1:DK463"/>
  <sheetViews>
    <sheetView zoomScaleNormal="100" workbookViewId="0">
      <pane xSplit="2" ySplit="8" topLeftCell="BC9" activePane="bottomRight" state="frozen"/>
      <selection pane="topRight" activeCell="C1" sqref="C1"/>
      <selection pane="bottomLeft" activeCell="A9" sqref="A9"/>
      <selection pane="bottomRight" activeCell="A9" sqref="A9"/>
    </sheetView>
  </sheetViews>
  <sheetFormatPr defaultRowHeight="12.75" outlineLevelRow="1" outlineLevelCol="2" x14ac:dyDescent="0.2"/>
  <cols>
    <col min="1" max="1" width="38.140625" customWidth="1"/>
    <col min="2" max="2" width="0.85546875" customWidth="1"/>
    <col min="3" max="7" width="6.5703125" hidden="1" customWidth="1" outlineLevel="1"/>
    <col min="8" max="8" width="0.85546875" hidden="1" customWidth="1" outlineLevel="1"/>
    <col min="9" max="13" width="6.5703125" hidden="1" customWidth="1" outlineLevel="1"/>
    <col min="14" max="14" width="0.85546875" hidden="1" customWidth="1" outlineLevel="1"/>
    <col min="15" max="19" width="6.5703125" hidden="1" customWidth="1" outlineLevel="1"/>
    <col min="20" max="20" width="0.85546875" hidden="1" customWidth="1" outlineLevel="1"/>
    <col min="21" max="25" width="6.5703125" hidden="1" customWidth="1" outlineLevel="1"/>
    <col min="26" max="26" width="0.85546875" hidden="1" customWidth="1" outlineLevel="1"/>
    <col min="27" max="31" width="6.5703125" hidden="1" customWidth="1" outlineLevel="1"/>
    <col min="32" max="32" width="0.85546875" hidden="1" customWidth="1" outlineLevel="1"/>
    <col min="33" max="37" width="6.5703125" hidden="1" customWidth="1" outlineLevel="1"/>
    <col min="38" max="38" width="0.85546875" hidden="1" customWidth="1" outlineLevel="1"/>
    <col min="39" max="43" width="6.5703125" hidden="1" customWidth="1" outlineLevel="1"/>
    <col min="44" max="44" width="0.85546875" hidden="1" customWidth="1" outlineLevel="1"/>
    <col min="45" max="49" width="6.5703125" hidden="1" customWidth="1" outlineLevel="1"/>
    <col min="50" max="50" width="0.85546875" hidden="1" customWidth="1" outlineLevel="1"/>
    <col min="51" max="54" width="6.5703125" hidden="1" customWidth="1" outlineLevel="2"/>
    <col min="55" max="55" width="6.5703125" customWidth="1" collapsed="1"/>
    <col min="56" max="56" width="0.85546875" customWidth="1"/>
    <col min="57" max="60" width="6.5703125" hidden="1" customWidth="1" outlineLevel="1"/>
    <col min="61" max="61" width="6.5703125" customWidth="1" collapsed="1"/>
    <col min="62" max="62" width="0.85546875" customWidth="1"/>
    <col min="63" max="66" width="6.5703125" hidden="1" customWidth="1" outlineLevel="1"/>
    <col min="67" max="67" width="6.5703125" customWidth="1" collapsed="1"/>
    <col min="68" max="68" width="0.85546875" customWidth="1"/>
    <col min="69" max="72" width="6.5703125" hidden="1" customWidth="1" outlineLevel="1"/>
    <col min="73" max="73" width="6.5703125" customWidth="1" collapsed="1"/>
    <col min="74" max="74" width="0.85546875" customWidth="1"/>
    <col min="75" max="78" width="6.5703125" hidden="1" customWidth="1" outlineLevel="1"/>
    <col min="79" max="79" width="6.5703125" customWidth="1" collapsed="1"/>
    <col min="80" max="80" width="0.85546875" customWidth="1"/>
    <col min="81" max="84" width="6.5703125" customWidth="1" outlineLevel="1"/>
    <col min="85" max="85" width="6.5703125" customWidth="1"/>
    <col min="86" max="86" width="0.85546875" customWidth="1"/>
    <col min="87" max="90" width="6.5703125" customWidth="1" outlineLevel="1"/>
    <col min="91" max="91" width="6.5703125" customWidth="1"/>
    <col min="92" max="92" width="0.85546875" customWidth="1"/>
    <col min="93" max="95" width="6.5703125" hidden="1" customWidth="1" outlineLevel="1"/>
    <col min="96" max="96" width="6.7109375" hidden="1" customWidth="1" outlineLevel="1"/>
    <col min="97" max="97" width="6.5703125" customWidth="1" collapsed="1"/>
    <col min="98" max="98" width="0.85546875" customWidth="1"/>
    <col min="99" max="101" width="6.5703125" hidden="1" customWidth="1" outlineLevel="1"/>
    <col min="102" max="102" width="6.7109375" hidden="1" customWidth="1" outlineLevel="1"/>
    <col min="103" max="103" width="6.5703125" customWidth="1" collapsed="1"/>
  </cols>
  <sheetData>
    <row r="1" spans="1:115" x14ac:dyDescent="0.2">
      <c r="BW1" s="1445"/>
      <c r="BX1" s="1445"/>
      <c r="BY1" s="1445"/>
      <c r="BZ1" s="1445"/>
      <c r="CA1" s="1445"/>
      <c r="CC1" s="1445"/>
      <c r="CD1" s="1445"/>
      <c r="CE1" s="1445"/>
      <c r="CF1" s="1445"/>
      <c r="CG1" s="1445"/>
      <c r="CI1" s="1445"/>
      <c r="CJ1" s="1445"/>
      <c r="CK1" s="1445"/>
      <c r="CL1" s="1445"/>
      <c r="CM1" s="1445"/>
      <c r="CO1" s="1445"/>
      <c r="CP1" s="1445"/>
      <c r="CQ1" s="1445"/>
      <c r="CR1" s="1445"/>
      <c r="CS1" s="1445"/>
      <c r="CU1" s="1445"/>
      <c r="CV1" s="1445"/>
      <c r="CW1" s="1445"/>
      <c r="CX1" s="1445"/>
      <c r="CY1" s="1445"/>
    </row>
    <row r="2" spans="1:115" x14ac:dyDescent="0.2">
      <c r="A2" s="440" t="s">
        <v>309</v>
      </c>
      <c r="B2" s="39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902"/>
      <c r="AB2" s="902"/>
      <c r="AC2" s="902"/>
      <c r="AD2" s="902"/>
      <c r="AE2" s="902"/>
      <c r="AF2" s="48"/>
      <c r="AN2" s="902"/>
      <c r="AO2" s="902"/>
      <c r="AP2" s="902"/>
      <c r="AQ2" s="999"/>
      <c r="AR2" s="902"/>
      <c r="AS2" s="902"/>
      <c r="AT2" s="902"/>
      <c r="AU2" s="902"/>
      <c r="AV2" s="902"/>
      <c r="AW2" s="48"/>
      <c r="AX2" s="48"/>
      <c r="AY2" s="48"/>
      <c r="AZ2" s="48"/>
      <c r="BA2" s="48"/>
      <c r="BB2" s="225"/>
      <c r="BC2" s="902"/>
      <c r="BD2" s="902"/>
      <c r="BE2" s="1445"/>
      <c r="BF2" s="1445"/>
      <c r="BG2" s="1445"/>
      <c r="BH2" s="1445"/>
      <c r="BI2" s="1437"/>
      <c r="BJ2" s="1437"/>
      <c r="BK2" s="1445"/>
      <c r="BL2" s="1445"/>
      <c r="BM2" s="1445"/>
      <c r="BN2" s="1445"/>
      <c r="BO2" s="1299"/>
      <c r="BP2" s="215"/>
      <c r="BQ2" s="1445"/>
      <c r="BR2" s="1445"/>
      <c r="BS2" s="1446"/>
      <c r="BT2" s="1445"/>
      <c r="CA2" s="1445"/>
      <c r="CC2" s="1445"/>
      <c r="CD2" s="1445"/>
      <c r="CE2" s="1445"/>
      <c r="CF2" s="1445"/>
      <c r="CG2" s="1445"/>
      <c r="CH2" s="215"/>
      <c r="CI2" s="1445"/>
      <c r="CJ2" s="1445"/>
      <c r="CK2" s="1445"/>
      <c r="CL2" s="1445"/>
      <c r="CM2" s="1445"/>
      <c r="CN2" s="215"/>
      <c r="CO2" s="1445"/>
      <c r="CP2" s="1445"/>
      <c r="CQ2" s="1445"/>
      <c r="CR2" s="1445"/>
      <c r="CS2" s="1445"/>
      <c r="CT2" s="215"/>
      <c r="CU2" s="1445"/>
      <c r="CV2" s="1445"/>
      <c r="CW2" s="1445"/>
      <c r="CX2" s="1445"/>
      <c r="CY2" s="1445"/>
    </row>
    <row r="3" spans="1:115" x14ac:dyDescent="0.2">
      <c r="A3" s="234" t="s">
        <v>82</v>
      </c>
      <c r="B3" s="234"/>
      <c r="C3" s="440"/>
      <c r="D3" s="440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902"/>
      <c r="AB3" s="902"/>
      <c r="AC3" s="902"/>
      <c r="AD3" s="902"/>
      <c r="AE3" s="902"/>
      <c r="AF3" s="39"/>
      <c r="AN3" s="902"/>
      <c r="AO3" s="902"/>
      <c r="AP3" s="902"/>
      <c r="AQ3" s="999"/>
      <c r="AR3" s="902"/>
      <c r="AS3" s="902"/>
      <c r="AT3" s="902"/>
      <c r="AU3" s="902"/>
      <c r="AV3" s="902"/>
      <c r="AW3" s="902"/>
      <c r="AX3" s="902"/>
      <c r="AY3" s="902"/>
      <c r="AZ3" s="902"/>
      <c r="BA3" s="902"/>
      <c r="BB3" s="902"/>
      <c r="BC3" s="902"/>
      <c r="BD3" s="902"/>
      <c r="BE3" s="902"/>
      <c r="BF3" s="216"/>
      <c r="BG3" s="216"/>
      <c r="BH3" s="999"/>
      <c r="BI3" s="551"/>
      <c r="BJ3" s="216"/>
      <c r="BK3" s="48"/>
      <c r="BL3" s="48"/>
      <c r="BM3" s="48"/>
      <c r="BN3" s="216"/>
      <c r="BO3" s="550"/>
      <c r="BP3" s="216"/>
      <c r="BQ3" s="614"/>
      <c r="BR3" s="614"/>
      <c r="BS3" s="614"/>
    </row>
    <row r="4" spans="1:115" x14ac:dyDescent="0.2">
      <c r="BU4" s="1445"/>
      <c r="BW4" s="1306"/>
      <c r="BX4" s="1306"/>
      <c r="BY4" s="1306"/>
      <c r="BZ4" s="1306"/>
      <c r="CA4" s="1306"/>
      <c r="CC4" s="1306"/>
      <c r="CD4" s="1306"/>
      <c r="CE4" s="1306"/>
      <c r="CF4" s="1306"/>
      <c r="CG4" s="1306"/>
      <c r="CH4" s="1306"/>
      <c r="CI4" s="1306"/>
      <c r="CJ4" s="1306"/>
      <c r="CK4" s="1306"/>
      <c r="CL4" s="1306"/>
      <c r="CM4" s="1306"/>
      <c r="CN4" s="1306"/>
      <c r="CO4" s="1306"/>
      <c r="CP4" s="1306"/>
      <c r="CQ4" s="1306"/>
      <c r="CR4" s="1306"/>
      <c r="CS4" s="1306"/>
      <c r="CT4" s="1306"/>
      <c r="CU4" s="1306"/>
      <c r="CV4" s="1306"/>
      <c r="CW4" s="1306"/>
      <c r="CX4" s="1306"/>
      <c r="CY4" s="1306"/>
    </row>
    <row r="5" spans="1:115" x14ac:dyDescent="0.2">
      <c r="A5" s="341" t="s">
        <v>6</v>
      </c>
      <c r="B5" s="242"/>
      <c r="C5" s="40"/>
      <c r="D5" s="40"/>
      <c r="E5" s="40"/>
      <c r="F5" s="40"/>
      <c r="G5" s="40"/>
      <c r="H5" s="242"/>
      <c r="I5" s="40"/>
      <c r="J5" s="40"/>
      <c r="K5" s="40"/>
      <c r="L5" s="40"/>
      <c r="M5" s="40"/>
      <c r="N5" s="242"/>
      <c r="O5" s="40"/>
      <c r="P5" s="40"/>
      <c r="Q5" s="40"/>
      <c r="R5" s="40"/>
      <c r="S5" s="40"/>
      <c r="T5" s="242"/>
      <c r="U5" s="40"/>
      <c r="V5" s="40"/>
      <c r="W5" s="40"/>
      <c r="X5" s="40"/>
      <c r="Y5" s="40"/>
      <c r="Z5" s="242"/>
      <c r="AA5" s="40"/>
      <c r="AB5" s="40"/>
      <c r="AC5" s="40"/>
      <c r="AD5" s="40"/>
      <c r="AE5" s="40"/>
      <c r="AF5" s="242"/>
      <c r="AG5" s="40"/>
      <c r="AH5" s="40"/>
      <c r="AI5" s="40"/>
      <c r="AJ5" s="40"/>
      <c r="AK5" s="40"/>
      <c r="AL5" s="242"/>
      <c r="AM5" s="40"/>
      <c r="AN5" s="40"/>
      <c r="AO5" s="40"/>
      <c r="AP5" s="40"/>
      <c r="AQ5" s="40"/>
      <c r="AR5" s="242"/>
      <c r="AS5" s="40"/>
      <c r="AT5" s="40"/>
      <c r="AU5" s="40"/>
      <c r="AV5" s="40"/>
      <c r="AW5" s="40"/>
      <c r="AX5" s="242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242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</row>
    <row r="6" spans="1:115" x14ac:dyDescent="0.2">
      <c r="A6" s="342" t="s">
        <v>7</v>
      </c>
      <c r="B6" s="247"/>
      <c r="C6" s="48"/>
      <c r="D6" s="48"/>
      <c r="E6" s="48"/>
      <c r="F6" s="48"/>
      <c r="G6" s="48"/>
      <c r="H6" s="247"/>
      <c r="I6" s="48"/>
      <c r="J6" s="48"/>
      <c r="K6" s="48"/>
      <c r="L6" s="48"/>
      <c r="M6" s="48"/>
      <c r="N6" s="247"/>
      <c r="O6" s="48"/>
      <c r="P6" s="48"/>
      <c r="Q6" s="48"/>
      <c r="R6" s="48"/>
      <c r="S6" s="48"/>
      <c r="T6" s="247"/>
      <c r="U6" s="48"/>
      <c r="V6" s="48"/>
      <c r="W6" s="48"/>
      <c r="X6" s="48"/>
      <c r="Y6" s="48"/>
      <c r="Z6" s="247"/>
      <c r="AA6" s="48"/>
      <c r="AB6" s="48"/>
      <c r="AC6" s="48"/>
      <c r="AD6" s="48"/>
      <c r="AE6" s="48"/>
      <c r="AF6" s="247"/>
      <c r="AG6" s="48"/>
      <c r="AH6" s="48"/>
      <c r="AI6" s="48"/>
      <c r="AJ6" s="48"/>
      <c r="AK6" s="479"/>
      <c r="AL6" s="247"/>
      <c r="AM6" s="48"/>
      <c r="AN6" s="48"/>
      <c r="AO6" s="48"/>
      <c r="AP6" s="48"/>
      <c r="AQ6" s="28"/>
      <c r="AR6" s="247"/>
      <c r="AS6" s="48"/>
      <c r="AT6" s="48"/>
      <c r="AU6" s="48"/>
      <c r="AV6" s="48"/>
      <c r="AW6" s="48"/>
      <c r="AX6" s="247"/>
      <c r="AY6" s="48"/>
      <c r="AZ6" s="48"/>
      <c r="BA6" s="48"/>
      <c r="BB6" s="48"/>
      <c r="BC6" s="48"/>
      <c r="BD6" s="48"/>
      <c r="BE6" s="48"/>
      <c r="BF6" s="48"/>
      <c r="BG6" s="48"/>
      <c r="BH6" s="48"/>
      <c r="BI6" s="48"/>
      <c r="BJ6" s="247"/>
      <c r="BK6" s="48"/>
      <c r="BL6" s="48"/>
      <c r="BM6" s="48"/>
      <c r="BN6" s="48"/>
      <c r="BO6" s="48"/>
      <c r="BP6" s="247"/>
      <c r="BQ6" s="48"/>
      <c r="BR6" s="48"/>
      <c r="BS6" s="48"/>
      <c r="BT6" s="48"/>
      <c r="BU6" s="48"/>
      <c r="BV6" s="247"/>
      <c r="BW6" s="48"/>
      <c r="BX6" s="48"/>
      <c r="BY6" s="48"/>
      <c r="BZ6" s="48"/>
      <c r="CA6" s="48"/>
      <c r="CB6" s="247"/>
      <c r="CC6" s="48"/>
      <c r="CD6" s="48"/>
      <c r="CE6" s="48"/>
      <c r="CF6" s="48"/>
      <c r="CG6" s="48"/>
      <c r="CH6" s="247"/>
      <c r="CI6" s="48"/>
      <c r="CJ6" s="48"/>
      <c r="CK6" s="48"/>
      <c r="CL6" s="48"/>
      <c r="CM6" s="48"/>
      <c r="CN6" s="247"/>
      <c r="CO6" s="48"/>
      <c r="CP6" s="48"/>
      <c r="CQ6" s="48"/>
      <c r="CR6" s="48"/>
      <c r="CS6" s="48"/>
      <c r="CT6" s="247"/>
      <c r="CU6" s="48"/>
      <c r="CV6" s="48"/>
      <c r="CW6" s="48"/>
      <c r="CX6" s="48"/>
      <c r="CY6" s="48"/>
    </row>
    <row r="7" spans="1:115" x14ac:dyDescent="0.2">
      <c r="A7" s="247"/>
      <c r="B7" s="247"/>
      <c r="C7" s="343" t="s">
        <v>95</v>
      </c>
      <c r="D7" s="344"/>
      <c r="E7" s="344"/>
      <c r="F7" s="344"/>
      <c r="G7" s="345">
        <v>2004</v>
      </c>
      <c r="H7" s="346"/>
      <c r="I7" s="343" t="s">
        <v>94</v>
      </c>
      <c r="J7" s="344"/>
      <c r="K7" s="344"/>
      <c r="L7" s="344"/>
      <c r="M7" s="345">
        <f>G7+1</f>
        <v>2005</v>
      </c>
      <c r="N7" s="347"/>
      <c r="O7" s="343" t="s">
        <v>93</v>
      </c>
      <c r="P7" s="344"/>
      <c r="Q7" s="344"/>
      <c r="R7" s="344"/>
      <c r="S7" s="345">
        <f>M7+1</f>
        <v>2006</v>
      </c>
      <c r="T7" s="251"/>
      <c r="U7" s="343">
        <v>2007</v>
      </c>
      <c r="V7" s="344"/>
      <c r="W7" s="344"/>
      <c r="X7" s="344"/>
      <c r="Y7" s="345">
        <f>S7+1</f>
        <v>2007</v>
      </c>
      <c r="Z7" s="346"/>
      <c r="AA7" s="343">
        <f>U7+1</f>
        <v>2008</v>
      </c>
      <c r="AB7" s="344"/>
      <c r="AC7" s="344"/>
      <c r="AD7" s="344"/>
      <c r="AE7" s="345">
        <f>Y7+1</f>
        <v>2008</v>
      </c>
      <c r="AF7" s="347"/>
      <c r="AG7" s="343">
        <f>AA7+1</f>
        <v>2009</v>
      </c>
      <c r="AH7" s="344"/>
      <c r="AI7" s="344"/>
      <c r="AJ7" s="344"/>
      <c r="AK7" s="345">
        <f>AE7+1</f>
        <v>2009</v>
      </c>
      <c r="AL7" s="347"/>
      <c r="AM7" s="343">
        <f>AG7+1</f>
        <v>2010</v>
      </c>
      <c r="AN7" s="344"/>
      <c r="AO7" s="344"/>
      <c r="AP7" s="344"/>
      <c r="AQ7" s="345">
        <f>AK7+1</f>
        <v>2010</v>
      </c>
      <c r="AR7" s="347"/>
      <c r="AS7" s="343">
        <f>AM7+1</f>
        <v>2011</v>
      </c>
      <c r="AT7" s="344"/>
      <c r="AU7" s="344"/>
      <c r="AV7" s="344"/>
      <c r="AW7" s="345">
        <f>AQ7+1</f>
        <v>2011</v>
      </c>
      <c r="AX7" s="347"/>
      <c r="AY7" s="343">
        <f>AS7+1</f>
        <v>2012</v>
      </c>
      <c r="AZ7" s="344"/>
      <c r="BA7" s="344"/>
      <c r="BB7" s="344"/>
      <c r="BC7" s="345">
        <f>AW7+1</f>
        <v>2012</v>
      </c>
      <c r="BD7" s="347"/>
      <c r="BE7" s="343">
        <f>AY7+1</f>
        <v>2013</v>
      </c>
      <c r="BF7" s="344"/>
      <c r="BG7" s="344"/>
      <c r="BH7" s="344"/>
      <c r="BI7" s="345">
        <f>BC7+1</f>
        <v>2013</v>
      </c>
      <c r="BJ7" s="347"/>
      <c r="BK7" s="343">
        <f>BE7+1</f>
        <v>2014</v>
      </c>
      <c r="BL7" s="344"/>
      <c r="BM7" s="344"/>
      <c r="BN7" s="344"/>
      <c r="BO7" s="345">
        <f>BI7+1</f>
        <v>2014</v>
      </c>
      <c r="BP7" s="347"/>
      <c r="BQ7" s="343">
        <f>BK7+1</f>
        <v>2015</v>
      </c>
      <c r="BR7" s="344"/>
      <c r="BS7" s="344"/>
      <c r="BT7" s="344"/>
      <c r="BU7" s="345">
        <f>BO7+1</f>
        <v>2015</v>
      </c>
      <c r="BV7" s="347"/>
      <c r="BW7" s="343">
        <f>BQ7+1</f>
        <v>2016</v>
      </c>
      <c r="BX7" s="344"/>
      <c r="BY7" s="344"/>
      <c r="BZ7" s="344"/>
      <c r="CA7" s="345">
        <f>BU7+1</f>
        <v>2016</v>
      </c>
      <c r="CB7" s="347"/>
      <c r="CC7" s="343" t="s">
        <v>714</v>
      </c>
      <c r="CD7" s="344"/>
      <c r="CE7" s="344"/>
      <c r="CF7" s="344"/>
      <c r="CG7" s="345">
        <f>CA7+1</f>
        <v>2017</v>
      </c>
      <c r="CH7" s="347"/>
      <c r="CI7" s="348" t="s">
        <v>282</v>
      </c>
      <c r="CJ7" s="344"/>
      <c r="CK7" s="344"/>
      <c r="CL7" s="344"/>
      <c r="CM7" s="349">
        <f>CG7+1</f>
        <v>2018</v>
      </c>
      <c r="CN7" s="347"/>
      <c r="CO7" s="348" t="s">
        <v>283</v>
      </c>
      <c r="CP7" s="344"/>
      <c r="CQ7" s="344"/>
      <c r="CR7" s="344"/>
      <c r="CS7" s="349">
        <f>CM7+1</f>
        <v>2019</v>
      </c>
      <c r="CT7" s="347"/>
      <c r="CU7" s="348" t="s">
        <v>284</v>
      </c>
      <c r="CV7" s="344"/>
      <c r="CW7" s="344"/>
      <c r="CX7" s="344"/>
      <c r="CY7" s="349">
        <f>CS7+1</f>
        <v>2020</v>
      </c>
    </row>
    <row r="8" spans="1:115" ht="13.5" thickBot="1" x14ac:dyDescent="0.25">
      <c r="A8" s="39"/>
      <c r="B8" s="480"/>
      <c r="C8" s="357">
        <v>38077</v>
      </c>
      <c r="D8" s="358">
        <f>C8+FLOOR(365/4,1)</f>
        <v>38168</v>
      </c>
      <c r="E8" s="358">
        <f>D8+FLOOR(365/4,1)</f>
        <v>38259</v>
      </c>
      <c r="F8" s="358">
        <f>E8+FLOOR(365/4,1)</f>
        <v>38350</v>
      </c>
      <c r="G8" s="359"/>
      <c r="H8" s="365"/>
      <c r="I8" s="357">
        <f>F8+FLOOR(365/4,1)</f>
        <v>38441</v>
      </c>
      <c r="J8" s="358">
        <f>I8+FLOOR(365/4,1)</f>
        <v>38532</v>
      </c>
      <c r="K8" s="358">
        <f>J8+FLOOR(365/4,1)</f>
        <v>38623</v>
      </c>
      <c r="L8" s="358">
        <f>K8+FLOOR(365/4,1)</f>
        <v>38714</v>
      </c>
      <c r="M8" s="359"/>
      <c r="N8" s="364"/>
      <c r="O8" s="357">
        <f>L8+FLOOR(365/4,1)</f>
        <v>38805</v>
      </c>
      <c r="P8" s="358">
        <f>O8+FLOOR(365/4,1)</f>
        <v>38896</v>
      </c>
      <c r="Q8" s="358">
        <f>P8+FLOOR(365/4,1)</f>
        <v>38987</v>
      </c>
      <c r="R8" s="358">
        <f>Q8+FLOOR(365/4,1)</f>
        <v>39078</v>
      </c>
      <c r="S8" s="359"/>
      <c r="T8" s="337"/>
      <c r="U8" s="357">
        <f>R8+FLOOR(365/4,1)</f>
        <v>39169</v>
      </c>
      <c r="V8" s="358">
        <f>U8+FLOOR(365/4,1)</f>
        <v>39260</v>
      </c>
      <c r="W8" s="358">
        <f>V8+FLOOR(365/4,1)</f>
        <v>39351</v>
      </c>
      <c r="X8" s="358">
        <f>W8+FLOOR(365/4,1)</f>
        <v>39442</v>
      </c>
      <c r="Y8" s="359"/>
      <c r="Z8" s="365"/>
      <c r="AA8" s="357">
        <f>X8+FLOOR(365/4,1)</f>
        <v>39533</v>
      </c>
      <c r="AB8" s="358">
        <f>AA8+FLOOR(365/4,1)</f>
        <v>39624</v>
      </c>
      <c r="AC8" s="358">
        <f>AB8+FLOOR(365/4,1)</f>
        <v>39715</v>
      </c>
      <c r="AD8" s="358">
        <f>AC8+FLOOR(365/4,1)</f>
        <v>39806</v>
      </c>
      <c r="AE8" s="359"/>
      <c r="AF8" s="359"/>
      <c r="AG8" s="357">
        <f>AD8+FLOOR(365/4,1)</f>
        <v>39897</v>
      </c>
      <c r="AH8" s="358">
        <f>AG8+FLOOR(365/4,1)</f>
        <v>39988</v>
      </c>
      <c r="AI8" s="358">
        <f>AH8+FLOOR(365/4,1)</f>
        <v>40079</v>
      </c>
      <c r="AJ8" s="358">
        <f>AI8+FLOOR(365/4,1)</f>
        <v>40170</v>
      </c>
      <c r="AK8" s="359"/>
      <c r="AL8" s="359"/>
      <c r="AM8" s="357">
        <f>AJ8+FLOOR(365/4,1)</f>
        <v>40261</v>
      </c>
      <c r="AN8" s="358">
        <f>AM8+FLOOR(365/4,1)</f>
        <v>40352</v>
      </c>
      <c r="AO8" s="358">
        <f>AN8+FLOOR(365/4,1)</f>
        <v>40443</v>
      </c>
      <c r="AP8" s="358">
        <f>AO8+FLOOR(365/4,1)</f>
        <v>40534</v>
      </c>
      <c r="AQ8" s="359"/>
      <c r="AR8" s="359"/>
      <c r="AS8" s="357">
        <f>AP8+FLOOR(365/4,1)</f>
        <v>40625</v>
      </c>
      <c r="AT8" s="358">
        <f>AS8+FLOOR(365/4,1)</f>
        <v>40716</v>
      </c>
      <c r="AU8" s="358">
        <f>AT8+FLOOR(365/4,1)</f>
        <v>40807</v>
      </c>
      <c r="AV8" s="358">
        <f>AU8+FLOOR(365/4,1)</f>
        <v>40898</v>
      </c>
      <c r="AW8" s="359"/>
      <c r="AX8" s="359"/>
      <c r="AY8" s="357">
        <f>AV8+FLOOR(365/4,1)</f>
        <v>40989</v>
      </c>
      <c r="AZ8" s="358">
        <f>AY8+FLOOR(365/4,1)</f>
        <v>41080</v>
      </c>
      <c r="BA8" s="358">
        <f>AZ8+FLOOR(365/4,1)</f>
        <v>41171</v>
      </c>
      <c r="BB8" s="358">
        <f>BA8+FLOOR(365/4,1)</f>
        <v>41262</v>
      </c>
      <c r="BC8" s="359"/>
      <c r="BD8" s="364"/>
      <c r="BE8" s="357">
        <f>BB8+FLOOR(365/4,1)</f>
        <v>41353</v>
      </c>
      <c r="BF8" s="358">
        <f>BE8+FLOOR(365/4,1)</f>
        <v>41444</v>
      </c>
      <c r="BG8" s="358">
        <f>BF8+FLOOR(365/4,1)</f>
        <v>41535</v>
      </c>
      <c r="BH8" s="358">
        <f>BG8+FLOOR(365/4,1)</f>
        <v>41626</v>
      </c>
      <c r="BI8" s="359"/>
      <c r="BJ8" s="359"/>
      <c r="BK8" s="1099">
        <f>BH8+FLOOR(365/4,1)</f>
        <v>41717</v>
      </c>
      <c r="BL8" s="1100">
        <f>BK8+FLOOR(365/4,1)</f>
        <v>41808</v>
      </c>
      <c r="BM8" s="1100">
        <f>BL8+FLOOR(365/4,1)</f>
        <v>41899</v>
      </c>
      <c r="BN8" s="1100">
        <f>BM8+FLOOR(365/4,1)</f>
        <v>41990</v>
      </c>
      <c r="BO8" s="359"/>
      <c r="BP8" s="364"/>
      <c r="BQ8" s="1099">
        <f>BN8+FLOOR(365/4,1)</f>
        <v>42081</v>
      </c>
      <c r="BR8" s="1100">
        <f>BQ8+FLOOR(365/4,1)</f>
        <v>42172</v>
      </c>
      <c r="BS8" s="1100">
        <f>BR8+FLOOR(365/4,1)</f>
        <v>42263</v>
      </c>
      <c r="BT8" s="1100">
        <f>BS8+FLOOR(365/4,1)</f>
        <v>42354</v>
      </c>
      <c r="BU8" s="359"/>
      <c r="BV8" s="364"/>
      <c r="BW8" s="1099">
        <f>BT8+FLOOR(365/4,1)</f>
        <v>42445</v>
      </c>
      <c r="BX8" s="1100">
        <f>BW8+FLOOR(365/4,1)</f>
        <v>42536</v>
      </c>
      <c r="BY8" s="1100">
        <f>BX8+FLOOR(365/4,1)</f>
        <v>42627</v>
      </c>
      <c r="BZ8" s="1100">
        <f>BY8+FLOOR(365/4,1)</f>
        <v>42718</v>
      </c>
      <c r="CA8" s="359"/>
      <c r="CB8" s="364"/>
      <c r="CC8" s="1099">
        <f>BZ8+FLOOR(365/4,1)</f>
        <v>42809</v>
      </c>
      <c r="CD8" s="1100">
        <f>CC8+FLOOR(365/4,1)</f>
        <v>42900</v>
      </c>
      <c r="CE8" s="1100">
        <f>CD8+FLOOR(365/4,1)</f>
        <v>42991</v>
      </c>
      <c r="CF8" s="1100">
        <f>CE8+FLOOR(365/4,1)</f>
        <v>43082</v>
      </c>
      <c r="CG8" s="359"/>
      <c r="CH8" s="364"/>
      <c r="CI8" s="362">
        <f>CF8+FLOOR(365/4,1)</f>
        <v>43173</v>
      </c>
      <c r="CJ8" s="360">
        <f>CI8+FLOOR(365/4,1)</f>
        <v>43264</v>
      </c>
      <c r="CK8" s="360">
        <f>CJ8+FLOOR(365/4,1)</f>
        <v>43355</v>
      </c>
      <c r="CL8" s="361">
        <f>CK8+FLOOR(365/4,1)</f>
        <v>43446</v>
      </c>
      <c r="CM8" s="359"/>
      <c r="CN8" s="364"/>
      <c r="CO8" s="362">
        <f>CL8+FLOOR(365/4,1)</f>
        <v>43537</v>
      </c>
      <c r="CP8" s="360">
        <f>CO8+FLOOR(365/4,1)</f>
        <v>43628</v>
      </c>
      <c r="CQ8" s="360">
        <f>CP8+FLOOR(365/4,1)</f>
        <v>43719</v>
      </c>
      <c r="CR8" s="361">
        <f>CQ8+FLOOR(365/4,1)</f>
        <v>43810</v>
      </c>
      <c r="CS8" s="359"/>
      <c r="CT8" s="364"/>
      <c r="CU8" s="362">
        <f>CR8+FLOOR(365/4,1)</f>
        <v>43901</v>
      </c>
      <c r="CV8" s="360">
        <f>CU8+FLOOR(365/4,1)</f>
        <v>43992</v>
      </c>
      <c r="CW8" s="360">
        <f>CV8+FLOOR(365/4,1)</f>
        <v>44083</v>
      </c>
      <c r="CX8" s="361">
        <f>CW8+FLOOR(365/4,1)</f>
        <v>44174</v>
      </c>
      <c r="CY8" s="359"/>
    </row>
    <row r="9" spans="1:115" x14ac:dyDescent="0.2">
      <c r="A9" s="1657" t="s">
        <v>633</v>
      </c>
      <c r="B9" s="577"/>
      <c r="C9" s="188"/>
      <c r="D9" s="188"/>
      <c r="E9" s="188"/>
      <c r="F9" s="188"/>
      <c r="G9" s="576"/>
      <c r="H9" s="575"/>
      <c r="I9" s="187"/>
      <c r="J9" s="188"/>
      <c r="K9" s="188"/>
      <c r="L9" s="188"/>
      <c r="M9" s="576"/>
      <c r="N9" s="575"/>
      <c r="O9" s="187"/>
      <c r="P9" s="188"/>
      <c r="Q9" s="188"/>
      <c r="R9" s="188"/>
      <c r="S9" s="576"/>
      <c r="T9" s="188"/>
      <c r="U9" s="187"/>
      <c r="V9" s="188"/>
      <c r="W9" s="188"/>
      <c r="X9" s="188"/>
      <c r="Y9" s="576"/>
      <c r="Z9" s="575"/>
      <c r="AA9" s="187"/>
      <c r="AB9" s="188"/>
      <c r="AC9" s="188"/>
      <c r="AD9" s="575"/>
      <c r="AE9" s="576"/>
      <c r="AF9" s="575"/>
      <c r="AG9" s="712"/>
      <c r="AH9" s="711"/>
      <c r="AI9" s="711"/>
      <c r="AJ9" s="1659"/>
      <c r="AK9" s="624"/>
      <c r="AL9" s="575"/>
      <c r="AM9" s="686"/>
      <c r="AN9" s="575"/>
      <c r="AO9" s="575"/>
      <c r="AP9" s="575"/>
      <c r="AQ9" s="576"/>
      <c r="AR9" s="575"/>
      <c r="AS9" s="686"/>
      <c r="AT9" s="575"/>
      <c r="AU9" s="575"/>
      <c r="AV9" s="575"/>
      <c r="AW9" s="576"/>
      <c r="AX9" s="575"/>
      <c r="AY9" s="686"/>
      <c r="AZ9" s="575"/>
      <c r="BA9" s="575"/>
      <c r="BB9" s="575"/>
      <c r="BC9" s="577"/>
      <c r="BD9" s="575"/>
      <c r="BE9" s="1298"/>
      <c r="BF9" s="1298"/>
      <c r="BG9" s="1298"/>
      <c r="BH9" s="1298"/>
      <c r="BI9" s="577"/>
      <c r="BJ9" s="575"/>
      <c r="BK9" s="1298"/>
      <c r="BL9" s="1298"/>
      <c r="BM9" s="1298"/>
      <c r="BN9" s="1298"/>
      <c r="BO9" s="577"/>
      <c r="BP9" s="575"/>
      <c r="BQ9" s="1298"/>
      <c r="BR9" s="1298"/>
      <c r="BS9" s="1298"/>
      <c r="BT9" s="1298"/>
      <c r="BU9" s="1298"/>
      <c r="BV9" s="575"/>
      <c r="BW9" s="686"/>
      <c r="BX9" s="575"/>
      <c r="BY9" s="575"/>
      <c r="BZ9" s="575"/>
      <c r="CA9" s="577"/>
      <c r="CB9" s="575"/>
      <c r="CC9" s="686"/>
      <c r="CD9" s="575"/>
      <c r="CE9" s="575"/>
      <c r="CF9" s="575"/>
      <c r="CG9" s="577"/>
      <c r="CH9" s="575"/>
      <c r="CI9" s="712"/>
      <c r="CJ9" s="575"/>
      <c r="CK9" s="575"/>
      <c r="CL9" s="575"/>
      <c r="CM9" s="577"/>
      <c r="CN9" s="575"/>
      <c r="CO9" s="712"/>
      <c r="CP9" s="575"/>
      <c r="CQ9" s="575"/>
      <c r="CR9" s="575"/>
      <c r="CS9" s="577"/>
      <c r="CT9" s="575"/>
      <c r="CU9" s="712"/>
      <c r="CV9" s="575"/>
      <c r="CW9" s="575"/>
      <c r="CX9" s="575"/>
      <c r="CY9" s="577"/>
    </row>
    <row r="10" spans="1:115" s="5" customFormat="1" x14ac:dyDescent="0.2">
      <c r="A10" s="1658" t="str">
        <f>+A331</f>
        <v>Total Consumables Revenues ($mn)</v>
      </c>
      <c r="B10" s="1183"/>
      <c r="C10" s="1660"/>
      <c r="D10" s="1661"/>
      <c r="E10" s="1661"/>
      <c r="F10" s="1662"/>
      <c r="G10" s="1663"/>
      <c r="H10" s="1183"/>
      <c r="I10" s="1660"/>
      <c r="J10" s="1661"/>
      <c r="K10" s="1661"/>
      <c r="L10" s="1662"/>
      <c r="M10" s="1663"/>
      <c r="N10" s="1183"/>
      <c r="O10" s="1660"/>
      <c r="P10" s="1661"/>
      <c r="Q10" s="1661"/>
      <c r="R10" s="1662"/>
      <c r="S10" s="1663"/>
      <c r="T10" s="1183"/>
      <c r="U10" s="1660"/>
      <c r="V10" s="1661"/>
      <c r="W10" s="1661"/>
      <c r="X10" s="1662"/>
      <c r="Y10" s="1663"/>
      <c r="Z10" s="1183"/>
      <c r="AA10" s="1660"/>
      <c r="AB10" s="1661"/>
      <c r="AC10" s="1661"/>
      <c r="AD10" s="1662"/>
      <c r="AE10" s="1663"/>
      <c r="AF10" s="1233"/>
      <c r="AG10" s="1660"/>
      <c r="AH10" s="1661"/>
      <c r="AI10" s="1661"/>
      <c r="AJ10" s="1662"/>
      <c r="AK10" s="1663"/>
      <c r="AL10" s="1183"/>
      <c r="AM10" s="1665">
        <f>+AM331</f>
        <v>227.35303999999996</v>
      </c>
      <c r="AN10" s="1665">
        <f>+AN331</f>
        <v>223.31030000000001</v>
      </c>
      <c r="AO10" s="1665">
        <f>+AO331</f>
        <v>241.39896000000002</v>
      </c>
      <c r="AP10" s="1666">
        <f>+AP331</f>
        <v>243.12720000000002</v>
      </c>
      <c r="AQ10" s="1663">
        <f>+SUM(AM10:AP10)</f>
        <v>935.18949999999995</v>
      </c>
      <c r="AR10" s="1183"/>
      <c r="AS10" s="1664">
        <f>+AS331</f>
        <v>232.55319999999998</v>
      </c>
      <c r="AT10" s="1665">
        <f>+AT331</f>
        <v>248.31576000000001</v>
      </c>
      <c r="AU10" s="1665">
        <f>+AU331</f>
        <v>251.32995</v>
      </c>
      <c r="AV10" s="1666">
        <f>+AV331</f>
        <v>284.25700000000006</v>
      </c>
      <c r="AW10" s="1663">
        <f>+SUM(AS10:AV10)</f>
        <v>1016.4559100000001</v>
      </c>
      <c r="AX10" s="1183"/>
      <c r="AY10" s="1664">
        <f>+AY331</f>
        <v>260.85136</v>
      </c>
      <c r="AZ10" s="1665">
        <f>+AZ331</f>
        <v>264.20318000000003</v>
      </c>
      <c r="BA10" s="1665">
        <f>+BA331</f>
        <v>264.73142999999999</v>
      </c>
      <c r="BB10" s="1666">
        <f>+BB331</f>
        <v>298.01751999999993</v>
      </c>
      <c r="BC10" s="1663">
        <f>+SUM(AY10:BB10)</f>
        <v>1087.80349</v>
      </c>
      <c r="BD10" s="1183"/>
      <c r="BE10" s="1664">
        <f>+BE331</f>
        <v>270.18264000000005</v>
      </c>
      <c r="BF10" s="1665">
        <f>+BF331</f>
        <v>275.27843999999999</v>
      </c>
      <c r="BG10" s="1665">
        <f>+BG331</f>
        <v>284.95367999999996</v>
      </c>
      <c r="BH10" s="1666">
        <f>+BH331</f>
        <v>311.82309999999995</v>
      </c>
      <c r="BI10" s="1663">
        <f>+SUM(BE10:BH10)</f>
        <v>1142.23786</v>
      </c>
      <c r="BJ10" s="1183"/>
      <c r="BK10" s="1664">
        <f>+BK331</f>
        <v>282.46197000000001</v>
      </c>
      <c r="BL10" s="1665">
        <f>+BL331</f>
        <v>291.48855999999995</v>
      </c>
      <c r="BM10" s="1665">
        <f>+BM331</f>
        <v>292.97859</v>
      </c>
      <c r="BN10" s="1666">
        <f>+BN331</f>
        <v>303.0804</v>
      </c>
      <c r="BO10" s="1663">
        <f>+SUM(BK10:BN10)</f>
        <v>1170.0095200000001</v>
      </c>
      <c r="BP10" s="1183"/>
      <c r="BQ10" s="1664">
        <f>+BQ331</f>
        <v>262.88151999999997</v>
      </c>
      <c r="BR10" s="1665">
        <f>+BR331</f>
        <v>281.12128000000001</v>
      </c>
      <c r="BS10" s="1665">
        <f>+BS331</f>
        <v>273.66807</v>
      </c>
      <c r="BT10" s="1666">
        <f>+BT331</f>
        <v>298.66449999999998</v>
      </c>
      <c r="BU10" s="1663">
        <f>+SUM(BQ10:BT10)</f>
        <v>1116.3353699999998</v>
      </c>
      <c r="BV10" s="1183"/>
      <c r="BW10" s="1664">
        <f>+BW331</f>
        <v>262.57352000000003</v>
      </c>
      <c r="BX10" s="1665">
        <f>+BX331</f>
        <v>291.77447000000001</v>
      </c>
      <c r="BY10" s="1665">
        <f>+BY331</f>
        <v>298.0428</v>
      </c>
      <c r="BZ10" s="1666">
        <f>+BZ331</f>
        <v>318.86804999999998</v>
      </c>
      <c r="CA10" s="1663">
        <f>+SUM(BW10:BZ10)</f>
        <v>1171.25884</v>
      </c>
      <c r="CB10" s="1183"/>
      <c r="CC10" s="1664">
        <f>+CC331</f>
        <v>273.62157500000001</v>
      </c>
      <c r="CD10" s="1665">
        <f>+CD331</f>
        <v>309.40131000000002</v>
      </c>
      <c r="CE10" s="1665">
        <f>+CE331</f>
        <v>321.76519999999999</v>
      </c>
      <c r="CF10" s="1666">
        <f>+CF331</f>
        <v>339.92872799999998</v>
      </c>
      <c r="CG10" s="1663">
        <f>+SUM(CC10:CF10)</f>
        <v>1244.716813</v>
      </c>
      <c r="CH10" s="1183"/>
      <c r="CI10" s="1664">
        <f>+CI331</f>
        <v>305.322871466528</v>
      </c>
      <c r="CJ10" s="1665">
        <f>+CJ331</f>
        <v>347.54376736480867</v>
      </c>
      <c r="CK10" s="1665">
        <f>+CK331</f>
        <v>357.43291039376152</v>
      </c>
      <c r="CL10" s="1666">
        <f>+CL331</f>
        <v>368.98908970026633</v>
      </c>
      <c r="CM10" s="1663">
        <f>+SUM(CI10:CL10)</f>
        <v>1379.2886389253645</v>
      </c>
      <c r="CN10" s="1183"/>
      <c r="CO10" s="1664">
        <f>+CO331</f>
        <v>340.87897520363367</v>
      </c>
      <c r="CP10" s="1665">
        <f>+CP331</f>
        <v>374.71257390463467</v>
      </c>
      <c r="CQ10" s="1665">
        <f>+CQ331</f>
        <v>380.52135412794564</v>
      </c>
      <c r="CR10" s="1666">
        <f>+CR331</f>
        <v>405.98628792401155</v>
      </c>
      <c r="CS10" s="1663">
        <f>+SUM(CO10:CR10)</f>
        <v>1502.0991911602255</v>
      </c>
      <c r="CT10" s="1183"/>
      <c r="CU10" s="1664">
        <f>+CU331</f>
        <v>380.66475308335379</v>
      </c>
      <c r="CV10" s="1665">
        <f>+CV331</f>
        <v>415.89923641769713</v>
      </c>
      <c r="CW10" s="1665">
        <f>+CW331</f>
        <v>421.39833818425581</v>
      </c>
      <c r="CX10" s="1666">
        <f>+CX331</f>
        <v>450.0963921421976</v>
      </c>
      <c r="CY10" s="1663">
        <f>+SUM(CU10:CX10)</f>
        <v>1668.0587198275043</v>
      </c>
      <c r="CZ10" s="48"/>
      <c r="DA10"/>
      <c r="DB10"/>
      <c r="DC10"/>
      <c r="DD10" s="48"/>
      <c r="DE10" s="48"/>
      <c r="DF10" s="48"/>
      <c r="DG10" s="48"/>
      <c r="DH10" s="48"/>
      <c r="DI10" s="48"/>
      <c r="DJ10" s="48"/>
      <c r="DK10" s="48"/>
    </row>
    <row r="11" spans="1:115" s="5" customFormat="1" x14ac:dyDescent="0.2">
      <c r="A11" s="1139" t="s">
        <v>634</v>
      </c>
      <c r="B11" s="58"/>
      <c r="C11" s="558"/>
      <c r="D11" s="558"/>
      <c r="E11" s="558"/>
      <c r="F11" s="558"/>
      <c r="G11" s="629"/>
      <c r="H11" s="557"/>
      <c r="I11" s="704"/>
      <c r="J11" s="558"/>
      <c r="K11" s="558"/>
      <c r="L11" s="558"/>
      <c r="M11" s="629"/>
      <c r="N11" s="557"/>
      <c r="O11" s="704"/>
      <c r="P11" s="558"/>
      <c r="Q11" s="558"/>
      <c r="R11" s="558"/>
      <c r="S11" s="1134"/>
      <c r="T11" s="1135"/>
      <c r="U11" s="704"/>
      <c r="V11" s="558"/>
      <c r="W11" s="558"/>
      <c r="X11" s="558"/>
      <c r="Y11" s="1134"/>
      <c r="Z11" s="579"/>
      <c r="AA11" s="685"/>
      <c r="AB11" s="578"/>
      <c r="AC11" s="578"/>
      <c r="AD11" s="582"/>
      <c r="AE11" s="580"/>
      <c r="AF11" s="557"/>
      <c r="AG11" s="685"/>
      <c r="AH11" s="578"/>
      <c r="AI11" s="578"/>
      <c r="AJ11" s="582"/>
      <c r="AK11" s="580"/>
      <c r="AL11" s="557"/>
      <c r="AM11" s="1667">
        <f>+ROUND(AM10-RevBuild!AM20,3)</f>
        <v>0</v>
      </c>
      <c r="AN11" s="1668">
        <f>+ROUND(AN10-RevBuild!AN20,3)</f>
        <v>0</v>
      </c>
      <c r="AO11" s="1668">
        <f>+ROUND(AO10-RevBuild!AO20,3)</f>
        <v>0</v>
      </c>
      <c r="AP11" s="1668">
        <f>+ROUND(AP10-RevBuild!AP20,3)</f>
        <v>0</v>
      </c>
      <c r="AQ11" s="1669">
        <f>+ROUND(AQ10-RevBuild!AQ20,3)</f>
        <v>0</v>
      </c>
      <c r="AR11" s="557"/>
      <c r="AS11" s="1667">
        <f>+ROUND(AS10-RevBuild!AS20,3)</f>
        <v>0</v>
      </c>
      <c r="AT11" s="1668">
        <f>+ROUND(AT10-RevBuild!AT20,3)</f>
        <v>0</v>
      </c>
      <c r="AU11" s="1668">
        <f>+ROUND(AU10-RevBuild!AU20,3)</f>
        <v>0</v>
      </c>
      <c r="AV11" s="1668">
        <f>+ROUND(AV10-RevBuild!AV20,3)</f>
        <v>0</v>
      </c>
      <c r="AW11" s="1669">
        <f>+ROUND(AW10-RevBuild!AW20,3)</f>
        <v>0</v>
      </c>
      <c r="AX11" s="557"/>
      <c r="AY11" s="1667">
        <f>+ROUND(AY10-RevBuild!AY20,3)</f>
        <v>0</v>
      </c>
      <c r="AZ11" s="1668">
        <f>+ROUND(AZ10-RevBuild!AZ20,3)</f>
        <v>0</v>
      </c>
      <c r="BA11" s="1668">
        <f>+ROUND(BA10-RevBuild!BA20,3)</f>
        <v>0</v>
      </c>
      <c r="BB11" s="1668">
        <f>+ROUND(BB10-RevBuild!BB20,3)</f>
        <v>0</v>
      </c>
      <c r="BC11" s="1669">
        <f>+ROUND(BC10-RevBuild!BC20,3)</f>
        <v>0</v>
      </c>
      <c r="BD11" s="557"/>
      <c r="BE11" s="1667">
        <f>+ROUND(BE10-RevBuild!BE20,3)</f>
        <v>0</v>
      </c>
      <c r="BF11" s="1668">
        <f>+ROUND(BF10-RevBuild!BF20,3)</f>
        <v>0</v>
      </c>
      <c r="BG11" s="1668">
        <f>+ROUND(BG10-RevBuild!BG20,3)</f>
        <v>0</v>
      </c>
      <c r="BH11" s="1668">
        <f>+ROUND(BH10-RevBuild!BH20,3)</f>
        <v>0</v>
      </c>
      <c r="BI11" s="1669">
        <f>+ROUND(BI10-RevBuild!BI20,3)</f>
        <v>0</v>
      </c>
      <c r="BJ11" s="557"/>
      <c r="BK11" s="1667">
        <f>+ROUND(BK10-RevBuild!BK20,3)</f>
        <v>0</v>
      </c>
      <c r="BL11" s="1668">
        <f>+ROUND(BL10-RevBuild!BL20,3)</f>
        <v>0</v>
      </c>
      <c r="BM11" s="1668">
        <f>+ROUND(BM10-RevBuild!BM20,3)</f>
        <v>0</v>
      </c>
      <c r="BN11" s="1668">
        <f>+ROUND(BN10-RevBuild!BN20,3)</f>
        <v>0</v>
      </c>
      <c r="BO11" s="1669">
        <f>+ROUND(BO10-RevBuild!BO20,3)</f>
        <v>0</v>
      </c>
      <c r="BP11" s="557"/>
      <c r="BQ11" s="1667">
        <f>+ROUND(BQ10-RevBuild!BQ20,3)</f>
        <v>0</v>
      </c>
      <c r="BR11" s="1668">
        <f>+ROUND(BR10-RevBuild!BR20,3)</f>
        <v>0</v>
      </c>
      <c r="BS11" s="1668">
        <f>+ROUND(BS10-RevBuild!BS20,3)</f>
        <v>0</v>
      </c>
      <c r="BT11" s="1668">
        <f>+ROUND(BT10-RevBuild!BT20,3)</f>
        <v>0</v>
      </c>
      <c r="BU11" s="1669">
        <f>+ROUND(BU10-RevBuild!BU20,3)</f>
        <v>0</v>
      </c>
      <c r="BV11" s="557"/>
      <c r="BW11" s="1667">
        <f>+ROUND(BW10-RevBuild!BW20,3)</f>
        <v>0</v>
      </c>
      <c r="BX11" s="1668">
        <f>+ROUND(BX10-RevBuild!BX20,3)</f>
        <v>0</v>
      </c>
      <c r="BY11" s="1668">
        <f>+ROUND(BY10-RevBuild!BY20,3)</f>
        <v>0</v>
      </c>
      <c r="BZ11" s="1668">
        <f>+ROUND(BZ10-RevBuild!BZ20,3)</f>
        <v>0</v>
      </c>
      <c r="CA11" s="1669">
        <f>+ROUND(CA10-RevBuild!CA20,3)</f>
        <v>0</v>
      </c>
      <c r="CB11" s="557"/>
      <c r="CC11" s="1667">
        <f>+ROUND(CC10-RevBuild!CC20,3)</f>
        <v>0</v>
      </c>
      <c r="CD11" s="1668">
        <f>+ROUND(CD10-RevBuild!CD20,3)</f>
        <v>0</v>
      </c>
      <c r="CE11" s="1668">
        <f>+ROUND(CE10-RevBuild!CE20,3)</f>
        <v>0</v>
      </c>
      <c r="CF11" s="1668">
        <f>+ROUND(CF10-RevBuild!CF20,3)</f>
        <v>0</v>
      </c>
      <c r="CG11" s="1669">
        <f>+ROUND(CG10-RevBuild!CG20,3)</f>
        <v>0</v>
      </c>
      <c r="CH11" s="557"/>
      <c r="CI11" s="1667">
        <f>+ROUND(CI10-RevBuild!CI20,3)</f>
        <v>0</v>
      </c>
      <c r="CJ11" s="1668">
        <f>+ROUND(CJ10-RevBuild!CJ20,3)</f>
        <v>0</v>
      </c>
      <c r="CK11" s="1668">
        <f>+ROUND(CK10-RevBuild!CK20,3)</f>
        <v>0</v>
      </c>
      <c r="CL11" s="1668">
        <f>+ROUND(CL10-RevBuild!CL20,3)</f>
        <v>0</v>
      </c>
      <c r="CM11" s="1669">
        <f>+ROUND(CM10-RevBuild!CM20,3)</f>
        <v>0</v>
      </c>
      <c r="CN11" s="557"/>
      <c r="CO11" s="1667">
        <f>+ROUND(CO10-RevBuild!CO20,3)</f>
        <v>0</v>
      </c>
      <c r="CP11" s="1668">
        <f>+ROUND(CP10-RevBuild!CP20,3)</f>
        <v>0</v>
      </c>
      <c r="CQ11" s="1668">
        <f>+ROUND(CQ10-RevBuild!CQ20,3)</f>
        <v>0</v>
      </c>
      <c r="CR11" s="1668">
        <f>+ROUND(CR10-RevBuild!CR20,3)</f>
        <v>0</v>
      </c>
      <c r="CS11" s="1669">
        <f>+ROUND(CS10-RevBuild!CS20,3)</f>
        <v>0</v>
      </c>
      <c r="CT11" s="557"/>
      <c r="CU11" s="1667">
        <f>+ROUND(CU10-RevBuild!CU20,3)</f>
        <v>0</v>
      </c>
      <c r="CV11" s="1668">
        <f>+ROUND(CV10-RevBuild!CV20,3)</f>
        <v>0</v>
      </c>
      <c r="CW11" s="1668">
        <f>+ROUND(CW10-RevBuild!CW20,3)</f>
        <v>0</v>
      </c>
      <c r="CX11" s="1668">
        <f>+ROUND(CX10-RevBuild!CX20,3)</f>
        <v>0</v>
      </c>
      <c r="CY11" s="1669">
        <f>+ROUND(CY10-RevBuild!CY20,3)</f>
        <v>0</v>
      </c>
      <c r="CZ11" s="48"/>
      <c r="DA11"/>
      <c r="DB11"/>
      <c r="DC11"/>
      <c r="DD11" s="48"/>
      <c r="DE11" s="48"/>
      <c r="DF11" s="48"/>
      <c r="DG11" s="48"/>
      <c r="DH11" s="48"/>
      <c r="DI11" s="48"/>
      <c r="DJ11" s="48"/>
      <c r="DK11" s="48"/>
    </row>
    <row r="12" spans="1:115" s="5" customFormat="1" x14ac:dyDescent="0.2">
      <c r="A12" s="1658" t="str">
        <f>+A354</f>
        <v>Total Instruments Revenues ($mn)</v>
      </c>
      <c r="B12" s="1232"/>
      <c r="C12" s="1660"/>
      <c r="D12" s="1661"/>
      <c r="E12" s="1661"/>
      <c r="F12" s="1662"/>
      <c r="G12" s="1663"/>
      <c r="H12" s="1232"/>
      <c r="I12" s="1660"/>
      <c r="J12" s="1661"/>
      <c r="K12" s="1661"/>
      <c r="L12" s="1662"/>
      <c r="M12" s="1663"/>
      <c r="N12" s="1232"/>
      <c r="O12" s="1660"/>
      <c r="P12" s="1661"/>
      <c r="Q12" s="1661"/>
      <c r="R12" s="1662"/>
      <c r="S12" s="1663"/>
      <c r="T12" s="1232"/>
      <c r="U12" s="1660"/>
      <c r="V12" s="1661"/>
      <c r="W12" s="1661"/>
      <c r="X12" s="1662"/>
      <c r="Y12" s="1663"/>
      <c r="Z12" s="1232"/>
      <c r="AA12" s="1660"/>
      <c r="AB12" s="1661"/>
      <c r="AC12" s="1661"/>
      <c r="AD12" s="1662"/>
      <c r="AE12" s="1663"/>
      <c r="AF12" s="1233"/>
      <c r="AG12" s="1660"/>
      <c r="AH12" s="1661"/>
      <c r="AI12" s="1661"/>
      <c r="AJ12" s="1662"/>
      <c r="AK12" s="1663"/>
      <c r="AL12" s="1232"/>
      <c r="AM12" s="1665">
        <f>+AM354</f>
        <v>37.010959999999997</v>
      </c>
      <c r="AN12" s="1665">
        <f>+AN354</f>
        <v>36.780520000000003</v>
      </c>
      <c r="AO12" s="1665">
        <f>+AO354</f>
        <v>32.918039999999998</v>
      </c>
      <c r="AP12" s="1666">
        <f>+AP354</f>
        <v>42.904800000000002</v>
      </c>
      <c r="AQ12" s="1663">
        <f>+SUM(AM12:AP12)</f>
        <v>149.61431999999999</v>
      </c>
      <c r="AR12" s="1232"/>
      <c r="AS12" s="1665">
        <f>+AS354</f>
        <v>31.711799999999997</v>
      </c>
      <c r="AT12" s="1665">
        <f>+AT354</f>
        <v>33.861240000000002</v>
      </c>
      <c r="AU12" s="1665">
        <f>+AU354</f>
        <v>37.555050000000001</v>
      </c>
      <c r="AV12" s="1666">
        <f>+AV354</f>
        <v>50.163000000000011</v>
      </c>
      <c r="AW12" s="1663">
        <f>+SUM(AS12:AV12)</f>
        <v>153.29109</v>
      </c>
      <c r="AX12" s="1232"/>
      <c r="AY12" s="1665">
        <f>+AY354</f>
        <v>35.570640000000004</v>
      </c>
      <c r="AZ12" s="1665">
        <f>+AZ354</f>
        <v>43.009820000000005</v>
      </c>
      <c r="BA12" s="1665">
        <f>+BA354</f>
        <v>39.557569999999998</v>
      </c>
      <c r="BB12" s="1666">
        <f>+BB354</f>
        <v>48.514479999999992</v>
      </c>
      <c r="BC12" s="1663">
        <f>+SUM(AY12:BB12)</f>
        <v>166.65251000000001</v>
      </c>
      <c r="BD12" s="1232"/>
      <c r="BE12" s="1665">
        <f>+BE354</f>
        <v>33.393360000000001</v>
      </c>
      <c r="BF12" s="1665">
        <f>+BF354</f>
        <v>41.133559999999996</v>
      </c>
      <c r="BG12" s="1665">
        <f>+BG354</f>
        <v>38.857319999999994</v>
      </c>
      <c r="BH12" s="1666">
        <f>+BH354</f>
        <v>50.761900000000004</v>
      </c>
      <c r="BI12" s="1663">
        <f>+SUM(BE12:BH12)</f>
        <v>164.14613999999997</v>
      </c>
      <c r="BJ12" s="1232"/>
      <c r="BK12" s="1665">
        <f>+BK354</f>
        <v>34.911029999999997</v>
      </c>
      <c r="BL12" s="1665">
        <f>+BL354</f>
        <v>39.748439999999995</v>
      </c>
      <c r="BM12" s="1665">
        <f>+BM354</f>
        <v>43.778410000000001</v>
      </c>
      <c r="BN12" s="1666">
        <f>+BN354</f>
        <v>57.729600000000005</v>
      </c>
      <c r="BO12" s="1663">
        <f>+SUM(BK12:BN12)</f>
        <v>176.16748000000001</v>
      </c>
      <c r="BP12" s="1232"/>
      <c r="BQ12" s="1665">
        <f>+BQ354</f>
        <v>35.847479999999997</v>
      </c>
      <c r="BR12" s="1665">
        <f>+BR354</f>
        <v>38.334719999999997</v>
      </c>
      <c r="BS12" s="1665">
        <f>+BS354</f>
        <v>40.89293</v>
      </c>
      <c r="BT12" s="1666">
        <f>+BT354</f>
        <v>49.835500000000003</v>
      </c>
      <c r="BU12" s="1663">
        <f>+SUM(BQ12:BT12)</f>
        <v>164.91063</v>
      </c>
      <c r="BV12" s="1232"/>
      <c r="BW12" s="1665">
        <f>+BW354</f>
        <v>35.805480000000003</v>
      </c>
      <c r="BX12" s="1665">
        <f>+BX354</f>
        <v>42.637529999999977</v>
      </c>
      <c r="BY12" s="1665">
        <f>+BY354</f>
        <v>40.642199999999995</v>
      </c>
      <c r="BZ12" s="1666">
        <f>+BZ354</f>
        <v>47.646949999999997</v>
      </c>
      <c r="CA12" s="1663">
        <f>+SUM(BW12:BZ12)</f>
        <v>166.73215999999999</v>
      </c>
      <c r="CB12" s="1232"/>
      <c r="CC12" s="1665">
        <f>+CC354</f>
        <v>34.684425000000019</v>
      </c>
      <c r="CD12" s="1665">
        <f>+CD354</f>
        <v>40.204689999999999</v>
      </c>
      <c r="CE12" s="1665">
        <f>+CE354</f>
        <v>42.634799999999991</v>
      </c>
      <c r="CF12" s="1666">
        <f>+CF354</f>
        <v>57.184272000000007</v>
      </c>
      <c r="CG12" s="1663">
        <f>+SUM(CC12:CF12)</f>
        <v>174.70818700000001</v>
      </c>
      <c r="CH12" s="1232"/>
      <c r="CI12" s="1665">
        <f>+CI354</f>
        <v>36.874096968030067</v>
      </c>
      <c r="CJ12" s="1665">
        <f>+CJ354</f>
        <v>42.463986136983522</v>
      </c>
      <c r="CK12" s="1665">
        <f>+CK354</f>
        <v>45.545917522180638</v>
      </c>
      <c r="CL12" s="1666">
        <f>+CL354</f>
        <v>60.570627815202812</v>
      </c>
      <c r="CM12" s="1663">
        <f>+SUM(CI12:CL12)</f>
        <v>185.45462844239705</v>
      </c>
      <c r="CN12" s="1232"/>
      <c r="CO12" s="1665">
        <f>+CO354</f>
        <v>39.050130126410004</v>
      </c>
      <c r="CP12" s="1665">
        <f>+CP354</f>
        <v>44.758957040704367</v>
      </c>
      <c r="CQ12" s="1665">
        <f>+CQ354</f>
        <v>46.526322103856756</v>
      </c>
      <c r="CR12" s="1666">
        <f>+CR354</f>
        <v>61.61515734369295</v>
      </c>
      <c r="CS12" s="1663">
        <f>+SUM(CO12:CR12)</f>
        <v>191.95056661466407</v>
      </c>
      <c r="CT12" s="1232"/>
      <c r="CU12" s="1665">
        <f>+CU354</f>
        <v>39.977978914091175</v>
      </c>
      <c r="CV12" s="1665">
        <f>+CV354</f>
        <v>45.805891210298718</v>
      </c>
      <c r="CW12" s="1665">
        <f>+CW354</f>
        <v>47.607908861596009</v>
      </c>
      <c r="CX12" s="1666">
        <f>+CX354</f>
        <v>62.996728278426431</v>
      </c>
      <c r="CY12" s="1663">
        <f>+SUM(CU12:CX12)</f>
        <v>196.38850726441234</v>
      </c>
      <c r="CZ12" s="48"/>
      <c r="DA12"/>
      <c r="DB12"/>
      <c r="DC12"/>
      <c r="DD12" s="48"/>
      <c r="DE12" s="48"/>
      <c r="DF12" s="48"/>
      <c r="DG12" s="48"/>
      <c r="DH12" s="48"/>
      <c r="DI12" s="48"/>
      <c r="DJ12" s="48"/>
      <c r="DK12" s="48"/>
    </row>
    <row r="13" spans="1:115" s="5" customFormat="1" x14ac:dyDescent="0.2">
      <c r="A13" s="1139" t="s">
        <v>634</v>
      </c>
      <c r="B13" s="58"/>
      <c r="C13" s="558"/>
      <c r="D13" s="558"/>
      <c r="E13" s="558"/>
      <c r="F13" s="558"/>
      <c r="G13" s="629"/>
      <c r="H13" s="557"/>
      <c r="I13" s="704"/>
      <c r="J13" s="558"/>
      <c r="K13" s="558"/>
      <c r="L13" s="558"/>
      <c r="M13" s="629"/>
      <c r="N13" s="557"/>
      <c r="O13" s="704"/>
      <c r="P13" s="558"/>
      <c r="Q13" s="558"/>
      <c r="R13" s="558"/>
      <c r="S13" s="1134"/>
      <c r="T13" s="1135"/>
      <c r="U13" s="704"/>
      <c r="V13" s="558"/>
      <c r="W13" s="558"/>
      <c r="X13" s="558"/>
      <c r="Y13" s="1134"/>
      <c r="Z13" s="579"/>
      <c r="AA13" s="685"/>
      <c r="AB13" s="578"/>
      <c r="AC13" s="578"/>
      <c r="AD13" s="582"/>
      <c r="AE13" s="580"/>
      <c r="AF13" s="557"/>
      <c r="AG13" s="685"/>
      <c r="AH13" s="578"/>
      <c r="AI13" s="578"/>
      <c r="AJ13" s="582"/>
      <c r="AK13" s="580"/>
      <c r="AL13" s="557"/>
      <c r="AM13" s="1667">
        <f>+ROUND(AM12-RevBuild!AM23,3)</f>
        <v>0</v>
      </c>
      <c r="AN13" s="1668">
        <f>+ROUND(AN12-RevBuild!AN23,3)</f>
        <v>0</v>
      </c>
      <c r="AO13" s="1668">
        <f>+ROUND(AO12-RevBuild!AO23,3)</f>
        <v>0</v>
      </c>
      <c r="AP13" s="1668">
        <f>+ROUND(AP12-RevBuild!AP23,3)</f>
        <v>0</v>
      </c>
      <c r="AQ13" s="1669">
        <f>+ROUND(AQ12-RevBuild!AQ23,3)</f>
        <v>0</v>
      </c>
      <c r="AR13" s="557"/>
      <c r="AS13" s="1667">
        <f>+ROUND(AS12-RevBuild!AS23,3)</f>
        <v>0</v>
      </c>
      <c r="AT13" s="1668">
        <f>+ROUND(AT12-RevBuild!AT23,3)</f>
        <v>0</v>
      </c>
      <c r="AU13" s="1668">
        <f>+ROUND(AU12-RevBuild!AU23,3)</f>
        <v>0</v>
      </c>
      <c r="AV13" s="1668">
        <f>+ROUND(AV12-RevBuild!AV23,3)</f>
        <v>0</v>
      </c>
      <c r="AW13" s="1669">
        <f>+ROUND(AW12-RevBuild!AW23,3)</f>
        <v>0</v>
      </c>
      <c r="AX13" s="557"/>
      <c r="AY13" s="1667">
        <f>+ROUND(AY12-RevBuild!AY23,3)</f>
        <v>0</v>
      </c>
      <c r="AZ13" s="1668">
        <f>+ROUND(AZ12-RevBuild!AZ23,3)</f>
        <v>0</v>
      </c>
      <c r="BA13" s="1668">
        <f>+ROUND(BA12-RevBuild!BA23,3)</f>
        <v>0</v>
      </c>
      <c r="BB13" s="1668">
        <f>+ROUND(BB12-RevBuild!BB23,3)</f>
        <v>0</v>
      </c>
      <c r="BC13" s="1669">
        <f>+ROUND(BC12-RevBuild!BC23,3)</f>
        <v>0</v>
      </c>
      <c r="BD13" s="557"/>
      <c r="BE13" s="1667">
        <f>+ROUND(BE12-RevBuild!BE23,3)</f>
        <v>0</v>
      </c>
      <c r="BF13" s="1668">
        <f>+ROUND(BF12-RevBuild!BF23,3)</f>
        <v>0</v>
      </c>
      <c r="BG13" s="1668">
        <f>+ROUND(BG12-RevBuild!BG23,3)</f>
        <v>0</v>
      </c>
      <c r="BH13" s="1668">
        <f>+ROUND(BH12-RevBuild!BH23,3)</f>
        <v>0</v>
      </c>
      <c r="BI13" s="1669">
        <f>+ROUND(BI12-RevBuild!BI23,3)</f>
        <v>0</v>
      </c>
      <c r="BJ13" s="557"/>
      <c r="BK13" s="1667">
        <f>+ROUND(BK12-RevBuild!BK23,3)</f>
        <v>0</v>
      </c>
      <c r="BL13" s="1668">
        <f>+ROUND(BL12-RevBuild!BL23,3)</f>
        <v>0</v>
      </c>
      <c r="BM13" s="1668">
        <f>+ROUND(BM12-RevBuild!BM23,3)</f>
        <v>0</v>
      </c>
      <c r="BN13" s="1668">
        <f>+ROUND(BN12-RevBuild!BN23,3)</f>
        <v>0</v>
      </c>
      <c r="BO13" s="1669">
        <f>+ROUND(BO12-RevBuild!BO23,3)</f>
        <v>0</v>
      </c>
      <c r="BP13" s="557"/>
      <c r="BQ13" s="1667">
        <f>+ROUND(BQ12-RevBuild!BQ23,3)</f>
        <v>0</v>
      </c>
      <c r="BR13" s="1668">
        <f>+ROUND(BR12-RevBuild!BR23,3)</f>
        <v>0</v>
      </c>
      <c r="BS13" s="1668">
        <f>+ROUND(BS12-RevBuild!BS23,3)</f>
        <v>0</v>
      </c>
      <c r="BT13" s="1668">
        <f>+ROUND(BT12-RevBuild!BT23,3)</f>
        <v>0</v>
      </c>
      <c r="BU13" s="1669">
        <f>+ROUND(BU12-RevBuild!BU23,3)</f>
        <v>0</v>
      </c>
      <c r="BV13" s="557"/>
      <c r="BW13" s="1667">
        <f>+ROUND(BW12-RevBuild!BW23,3)</f>
        <v>0</v>
      </c>
      <c r="BX13" s="1668">
        <f>+ROUND(BX12-RevBuild!BX23,3)</f>
        <v>0</v>
      </c>
      <c r="BY13" s="1668">
        <f>+ROUND(BY12-RevBuild!BY23,3)</f>
        <v>0</v>
      </c>
      <c r="BZ13" s="1668">
        <f>+ROUND(BZ12-RevBuild!BZ23,3)</f>
        <v>0</v>
      </c>
      <c r="CA13" s="1669">
        <f>+ROUND(CA12-RevBuild!CA23,3)</f>
        <v>0</v>
      </c>
      <c r="CB13" s="557"/>
      <c r="CC13" s="1667">
        <f>+ROUND(CC12-RevBuild!CC23,3)</f>
        <v>0</v>
      </c>
      <c r="CD13" s="1668">
        <f>+ROUND(CD12-RevBuild!CD23,3)</f>
        <v>0</v>
      </c>
      <c r="CE13" s="1668">
        <f>+ROUND(CE12-RevBuild!CE23,3)</f>
        <v>0</v>
      </c>
      <c r="CF13" s="1668">
        <f>+ROUND(CF12-RevBuild!CF23,3)</f>
        <v>0</v>
      </c>
      <c r="CG13" s="1669">
        <f>+ROUND(CG12-RevBuild!CG23,3)</f>
        <v>0</v>
      </c>
      <c r="CH13" s="557"/>
      <c r="CI13" s="1667">
        <f>+ROUND(CI12-RevBuild!CI23,3)</f>
        <v>0</v>
      </c>
      <c r="CJ13" s="1668">
        <f>+ROUND(CJ12-RevBuild!CJ23,3)</f>
        <v>0</v>
      </c>
      <c r="CK13" s="1668">
        <f>+ROUND(CK12-RevBuild!CK23,3)</f>
        <v>0</v>
      </c>
      <c r="CL13" s="1668">
        <f>+ROUND(CL12-RevBuild!CL23,3)</f>
        <v>0</v>
      </c>
      <c r="CM13" s="1669">
        <f>+ROUND(CM12-RevBuild!CM23,3)</f>
        <v>0</v>
      </c>
      <c r="CN13" s="557"/>
      <c r="CO13" s="1667">
        <f>+ROUND(CO12-RevBuild!CO23,3)</f>
        <v>0</v>
      </c>
      <c r="CP13" s="1668">
        <f>+ROUND(CP12-RevBuild!CP23,3)</f>
        <v>0</v>
      </c>
      <c r="CQ13" s="1668">
        <f>+ROUND(CQ12-RevBuild!CQ23,3)</f>
        <v>0</v>
      </c>
      <c r="CR13" s="1668">
        <f>+ROUND(CR12-RevBuild!CR23,3)</f>
        <v>0</v>
      </c>
      <c r="CS13" s="1669">
        <f>+ROUND(CS12-RevBuild!CS23,3)</f>
        <v>0</v>
      </c>
      <c r="CT13" s="557"/>
      <c r="CU13" s="1667">
        <f>+ROUND(CU12-RevBuild!CU23,3)</f>
        <v>0</v>
      </c>
      <c r="CV13" s="1668">
        <f>+ROUND(CV12-RevBuild!CV23,3)</f>
        <v>0</v>
      </c>
      <c r="CW13" s="1668">
        <f>+ROUND(CW12-RevBuild!CW23,3)</f>
        <v>0</v>
      </c>
      <c r="CX13" s="1668">
        <f>+ROUND(CX12-RevBuild!CX23,3)</f>
        <v>0</v>
      </c>
      <c r="CY13" s="1669">
        <f>+ROUND(CY12-RevBuild!CY23,3)</f>
        <v>0</v>
      </c>
      <c r="CZ13" s="48"/>
      <c r="DA13"/>
      <c r="DB13"/>
      <c r="DC13"/>
      <c r="DD13" s="48"/>
      <c r="DE13" s="48"/>
      <c r="DF13" s="48"/>
      <c r="DG13" s="48"/>
      <c r="DH13" s="48"/>
      <c r="DI13" s="48"/>
      <c r="DJ13" s="48"/>
      <c r="DK13" s="48"/>
    </row>
    <row r="14" spans="1:115" s="5" customFormat="1" x14ac:dyDescent="0.2">
      <c r="A14" s="432" t="s">
        <v>622</v>
      </c>
      <c r="B14" s="58"/>
      <c r="C14" s="558"/>
      <c r="D14" s="558"/>
      <c r="E14" s="558"/>
      <c r="F14" s="558"/>
      <c r="G14" s="629"/>
      <c r="H14" s="557"/>
      <c r="I14" s="704"/>
      <c r="J14" s="558"/>
      <c r="K14" s="558"/>
      <c r="L14" s="558"/>
      <c r="M14" s="629"/>
      <c r="N14" s="557"/>
      <c r="O14" s="704"/>
      <c r="P14" s="558"/>
      <c r="Q14" s="558"/>
      <c r="R14" s="558"/>
      <c r="S14" s="1134"/>
      <c r="T14" s="1135"/>
      <c r="U14" s="704"/>
      <c r="V14" s="558"/>
      <c r="W14" s="558"/>
      <c r="X14" s="558"/>
      <c r="Y14" s="1134"/>
      <c r="Z14" s="579"/>
      <c r="AA14" s="685"/>
      <c r="AB14" s="578"/>
      <c r="AC14" s="578"/>
      <c r="AD14" s="582"/>
      <c r="AE14" s="580"/>
      <c r="AF14" s="557"/>
      <c r="AG14" s="685"/>
      <c r="AH14" s="578"/>
      <c r="AI14" s="578"/>
      <c r="AJ14" s="582"/>
      <c r="AK14" s="580"/>
      <c r="AL14" s="557"/>
      <c r="AM14" s="1682">
        <f>+AM387</f>
        <v>0.71572528786067691</v>
      </c>
      <c r="AN14" s="1677">
        <f>+AN387</f>
        <v>0.72438542813621798</v>
      </c>
      <c r="AO14" s="1677">
        <f>+AO387</f>
        <v>0.71639745258223153</v>
      </c>
      <c r="AP14" s="1677">
        <f>+AP387</f>
        <v>0.71818537785981995</v>
      </c>
      <c r="AQ14" s="1683">
        <f>+AQ387</f>
        <v>0.71862025707099741</v>
      </c>
      <c r="AR14" s="557"/>
      <c r="AS14" s="1682">
        <f>+AS387</f>
        <v>0.72256257922918277</v>
      </c>
      <c r="AT14" s="1677">
        <f>+AT387</f>
        <v>0.72900697080201426</v>
      </c>
      <c r="AU14" s="1677">
        <f>+AU387</f>
        <v>0.71527424407636275</v>
      </c>
      <c r="AV14" s="1677">
        <f>+AV387</f>
        <v>0.68542551282818021</v>
      </c>
      <c r="AW14" s="1683">
        <f>+AW387</f>
        <v>0.71170005137863146</v>
      </c>
      <c r="AX14" s="557"/>
      <c r="AY14" s="1682">
        <f>+AY387</f>
        <v>0.7076735195093482</v>
      </c>
      <c r="AZ14" s="1677">
        <f>+AZ387</f>
        <v>0.71310133360241912</v>
      </c>
      <c r="BA14" s="1677">
        <f>+BA387</f>
        <v>0.71825468551278548</v>
      </c>
      <c r="BB14" s="1677">
        <f>+BB387</f>
        <v>0.7200575992981888</v>
      </c>
      <c r="BC14" s="1683">
        <f>+BC387</f>
        <v>0.71499040221418686</v>
      </c>
      <c r="BD14" s="557"/>
      <c r="BE14" s="1682">
        <f>+BE387</f>
        <v>0.72210253775001976</v>
      </c>
      <c r="BF14" s="1677">
        <f>+BF387</f>
        <v>0.70608889675486386</v>
      </c>
      <c r="BG14" s="1677">
        <f>+BG387</f>
        <v>0.7180114325949396</v>
      </c>
      <c r="BH14" s="1677">
        <f>+BH387</f>
        <v>0.72910627852779342</v>
      </c>
      <c r="BI14" s="1683">
        <f>+BI387</f>
        <v>0.7191537863292875</v>
      </c>
      <c r="BJ14" s="557"/>
      <c r="BK14" s="1682">
        <f>+BK387</f>
        <v>0.72412587082076918</v>
      </c>
      <c r="BL14" s="1677">
        <f>+BL387</f>
        <v>0.71510429088537808</v>
      </c>
      <c r="BM14" s="1677">
        <f>+BM387</f>
        <v>0.72448085711655585</v>
      </c>
      <c r="BN14" s="1677">
        <f>+BN387</f>
        <v>0.67674953576674701</v>
      </c>
      <c r="BO14" s="1683">
        <f>+BO387</f>
        <v>0.7092967715241012</v>
      </c>
      <c r="BP14" s="557"/>
      <c r="BQ14" s="1682">
        <f>+BQ387</f>
        <v>0.72999943092234099</v>
      </c>
      <c r="BR14" s="1677">
        <f>+BR387</f>
        <v>0.70663878593609131</v>
      </c>
      <c r="BS14" s="1677">
        <f>+BS387</f>
        <v>0.70684541313131632</v>
      </c>
      <c r="BT14" s="1677">
        <f>+BT387</f>
        <v>0.70610329985652798</v>
      </c>
      <c r="BU14" s="1683">
        <f>+BU387</f>
        <v>0.71199051548258496</v>
      </c>
      <c r="BV14" s="557"/>
      <c r="BW14" s="1682">
        <f>+BW387</f>
        <v>0.69526675804932658</v>
      </c>
      <c r="BX14" s="1677">
        <f>+BX387</f>
        <v>0.70086599763166391</v>
      </c>
      <c r="BY14" s="1677">
        <f>+BY387</f>
        <v>0.71279802766582512</v>
      </c>
      <c r="BZ14" s="1677">
        <f>+BZ387</f>
        <v>0.71158888449313129</v>
      </c>
      <c r="CA14" s="1683">
        <f>+CA387</f>
        <v>0.70557500013079311</v>
      </c>
      <c r="CB14" s="557"/>
      <c r="CC14" s="1682">
        <f>+CC387</f>
        <v>0.70561390307032623</v>
      </c>
      <c r="CD14" s="1677">
        <f>+CD387</f>
        <v>0.70595470329456589</v>
      </c>
      <c r="CE14" s="1677">
        <f>+CE387</f>
        <v>0.70993413830954999</v>
      </c>
      <c r="CF14" s="1677">
        <f>+CF387</f>
        <v>0.70562535097063039</v>
      </c>
      <c r="CG14" s="1683">
        <f>+CG387</f>
        <v>0.70681015199816821</v>
      </c>
      <c r="CH14" s="557"/>
      <c r="CI14" s="1682">
        <f>+CI387</f>
        <v>0.71865084377551836</v>
      </c>
      <c r="CJ14" s="1677">
        <f>+CJ387</f>
        <v>0.71827493243933149</v>
      </c>
      <c r="CK14" s="1677">
        <f>+CK387</f>
        <v>0.70988754446305447</v>
      </c>
      <c r="CL14" s="1677">
        <f>+CL387</f>
        <v>0.70371962479360195</v>
      </c>
      <c r="CM14" s="1683">
        <f>+CM387</f>
        <v>0.7122012984476348</v>
      </c>
      <c r="CN14" s="557"/>
      <c r="CO14" s="1682">
        <f>+CO387</f>
        <v>0.7192029375238651</v>
      </c>
      <c r="CP14" s="1677">
        <f>+CP387</f>
        <v>0.71899721832071151</v>
      </c>
      <c r="CQ14" s="1677">
        <f>+CQ387</f>
        <v>0.71337435483148381</v>
      </c>
      <c r="CR14" s="1677">
        <f>+CR387</f>
        <v>0.70841556600912836</v>
      </c>
      <c r="CS14" s="1683">
        <f>+CS387</f>
        <v>0.71470509646603408</v>
      </c>
      <c r="CT14" s="557"/>
      <c r="CU14" s="1682">
        <f>+CU387</f>
        <v>0.72107534088268532</v>
      </c>
      <c r="CV14" s="1677">
        <f>+CV387</f>
        <v>0.72109864824900805</v>
      </c>
      <c r="CW14" s="1677">
        <f>+CW387</f>
        <v>0.71573369951621679</v>
      </c>
      <c r="CX14" s="1677">
        <f>+CX387</f>
        <v>0.71125412118181686</v>
      </c>
      <c r="CY14" s="1683">
        <f>+CY387</f>
        <v>0.71703462458189982</v>
      </c>
      <c r="CZ14" s="48"/>
      <c r="DA14"/>
      <c r="DB14"/>
      <c r="DC14"/>
      <c r="DD14" s="48"/>
      <c r="DE14" s="48"/>
      <c r="DF14" s="48"/>
      <c r="DG14" s="48"/>
      <c r="DH14" s="48"/>
      <c r="DI14" s="48"/>
      <c r="DJ14" s="48"/>
      <c r="DK14" s="48"/>
    </row>
    <row r="15" spans="1:115" s="5" customFormat="1" x14ac:dyDescent="0.2">
      <c r="A15" s="1139" t="s">
        <v>634</v>
      </c>
      <c r="B15" s="58"/>
      <c r="C15" s="558"/>
      <c r="D15" s="558"/>
      <c r="E15" s="558"/>
      <c r="F15" s="558"/>
      <c r="G15" s="629"/>
      <c r="H15" s="557"/>
      <c r="I15" s="704"/>
      <c r="J15" s="558"/>
      <c r="K15" s="558"/>
      <c r="L15" s="558"/>
      <c r="M15" s="629"/>
      <c r="N15" s="557"/>
      <c r="O15" s="704"/>
      <c r="P15" s="558"/>
      <c r="Q15" s="558"/>
      <c r="R15" s="558"/>
      <c r="S15" s="1134"/>
      <c r="T15" s="1135"/>
      <c r="U15" s="704"/>
      <c r="V15" s="558"/>
      <c r="W15" s="558"/>
      <c r="X15" s="558"/>
      <c r="Y15" s="1134"/>
      <c r="Z15" s="579"/>
      <c r="AA15" s="685"/>
      <c r="AB15" s="578"/>
      <c r="AC15" s="578"/>
      <c r="AD15" s="582"/>
      <c r="AE15" s="580"/>
      <c r="AF15" s="557"/>
      <c r="AG15" s="685"/>
      <c r="AH15" s="578"/>
      <c r="AI15" s="578"/>
      <c r="AJ15" s="582"/>
      <c r="AK15" s="580"/>
      <c r="AL15" s="557"/>
      <c r="AM15" s="1667">
        <f>+ROUND(AM14-'P&amp;L'!AM40,3)</f>
        <v>0</v>
      </c>
      <c r="AN15" s="1668">
        <f>+ROUND(AN14-'P&amp;L'!AN40,3)</f>
        <v>7.0000000000000001E-3</v>
      </c>
      <c r="AO15" s="1668">
        <f>+ROUND(AO14-'P&amp;L'!AO40,3)</f>
        <v>0</v>
      </c>
      <c r="AP15" s="1668">
        <f>+ROUND(AP14-'P&amp;L'!AP40,3)</f>
        <v>0</v>
      </c>
      <c r="AQ15" s="1669">
        <f>+ROUND(AQ14-'P&amp;L'!AQ40,3)</f>
        <v>2E-3</v>
      </c>
      <c r="AR15" s="557"/>
      <c r="AS15" s="1667">
        <f>+ROUND(AS14-'P&amp;L'!AS40,3)</f>
        <v>0</v>
      </c>
      <c r="AT15" s="1668">
        <f>+ROUND(AT14-'P&amp;L'!AT40,3)</f>
        <v>0</v>
      </c>
      <c r="AU15" s="1668">
        <f>+ROUND(AU14-'P&amp;L'!AU40,3)</f>
        <v>0</v>
      </c>
      <c r="AV15" s="1668">
        <f>+ROUND(AV14-'P&amp;L'!AV40,3)</f>
        <v>0</v>
      </c>
      <c r="AW15" s="1669">
        <f>+ROUND(AW14-'P&amp;L'!AW40,3)</f>
        <v>0</v>
      </c>
      <c r="AX15" s="557"/>
      <c r="AY15" s="1667">
        <f>+ROUND(AY14-'P&amp;L'!AY40,3)</f>
        <v>0</v>
      </c>
      <c r="AZ15" s="1668">
        <f>+ROUND(AZ14-'P&amp;L'!AZ40,3)</f>
        <v>0</v>
      </c>
      <c r="BA15" s="1668">
        <f>+ROUND(BA14-'P&amp;L'!BA40,3)</f>
        <v>0</v>
      </c>
      <c r="BB15" s="1668">
        <f>+ROUND(BB14-'P&amp;L'!BB40,3)</f>
        <v>0</v>
      </c>
      <c r="BC15" s="1669">
        <f>+ROUND(BC14-'P&amp;L'!BC40,3)</f>
        <v>0</v>
      </c>
      <c r="BD15" s="557"/>
      <c r="BE15" s="1667">
        <f>+ROUND(BE14-'P&amp;L'!BE40,3)</f>
        <v>0</v>
      </c>
      <c r="BF15" s="1668">
        <f>+ROUND(BF14-'P&amp;L'!BF40,3)</f>
        <v>0</v>
      </c>
      <c r="BG15" s="1668">
        <f>+ROUND(BG14-'P&amp;L'!BG40,3)</f>
        <v>0</v>
      </c>
      <c r="BH15" s="1668">
        <f>+ROUND(BH14-'P&amp;L'!BH40,3)</f>
        <v>0</v>
      </c>
      <c r="BI15" s="1669">
        <f>+ROUND(BI14-'P&amp;L'!BI40,3)</f>
        <v>0</v>
      </c>
      <c r="BJ15" s="557"/>
      <c r="BK15" s="1667">
        <f>+ROUND(BK14-'P&amp;L'!BK40,3)</f>
        <v>0</v>
      </c>
      <c r="BL15" s="1668">
        <f>+ROUND(BL14-'P&amp;L'!BL40,3)</f>
        <v>0</v>
      </c>
      <c r="BM15" s="1668">
        <f>+ROUND(BM14-'P&amp;L'!BM40,3)</f>
        <v>0</v>
      </c>
      <c r="BN15" s="1668">
        <f>+ROUND(BN14-'P&amp;L'!BN40,3)</f>
        <v>0</v>
      </c>
      <c r="BO15" s="1669">
        <f>+ROUND(BO14-'P&amp;L'!BO40,3)</f>
        <v>0</v>
      </c>
      <c r="BP15" s="557"/>
      <c r="BQ15" s="1667">
        <f>+ROUND(BQ14-'P&amp;L'!BQ40,3)</f>
        <v>0</v>
      </c>
      <c r="BR15" s="1668">
        <f>+ROUND(BR14-'P&amp;L'!BR40,3)</f>
        <v>0</v>
      </c>
      <c r="BS15" s="1668">
        <f>+ROUND(BS14-'P&amp;L'!BS40,3)</f>
        <v>0</v>
      </c>
      <c r="BT15" s="1668">
        <f>+ROUND(BT14-'P&amp;L'!BT40,3)</f>
        <v>0</v>
      </c>
      <c r="BU15" s="1669">
        <f>+ROUND(BU14-'P&amp;L'!BU40,3)</f>
        <v>0</v>
      </c>
      <c r="BV15" s="557"/>
      <c r="BW15" s="1667">
        <f>+ROUND(BW14-'P&amp;L'!BW40,3)</f>
        <v>0</v>
      </c>
      <c r="BX15" s="1668">
        <f>+ROUND(BX14-'P&amp;L'!BX40,3)</f>
        <v>0</v>
      </c>
      <c r="BY15" s="1668">
        <f>+ROUND(BY14-'P&amp;L'!BY40,3)</f>
        <v>0</v>
      </c>
      <c r="BZ15" s="1668">
        <f>+ROUND(BZ14-'P&amp;L'!BZ40,3)</f>
        <v>0</v>
      </c>
      <c r="CA15" s="1669">
        <f>+ROUND(CA14-'P&amp;L'!CA40,3)</f>
        <v>0</v>
      </c>
      <c r="CB15" s="557"/>
      <c r="CC15" s="1667">
        <f>+ROUND(CC14-'P&amp;L'!CC40,3)</f>
        <v>0</v>
      </c>
      <c r="CD15" s="1668">
        <f>+ROUND(CD14-'P&amp;L'!CD40,3)</f>
        <v>0</v>
      </c>
      <c r="CE15" s="1668">
        <f>+ROUND(CE14-'P&amp;L'!CE40,3)</f>
        <v>0</v>
      </c>
      <c r="CF15" s="1668">
        <f>+ROUND(CF14-'P&amp;L'!CF40,3)</f>
        <v>0</v>
      </c>
      <c r="CG15" s="1669">
        <f>+ROUND(CG14-'P&amp;L'!CG40,3)</f>
        <v>0</v>
      </c>
      <c r="CH15" s="557"/>
      <c r="CI15" s="1667">
        <f>+ROUND(CI14-'P&amp;L'!CI40,3)</f>
        <v>0</v>
      </c>
      <c r="CJ15" s="1668">
        <f>+ROUND(CJ14-'P&amp;L'!CJ40,3)</f>
        <v>0</v>
      </c>
      <c r="CK15" s="1668">
        <f>+ROUND(CK14-'P&amp;L'!CK40,3)</f>
        <v>0</v>
      </c>
      <c r="CL15" s="1668">
        <f>+ROUND(CL14-'P&amp;L'!CL40,3)</f>
        <v>0</v>
      </c>
      <c r="CM15" s="1669">
        <f>+ROUND(CM14-'P&amp;L'!CM40,3)</f>
        <v>0</v>
      </c>
      <c r="CN15" s="557"/>
      <c r="CO15" s="1667">
        <f>+ROUND(CO14-'P&amp;L'!CO40,3)</f>
        <v>0</v>
      </c>
      <c r="CP15" s="1668">
        <f>+ROUND(CP14-'P&amp;L'!CP40,3)</f>
        <v>0</v>
      </c>
      <c r="CQ15" s="1668">
        <f>+ROUND(CQ14-'P&amp;L'!CQ40,3)</f>
        <v>0</v>
      </c>
      <c r="CR15" s="1668">
        <f>+ROUND(CR14-'P&amp;L'!CR40,3)</f>
        <v>0</v>
      </c>
      <c r="CS15" s="1669">
        <f>+ROUND(CS14-'P&amp;L'!CS40,3)</f>
        <v>0</v>
      </c>
      <c r="CT15" s="557"/>
      <c r="CU15" s="1667">
        <f>+ROUND(CU14-'P&amp;L'!CU40,3)</f>
        <v>0</v>
      </c>
      <c r="CV15" s="1668">
        <f>+ROUND(CV14-'P&amp;L'!CV40,3)</f>
        <v>0</v>
      </c>
      <c r="CW15" s="1668">
        <f>+ROUND(CW14-'P&amp;L'!CW40,3)</f>
        <v>0</v>
      </c>
      <c r="CX15" s="1668">
        <f>+ROUND(CX14-'P&amp;L'!CX40,3)</f>
        <v>0</v>
      </c>
      <c r="CY15" s="1669">
        <f>+ROUND(CY14-'P&amp;L'!CY40,3)</f>
        <v>0</v>
      </c>
      <c r="CZ15" s="48"/>
      <c r="DA15"/>
      <c r="DB15"/>
      <c r="DC15"/>
      <c r="DD15" s="48"/>
      <c r="DE15" s="48"/>
      <c r="DF15" s="48"/>
      <c r="DG15" s="48"/>
      <c r="DH15" s="48"/>
      <c r="DI15" s="48"/>
      <c r="DJ15" s="48"/>
      <c r="DK15" s="48"/>
    </row>
    <row r="16" spans="1:115" s="5" customFormat="1" x14ac:dyDescent="0.2">
      <c r="A16" s="432" t="s">
        <v>623</v>
      </c>
      <c r="B16" s="58"/>
      <c r="C16" s="558"/>
      <c r="D16" s="558"/>
      <c r="E16" s="558"/>
      <c r="F16" s="558"/>
      <c r="G16" s="629"/>
      <c r="H16" s="557"/>
      <c r="I16" s="704"/>
      <c r="J16" s="558"/>
      <c r="K16" s="558"/>
      <c r="L16" s="558"/>
      <c r="M16" s="629"/>
      <c r="N16" s="557"/>
      <c r="O16" s="704"/>
      <c r="P16" s="558"/>
      <c r="Q16" s="558"/>
      <c r="R16" s="558"/>
      <c r="S16" s="1134"/>
      <c r="T16" s="1135"/>
      <c r="U16" s="704"/>
      <c r="V16" s="558"/>
      <c r="W16" s="558"/>
      <c r="X16" s="558"/>
      <c r="Y16" s="1134"/>
      <c r="Z16" s="579"/>
      <c r="AA16" s="685"/>
      <c r="AB16" s="578"/>
      <c r="AC16" s="578"/>
      <c r="AD16" s="582"/>
      <c r="AE16" s="580"/>
      <c r="AF16" s="557"/>
      <c r="AG16" s="685"/>
      <c r="AH16" s="578"/>
      <c r="AI16" s="578"/>
      <c r="AJ16" s="582"/>
      <c r="AK16" s="580"/>
      <c r="AL16" s="557"/>
      <c r="AM16" s="1682">
        <f>+AM454</f>
        <v>0.24373969224251416</v>
      </c>
      <c r="AN16" s="1677">
        <f>+AN454</f>
        <v>0.25219056174300958</v>
      </c>
      <c r="AO16" s="1677">
        <f>+AO454</f>
        <v>0.24402789473492348</v>
      </c>
      <c r="AP16" s="1677">
        <f>+AP454</f>
        <v>0.24421043799295172</v>
      </c>
      <c r="AQ16" s="1683">
        <f>+AQ454</f>
        <v>0.24597790572459308</v>
      </c>
      <c r="AR16" s="557"/>
      <c r="AS16" s="1682">
        <f>+AS454</f>
        <v>0.2588840746977466</v>
      </c>
      <c r="AT16" s="1677">
        <f>+AT454</f>
        <v>0.270946958823717</v>
      </c>
      <c r="AU16" s="1677">
        <f>+AU454</f>
        <v>0.27742181144746181</v>
      </c>
      <c r="AV16" s="1677">
        <f>+AV454</f>
        <v>0.24615752646372818</v>
      </c>
      <c r="AW16" s="1683">
        <f>+AW454</f>
        <v>0.26273373644044395</v>
      </c>
      <c r="AX16" s="557"/>
      <c r="AY16" s="1682">
        <f>+AY454</f>
        <v>0.27791122116442096</v>
      </c>
      <c r="AZ16" s="1677">
        <f>+AZ454</f>
        <v>0.27755661381517061</v>
      </c>
      <c r="BA16" s="1677">
        <f>+BA454</f>
        <v>0.27898478091551127</v>
      </c>
      <c r="BB16" s="1677">
        <f>+BB454</f>
        <v>0.26262798240855095</v>
      </c>
      <c r="BC16" s="1683">
        <f>+BC454</f>
        <v>0.27386293341496237</v>
      </c>
      <c r="BD16" s="557"/>
      <c r="BE16" s="1682">
        <f>+BE454</f>
        <v>0.2950727330223733</v>
      </c>
      <c r="BF16" s="1677">
        <f>+BF454</f>
        <v>0.28853520094054591</v>
      </c>
      <c r="BG16" s="1677">
        <f>+BG454</f>
        <v>0.28460429077455679</v>
      </c>
      <c r="BH16" s="1677">
        <f>+BH454</f>
        <v>0.27163837445012895</v>
      </c>
      <c r="BI16" s="1683">
        <f>+BI454</f>
        <v>0.28439034770787153</v>
      </c>
      <c r="BJ16" s="557"/>
      <c r="BK16" s="1682">
        <f>+BK454</f>
        <v>0.28790413803316606</v>
      </c>
      <c r="BL16" s="1677">
        <f>+BL454</f>
        <v>0.28021326119968482</v>
      </c>
      <c r="BM16" s="1677">
        <f>+BM454</f>
        <v>0.2734523707005348</v>
      </c>
      <c r="BN16" s="1677">
        <f>+BN454</f>
        <v>0.27880324824699981</v>
      </c>
      <c r="BO16" s="1683">
        <f>+BO454</f>
        <v>0.27995724187829685</v>
      </c>
      <c r="BP16" s="557"/>
      <c r="BQ16" s="1682">
        <f>+BQ454</f>
        <v>0.29662670848829542</v>
      </c>
      <c r="BR16" s="1677">
        <f>+BR454</f>
        <v>0.28119678453370728</v>
      </c>
      <c r="BS16" s="1677">
        <f>+BS454</f>
        <v>0.28216784661798511</v>
      </c>
      <c r="BT16" s="1677">
        <f>+BT454</f>
        <v>0.26904734576757533</v>
      </c>
      <c r="BU16" s="1683">
        <f>+BU454</f>
        <v>0.28172809905357754</v>
      </c>
      <c r="BV16" s="557"/>
      <c r="BW16" s="1682">
        <f>+BW454</f>
        <v>0.31494508661802606</v>
      </c>
      <c r="BX16" s="1677">
        <f>+BX454</f>
        <v>0.29535722402306142</v>
      </c>
      <c r="BY16" s="1677">
        <f>+BY454</f>
        <v>0.27884907805187709</v>
      </c>
      <c r="BZ16" s="1677">
        <f>+BZ454</f>
        <v>0.26266773983784203</v>
      </c>
      <c r="CA16" s="1683">
        <f>+CA454</f>
        <v>0.28659211210439128</v>
      </c>
      <c r="CB16" s="557"/>
      <c r="CC16" s="1682">
        <f>+CC454</f>
        <v>0.29950114496636454</v>
      </c>
      <c r="CD16" s="1677">
        <f>+CD454</f>
        <v>0.27421440135466785</v>
      </c>
      <c r="CE16" s="1677">
        <f>+CE454</f>
        <v>0.26520581778265645</v>
      </c>
      <c r="CF16" s="1677">
        <f>+CF454</f>
        <v>0.23224371904218699</v>
      </c>
      <c r="CG16" s="1683">
        <f>+CG454</f>
        <v>0.26565193652359231</v>
      </c>
      <c r="CH16" s="557"/>
      <c r="CI16" s="1682">
        <f>+CI454</f>
        <v>0.29204874379235363</v>
      </c>
      <c r="CJ16" s="1677">
        <f>+CJ454</f>
        <v>0.27165832400464107</v>
      </c>
      <c r="CK16" s="1677">
        <f>+CK454</f>
        <v>0.26265497627140105</v>
      </c>
      <c r="CL16" s="1677">
        <f>+CL454</f>
        <v>0.22951395233494845</v>
      </c>
      <c r="CM16" s="1683">
        <f>+CM454</f>
        <v>0.26222920973561648</v>
      </c>
      <c r="CN16" s="557"/>
      <c r="CO16" s="1682">
        <f>+CO454</f>
        <v>0.28743503432714246</v>
      </c>
      <c r="CP16" s="1677">
        <f>+CP454</f>
        <v>0.26684503677010502</v>
      </c>
      <c r="CQ16" s="1677">
        <f>+CQ454</f>
        <v>0.25788238536414898</v>
      </c>
      <c r="CR16" s="1677">
        <f>+CR454</f>
        <v>0.22487962438016085</v>
      </c>
      <c r="CS16" s="1683">
        <f>+CS454</f>
        <v>0.25761990774525495</v>
      </c>
      <c r="CT16" s="557"/>
      <c r="CU16" s="1682">
        <f>+CU454</f>
        <v>0.28376567886450238</v>
      </c>
      <c r="CV16" s="1677">
        <f>+CV454</f>
        <v>0.26310476649581083</v>
      </c>
      <c r="CW16" s="1677">
        <f>+CW454</f>
        <v>0.25435199247735801</v>
      </c>
      <c r="CX16" s="1677">
        <f>+CX454</f>
        <v>0.22124840264955692</v>
      </c>
      <c r="CY16" s="1683">
        <f>+CY454</f>
        <v>0.25404553695087528</v>
      </c>
      <c r="CZ16" s="48"/>
      <c r="DA16"/>
      <c r="DB16"/>
      <c r="DC16"/>
      <c r="DD16" s="48"/>
      <c r="DE16" s="48"/>
      <c r="DF16" s="48"/>
      <c r="DG16" s="48"/>
      <c r="DH16" s="48"/>
      <c r="DI16" s="48"/>
      <c r="DJ16" s="48"/>
      <c r="DK16" s="48"/>
    </row>
    <row r="17" spans="1:115" s="5" customFormat="1" x14ac:dyDescent="0.2">
      <c r="A17" s="1139" t="s">
        <v>634</v>
      </c>
      <c r="B17" s="58"/>
      <c r="C17" s="558"/>
      <c r="D17" s="558"/>
      <c r="E17" s="558"/>
      <c r="F17" s="558"/>
      <c r="G17" s="629"/>
      <c r="H17" s="557"/>
      <c r="I17" s="704"/>
      <c r="J17" s="558"/>
      <c r="K17" s="558"/>
      <c r="L17" s="558"/>
      <c r="M17" s="629"/>
      <c r="N17" s="557"/>
      <c r="O17" s="704"/>
      <c r="P17" s="558"/>
      <c r="Q17" s="558"/>
      <c r="R17" s="558"/>
      <c r="S17" s="1134"/>
      <c r="T17" s="1135"/>
      <c r="U17" s="704"/>
      <c r="V17" s="558"/>
      <c r="W17" s="558"/>
      <c r="X17" s="558"/>
      <c r="Y17" s="1134"/>
      <c r="Z17" s="579"/>
      <c r="AA17" s="685"/>
      <c r="AB17" s="578"/>
      <c r="AC17" s="578"/>
      <c r="AD17" s="582"/>
      <c r="AE17" s="580"/>
      <c r="AF17" s="557"/>
      <c r="AG17" s="685"/>
      <c r="AH17" s="578"/>
      <c r="AI17" s="578"/>
      <c r="AJ17" s="582"/>
      <c r="AK17" s="580"/>
      <c r="AL17" s="557"/>
      <c r="AM17" s="1667">
        <f>+ROUND(AM16-'P&amp;L'!AM43,3)</f>
        <v>0</v>
      </c>
      <c r="AN17" s="1668">
        <f>+ROUND(AN16-'P&amp;L'!AN43,3)</f>
        <v>0</v>
      </c>
      <c r="AO17" s="1668">
        <f>+ROUND(AO16-'P&amp;L'!AO43,3)</f>
        <v>0</v>
      </c>
      <c r="AP17" s="1668">
        <f>+ROUND(AP16-'P&amp;L'!AP43,3)</f>
        <v>0</v>
      </c>
      <c r="AQ17" s="1669">
        <f>+ROUND(AQ16-'P&amp;L'!AQ43,3)</f>
        <v>0</v>
      </c>
      <c r="AR17" s="557"/>
      <c r="AS17" s="1667">
        <f>+ROUND(AS16-'P&amp;L'!AS43,3)</f>
        <v>0</v>
      </c>
      <c r="AT17" s="1668">
        <f>+ROUND(AT16-'P&amp;L'!AT43,3)</f>
        <v>0</v>
      </c>
      <c r="AU17" s="1668">
        <f>+ROUND(AU16-'P&amp;L'!AU43,3)</f>
        <v>0</v>
      </c>
      <c r="AV17" s="1668">
        <f>+ROUND(AV16-'P&amp;L'!AV43,3)</f>
        <v>0</v>
      </c>
      <c r="AW17" s="1669">
        <f>+ROUND(AW16-'P&amp;L'!AW43,3)</f>
        <v>0</v>
      </c>
      <c r="AX17" s="557"/>
      <c r="AY17" s="1667">
        <f>+ROUND(AY16-'P&amp;L'!AY43,3)</f>
        <v>0</v>
      </c>
      <c r="AZ17" s="1668">
        <f>+ROUND(AZ16-'P&amp;L'!AZ43,3)</f>
        <v>0</v>
      </c>
      <c r="BA17" s="1668">
        <f>+ROUND(BA16-'P&amp;L'!BA43,3)</f>
        <v>0</v>
      </c>
      <c r="BB17" s="1668">
        <f>+ROUND(BB16-'P&amp;L'!BB43,3)</f>
        <v>0</v>
      </c>
      <c r="BC17" s="1669">
        <f>+ROUND(BC16-'P&amp;L'!BC43,3)</f>
        <v>0</v>
      </c>
      <c r="BD17" s="557"/>
      <c r="BE17" s="1667">
        <f>+ROUND(BE16-'P&amp;L'!BE43,3)</f>
        <v>0</v>
      </c>
      <c r="BF17" s="1668">
        <f>+ROUND(BF16-'P&amp;L'!BF43,3)</f>
        <v>0</v>
      </c>
      <c r="BG17" s="1668">
        <f>+ROUND(BG16-'P&amp;L'!BG43,3)</f>
        <v>0</v>
      </c>
      <c r="BH17" s="1668">
        <f>+ROUND(BH16-'P&amp;L'!BH43,3)</f>
        <v>0</v>
      </c>
      <c r="BI17" s="1669">
        <f>+ROUND(BI16-'P&amp;L'!BI43,3)</f>
        <v>0</v>
      </c>
      <c r="BJ17" s="557"/>
      <c r="BK17" s="1667">
        <f>+ROUND(BK16-'P&amp;L'!BK43,3)</f>
        <v>0</v>
      </c>
      <c r="BL17" s="1668">
        <f>+ROUND(BL16-'P&amp;L'!BL43,3)</f>
        <v>0</v>
      </c>
      <c r="BM17" s="1668">
        <f>+ROUND(BM16-'P&amp;L'!BM43,3)</f>
        <v>0</v>
      </c>
      <c r="BN17" s="1668">
        <f>+ROUND(BN16-'P&amp;L'!BN43,3)</f>
        <v>0</v>
      </c>
      <c r="BO17" s="1669">
        <f>+ROUND(BO16-'P&amp;L'!BO43,3)</f>
        <v>0</v>
      </c>
      <c r="BP17" s="557"/>
      <c r="BQ17" s="1667">
        <f>+ROUND(BQ16-'P&amp;L'!BQ43,3)</f>
        <v>0</v>
      </c>
      <c r="BR17" s="1668">
        <f>+ROUND(BR16-'P&amp;L'!BR43,3)</f>
        <v>0</v>
      </c>
      <c r="BS17" s="1668">
        <f>+ROUND(BS16-'P&amp;L'!BS43,3)</f>
        <v>0</v>
      </c>
      <c r="BT17" s="1668">
        <f>+ROUND(BT16-'P&amp;L'!BT43,3)</f>
        <v>0</v>
      </c>
      <c r="BU17" s="1669">
        <f>+ROUND(BU16-'P&amp;L'!BU43,3)</f>
        <v>0</v>
      </c>
      <c r="BV17" s="557"/>
      <c r="BW17" s="1667">
        <f>+ROUND(BW16-'P&amp;L'!BW43,3)</f>
        <v>0</v>
      </c>
      <c r="BX17" s="1668">
        <f>+ROUND(BX16-'P&amp;L'!BX43,3)</f>
        <v>0</v>
      </c>
      <c r="BY17" s="1668">
        <f>+ROUND(BY16-'P&amp;L'!BY43,3)</f>
        <v>0</v>
      </c>
      <c r="BZ17" s="1668">
        <f>+ROUND(BZ16-'P&amp;L'!BZ43,3)</f>
        <v>0</v>
      </c>
      <c r="CA17" s="1669">
        <f>+ROUND(CA16-'P&amp;L'!CA43,3)</f>
        <v>0</v>
      </c>
      <c r="CB17" s="557"/>
      <c r="CC17" s="1667">
        <f>+ROUND(CC16-'P&amp;L'!CC43,3)</f>
        <v>0</v>
      </c>
      <c r="CD17" s="1668">
        <f>+ROUND(CD16-'P&amp;L'!CD43,3)</f>
        <v>0</v>
      </c>
      <c r="CE17" s="1668">
        <f>+ROUND(CE16-'P&amp;L'!CE43,3)</f>
        <v>0</v>
      </c>
      <c r="CF17" s="1668">
        <f>+ROUND(CF16-'P&amp;L'!CF43,3)</f>
        <v>0</v>
      </c>
      <c r="CG17" s="1669">
        <f>+ROUND(CG16-'P&amp;L'!CG43,3)</f>
        <v>0</v>
      </c>
      <c r="CH17" s="557"/>
      <c r="CI17" s="1667">
        <f>+ROUND(CI16-'P&amp;L'!CI43,3)</f>
        <v>0</v>
      </c>
      <c r="CJ17" s="1668">
        <f>+ROUND(CJ16-'P&amp;L'!CJ43,3)</f>
        <v>0</v>
      </c>
      <c r="CK17" s="1668">
        <f>+ROUND(CK16-'P&amp;L'!CK43,3)</f>
        <v>0</v>
      </c>
      <c r="CL17" s="1668">
        <f>+ROUND(CL16-'P&amp;L'!CL43,3)</f>
        <v>0</v>
      </c>
      <c r="CM17" s="1669">
        <f>+ROUND(CM16-'P&amp;L'!CM43,3)</f>
        <v>0</v>
      </c>
      <c r="CN17" s="557"/>
      <c r="CO17" s="1667">
        <f>+ROUND(CO16-'P&amp;L'!CO43,3)</f>
        <v>0</v>
      </c>
      <c r="CP17" s="1668">
        <f>+ROUND(CP16-'P&amp;L'!CP43,3)</f>
        <v>0</v>
      </c>
      <c r="CQ17" s="1668">
        <f>+ROUND(CQ16-'P&amp;L'!CQ43,3)</f>
        <v>0</v>
      </c>
      <c r="CR17" s="1668">
        <f>+ROUND(CR16-'P&amp;L'!CR43,3)</f>
        <v>0</v>
      </c>
      <c r="CS17" s="1669">
        <f>+ROUND(CS16-'P&amp;L'!CS43,3)</f>
        <v>0</v>
      </c>
      <c r="CT17" s="557"/>
      <c r="CU17" s="1667">
        <f>+ROUND(CU16-'P&amp;L'!CU43,3)</f>
        <v>0</v>
      </c>
      <c r="CV17" s="1668">
        <f>+ROUND(CV16-'P&amp;L'!CV43,3)</f>
        <v>0</v>
      </c>
      <c r="CW17" s="1668">
        <f>+ROUND(CW16-'P&amp;L'!CW43,3)</f>
        <v>0</v>
      </c>
      <c r="CX17" s="1668">
        <f>+ROUND(CX16-'P&amp;L'!CX43,3)</f>
        <v>0</v>
      </c>
      <c r="CY17" s="1669">
        <f>+ROUND(CY16-'P&amp;L'!CY43,3)</f>
        <v>0</v>
      </c>
      <c r="CZ17" s="48"/>
      <c r="DA17"/>
      <c r="DB17"/>
      <c r="DC17"/>
      <c r="DD17" s="48"/>
      <c r="DE17" s="48"/>
      <c r="DF17" s="48"/>
      <c r="DG17" s="48"/>
      <c r="DH17" s="48"/>
      <c r="DI17" s="48"/>
      <c r="DJ17" s="48"/>
      <c r="DK17" s="48"/>
    </row>
    <row r="18" spans="1:115" s="5" customFormat="1" x14ac:dyDescent="0.2">
      <c r="A18" s="432" t="s">
        <v>625</v>
      </c>
      <c r="B18" s="58"/>
      <c r="C18" s="558"/>
      <c r="D18" s="558"/>
      <c r="E18" s="558"/>
      <c r="F18" s="558"/>
      <c r="G18" s="629"/>
      <c r="H18" s="557"/>
      <c r="I18" s="704"/>
      <c r="J18" s="558"/>
      <c r="K18" s="558"/>
      <c r="L18" s="558"/>
      <c r="M18" s="629"/>
      <c r="N18" s="557"/>
      <c r="O18" s="704"/>
      <c r="P18" s="558"/>
      <c r="Q18" s="558"/>
      <c r="R18" s="558"/>
      <c r="S18" s="1134"/>
      <c r="T18" s="1135"/>
      <c r="U18" s="704"/>
      <c r="V18" s="558"/>
      <c r="W18" s="558"/>
      <c r="X18" s="558"/>
      <c r="Y18" s="1134"/>
      <c r="Z18" s="579"/>
      <c r="AA18" s="685"/>
      <c r="AB18" s="578"/>
      <c r="AC18" s="578"/>
      <c r="AD18" s="582"/>
      <c r="AE18" s="580"/>
      <c r="AF18" s="557"/>
      <c r="AG18" s="685"/>
      <c r="AH18" s="578"/>
      <c r="AI18" s="578"/>
      <c r="AJ18" s="582"/>
      <c r="AK18" s="580"/>
      <c r="AL18" s="557"/>
      <c r="AM18" s="1682">
        <f>+AM455</f>
        <v>7.3913240834606833E-2</v>
      </c>
      <c r="AN18" s="1677">
        <f>+AN455</f>
        <v>7.4368714743565323E-2</v>
      </c>
      <c r="AO18" s="1677">
        <f>+AO455</f>
        <v>7.1027315113536535E-2</v>
      </c>
      <c r="AP18" s="1677">
        <f>+AP455</f>
        <v>6.7289673882642495E-2</v>
      </c>
      <c r="AQ18" s="1683">
        <f>+AQ455</f>
        <v>7.1553045664506529E-2</v>
      </c>
      <c r="AR18" s="557"/>
      <c r="AS18" s="1682">
        <f>+AS455</f>
        <v>7.3021398974514207E-2</v>
      </c>
      <c r="AT18" s="1677">
        <f>+AT455</f>
        <v>6.4197294605867955E-2</v>
      </c>
      <c r="AU18" s="1677">
        <f>+AU455</f>
        <v>6.6133582567457647E-2</v>
      </c>
      <c r="AV18" s="1677">
        <f>+AV455</f>
        <v>5.4990730219484467E-2</v>
      </c>
      <c r="AW18" s="1683">
        <f>+AW455</f>
        <v>6.4036924223785138E-2</v>
      </c>
      <c r="AX18" s="557"/>
      <c r="AY18" s="1682">
        <f>+AY455</f>
        <v>6.2438010673971561E-2</v>
      </c>
      <c r="AZ18" s="1677">
        <f>+AZ455</f>
        <v>5.457776851891033E-2</v>
      </c>
      <c r="BA18" s="1677">
        <f>+BA455</f>
        <v>6.2167873304654439E-2</v>
      </c>
      <c r="BB18" s="1677">
        <f>+BB455</f>
        <v>5.8511190885690297E-2</v>
      </c>
      <c r="BC18" s="1683">
        <f>+BC455</f>
        <v>5.9362783549203817E-2</v>
      </c>
      <c r="BD18" s="557"/>
      <c r="BE18" s="1682">
        <f>+BE455</f>
        <v>5.5873982132974946E-2</v>
      </c>
      <c r="BF18" s="1677">
        <f>+BF455</f>
        <v>4.7507679860435144E-2</v>
      </c>
      <c r="BG18" s="1677">
        <f>+BG455</f>
        <v>5.6499007136879241E-2</v>
      </c>
      <c r="BH18" s="1677">
        <f>+BH455</f>
        <v>4.3531861494546104E-2</v>
      </c>
      <c r="BI18" s="1683">
        <f>+BI455</f>
        <v>5.0577012578231217E-2</v>
      </c>
      <c r="BJ18" s="557"/>
      <c r="BK18" s="1682">
        <f>+BK455</f>
        <v>7.338683504898022E-2</v>
      </c>
      <c r="BL18" s="1677">
        <f>+BL455</f>
        <v>7.5486736083227424E-2</v>
      </c>
      <c r="BM18" s="1677">
        <f>+BM455</f>
        <v>7.6179559741891043E-2</v>
      </c>
      <c r="BN18" s="1677">
        <f>+BN455</f>
        <v>7.7888639450126113E-2</v>
      </c>
      <c r="BO18" s="1683">
        <f>+BO455</f>
        <v>7.5808753232301546E-2</v>
      </c>
      <c r="BP18" s="557"/>
      <c r="BQ18" s="1682">
        <f>+BQ455</f>
        <v>7.9560404245988856E-2</v>
      </c>
      <c r="BR18" s="1677">
        <f>+BR455</f>
        <v>7.3503080236401883E-2</v>
      </c>
      <c r="BS18" s="1677">
        <f>+BS455</f>
        <v>6.2824062741407866E-2</v>
      </c>
      <c r="BT18" s="1677">
        <f>+BT455</f>
        <v>6.4746054519368726E-2</v>
      </c>
      <c r="BU18" s="1683">
        <f>+BU455</f>
        <v>6.9911632894853928E-2</v>
      </c>
      <c r="BV18" s="557"/>
      <c r="BW18" s="1682">
        <f>+BW455</f>
        <v>6.4538724239976669E-2</v>
      </c>
      <c r="BX18" s="1677">
        <f>+BX455</f>
        <v>7.2676817817542427E-2</v>
      </c>
      <c r="BY18" s="1677">
        <f>+BY455</f>
        <v>7.0927262795813212E-2</v>
      </c>
      <c r="BZ18" s="1677">
        <f>+BZ455</f>
        <v>5.9647399606200746E-2</v>
      </c>
      <c r="CA18" s="1683">
        <f>+CA455</f>
        <v>6.6849976320219398E-2</v>
      </c>
      <c r="CB18" s="557"/>
      <c r="CC18" s="1682">
        <f>+CC455</f>
        <v>7.6378662757130872E-2</v>
      </c>
      <c r="CD18" s="1677">
        <f>+CD455</f>
        <v>6.9220779963730605E-2</v>
      </c>
      <c r="CE18" s="1677">
        <f>+CE455</f>
        <v>7.0699780461031841E-2</v>
      </c>
      <c r="CF18" s="1677">
        <f>+CF455</f>
        <v>6.374508011573532E-2</v>
      </c>
      <c r="CG18" s="1683">
        <f>+CG455</f>
        <v>6.9623262940979619E-2</v>
      </c>
      <c r="CH18" s="557"/>
      <c r="CI18" s="1682">
        <f>+CI455</f>
        <v>7.0667939060753568E-2</v>
      </c>
      <c r="CJ18" s="1677">
        <f>+CJ455</f>
        <v>6.9841285211870302E-2</v>
      </c>
      <c r="CK18" s="1677">
        <f>+CK455</f>
        <v>6.7860697751025975E-2</v>
      </c>
      <c r="CL18" s="1677">
        <f>+CL455</f>
        <v>6.7086331817913541E-2</v>
      </c>
      <c r="CM18" s="1683">
        <f>+CM455</f>
        <v>6.8755692827723272E-2</v>
      </c>
      <c r="CN18" s="557"/>
      <c r="CO18" s="1682">
        <f>+CO455</f>
        <v>6.9757739038424416E-2</v>
      </c>
      <c r="CP18" s="1677">
        <f>+CP455</f>
        <v>6.888473957890906E-2</v>
      </c>
      <c r="CQ18" s="1677">
        <f>+CQ455</f>
        <v>6.6910615522668471E-2</v>
      </c>
      <c r="CR18" s="1677">
        <f>+CR455</f>
        <v>6.6180871154602722E-2</v>
      </c>
      <c r="CS18" s="1683">
        <f>+CS455</f>
        <v>6.7836541341476361E-2</v>
      </c>
      <c r="CT18" s="557"/>
      <c r="CU18" s="1682">
        <f>+CU455</f>
        <v>6.883846846954611E-2</v>
      </c>
      <c r="CV18" s="1677">
        <f>+CV455</f>
        <v>6.7951292357107604E-2</v>
      </c>
      <c r="CW18" s="1677">
        <f>+CW455</f>
        <v>6.6031364916613697E-2</v>
      </c>
      <c r="CX18" s="1677">
        <f>+CX455</f>
        <v>6.5284865027077699E-2</v>
      </c>
      <c r="CY18" s="1683">
        <f>+CY455</f>
        <v>6.6934691151471104E-2</v>
      </c>
      <c r="CZ18" s="48"/>
      <c r="DA18"/>
      <c r="DB18"/>
      <c r="DC18"/>
      <c r="DD18" s="48"/>
      <c r="DE18" s="48"/>
      <c r="DF18" s="48"/>
      <c r="DG18" s="48"/>
      <c r="DH18" s="48"/>
      <c r="DI18" s="48"/>
      <c r="DJ18" s="48"/>
      <c r="DK18" s="48"/>
    </row>
    <row r="19" spans="1:115" s="5" customFormat="1" x14ac:dyDescent="0.2">
      <c r="A19" s="1139" t="s">
        <v>634</v>
      </c>
      <c r="B19" s="58"/>
      <c r="C19" s="558"/>
      <c r="D19" s="558"/>
      <c r="E19" s="558"/>
      <c r="F19" s="558"/>
      <c r="G19" s="629"/>
      <c r="H19" s="557"/>
      <c r="I19" s="704"/>
      <c r="J19" s="558"/>
      <c r="K19" s="558"/>
      <c r="L19" s="558"/>
      <c r="M19" s="629"/>
      <c r="N19" s="557"/>
      <c r="O19" s="704"/>
      <c r="P19" s="558"/>
      <c r="Q19" s="558"/>
      <c r="R19" s="558"/>
      <c r="S19" s="1134"/>
      <c r="T19" s="1135"/>
      <c r="U19" s="704"/>
      <c r="V19" s="558"/>
      <c r="W19" s="558"/>
      <c r="X19" s="558"/>
      <c r="Y19" s="1134"/>
      <c r="Z19" s="579"/>
      <c r="AA19" s="685"/>
      <c r="AB19" s="578"/>
      <c r="AC19" s="578"/>
      <c r="AD19" s="582"/>
      <c r="AE19" s="580"/>
      <c r="AF19" s="557"/>
      <c r="AG19" s="685"/>
      <c r="AH19" s="578"/>
      <c r="AI19" s="578"/>
      <c r="AJ19" s="582"/>
      <c r="AK19" s="580"/>
      <c r="AL19" s="557"/>
      <c r="AM19" s="1667">
        <f>+ROUND(AM18-'P&amp;L'!AM44,3)</f>
        <v>0</v>
      </c>
      <c r="AN19" s="1668">
        <f>+ROUND(AN18-'P&amp;L'!AN44,3)</f>
        <v>0</v>
      </c>
      <c r="AO19" s="1668">
        <f>+ROUND(AO18-'P&amp;L'!AO44,3)</f>
        <v>0</v>
      </c>
      <c r="AP19" s="1668">
        <f>+ROUND(AP18-'P&amp;L'!AP44,3)</f>
        <v>0</v>
      </c>
      <c r="AQ19" s="1669">
        <f>+ROUND(AQ18-'P&amp;L'!AQ44,3)</f>
        <v>0</v>
      </c>
      <c r="AR19" s="557"/>
      <c r="AS19" s="1667">
        <f>+ROUND(AS18-'P&amp;L'!AS44,3)</f>
        <v>0</v>
      </c>
      <c r="AT19" s="1668">
        <f>+ROUND(AT18-'P&amp;L'!AT44,3)</f>
        <v>0</v>
      </c>
      <c r="AU19" s="1668">
        <f>+ROUND(AU18-'P&amp;L'!AU44,3)</f>
        <v>0</v>
      </c>
      <c r="AV19" s="1668">
        <f>+ROUND(AV18-'P&amp;L'!AV44,3)</f>
        <v>0</v>
      </c>
      <c r="AW19" s="1669">
        <f>+ROUND(AW18-'P&amp;L'!AW44,3)</f>
        <v>0</v>
      </c>
      <c r="AX19" s="557"/>
      <c r="AY19" s="1667">
        <f>+ROUND(AY18-'P&amp;L'!AY44,3)</f>
        <v>0</v>
      </c>
      <c r="AZ19" s="1668">
        <f>+ROUND(AZ18-'P&amp;L'!AZ44,3)</f>
        <v>0</v>
      </c>
      <c r="BA19" s="1668">
        <f>+ROUND(BA18-'P&amp;L'!BA44,3)</f>
        <v>0</v>
      </c>
      <c r="BB19" s="1668">
        <f>+ROUND(BB18-'P&amp;L'!BB44,3)</f>
        <v>0</v>
      </c>
      <c r="BC19" s="1669">
        <f>+ROUND(BC18-'P&amp;L'!BC44,3)</f>
        <v>0</v>
      </c>
      <c r="BD19" s="557"/>
      <c r="BE19" s="1667">
        <f>+ROUND(BE18-'P&amp;L'!BE44,3)</f>
        <v>0</v>
      </c>
      <c r="BF19" s="1668">
        <f>+ROUND(BF18-'P&amp;L'!BF44,3)</f>
        <v>0</v>
      </c>
      <c r="BG19" s="1668">
        <f>+ROUND(BG18-'P&amp;L'!BG44,3)</f>
        <v>0</v>
      </c>
      <c r="BH19" s="1668">
        <f>+ROUND(BH18-'P&amp;L'!BH44,3)</f>
        <v>0</v>
      </c>
      <c r="BI19" s="1669">
        <f>+ROUND(BI18-'P&amp;L'!BI44,3)</f>
        <v>0</v>
      </c>
      <c r="BJ19" s="557"/>
      <c r="BK19" s="1667">
        <f>+ROUND(BK18-'P&amp;L'!BK44,3)</f>
        <v>0</v>
      </c>
      <c r="BL19" s="1668">
        <f>+ROUND(BL18-'P&amp;L'!BL44,3)</f>
        <v>0</v>
      </c>
      <c r="BM19" s="1668">
        <f>+ROUND(BM18-'P&amp;L'!BM44,3)</f>
        <v>0</v>
      </c>
      <c r="BN19" s="1668">
        <f>+ROUND(BN18-'P&amp;L'!BN44,3)</f>
        <v>0</v>
      </c>
      <c r="BO19" s="1669">
        <f>+ROUND(BO18-'P&amp;L'!BO44,3)</f>
        <v>0</v>
      </c>
      <c r="BP19" s="557"/>
      <c r="BQ19" s="1667">
        <f>+ROUND(BQ18-'P&amp;L'!BQ44,3)</f>
        <v>0</v>
      </c>
      <c r="BR19" s="1668">
        <f>+ROUND(BR18-'P&amp;L'!BR44,3)</f>
        <v>0</v>
      </c>
      <c r="BS19" s="1668">
        <f>+ROUND(BS18-'P&amp;L'!BS44,3)</f>
        <v>0</v>
      </c>
      <c r="BT19" s="1668">
        <f>+ROUND(BT18-'P&amp;L'!BT44,3)</f>
        <v>0</v>
      </c>
      <c r="BU19" s="1669">
        <f>+ROUND(BU18-'P&amp;L'!BU44,3)</f>
        <v>0</v>
      </c>
      <c r="BV19" s="557"/>
      <c r="BW19" s="1667">
        <f>+ROUND(BW18-'P&amp;L'!BW44,3)</f>
        <v>0</v>
      </c>
      <c r="BX19" s="1668">
        <f>+ROUND(BX18-'P&amp;L'!BX44,3)</f>
        <v>0</v>
      </c>
      <c r="BY19" s="1668">
        <f>+ROUND(BY18-'P&amp;L'!BY44,3)</f>
        <v>0</v>
      </c>
      <c r="BZ19" s="1668">
        <f>+ROUND(BZ18-'P&amp;L'!BZ44,3)</f>
        <v>0</v>
      </c>
      <c r="CA19" s="1669">
        <f>+ROUND(CA18-'P&amp;L'!CA44,3)</f>
        <v>0</v>
      </c>
      <c r="CB19" s="557"/>
      <c r="CC19" s="1667">
        <f>+ROUND(CC18-'P&amp;L'!CC44,3)</f>
        <v>0</v>
      </c>
      <c r="CD19" s="1668">
        <f>+ROUND(CD18-'P&amp;L'!CD44,3)</f>
        <v>0</v>
      </c>
      <c r="CE19" s="1668">
        <f>+ROUND(CE18-'P&amp;L'!CE44,3)</f>
        <v>0</v>
      </c>
      <c r="CF19" s="1668">
        <f>+ROUND(CF18-'P&amp;L'!CF44,3)</f>
        <v>0</v>
      </c>
      <c r="CG19" s="1669">
        <f>+ROUND(CG18-'P&amp;L'!CG44,3)</f>
        <v>0</v>
      </c>
      <c r="CH19" s="557"/>
      <c r="CI19" s="1667">
        <f>+ROUND(CI18-'P&amp;L'!CI44,3)</f>
        <v>0</v>
      </c>
      <c r="CJ19" s="1668">
        <f>+ROUND(CJ18-'P&amp;L'!CJ44,3)</f>
        <v>0</v>
      </c>
      <c r="CK19" s="1668">
        <f>+ROUND(CK18-'P&amp;L'!CK44,3)</f>
        <v>0</v>
      </c>
      <c r="CL19" s="1668">
        <f>+ROUND(CL18-'P&amp;L'!CL44,3)</f>
        <v>0</v>
      </c>
      <c r="CM19" s="1669">
        <f>+ROUND(CM18-'P&amp;L'!CM44,3)</f>
        <v>0</v>
      </c>
      <c r="CN19" s="557"/>
      <c r="CO19" s="1667">
        <f>+ROUND(CO18-'P&amp;L'!CO44,3)</f>
        <v>0</v>
      </c>
      <c r="CP19" s="1668">
        <f>+ROUND(CP18-'P&amp;L'!CP44,3)</f>
        <v>0</v>
      </c>
      <c r="CQ19" s="1668">
        <f>+ROUND(CQ18-'P&amp;L'!CQ44,3)</f>
        <v>0</v>
      </c>
      <c r="CR19" s="1668">
        <f>+ROUND(CR18-'P&amp;L'!CR44,3)</f>
        <v>0</v>
      </c>
      <c r="CS19" s="1669">
        <f>+ROUND(CS18-'P&amp;L'!CS44,3)</f>
        <v>0</v>
      </c>
      <c r="CT19" s="557"/>
      <c r="CU19" s="1667">
        <f>+ROUND(CU18-'P&amp;L'!CU44,3)</f>
        <v>0</v>
      </c>
      <c r="CV19" s="1668">
        <f>+ROUND(CV18-'P&amp;L'!CV44,3)</f>
        <v>0</v>
      </c>
      <c r="CW19" s="1668">
        <f>+ROUND(CW18-'P&amp;L'!CW44,3)</f>
        <v>0</v>
      </c>
      <c r="CX19" s="1668">
        <f>+ROUND(CX18-'P&amp;L'!CX44,3)</f>
        <v>0</v>
      </c>
      <c r="CY19" s="1669">
        <f>+ROUND(CY18-'P&amp;L'!CY44,3)</f>
        <v>0</v>
      </c>
      <c r="CZ19" s="48"/>
      <c r="DA19"/>
      <c r="DB19"/>
      <c r="DC19"/>
      <c r="DD19" s="48"/>
      <c r="DE19" s="48"/>
      <c r="DF19" s="48"/>
      <c r="DG19" s="48"/>
      <c r="DH19" s="48"/>
      <c r="DI19" s="48"/>
      <c r="DJ19" s="48"/>
      <c r="DK19" s="48"/>
    </row>
    <row r="20" spans="1:115" s="5" customFormat="1" x14ac:dyDescent="0.2">
      <c r="A20" s="432" t="s">
        <v>624</v>
      </c>
      <c r="B20" s="58"/>
      <c r="C20" s="558"/>
      <c r="D20" s="558"/>
      <c r="E20" s="558"/>
      <c r="F20" s="558"/>
      <c r="G20" s="629"/>
      <c r="H20" s="557"/>
      <c r="I20" s="704"/>
      <c r="J20" s="558"/>
      <c r="K20" s="558"/>
      <c r="L20" s="558"/>
      <c r="M20" s="629"/>
      <c r="N20" s="557"/>
      <c r="O20" s="704"/>
      <c r="P20" s="558"/>
      <c r="Q20" s="558"/>
      <c r="R20" s="558"/>
      <c r="S20" s="1134"/>
      <c r="T20" s="1135"/>
      <c r="U20" s="704"/>
      <c r="V20" s="558"/>
      <c r="W20" s="558"/>
      <c r="X20" s="558"/>
      <c r="Y20" s="1134"/>
      <c r="Z20" s="579"/>
      <c r="AA20" s="685"/>
      <c r="AB20" s="578"/>
      <c r="AC20" s="578"/>
      <c r="AD20" s="582"/>
      <c r="AE20" s="580"/>
      <c r="AF20" s="557"/>
      <c r="AG20" s="685"/>
      <c r="AH20" s="578"/>
      <c r="AI20" s="578"/>
      <c r="AJ20" s="582"/>
      <c r="AK20" s="580"/>
      <c r="AL20" s="557"/>
      <c r="AM20" s="1682">
        <f>+AM456</f>
        <v>0.11952081221346327</v>
      </c>
      <c r="AN20" s="1677">
        <f>+AN456</f>
        <v>0.11199461019039425</v>
      </c>
      <c r="AO20" s="1677">
        <f>+AO456</f>
        <v>0.11293503501423535</v>
      </c>
      <c r="AP20" s="1677">
        <f>+AP456</f>
        <v>0.11900766347821223</v>
      </c>
      <c r="AQ20" s="1683">
        <f>+AQ456</f>
        <v>0.11590620462355773</v>
      </c>
      <c r="AR20" s="557"/>
      <c r="AS20" s="1682">
        <f>+AS456</f>
        <v>0.1236145535731179</v>
      </c>
      <c r="AT20" s="1677">
        <f>+AT456</f>
        <v>0.11520428667113194</v>
      </c>
      <c r="AU20" s="1677">
        <f>+AU456</f>
        <v>0.11300690586219431</v>
      </c>
      <c r="AV20" s="1677">
        <f>+AV456</f>
        <v>9.8125112134441653E-2</v>
      </c>
      <c r="AW20" s="1683">
        <f>+AW456</f>
        <v>0.11167885021290928</v>
      </c>
      <c r="AX20" s="557"/>
      <c r="AY20" s="1682">
        <f>+AY456</f>
        <v>9.6608888678977933E-2</v>
      </c>
      <c r="AZ20" s="1677">
        <f>+AZ456</f>
        <v>9.9673516420203556E-2</v>
      </c>
      <c r="BA20" s="1677">
        <f>+BA456</f>
        <v>0.10190312498973016</v>
      </c>
      <c r="BB20" s="1677">
        <f>+BB456</f>
        <v>9.2949568870984545E-2</v>
      </c>
      <c r="BC20" s="1683">
        <f>+BC456</f>
        <v>9.7632758741637821E-2</v>
      </c>
      <c r="BD20" s="557"/>
      <c r="BE20" s="1682">
        <f>+BE456</f>
        <v>0.11298653384984318</v>
      </c>
      <c r="BF20" s="1677">
        <f>+BF456</f>
        <v>0.1063139198260496</v>
      </c>
      <c r="BG20" s="1677">
        <f>+BG456</f>
        <v>0.10604951653896874</v>
      </c>
      <c r="BH20" s="1677">
        <f>+BH456</f>
        <v>0.12077719707103163</v>
      </c>
      <c r="BI20" s="1683">
        <f>+BI456</f>
        <v>0.11181321877793972</v>
      </c>
      <c r="BJ20" s="557"/>
      <c r="BK20" s="1682">
        <f>+BK456</f>
        <v>0.12709335702785052</v>
      </c>
      <c r="BL20" s="1677">
        <f>+BL456</f>
        <v>0.11444675564625933</v>
      </c>
      <c r="BM20" s="1677">
        <f>+BM456</f>
        <v>0.12311845039598285</v>
      </c>
      <c r="BN20" s="1677">
        <f>+BN456</f>
        <v>0.12172611623846347</v>
      </c>
      <c r="BO20" s="1683">
        <f>+BO456</f>
        <v>0.12154865222032468</v>
      </c>
      <c r="BP20" s="557"/>
      <c r="BQ20" s="1682">
        <f>+BQ456</f>
        <v>0.12830357949847523</v>
      </c>
      <c r="BR20" s="1677">
        <f>+BR456</f>
        <v>0.10510054592807773</v>
      </c>
      <c r="BS20" s="1677">
        <f>+BS456</f>
        <v>0.11307186841343968</v>
      </c>
      <c r="BT20" s="1677">
        <f>+BT456</f>
        <v>0.10591104734576756</v>
      </c>
      <c r="BU20" s="1683">
        <f>+BU456</f>
        <v>0.1126879615624166</v>
      </c>
      <c r="BV20" s="557"/>
      <c r="BW20" s="1682">
        <f>+BW456</f>
        <v>0.13324999413497599</v>
      </c>
      <c r="BX20" s="1677">
        <f>+BX456</f>
        <v>0.1259524179754315</v>
      </c>
      <c r="BY20" s="1677">
        <f>+BY456</f>
        <v>0.10688988292956582</v>
      </c>
      <c r="BZ20" s="1677">
        <f>+BZ456</f>
        <v>8.1791104502316858E-2</v>
      </c>
      <c r="CA20" s="1683">
        <f>+CA456</f>
        <v>0.11065744587718949</v>
      </c>
      <c r="CB20" s="557"/>
      <c r="CC20" s="1682">
        <f>+CC456</f>
        <v>0.12270276932657811</v>
      </c>
      <c r="CD20" s="1677">
        <f>+CD456</f>
        <v>0.110944892250133</v>
      </c>
      <c r="CE20" s="1677">
        <f>+CE456</f>
        <v>0.10545828759604831</v>
      </c>
      <c r="CF20" s="1677">
        <f>+CF456</f>
        <v>0.10310415423317797</v>
      </c>
      <c r="CG20" s="1683">
        <f>+CG456</f>
        <v>0.10989661306514963</v>
      </c>
      <c r="CH20" s="557"/>
      <c r="CI20" s="1682">
        <f>+CI456</f>
        <v>0.14576433898328636</v>
      </c>
      <c r="CJ20" s="1677">
        <f>+CJ456</f>
        <v>0.12559149263211147</v>
      </c>
      <c r="CK20" s="1677">
        <f>+CK456</f>
        <v>0.12873829030768272</v>
      </c>
      <c r="CL20" s="1677">
        <f>+CL456</f>
        <v>0.12093060174325372</v>
      </c>
      <c r="CM20" s="1683">
        <f>+CM456</f>
        <v>0.12953402356362206</v>
      </c>
      <c r="CN20" s="557"/>
      <c r="CO20" s="1682">
        <f>+CO456</f>
        <v>0.12380253674415927</v>
      </c>
      <c r="CP20" s="1677">
        <f>+CP456</f>
        <v>0.12519676469223881</v>
      </c>
      <c r="CQ20" s="1677">
        <f>+CQ456</f>
        <v>0.11931936761571243</v>
      </c>
      <c r="CR20" s="1677">
        <f>+CR456</f>
        <v>0.12082922738554321</v>
      </c>
      <c r="CS20" s="1683">
        <f>+CS456</f>
        <v>0.12219690989204174</v>
      </c>
      <c r="CT20" s="557"/>
      <c r="CU20" s="1682">
        <f>+CU456</f>
        <v>0.11494449265885574</v>
      </c>
      <c r="CV20" s="1677">
        <f>+CV456</f>
        <v>0.11669805255258783</v>
      </c>
      <c r="CW20" s="1677">
        <f>+CW456</f>
        <v>0.11118332432913119</v>
      </c>
      <c r="CX20" s="1677">
        <f>+CX456</f>
        <v>0.11287162613172587</v>
      </c>
      <c r="CY20" s="1683">
        <f>+CY456</f>
        <v>0.11386215716896313</v>
      </c>
      <c r="CZ20" s="48"/>
      <c r="DA20"/>
      <c r="DB20"/>
      <c r="DC20"/>
      <c r="DD20" s="48"/>
      <c r="DE20" s="48"/>
      <c r="DF20" s="48"/>
      <c r="DG20" s="48"/>
      <c r="DH20" s="48"/>
      <c r="DI20" s="48"/>
      <c r="DJ20" s="48"/>
      <c r="DK20" s="48"/>
    </row>
    <row r="21" spans="1:115" s="5" customFormat="1" x14ac:dyDescent="0.2">
      <c r="A21" s="1678" t="s">
        <v>634</v>
      </c>
      <c r="B21" s="172"/>
      <c r="C21" s="604"/>
      <c r="D21" s="604"/>
      <c r="E21" s="604"/>
      <c r="F21" s="604"/>
      <c r="G21" s="626"/>
      <c r="H21" s="605"/>
      <c r="I21" s="682"/>
      <c r="J21" s="604"/>
      <c r="K21" s="604"/>
      <c r="L21" s="604"/>
      <c r="M21" s="626"/>
      <c r="N21" s="605"/>
      <c r="O21" s="682"/>
      <c r="P21" s="604"/>
      <c r="Q21" s="604"/>
      <c r="R21" s="604"/>
      <c r="S21" s="1650"/>
      <c r="T21" s="1651"/>
      <c r="U21" s="682"/>
      <c r="V21" s="604"/>
      <c r="W21" s="604"/>
      <c r="X21" s="604"/>
      <c r="Y21" s="1650"/>
      <c r="Z21" s="1652"/>
      <c r="AA21" s="1653"/>
      <c r="AB21" s="1654"/>
      <c r="AC21" s="1654"/>
      <c r="AD21" s="1655"/>
      <c r="AE21" s="1656"/>
      <c r="AF21" s="605"/>
      <c r="AG21" s="1653"/>
      <c r="AH21" s="1654"/>
      <c r="AI21" s="1654"/>
      <c r="AJ21" s="1655"/>
      <c r="AK21" s="1656"/>
      <c r="AL21" s="605"/>
      <c r="AM21" s="1679">
        <f>+ROUND(AM20-'P&amp;L'!AM42,3)</f>
        <v>0</v>
      </c>
      <c r="AN21" s="1680">
        <f>+ROUND(AN20-'P&amp;L'!AN42,3)</f>
        <v>0</v>
      </c>
      <c r="AO21" s="1680">
        <f>+ROUND(AO20-'P&amp;L'!AO42,3)</f>
        <v>0</v>
      </c>
      <c r="AP21" s="1680">
        <f>+ROUND(AP20-'P&amp;L'!AP42,3)</f>
        <v>0</v>
      </c>
      <c r="AQ21" s="1681">
        <f>+ROUND(AQ20-'P&amp;L'!AQ42,3)</f>
        <v>0</v>
      </c>
      <c r="AR21" s="605"/>
      <c r="AS21" s="1679">
        <f>+ROUND(AS20-'P&amp;L'!AS42,3)</f>
        <v>0</v>
      </c>
      <c r="AT21" s="1680">
        <f>+ROUND(AT20-'P&amp;L'!AT42,3)</f>
        <v>0</v>
      </c>
      <c r="AU21" s="1680">
        <f>+ROUND(AU20-'P&amp;L'!AU42,3)</f>
        <v>0</v>
      </c>
      <c r="AV21" s="1680">
        <f>+ROUND(AV20-'P&amp;L'!AV42,3)</f>
        <v>0</v>
      </c>
      <c r="AW21" s="1681">
        <f>+ROUND(AW20-'P&amp;L'!AW42,3)</f>
        <v>0</v>
      </c>
      <c r="AX21" s="605"/>
      <c r="AY21" s="1679">
        <f>+ROUND(AY20-'P&amp;L'!AY42,3)</f>
        <v>0</v>
      </c>
      <c r="AZ21" s="1680">
        <f>+ROUND(AZ20-'P&amp;L'!AZ42,3)</f>
        <v>0</v>
      </c>
      <c r="BA21" s="1680">
        <f>+ROUND(BA20-'P&amp;L'!BA42,3)</f>
        <v>0</v>
      </c>
      <c r="BB21" s="1680">
        <f>+ROUND(BB20-'P&amp;L'!BB42,3)</f>
        <v>0</v>
      </c>
      <c r="BC21" s="1681">
        <f>+ROUND(BC20-'P&amp;L'!BC42,3)</f>
        <v>0</v>
      </c>
      <c r="BD21" s="605"/>
      <c r="BE21" s="1679">
        <f>+ROUND(BE20-'P&amp;L'!BE42,3)</f>
        <v>0</v>
      </c>
      <c r="BF21" s="1680">
        <f>+ROUND(BF20-'P&amp;L'!BF42,3)</f>
        <v>0</v>
      </c>
      <c r="BG21" s="1680">
        <f>+ROUND(BG20-'P&amp;L'!BG42,3)</f>
        <v>0</v>
      </c>
      <c r="BH21" s="1680">
        <f>+ROUND(BH20-'P&amp;L'!BH42,3)</f>
        <v>0</v>
      </c>
      <c r="BI21" s="1681">
        <f>+ROUND(BI20-'P&amp;L'!BI42,3)</f>
        <v>0</v>
      </c>
      <c r="BJ21" s="605"/>
      <c r="BK21" s="1679">
        <f>+ROUND(BK20-'P&amp;L'!BK42,3)</f>
        <v>0</v>
      </c>
      <c r="BL21" s="1680">
        <f>+ROUND(BL20-'P&amp;L'!BL42,3)</f>
        <v>0</v>
      </c>
      <c r="BM21" s="1680">
        <f>+ROUND(BM20-'P&amp;L'!BM42,3)</f>
        <v>0</v>
      </c>
      <c r="BN21" s="1680">
        <f>+ROUND(BN20-'P&amp;L'!BN42,3)</f>
        <v>0</v>
      </c>
      <c r="BO21" s="1681">
        <f>+ROUND(BO20-'P&amp;L'!BO42,3)</f>
        <v>0</v>
      </c>
      <c r="BP21" s="605"/>
      <c r="BQ21" s="1679">
        <f>+ROUND(BQ20-'P&amp;L'!BQ42,3)</f>
        <v>0</v>
      </c>
      <c r="BR21" s="1680">
        <f>+ROUND(BR20-'P&amp;L'!BR42,3)</f>
        <v>0</v>
      </c>
      <c r="BS21" s="1680">
        <f>+ROUND(BS20-'P&amp;L'!BS42,3)</f>
        <v>0</v>
      </c>
      <c r="BT21" s="1680">
        <f>+ROUND(BT20-'P&amp;L'!BT42,3)</f>
        <v>0</v>
      </c>
      <c r="BU21" s="1681">
        <f>+ROUND(BU20-'P&amp;L'!BU42,3)</f>
        <v>0</v>
      </c>
      <c r="BV21" s="605"/>
      <c r="BW21" s="1679">
        <f>+ROUND(BW20-'P&amp;L'!BW42,3)</f>
        <v>0</v>
      </c>
      <c r="BX21" s="1680">
        <f>+ROUND(BX20-'P&amp;L'!BX42,3)</f>
        <v>0</v>
      </c>
      <c r="BY21" s="1680">
        <f>+ROUND(BY20-'P&amp;L'!BY42,3)</f>
        <v>0</v>
      </c>
      <c r="BZ21" s="1680">
        <f>+ROUND(BZ20-'P&amp;L'!BZ42,3)</f>
        <v>0</v>
      </c>
      <c r="CA21" s="1681">
        <f>+ROUND(CA20-'P&amp;L'!CA42,3)</f>
        <v>0</v>
      </c>
      <c r="CB21" s="605"/>
      <c r="CC21" s="1679">
        <f>+ROUND(CC20-'P&amp;L'!CC42,3)</f>
        <v>0</v>
      </c>
      <c r="CD21" s="1680">
        <f>+ROUND(CD20-'P&amp;L'!CD42,3)</f>
        <v>0</v>
      </c>
      <c r="CE21" s="1680">
        <f>+ROUND(CE20-'P&amp;L'!CE42,3)</f>
        <v>0</v>
      </c>
      <c r="CF21" s="1680">
        <f>+ROUND(CF20-'P&amp;L'!CF42,3)</f>
        <v>0</v>
      </c>
      <c r="CG21" s="1681">
        <f>+ROUND(CG20-'P&amp;L'!CG42,3)</f>
        <v>0</v>
      </c>
      <c r="CH21" s="605"/>
      <c r="CI21" s="1679">
        <f>+ROUND(CI20-'P&amp;L'!CI42,3)</f>
        <v>0</v>
      </c>
      <c r="CJ21" s="1680">
        <f>+ROUND(CJ20-'P&amp;L'!CJ42,3)</f>
        <v>0</v>
      </c>
      <c r="CK21" s="1680">
        <f>+ROUND(CK20-'P&amp;L'!CK42,3)</f>
        <v>0</v>
      </c>
      <c r="CL21" s="1680">
        <f>+ROUND(CL20-'P&amp;L'!CL42,3)</f>
        <v>0</v>
      </c>
      <c r="CM21" s="1681">
        <f>+ROUND(CM20-'P&amp;L'!CM42,3)</f>
        <v>0</v>
      </c>
      <c r="CN21" s="605"/>
      <c r="CO21" s="1679">
        <f>+ROUND(CO20-'P&amp;L'!CO42,3)</f>
        <v>0</v>
      </c>
      <c r="CP21" s="1680">
        <f>+ROUND(CP20-'P&amp;L'!CP42,3)</f>
        <v>0</v>
      </c>
      <c r="CQ21" s="1680">
        <f>+ROUND(CQ20-'P&amp;L'!CQ42,3)</f>
        <v>0</v>
      </c>
      <c r="CR21" s="1680">
        <f>+ROUND(CR20-'P&amp;L'!CR42,3)</f>
        <v>0</v>
      </c>
      <c r="CS21" s="1681">
        <f>+ROUND(CS20-'P&amp;L'!CS42,3)</f>
        <v>0</v>
      </c>
      <c r="CT21" s="605"/>
      <c r="CU21" s="1679">
        <f>+ROUND(CU20-'P&amp;L'!CU42,3)</f>
        <v>0</v>
      </c>
      <c r="CV21" s="1680">
        <f>+ROUND(CV20-'P&amp;L'!CV42,3)</f>
        <v>0</v>
      </c>
      <c r="CW21" s="1680">
        <f>+ROUND(CW20-'P&amp;L'!CW42,3)</f>
        <v>0</v>
      </c>
      <c r="CX21" s="1680">
        <f>+ROUND(CX20-'P&amp;L'!CX42,3)</f>
        <v>0</v>
      </c>
      <c r="CY21" s="1681">
        <f>+ROUND(CY20-'P&amp;L'!CY42,3)</f>
        <v>0</v>
      </c>
      <c r="CZ21" s="48"/>
      <c r="DA21"/>
      <c r="DB21"/>
      <c r="DC21"/>
      <c r="DD21" s="48"/>
      <c r="DE21" s="48"/>
      <c r="DF21" s="48"/>
      <c r="DG21" s="48"/>
      <c r="DH21" s="48"/>
      <c r="DI21" s="48"/>
      <c r="DJ21" s="48"/>
      <c r="DK21" s="48"/>
    </row>
    <row r="23" spans="1:115" x14ac:dyDescent="0.2">
      <c r="A23" s="1119" t="s">
        <v>619</v>
      </c>
      <c r="B23" s="577"/>
      <c r="C23" s="188"/>
      <c r="D23" s="188"/>
      <c r="E23" s="188"/>
      <c r="F23" s="188"/>
      <c r="G23" s="576"/>
      <c r="H23" s="575"/>
      <c r="I23" s="187"/>
      <c r="J23" s="188"/>
      <c r="K23" s="188"/>
      <c r="L23" s="188"/>
      <c r="M23" s="576"/>
      <c r="N23" s="575"/>
      <c r="O23" s="187"/>
      <c r="P23" s="188"/>
      <c r="Q23" s="188"/>
      <c r="R23" s="188"/>
      <c r="S23" s="576"/>
      <c r="T23" s="188"/>
      <c r="U23" s="187"/>
      <c r="V23" s="188"/>
      <c r="W23" s="188"/>
      <c r="X23" s="188"/>
      <c r="Y23" s="576"/>
      <c r="Z23" s="575"/>
      <c r="AA23" s="187"/>
      <c r="AB23" s="188"/>
      <c r="AC23" s="188"/>
      <c r="AD23" s="575"/>
      <c r="AE23" s="576"/>
      <c r="AF23" s="575"/>
      <c r="AG23" s="686"/>
      <c r="AH23" s="575"/>
      <c r="AI23" s="575"/>
      <c r="AJ23" s="679"/>
      <c r="AK23" s="576"/>
      <c r="AL23" s="575"/>
      <c r="AM23" s="686"/>
      <c r="AN23" s="575"/>
      <c r="AO23" s="575"/>
      <c r="AP23" s="575"/>
      <c r="AQ23" s="576"/>
      <c r="AR23" s="575"/>
      <c r="AS23" s="686"/>
      <c r="AT23" s="575"/>
      <c r="AU23" s="575"/>
      <c r="AV23" s="575"/>
      <c r="AW23" s="576"/>
      <c r="AX23" s="575"/>
      <c r="AY23" s="686"/>
      <c r="AZ23" s="575"/>
      <c r="BA23" s="575"/>
      <c r="BB23" s="575"/>
      <c r="BC23" s="577"/>
      <c r="BD23" s="575"/>
      <c r="BE23" s="1298"/>
      <c r="BF23" s="1298"/>
      <c r="BG23" s="1298"/>
      <c r="BH23" s="1298"/>
      <c r="BI23" s="577"/>
      <c r="BJ23" s="575"/>
      <c r="BK23" s="1298"/>
      <c r="BL23" s="1298"/>
      <c r="BM23" s="1298"/>
      <c r="BN23" s="1298"/>
      <c r="BO23" s="577"/>
      <c r="BP23" s="575"/>
      <c r="BQ23" s="1298"/>
      <c r="BR23" s="1298"/>
      <c r="BS23" s="1298"/>
      <c r="BT23" s="1298"/>
      <c r="BU23" s="1298"/>
      <c r="BV23" s="575"/>
      <c r="BW23" s="686"/>
      <c r="BX23" s="575"/>
      <c r="BY23" s="575"/>
      <c r="BZ23" s="575"/>
      <c r="CA23" s="577"/>
      <c r="CB23" s="575"/>
      <c r="CC23" s="686"/>
      <c r="CD23" s="575"/>
      <c r="CE23" s="575"/>
      <c r="CF23" s="575"/>
      <c r="CG23" s="577"/>
      <c r="CH23" s="575"/>
      <c r="CI23" s="712"/>
      <c r="CJ23" s="575"/>
      <c r="CK23" s="575"/>
      <c r="CL23" s="575"/>
      <c r="CM23" s="577"/>
      <c r="CN23" s="575"/>
      <c r="CO23" s="712"/>
      <c r="CP23" s="575"/>
      <c r="CQ23" s="575"/>
      <c r="CR23" s="575"/>
      <c r="CS23" s="577"/>
      <c r="CT23" s="575"/>
      <c r="CU23" s="712"/>
      <c r="CV23" s="575"/>
      <c r="CW23" s="575"/>
      <c r="CX23" s="575"/>
      <c r="CY23" s="577"/>
      <c r="CZ23" s="48"/>
      <c r="DD23" s="48"/>
      <c r="DE23" s="48"/>
      <c r="DF23" s="48"/>
      <c r="DG23" s="48"/>
      <c r="DH23" s="48"/>
      <c r="DI23" s="48"/>
      <c r="DJ23" s="48"/>
      <c r="DK23" s="48"/>
    </row>
    <row r="24" spans="1:115" x14ac:dyDescent="0.2">
      <c r="A24" s="1240" t="s">
        <v>597</v>
      </c>
      <c r="B24" s="1195"/>
      <c r="C24" s="1243"/>
      <c r="D24" s="1244"/>
      <c r="E24" s="1244"/>
      <c r="F24" s="1245"/>
      <c r="G24" s="1246"/>
      <c r="H24" s="1193"/>
      <c r="I24" s="1194"/>
      <c r="J24" s="1193"/>
      <c r="K24" s="1193"/>
      <c r="L24" s="1193"/>
      <c r="M24" s="1195"/>
      <c r="N24" s="1193"/>
      <c r="O24" s="1194"/>
      <c r="P24" s="1193"/>
      <c r="Q24" s="1193"/>
      <c r="R24" s="1193"/>
      <c r="S24" s="1194"/>
      <c r="T24" s="1195"/>
      <c r="U24" s="1194"/>
      <c r="V24" s="1193"/>
      <c r="W24" s="1193"/>
      <c r="X24" s="1193"/>
      <c r="Y24" s="1194"/>
      <c r="Z24" s="1195"/>
      <c r="AA24" s="1194"/>
      <c r="AB24" s="1193"/>
      <c r="AC24" s="1193"/>
      <c r="AD24" s="1193"/>
      <c r="AE24" s="1194"/>
      <c r="AF24" s="1195"/>
      <c r="AG24" s="1194"/>
      <c r="AH24" s="1193"/>
      <c r="AI24" s="1193"/>
      <c r="AJ24" s="1193"/>
      <c r="AK24" s="1194"/>
      <c r="AL24" s="1195"/>
      <c r="AM24" s="1194"/>
      <c r="AN24" s="1193"/>
      <c r="AO24" s="1193"/>
      <c r="AP24" s="1193"/>
      <c r="AQ24" s="1194"/>
      <c r="AR24" s="1195"/>
      <c r="AS24" s="1194"/>
      <c r="AT24" s="1193"/>
      <c r="AU24" s="1193"/>
      <c r="AV24" s="1193"/>
      <c r="AW24" s="1194"/>
      <c r="AX24" s="1195"/>
      <c r="AY24" s="1243">
        <f>+AY93+AY128+AY158+AY207+AY257+AY296</f>
        <v>57.047253834718909</v>
      </c>
      <c r="AZ24" s="1244">
        <f>+AZ93+AZ128+AZ158+AZ207+AZ257+AZ296</f>
        <v>61.956777398809329</v>
      </c>
      <c r="BA24" s="1244">
        <f>+BA93+BA128+BA158+BA207+BA257+BA296</f>
        <v>63.362503122469185</v>
      </c>
      <c r="BB24" s="1245">
        <f>+BB93+BB128+BB158+BB207+BB257+BB296</f>
        <v>68.484259022941217</v>
      </c>
      <c r="BC24" s="1246">
        <f>+BC93+BC128+BC158+BC207+BC257+BC296</f>
        <v>250.85079337893865</v>
      </c>
      <c r="BD24" s="1195"/>
      <c r="BE24" s="1243">
        <f>+BE93+BE125+BE127+BE158+BE207+BE257+BE296</f>
        <v>67.111748583089678</v>
      </c>
      <c r="BF24" s="1244">
        <f>+BF93+BF125+BF127+BF158+BF207+BF257+BF296</f>
        <v>75.397879918099861</v>
      </c>
      <c r="BG24" s="1244">
        <f>+BG93+BG125+BG127+BG158+BG207+BG257+BG296</f>
        <v>84.814960549577506</v>
      </c>
      <c r="BH24" s="1245">
        <f>+BH93+BH125+BH127+BH158+BH207+BH257+BH296</f>
        <v>93.713177500502709</v>
      </c>
      <c r="BI24" s="1246">
        <f>+BI93+BI125+BI127+BI158+BI207+BI257+BI296</f>
        <v>321.03776655126973</v>
      </c>
      <c r="BJ24" s="1195"/>
      <c r="BK24" s="1243">
        <f>+BK93+BK125+BK127+BK158+BK207+BK257+BK296</f>
        <v>88.312999654792236</v>
      </c>
      <c r="BL24" s="1244">
        <f>+BL93+BL125+BL127+BL158+BL207+BL257+BL296</f>
        <v>91.886163464179248</v>
      </c>
      <c r="BM24" s="1244">
        <f>+BM93+BM125+BM127+BM158+BM207+BM257+BM296</f>
        <v>101.43224589661131</v>
      </c>
      <c r="BN24" s="1245">
        <f>+BN93+BN125+BN127+BN158+BN207+BN257+BN296</f>
        <v>109.84239956034193</v>
      </c>
      <c r="BO24" s="1246">
        <f>+BO93+BO125+BO127+BO158+BO207+BO257+BO296</f>
        <v>391.47380857592475</v>
      </c>
      <c r="BP24" s="1193"/>
      <c r="BQ24" s="1243">
        <f>+BQ93+BQ125+BQ127+BQ158+BQ207+BQ257+BQ296</f>
        <v>97.569586060164312</v>
      </c>
      <c r="BR24" s="1244">
        <f>+BR93+BR125+BR127+BR158+BR207+BR257+BR296</f>
        <v>105.48200617498463</v>
      </c>
      <c r="BS24" s="1244">
        <f>+BS93+BS125+BS127+BS158+BS207+BS257+BS296</f>
        <v>116.65059096066902</v>
      </c>
      <c r="BT24" s="1245">
        <f>+BT93+BT125+BT127+BT158+BT207+BT257+BT296</f>
        <v>126.98148312387907</v>
      </c>
      <c r="BU24" s="1246">
        <f>+BU93+BU125+BU127+BU158+BU207+BU257+BU296</f>
        <v>446.68366631969695</v>
      </c>
      <c r="BV24" s="1193"/>
      <c r="BW24" s="1243">
        <f>+BW93+BW125+BW127+BW158+BW207+BW257+BW296</f>
        <v>111.66360435447076</v>
      </c>
      <c r="BX24" s="1244">
        <f>+BX93+BX125+BX127+BX158+BX207+BX257+BX296</f>
        <v>121.84312887665028</v>
      </c>
      <c r="BY24" s="1244">
        <f>+BY93+BY125+BY127+BY158+BY207+BY257+BY296</f>
        <v>140.06647779563875</v>
      </c>
      <c r="BZ24" s="1245">
        <f>+BZ93+BZ125+BZ127+BZ158+BZ207+BZ257+BZ296</f>
        <v>150.06634237671022</v>
      </c>
      <c r="CA24" s="1246">
        <f>+CA93+CA125+CA127+CA158+CA207+CA257+CA296</f>
        <v>523.63955340347002</v>
      </c>
      <c r="CB24" s="1193"/>
      <c r="CC24" s="1243">
        <f>+CC93+CC128+CC158+CC207+CC257+CC296</f>
        <v>136.25629936700591</v>
      </c>
      <c r="CD24" s="1244">
        <f>+CD93+CD128+CD158+CD207+CD257+CD296</f>
        <v>155.83576990561878</v>
      </c>
      <c r="CE24" s="1244">
        <f>+CE93+CE128+CE158+CE207+CE257+CE296</f>
        <v>176.33465016406012</v>
      </c>
      <c r="CF24" s="1245">
        <f>+CF93+CF125+CF127+CF158+CF207+CF257+CF296</f>
        <v>186.42140105112935</v>
      </c>
      <c r="CG24" s="1246">
        <f>+CG93+CG128+CG158+CG207+CG257+CG296</f>
        <v>657.75889492506599</v>
      </c>
      <c r="CH24" s="1193"/>
      <c r="CI24" s="1243">
        <f>+CI93+CI128+CI158+CI207+CI257+CI296</f>
        <v>167.83439896547043</v>
      </c>
      <c r="CJ24" s="1244">
        <f>+CJ93+CJ128+CJ158+CJ207+CJ257+CJ296</f>
        <v>192.55675161430821</v>
      </c>
      <c r="CK24" s="1244">
        <f>+CK93+CK128+CK158+CK207+CK257+CK296</f>
        <v>218.39173174215048</v>
      </c>
      <c r="CL24" s="1245">
        <f>+CL93+CL128+CL158+CL207+CL257+CL296</f>
        <v>225.91662649778576</v>
      </c>
      <c r="CM24" s="1246">
        <f>+CM93+CM128+CM158+CM207+CM257+CM296</f>
        <v>804.69950881971477</v>
      </c>
      <c r="CN24" s="1193"/>
      <c r="CO24" s="1243">
        <f>+CO93+CO128+CO158+CO207+CO257+CO296</f>
        <v>217.66154406620643</v>
      </c>
      <c r="CP24" s="1244">
        <f>+CP93+CP128+CP158+CP207+CP257+CP296</f>
        <v>230.27304670841053</v>
      </c>
      <c r="CQ24" s="1244">
        <f>+CQ93+CQ128+CQ158+CQ207+CQ257+CQ296</f>
        <v>246.23506302458858</v>
      </c>
      <c r="CR24" s="1245">
        <f>+CR93+CR128+CR158+CR207+CR257+CR296</f>
        <v>264.01216020723302</v>
      </c>
      <c r="CS24" s="1246">
        <f>+CS93+CS128+CS158+CS207+CS257+CS296</f>
        <v>958.18181400643857</v>
      </c>
      <c r="CT24" s="1193"/>
      <c r="CU24" s="1243">
        <f>+CU93+CU128+CU158+CU207+CU257+CU296</f>
        <v>257.2713827122891</v>
      </c>
      <c r="CV24" s="1244">
        <f>+CV93+CV128+CV158+CV207+CV257+CV296</f>
        <v>272.84866618791818</v>
      </c>
      <c r="CW24" s="1244">
        <f>+CW93+CW128+CW158+CW207+CW257+CW296</f>
        <v>289.97282085076813</v>
      </c>
      <c r="CX24" s="1245">
        <f>+CX93+CX128+CX158+CX207+CX257+CX296</f>
        <v>311.33567845452279</v>
      </c>
      <c r="CY24" s="1246">
        <f>+CY93+CY128+CY158+CY207+CY257+CY296</f>
        <v>1131.4285482054981</v>
      </c>
      <c r="CZ24" s="48"/>
      <c r="DD24" s="48"/>
      <c r="DE24" s="48"/>
      <c r="DF24" s="48"/>
      <c r="DG24" s="48"/>
      <c r="DH24" s="48"/>
      <c r="DI24" s="48"/>
      <c r="DJ24" s="48"/>
      <c r="DK24" s="48"/>
    </row>
    <row r="25" spans="1:115" x14ac:dyDescent="0.2">
      <c r="A25" s="205" t="s">
        <v>639</v>
      </c>
      <c r="B25" s="58"/>
      <c r="C25" s="556"/>
      <c r="D25" s="556"/>
      <c r="E25" s="556"/>
      <c r="F25" s="556"/>
      <c r="G25" s="629"/>
      <c r="H25" s="557"/>
      <c r="I25" s="677"/>
      <c r="J25" s="556"/>
      <c r="K25" s="556"/>
      <c r="L25" s="556"/>
      <c r="M25" s="629"/>
      <c r="N25" s="557"/>
      <c r="O25" s="677"/>
      <c r="P25" s="556"/>
      <c r="Q25" s="556"/>
      <c r="R25" s="556"/>
      <c r="S25" s="629"/>
      <c r="T25" s="556"/>
      <c r="U25" s="677"/>
      <c r="V25" s="556"/>
      <c r="W25" s="556"/>
      <c r="X25" s="556"/>
      <c r="Y25" s="629"/>
      <c r="Z25" s="556"/>
      <c r="AA25" s="677"/>
      <c r="AB25" s="556"/>
      <c r="AC25" s="556"/>
      <c r="AD25" s="556"/>
      <c r="AE25" s="629"/>
      <c r="AF25" s="556"/>
      <c r="AG25" s="677"/>
      <c r="AH25" s="556"/>
      <c r="AI25" s="556"/>
      <c r="AJ25" s="556"/>
      <c r="AK25" s="629"/>
      <c r="AL25" s="556"/>
      <c r="AM25" s="677"/>
      <c r="AN25" s="556"/>
      <c r="AO25" s="556"/>
      <c r="AP25" s="556"/>
      <c r="AQ25" s="629"/>
      <c r="AR25" s="556"/>
      <c r="AS25" s="677"/>
      <c r="AT25" s="556"/>
      <c r="AU25" s="556"/>
      <c r="AV25" s="556"/>
      <c r="AW25" s="629"/>
      <c r="AX25" s="587"/>
      <c r="AY25" s="586"/>
      <c r="AZ25" s="587"/>
      <c r="BA25" s="587"/>
      <c r="BB25" s="587"/>
      <c r="BC25" s="1106"/>
      <c r="BD25" s="585"/>
      <c r="BE25" s="586">
        <f>BE24/AY24-1</f>
        <v>0.1764238253699344</v>
      </c>
      <c r="BF25" s="587">
        <f>BF24/AZ24-1</f>
        <v>0.21694321563517671</v>
      </c>
      <c r="BG25" s="587">
        <f>BG24/BA24-1</f>
        <v>0.33856707626660976</v>
      </c>
      <c r="BH25" s="587">
        <f>BH24/BB24-1</f>
        <v>0.36839003352741506</v>
      </c>
      <c r="BI25" s="707">
        <f>BI24/BC24-1</f>
        <v>0.27979569937538806</v>
      </c>
      <c r="BJ25" s="966">
        <v>7</v>
      </c>
      <c r="BK25" s="586">
        <f>BK24/BE24-1</f>
        <v>0.31590968078344317</v>
      </c>
      <c r="BL25" s="587">
        <f>BL24/BF24-1</f>
        <v>0.21868364951361507</v>
      </c>
      <c r="BM25" s="587">
        <f>+BM24/BG24-1</f>
        <v>0.19592398840202696</v>
      </c>
      <c r="BN25" s="587">
        <f>+BN24/BH24-1</f>
        <v>0.17211263655799858</v>
      </c>
      <c r="BO25" s="707">
        <f>BO24/BI24-1</f>
        <v>0.21940110903869736</v>
      </c>
      <c r="BP25" s="585"/>
      <c r="BQ25" s="586">
        <f>+BQ24/BK24-1</f>
        <v>0.10481567200248265</v>
      </c>
      <c r="BR25" s="587">
        <f>+BR24/BL24-1</f>
        <v>0.14796398280471856</v>
      </c>
      <c r="BS25" s="587">
        <f>+BS24/BM24-1</f>
        <v>0.15003458643289425</v>
      </c>
      <c r="BT25" s="587">
        <f>+BT24/BN24-1</f>
        <v>0.15603340451536463</v>
      </c>
      <c r="BU25" s="707">
        <f>BU24/BO24-1</f>
        <v>0.14103078299059302</v>
      </c>
      <c r="BV25" s="585"/>
      <c r="BW25" s="586">
        <f>+BW24/BQ24-1</f>
        <v>0.14445093869328973</v>
      </c>
      <c r="BX25" s="587">
        <f>+BX24/BR24-1</f>
        <v>0.15510818664677362</v>
      </c>
      <c r="BY25" s="587">
        <f>+BY24/BS24-1</f>
        <v>0.2007352611086628</v>
      </c>
      <c r="BZ25" s="587">
        <f>+BZ24/BT24-1</f>
        <v>0.18179705170328098</v>
      </c>
      <c r="CA25" s="707">
        <f>CA24/BU24-1</f>
        <v>0.17228274254535836</v>
      </c>
      <c r="CB25" s="585"/>
      <c r="CC25" s="586">
        <f>+CC24/BW24-1</f>
        <v>0.22023912943439306</v>
      </c>
      <c r="CD25" s="587">
        <f>+CD24/BX24-1</f>
        <v>0.27898693461312418</v>
      </c>
      <c r="CE25" s="587">
        <f>+CE24/BY24-1</f>
        <v>0.25893542080309717</v>
      </c>
      <c r="CF25" s="587">
        <f>+CF24/BZ24-1</f>
        <v>0.24225991050782958</v>
      </c>
      <c r="CG25" s="707">
        <f>CG24/CA24-1</f>
        <v>0.25612912670532273</v>
      </c>
      <c r="CH25" s="585"/>
      <c r="CI25" s="586">
        <f>+CI24/CC24-1</f>
        <v>0.23175515367116351</v>
      </c>
      <c r="CJ25" s="587">
        <f>+CJ24/CD24-1</f>
        <v>0.23563897897722286</v>
      </c>
      <c r="CK25" s="587">
        <f>+CK24/CE24-1</f>
        <v>0.23850718811623728</v>
      </c>
      <c r="CL25" s="587">
        <f>+CL24/CF24-1</f>
        <v>0.21185993251828505</v>
      </c>
      <c r="CM25" s="707">
        <f>CM24/CG24-1</f>
        <v>0.22339585983309096</v>
      </c>
      <c r="CN25" s="585"/>
      <c r="CO25" s="586">
        <f>+CO24/CI24-1</f>
        <v>0.29688279284741403</v>
      </c>
      <c r="CP25" s="587">
        <f>+CP24/CJ24-1</f>
        <v>0.19587106023500112</v>
      </c>
      <c r="CQ25" s="587">
        <f>+CQ24/CK24-1</f>
        <v>0.12749260725361156</v>
      </c>
      <c r="CR25" s="587">
        <f>+CR24/CL24-1</f>
        <v>0.16862651633929504</v>
      </c>
      <c r="CS25" s="707">
        <f>CS24/CM24-1</f>
        <v>0.19073244547128221</v>
      </c>
      <c r="CT25" s="585"/>
      <c r="CU25" s="586">
        <f>+CU24/CO24-1</f>
        <v>0.18197903913625857</v>
      </c>
      <c r="CV25" s="587">
        <f>+CV24/CP24-1</f>
        <v>0.18489189285544216</v>
      </c>
      <c r="CW25" s="587">
        <f>+CW24/CQ24-1</f>
        <v>0.1776260346066636</v>
      </c>
      <c r="CX25" s="587">
        <f>+CX24/CR24-1</f>
        <v>0.17924749454776534</v>
      </c>
      <c r="CY25" s="707">
        <f>CY24/CS24-1</f>
        <v>0.18080778790265728</v>
      </c>
      <c r="CZ25" s="48"/>
      <c r="DD25" s="48"/>
      <c r="DE25" s="48"/>
      <c r="DF25" s="48"/>
      <c r="DG25" s="48"/>
      <c r="DH25" s="48"/>
      <c r="DI25" s="48"/>
      <c r="DJ25" s="48"/>
      <c r="DK25" s="48"/>
    </row>
    <row r="26" spans="1:115" x14ac:dyDescent="0.2">
      <c r="A26" s="205" t="s">
        <v>227</v>
      </c>
      <c r="B26" s="58"/>
      <c r="C26" s="556"/>
      <c r="D26" s="556"/>
      <c r="E26" s="556"/>
      <c r="F26" s="556"/>
      <c r="G26" s="629"/>
      <c r="H26" s="557"/>
      <c r="I26" s="677"/>
      <c r="J26" s="556"/>
      <c r="K26" s="556"/>
      <c r="L26" s="556"/>
      <c r="M26" s="629"/>
      <c r="N26" s="557"/>
      <c r="O26" s="677"/>
      <c r="P26" s="556"/>
      <c r="Q26" s="556"/>
      <c r="R26" s="556"/>
      <c r="S26" s="629"/>
      <c r="T26" s="556"/>
      <c r="U26" s="677"/>
      <c r="V26" s="556"/>
      <c r="W26" s="556"/>
      <c r="X26" s="556"/>
      <c r="Y26" s="629"/>
      <c r="Z26" s="578"/>
      <c r="AA26" s="565"/>
      <c r="AB26" s="566"/>
      <c r="AC26" s="566"/>
      <c r="AD26" s="588"/>
      <c r="AE26" s="584"/>
      <c r="AF26" s="557"/>
      <c r="AG26" s="565"/>
      <c r="AH26" s="566"/>
      <c r="AI26" s="566"/>
      <c r="AJ26" s="588"/>
      <c r="AK26" s="1228"/>
      <c r="AL26" s="557"/>
      <c r="AM26" s="694"/>
      <c r="AN26" s="583"/>
      <c r="AO26" s="583"/>
      <c r="AP26" s="583"/>
      <c r="AQ26" s="1228"/>
      <c r="AR26" s="585"/>
      <c r="AS26" s="565"/>
      <c r="AT26" s="566"/>
      <c r="AU26" s="566"/>
      <c r="AV26" s="566"/>
      <c r="AW26" s="1228"/>
      <c r="AX26" s="585"/>
      <c r="AY26" s="909"/>
      <c r="AZ26" s="910"/>
      <c r="BA26" s="910"/>
      <c r="BB26" s="910"/>
      <c r="BC26" s="1106"/>
      <c r="BD26" s="966"/>
      <c r="BE26" s="1109">
        <f>+BE25-RevBuild!BE$59</f>
        <v>0.18228931443619809</v>
      </c>
      <c r="BF26" s="1110">
        <f>+BF25-RevBuild!BF$59</f>
        <v>0.2169998213126709</v>
      </c>
      <c r="BG26" s="1110">
        <f>+BG25-RevBuild!BG$59</f>
        <v>0.3444109615204311</v>
      </c>
      <c r="BH26" s="1110">
        <f>+BH25-RevBuild!BH$59</f>
        <v>0.37206530738379734</v>
      </c>
      <c r="BI26" s="1228">
        <f>+BI25-RevBuild!BI$59</f>
        <v>0.28840086368565471</v>
      </c>
      <c r="BJ26" s="966"/>
      <c r="BK26" s="1109">
        <f>+BK25-RevBuild!BK$59</f>
        <v>0.32046142400425132</v>
      </c>
      <c r="BL26" s="1110">
        <f>+BL25-RevBuild!BL$59</f>
        <v>0.21183017998654272</v>
      </c>
      <c r="BM26" s="1110">
        <f>+BM25-RevBuild!BM$59</f>
        <v>0.19594387654665454</v>
      </c>
      <c r="BN26" s="1110">
        <f>+BN25-RevBuild!BN$59</f>
        <v>0.22000804039434046</v>
      </c>
      <c r="BO26" s="1228">
        <f>+BO25-RevBuild!BO$59</f>
        <v>0.22894069311198659</v>
      </c>
      <c r="BP26" s="585"/>
      <c r="BQ26" s="1109">
        <f>+BQ25-RevBuild!BQ$59</f>
        <v>0.18356042974810061</v>
      </c>
      <c r="BR26" s="1110">
        <f>+BR25-RevBuild!BR$59</f>
        <v>0.2325306616479636</v>
      </c>
      <c r="BS26" s="1110">
        <f>+BS25-RevBuild!BS$59</f>
        <v>0.23903458643289424</v>
      </c>
      <c r="BT26" s="1110">
        <f>+BT25-RevBuild!BT$59</f>
        <v>0.21903340451536463</v>
      </c>
      <c r="BU26" s="1228">
        <f>+BU25-RevBuild!BU$59</f>
        <v>0.22128078299059289</v>
      </c>
      <c r="BV26" s="585"/>
      <c r="BW26" s="1109">
        <f>+BW25-RevBuild!BW$59</f>
        <v>0.16462256916773296</v>
      </c>
      <c r="BX26" s="1110">
        <f>+BX25-AVERAGE(RevBuild!BX$47,RevBuild!BX$34)</f>
        <v>0.16558089807438764</v>
      </c>
      <c r="BY26" s="1110">
        <f>+BY25-AVERAGE(RevBuild!BY$47,RevBuild!BY$34)</f>
        <v>0.19805761070777031</v>
      </c>
      <c r="BZ26" s="1110">
        <f>+BZ25-AVERAGE(RevBuild!BZ$47,RevBuild!BZ$34)</f>
        <v>0.22704865170143179</v>
      </c>
      <c r="CA26" s="1228">
        <f>+CA25-AVERAGE(RevBuild!CA$47,RevBuild!CA$34)</f>
        <v>0.19124674536926495</v>
      </c>
      <c r="CB26" s="585"/>
      <c r="CC26" s="1109">
        <f>+CC25-AVERAGE(RevBuild!CC$47,RevBuild!CC$34)</f>
        <v>0.2722601570616085</v>
      </c>
      <c r="CD26" s="1110">
        <f>+CD25-AVERAGE(RevBuild!CD$47,RevBuild!CD$34)</f>
        <v>0.32947278396493879</v>
      </c>
      <c r="CE26" s="1110">
        <f>+CE25-AVERAGE(RevBuild!CE$47,RevBuild!CE$34)</f>
        <v>0.29012886013462963</v>
      </c>
      <c r="CF26" s="1110">
        <f>+CF25-AVERAGE(RevBuild!CF$47,RevBuild!CF$34)</f>
        <v>0.23292570499554938</v>
      </c>
      <c r="CG26" s="1228">
        <f>+CG25-AVERAGE(RevBuild!CG$47,RevBuild!CG$34)</f>
        <v>0.28639191110230738</v>
      </c>
      <c r="CH26" s="585"/>
      <c r="CI26" s="1109">
        <f>+CI25-AVERAGE(RevBuild!CI$47,RevBuild!CI$34)</f>
        <v>0.18175515367116352</v>
      </c>
      <c r="CJ26" s="1110">
        <f>+CJ25-AVERAGE(RevBuild!CJ$47,RevBuild!CJ$34)</f>
        <v>0.19063897897722287</v>
      </c>
      <c r="CK26" s="1110">
        <f>+CK25-AVERAGE(RevBuild!CK$47,RevBuild!CK$34)</f>
        <v>0.21350718811623728</v>
      </c>
      <c r="CL26" s="1110">
        <f>+CL25-AVERAGE(RevBuild!CL$47,RevBuild!CL$34)</f>
        <v>0.19185993251828506</v>
      </c>
      <c r="CM26" s="1228">
        <f>+CM25-AVERAGE(RevBuild!CM$47,RevBuild!CM$34)</f>
        <v>0.18925511459988847</v>
      </c>
      <c r="CN26" s="585"/>
      <c r="CO26" s="1109">
        <f>+CO25-AVERAGE(RevBuild!CO$47,RevBuild!CO$34)</f>
        <v>0.29688279284741403</v>
      </c>
      <c r="CP26" s="1110">
        <f>+CP25-AVERAGE(RevBuild!CP$47,RevBuild!CP$34)</f>
        <v>0.19587106023500112</v>
      </c>
      <c r="CQ26" s="1110">
        <f>+CQ25-AVERAGE(RevBuild!CQ$47,RevBuild!CQ$34)</f>
        <v>0.12749260725361156</v>
      </c>
      <c r="CR26" s="1110">
        <f>+CR25-AVERAGE(RevBuild!CR$47,RevBuild!CR$34)</f>
        <v>0.16862651633929504</v>
      </c>
      <c r="CS26" s="1228">
        <f>+CS25-AVERAGE(RevBuild!CS$47,RevBuild!CS$34)</f>
        <v>0.19073244547128218</v>
      </c>
      <c r="CT26" s="585"/>
      <c r="CU26" s="1109">
        <f>+CU25-AVERAGE(RevBuild!CU$47,RevBuild!CU$34)</f>
        <v>0.18197903913625857</v>
      </c>
      <c r="CV26" s="1110">
        <f>+CV25-AVERAGE(RevBuild!CV$47,RevBuild!CV$34)</f>
        <v>0.18489189285544216</v>
      </c>
      <c r="CW26" s="1110">
        <f>+CW25-AVERAGE(RevBuild!CW$47,RevBuild!CW$34)</f>
        <v>0.1776260346066636</v>
      </c>
      <c r="CX26" s="1110">
        <f>+CX25-AVERAGE(RevBuild!CX$47,RevBuild!CX$34)</f>
        <v>0.17924749454776534</v>
      </c>
      <c r="CY26" s="1228">
        <f>+CY25-AVERAGE(RevBuild!CY$47,RevBuild!CY$34)</f>
        <v>0.18080778790265736</v>
      </c>
      <c r="CZ26" s="48"/>
      <c r="DD26" s="48"/>
      <c r="DE26" s="48"/>
      <c r="DF26" s="48"/>
      <c r="DG26" s="48"/>
      <c r="DH26" s="48"/>
      <c r="DI26" s="48"/>
      <c r="DJ26" s="48"/>
      <c r="DK26" s="48"/>
    </row>
    <row r="27" spans="1:115" x14ac:dyDescent="0.2">
      <c r="A27" s="1196" t="s">
        <v>425</v>
      </c>
      <c r="B27" s="1197"/>
      <c r="C27" s="1198"/>
      <c r="D27" s="1198"/>
      <c r="E27" s="1198"/>
      <c r="F27" s="1198"/>
      <c r="G27" s="1199"/>
      <c r="H27" s="1200"/>
      <c r="I27" s="1201"/>
      <c r="J27" s="1198"/>
      <c r="K27" s="1198"/>
      <c r="L27" s="1198"/>
      <c r="M27" s="1199"/>
      <c r="N27" s="1200"/>
      <c r="O27" s="1201"/>
      <c r="P27" s="1198"/>
      <c r="Q27" s="1198"/>
      <c r="R27" s="1198"/>
      <c r="S27" s="1199"/>
      <c r="T27" s="1198"/>
      <c r="U27" s="1201"/>
      <c r="V27" s="1198"/>
      <c r="W27" s="1198"/>
      <c r="X27" s="1198"/>
      <c r="Y27" s="1202"/>
      <c r="Z27" s="1203"/>
      <c r="AA27" s="1204"/>
      <c r="AB27" s="1205"/>
      <c r="AC27" s="1205"/>
      <c r="AD27" s="1206"/>
      <c r="AE27" s="1207"/>
      <c r="AF27" s="1200"/>
      <c r="AG27" s="1209">
        <f>AG24/AG$366</f>
        <v>0</v>
      </c>
      <c r="AH27" s="1210">
        <f>AH24/AH$366</f>
        <v>0</v>
      </c>
      <c r="AI27" s="1210">
        <f>AI24/AI$366</f>
        <v>0</v>
      </c>
      <c r="AJ27" s="1210">
        <f>AJ24/AJ$366</f>
        <v>0</v>
      </c>
      <c r="AK27" s="1208">
        <f>AK24/AK$366</f>
        <v>0</v>
      </c>
      <c r="AL27" s="1200"/>
      <c r="AM27" s="1209">
        <f>AM24/AM$366</f>
        <v>0</v>
      </c>
      <c r="AN27" s="1210">
        <f>AN24/AN$366</f>
        <v>0</v>
      </c>
      <c r="AO27" s="1210">
        <f>AO24/AO$366</f>
        <v>0</v>
      </c>
      <c r="AP27" s="1210">
        <f>AP24/AP$366</f>
        <v>0</v>
      </c>
      <c r="AQ27" s="1208">
        <f>AQ24/AQ$366</f>
        <v>0</v>
      </c>
      <c r="AR27" s="1200"/>
      <c r="AS27" s="1209">
        <f>AS24/AS$366</f>
        <v>0</v>
      </c>
      <c r="AT27" s="1210">
        <f>AT24/AT$366</f>
        <v>0</v>
      </c>
      <c r="AU27" s="1210">
        <f>AU24/AU$366</f>
        <v>0</v>
      </c>
      <c r="AV27" s="1210">
        <f>AV24/AV$366</f>
        <v>0</v>
      </c>
      <c r="AW27" s="1208">
        <f>AW24/AW$366</f>
        <v>0</v>
      </c>
      <c r="AX27" s="1200"/>
      <c r="AY27" s="1209">
        <f>AY24/AY$366</f>
        <v>0.19245283357753104</v>
      </c>
      <c r="AZ27" s="1210">
        <f>AZ24/AZ$366</f>
        <v>0.20167368372695596</v>
      </c>
      <c r="BA27" s="1210">
        <f>BA24/BA$366</f>
        <v>0.20823132982943579</v>
      </c>
      <c r="BB27" s="1210">
        <f>BB24/BB$366</f>
        <v>0.19762751787119581</v>
      </c>
      <c r="BC27" s="1208">
        <f>BC24/BC$366</f>
        <v>0.19996778952704491</v>
      </c>
      <c r="BD27" s="1200"/>
      <c r="BE27" s="1209">
        <f>BE24/BE$366</f>
        <v>0.22107066626837982</v>
      </c>
      <c r="BF27" s="1210">
        <f>BF24/BF$366</f>
        <v>0.23829020365251591</v>
      </c>
      <c r="BG27" s="1210">
        <f>BG24/BG$366</f>
        <v>0.26192736055778681</v>
      </c>
      <c r="BH27" s="1210">
        <f>BH24/BH$366</f>
        <v>0.25845850628267225</v>
      </c>
      <c r="BI27" s="1208">
        <f>BI24/BI$366</f>
        <v>0.24574532951358077</v>
      </c>
      <c r="BJ27" s="1200"/>
      <c r="BK27" s="1209">
        <f>BK24/BK$366</f>
        <v>0.27826248500909728</v>
      </c>
      <c r="BL27" s="1210">
        <f>BL24/BL$366</f>
        <v>0.27740307835229533</v>
      </c>
      <c r="BM27" s="1210">
        <f>BM24/BM$366</f>
        <v>0.30120308084645991</v>
      </c>
      <c r="BN27" s="1210">
        <f>BN24/BN$366</f>
        <v>0.30443280275031714</v>
      </c>
      <c r="BO27" s="1208">
        <f>BO24/BO$366</f>
        <v>0.29080411311137006</v>
      </c>
      <c r="BP27" s="1200"/>
      <c r="BQ27" s="1209">
        <f>BQ24/BQ$366</f>
        <v>0.32661571544833046</v>
      </c>
      <c r="BR27" s="1210">
        <f>BR24/BR$366</f>
        <v>0.33019259671123607</v>
      </c>
      <c r="BS27" s="1210">
        <f>BS24/BS$366</f>
        <v>0.37083615248129626</v>
      </c>
      <c r="BT27" s="1210">
        <f>BT24/BT$366</f>
        <v>0.36436580523351242</v>
      </c>
      <c r="BU27" s="1208">
        <f>BU24/BU$366</f>
        <v>0.3486322426135941</v>
      </c>
      <c r="BV27" s="1200"/>
      <c r="BW27" s="1209">
        <f>BW24/BW$366</f>
        <v>0.374234126243706</v>
      </c>
      <c r="BX27" s="1210">
        <f>BX24/BX$366</f>
        <v>0.36435034890090756</v>
      </c>
      <c r="BY27" s="1210">
        <f>BY24/BY$366</f>
        <v>0.41355973189139983</v>
      </c>
      <c r="BZ27" s="1210">
        <f>BZ24/BZ$366</f>
        <v>0.40944120261574624</v>
      </c>
      <c r="CA27" s="1208">
        <f>CA24/CA$366</f>
        <v>0.39136253786719793</v>
      </c>
      <c r="CB27" s="1200"/>
      <c r="CC27" s="1209">
        <f>CC24/CC$366</f>
        <v>0.44195150067467354</v>
      </c>
      <c r="CD27" s="1210">
        <f>CD24/CD$366</f>
        <v>0.44574684045931356</v>
      </c>
      <c r="CE27" s="1210">
        <f>CE24/CE$366</f>
        <v>0.48390408936350199</v>
      </c>
      <c r="CF27" s="1210">
        <f>CF24/CF$366</f>
        <v>0.46944169808374281</v>
      </c>
      <c r="CG27" s="1208">
        <f>CG24/CG$366</f>
        <v>0.46339813299404053</v>
      </c>
      <c r="CH27" s="1200"/>
      <c r="CI27" s="1209">
        <f>CI24/CI$366</f>
        <v>0.49046138466176142</v>
      </c>
      <c r="CJ27" s="1210">
        <f>CJ24/CJ$366</f>
        <v>0.49372544490560588</v>
      </c>
      <c r="CK27" s="1210">
        <f>CK24/CK$366</f>
        <v>0.54194343874488882</v>
      </c>
      <c r="CL27" s="1210">
        <f>CL24/CL$366</f>
        <v>0.52592600582863103</v>
      </c>
      <c r="CM27" s="1208">
        <f>CM24/CM$366</f>
        <v>0.51426935370260085</v>
      </c>
      <c r="CN27" s="1200"/>
      <c r="CO27" s="1209">
        <f>CO24/CO$366</f>
        <v>0.57290042013792086</v>
      </c>
      <c r="CP27" s="1210">
        <f>CP24/CP$366</f>
        <v>0.54895989291444236</v>
      </c>
      <c r="CQ27" s="1210">
        <f>CQ24/CQ$366</f>
        <v>0.57659853156754248</v>
      </c>
      <c r="CR27" s="1210">
        <f>CR24/CR$366</f>
        <v>0.56460937595281502</v>
      </c>
      <c r="CS27" s="1208">
        <f>CS24/CS$366</f>
        <v>0.56561609811567559</v>
      </c>
      <c r="CT27" s="1200"/>
      <c r="CU27" s="1209">
        <f>CU24/CU$366</f>
        <v>0.61161494813097539</v>
      </c>
      <c r="CV27" s="1210">
        <f>CV24/CV$366</f>
        <v>0.59095870905674075</v>
      </c>
      <c r="CW27" s="1210">
        <f>CW24/CW$366</f>
        <v>0.61827070039521093</v>
      </c>
      <c r="CX27" s="1210">
        <f>CX24/CX$366</f>
        <v>0.60678201687696709</v>
      </c>
      <c r="CY27" s="1208">
        <f>CY24/CY$366</f>
        <v>0.60684396520584338</v>
      </c>
      <c r="CZ27" s="48"/>
      <c r="DD27" s="48"/>
      <c r="DE27" s="48"/>
      <c r="DF27" s="48"/>
      <c r="DG27" s="48"/>
      <c r="DH27" s="48"/>
      <c r="DI27" s="48"/>
      <c r="DJ27" s="48"/>
      <c r="DK27" s="48"/>
    </row>
    <row r="28" spans="1:115" x14ac:dyDescent="0.2">
      <c r="A28" s="1141" t="s">
        <v>188</v>
      </c>
      <c r="B28" s="1142"/>
      <c r="C28" s="1143"/>
      <c r="D28" s="1143"/>
      <c r="E28" s="1143"/>
      <c r="F28" s="1143"/>
      <c r="G28" s="1144"/>
      <c r="H28" s="1145"/>
      <c r="I28" s="1146"/>
      <c r="J28" s="1143"/>
      <c r="K28" s="1143"/>
      <c r="L28" s="1143"/>
      <c r="M28" s="1144"/>
      <c r="N28" s="1145"/>
      <c r="O28" s="1146"/>
      <c r="P28" s="1143"/>
      <c r="Q28" s="1143"/>
      <c r="R28" s="1143"/>
      <c r="S28" s="1144"/>
      <c r="T28" s="1143"/>
      <c r="U28" s="1146"/>
      <c r="V28" s="1143"/>
      <c r="W28" s="1143"/>
      <c r="X28" s="1143"/>
      <c r="Y28" s="1144"/>
      <c r="Z28" s="1147"/>
      <c r="AA28" s="1148"/>
      <c r="AB28" s="1149"/>
      <c r="AC28" s="1149"/>
      <c r="AD28" s="1150"/>
      <c r="AE28" s="1151"/>
      <c r="AF28" s="1145"/>
      <c r="AG28" s="1152"/>
      <c r="AH28" s="1153"/>
      <c r="AI28" s="1153"/>
      <c r="AJ28" s="1154"/>
      <c r="AK28" s="1151"/>
      <c r="AL28" s="1155"/>
      <c r="AM28" s="1156"/>
      <c r="AN28" s="1157"/>
      <c r="AO28" s="1157"/>
      <c r="AP28" s="1157"/>
      <c r="AQ28" s="1151"/>
      <c r="AR28" s="1158"/>
      <c r="AS28" s="1152"/>
      <c r="AT28" s="1153"/>
      <c r="AU28" s="1153"/>
      <c r="AV28" s="1153"/>
      <c r="AW28" s="1151"/>
      <c r="AX28" s="1153"/>
      <c r="AY28" s="1152"/>
      <c r="AZ28" s="1153"/>
      <c r="BA28" s="1153"/>
      <c r="BB28" s="1153"/>
      <c r="BC28" s="1151"/>
      <c r="BD28" s="1158"/>
      <c r="BE28" s="1152"/>
      <c r="BF28" s="1153"/>
      <c r="BG28" s="1153"/>
      <c r="BH28" s="1153"/>
      <c r="BI28" s="1151"/>
      <c r="BJ28" s="1159"/>
      <c r="BK28" s="1160"/>
      <c r="BL28" s="1307"/>
      <c r="BM28" s="1307"/>
      <c r="BN28" s="1153"/>
      <c r="BO28" s="1295"/>
      <c r="BP28" s="1158"/>
      <c r="BQ28" s="1152"/>
      <c r="BR28" s="1307"/>
      <c r="BS28" s="1307"/>
      <c r="BT28" s="1153"/>
      <c r="BU28" s="1295"/>
      <c r="BV28" s="1158"/>
      <c r="BW28" s="1152"/>
      <c r="BX28" s="1153"/>
      <c r="BY28" s="1153"/>
      <c r="BZ28" s="1153"/>
      <c r="CA28" s="1151"/>
      <c r="CB28" s="1158"/>
      <c r="CC28" s="1152"/>
      <c r="CD28" s="1153"/>
      <c r="CE28" s="1153"/>
      <c r="CF28" s="1153"/>
      <c r="CG28" s="1151"/>
      <c r="CH28" s="1158"/>
      <c r="CI28" s="1152"/>
      <c r="CJ28" s="1153"/>
      <c r="CK28" s="1153"/>
      <c r="CL28" s="1153"/>
      <c r="CM28" s="1151"/>
      <c r="CN28" s="1158"/>
      <c r="CO28" s="1152"/>
      <c r="CP28" s="1153"/>
      <c r="CQ28" s="1153"/>
      <c r="CR28" s="1153"/>
      <c r="CS28" s="1151"/>
      <c r="CT28" s="1158"/>
      <c r="CU28" s="1152"/>
      <c r="CV28" s="1153"/>
      <c r="CW28" s="1153"/>
      <c r="CX28" s="1153"/>
      <c r="CY28" s="1151"/>
      <c r="CZ28" s="48"/>
      <c r="DD28" s="48"/>
      <c r="DE28" s="48"/>
      <c r="DF28" s="48"/>
      <c r="DG28" s="48"/>
      <c r="DH28" s="48"/>
      <c r="DI28" s="48"/>
      <c r="DJ28" s="48"/>
      <c r="DK28" s="48"/>
    </row>
    <row r="29" spans="1:115" x14ac:dyDescent="0.2">
      <c r="A29" s="1141"/>
      <c r="B29" s="1142"/>
      <c r="C29" s="1143"/>
      <c r="D29" s="1143"/>
      <c r="E29" s="1143"/>
      <c r="F29" s="1143"/>
      <c r="G29" s="1144"/>
      <c r="H29" s="1145"/>
      <c r="I29" s="1146"/>
      <c r="J29" s="1143"/>
      <c r="K29" s="1143"/>
      <c r="L29" s="1143"/>
      <c r="M29" s="1144"/>
      <c r="N29" s="1145"/>
      <c r="O29" s="1146"/>
      <c r="P29" s="1143"/>
      <c r="Q29" s="1143"/>
      <c r="R29" s="1143"/>
      <c r="S29" s="1144"/>
      <c r="T29" s="1143"/>
      <c r="U29" s="1146"/>
      <c r="V29" s="1143"/>
      <c r="W29" s="1143"/>
      <c r="X29" s="1143"/>
      <c r="Y29" s="1144"/>
      <c r="Z29" s="1147"/>
      <c r="AA29" s="1148"/>
      <c r="AB29" s="1149"/>
      <c r="AC29" s="1149"/>
      <c r="AD29" s="1149"/>
      <c r="AE29" s="1151"/>
      <c r="AF29" s="1145"/>
      <c r="AG29" s="1152"/>
      <c r="AH29" s="1153"/>
      <c r="AI29" s="1153"/>
      <c r="AJ29" s="1153"/>
      <c r="AK29" s="1151"/>
      <c r="AL29" s="1155"/>
      <c r="AM29" s="1156"/>
      <c r="AN29" s="1157"/>
      <c r="AO29" s="1157"/>
      <c r="AP29" s="1157"/>
      <c r="AQ29" s="1151"/>
      <c r="AR29" s="1158"/>
      <c r="AS29" s="1152"/>
      <c r="AT29" s="1153"/>
      <c r="AU29" s="1153"/>
      <c r="AV29" s="1153"/>
      <c r="AW29" s="1151"/>
      <c r="AX29" s="1153"/>
      <c r="AY29" s="1152"/>
      <c r="AZ29" s="1153"/>
      <c r="BA29" s="1153"/>
      <c r="BB29" s="1153"/>
      <c r="BC29" s="1269">
        <f>+RevBuild!BC$6</f>
        <v>2012</v>
      </c>
      <c r="BD29" s="1158"/>
      <c r="BE29" s="1152"/>
      <c r="BF29" s="1153"/>
      <c r="BG29" s="1153"/>
      <c r="BH29" s="1153"/>
      <c r="BI29" s="1269">
        <f>+RevBuild!BI$6</f>
        <v>2013</v>
      </c>
      <c r="BJ29" s="1159"/>
      <c r="BK29" s="1160"/>
      <c r="BL29" s="1153"/>
      <c r="BM29" s="1153"/>
      <c r="BN29" s="1153"/>
      <c r="BO29" s="1269">
        <f>+RevBuild!BO$6</f>
        <v>2014</v>
      </c>
      <c r="BP29" s="1158"/>
      <c r="BQ29" s="1152"/>
      <c r="BR29" s="1153"/>
      <c r="BS29" s="1153"/>
      <c r="BT29" s="1153"/>
      <c r="BU29" s="1270">
        <f>+RevBuild!BU$6</f>
        <v>2015</v>
      </c>
      <c r="BV29" s="1158"/>
      <c r="BW29" s="1152"/>
      <c r="BX29" s="1153"/>
      <c r="BY29" s="1153"/>
      <c r="BZ29" s="1153"/>
      <c r="CA29" s="1270">
        <f>+RevBuild!CA$6</f>
        <v>2016</v>
      </c>
      <c r="CB29" s="1158"/>
      <c r="CC29" s="1152"/>
      <c r="CD29" s="1153"/>
      <c r="CE29" s="1153"/>
      <c r="CF29" s="1153"/>
      <c r="CG29" s="1270">
        <f>+RevBuild!CG$6</f>
        <v>2017</v>
      </c>
      <c r="CH29" s="1158"/>
      <c r="CI29" s="1152"/>
      <c r="CJ29" s="1153"/>
      <c r="CK29" s="1153"/>
      <c r="CL29" s="1153"/>
      <c r="CM29" s="1270">
        <f>+RevBuild!CM$6</f>
        <v>2018</v>
      </c>
      <c r="CN29" s="1158"/>
      <c r="CO29" s="1152"/>
      <c r="CP29" s="1153"/>
      <c r="CQ29" s="1153"/>
      <c r="CR29" s="1153"/>
      <c r="CS29" s="1270">
        <f>+RevBuild!CS$6</f>
        <v>2019</v>
      </c>
      <c r="CT29" s="1158"/>
      <c r="CU29" s="1152"/>
      <c r="CV29" s="1153"/>
      <c r="CW29" s="1153"/>
      <c r="CX29" s="1153"/>
      <c r="CY29" s="1270">
        <f>+RevBuild!CY$6</f>
        <v>2020</v>
      </c>
      <c r="CZ29" s="48"/>
      <c r="DD29" s="48"/>
      <c r="DE29" s="48"/>
      <c r="DF29" s="222"/>
      <c r="DG29" s="222"/>
      <c r="DH29" s="48"/>
      <c r="DI29" s="48"/>
      <c r="DJ29" s="48"/>
      <c r="DK29" s="48"/>
    </row>
    <row r="30" spans="1:115" s="5" customFormat="1" outlineLevel="1" x14ac:dyDescent="0.2">
      <c r="A30" s="205" t="s">
        <v>635</v>
      </c>
      <c r="B30" s="961"/>
      <c r="C30" s="565"/>
      <c r="D30" s="566"/>
      <c r="E30" s="566"/>
      <c r="F30" s="566"/>
      <c r="G30" s="584"/>
      <c r="H30" s="592"/>
      <c r="I30" s="565"/>
      <c r="J30" s="566"/>
      <c r="K30" s="566"/>
      <c r="L30" s="566"/>
      <c r="M30" s="584"/>
      <c r="N30" s="592"/>
      <c r="O30" s="565"/>
      <c r="P30" s="566"/>
      <c r="Q30" s="566"/>
      <c r="R30" s="566"/>
      <c r="S30" s="584"/>
      <c r="T30" s="591"/>
      <c r="U30" s="565"/>
      <c r="V30" s="566"/>
      <c r="W30" s="566"/>
      <c r="X30" s="566"/>
      <c r="Y30" s="584"/>
      <c r="Z30" s="593"/>
      <c r="AA30" s="909">
        <v>0.5</v>
      </c>
      <c r="AB30" s="910">
        <v>0.5</v>
      </c>
      <c r="AC30" s="910">
        <v>0.5</v>
      </c>
      <c r="AD30" s="910">
        <v>0.5</v>
      </c>
      <c r="AE30" s="584"/>
      <c r="AF30" s="592"/>
      <c r="AG30" s="909">
        <v>0.5</v>
      </c>
      <c r="AH30" s="910">
        <v>0.5</v>
      </c>
      <c r="AI30" s="910">
        <v>0.5</v>
      </c>
      <c r="AJ30" s="910">
        <v>0.5</v>
      </c>
      <c r="AK30" s="584"/>
      <c r="AL30" s="592"/>
      <c r="AM30" s="909">
        <v>1</v>
      </c>
      <c r="AN30" s="910">
        <v>1</v>
      </c>
      <c r="AO30" s="910">
        <v>1</v>
      </c>
      <c r="AP30" s="910">
        <v>1</v>
      </c>
      <c r="AQ30" s="584"/>
      <c r="AR30" s="592"/>
      <c r="AS30" s="909">
        <v>1</v>
      </c>
      <c r="AT30" s="910">
        <v>1</v>
      </c>
      <c r="AU30" s="910">
        <v>1</v>
      </c>
      <c r="AV30" s="910">
        <v>1</v>
      </c>
      <c r="AW30" s="584"/>
      <c r="AX30" s="592"/>
      <c r="AY30" s="909">
        <v>1</v>
      </c>
      <c r="AZ30" s="910">
        <v>1</v>
      </c>
      <c r="BA30" s="910">
        <v>1</v>
      </c>
      <c r="BB30" s="910">
        <v>1</v>
      </c>
      <c r="BC30" s="562"/>
      <c r="BD30" s="557"/>
      <c r="BE30" s="909">
        <v>1</v>
      </c>
      <c r="BF30" s="910">
        <v>1</v>
      </c>
      <c r="BG30" s="910">
        <v>1</v>
      </c>
      <c r="BH30" s="910">
        <v>1</v>
      </c>
      <c r="BI30" s="562"/>
      <c r="BJ30" s="629"/>
      <c r="BK30" s="909">
        <v>1</v>
      </c>
      <c r="BL30" s="910">
        <v>1</v>
      </c>
      <c r="BM30" s="910">
        <v>1</v>
      </c>
      <c r="BN30" s="910">
        <v>1</v>
      </c>
      <c r="BO30" s="562"/>
      <c r="BP30" s="557"/>
      <c r="BQ30" s="909">
        <v>1</v>
      </c>
      <c r="BR30" s="910">
        <v>1</v>
      </c>
      <c r="BS30" s="910">
        <v>1</v>
      </c>
      <c r="BT30" s="910">
        <v>1</v>
      </c>
      <c r="BU30" s="562">
        <f>+BT30</f>
        <v>1</v>
      </c>
      <c r="BV30" s="557"/>
      <c r="BW30" s="909">
        <v>1</v>
      </c>
      <c r="BX30" s="910">
        <v>1</v>
      </c>
      <c r="BY30" s="910">
        <v>1</v>
      </c>
      <c r="BZ30" s="910">
        <v>1</v>
      </c>
      <c r="CA30" s="562">
        <f>+BZ30</f>
        <v>1</v>
      </c>
      <c r="CB30" s="557"/>
      <c r="CC30" s="909">
        <v>1</v>
      </c>
      <c r="CD30" s="910">
        <v>1</v>
      </c>
      <c r="CE30" s="910">
        <v>1</v>
      </c>
      <c r="CF30" s="910">
        <v>1</v>
      </c>
      <c r="CG30" s="562">
        <f>+CF30</f>
        <v>1</v>
      </c>
      <c r="CH30" s="557"/>
      <c r="CI30" s="909">
        <v>1</v>
      </c>
      <c r="CJ30" s="910">
        <v>1</v>
      </c>
      <c r="CK30" s="910">
        <v>1</v>
      </c>
      <c r="CL30" s="910">
        <v>1</v>
      </c>
      <c r="CM30" s="562">
        <f>+CL30</f>
        <v>1</v>
      </c>
      <c r="CN30" s="557"/>
      <c r="CO30" s="909">
        <v>1</v>
      </c>
      <c r="CP30" s="910">
        <v>1</v>
      </c>
      <c r="CQ30" s="910">
        <v>1</v>
      </c>
      <c r="CR30" s="910">
        <v>1</v>
      </c>
      <c r="CS30" s="562">
        <f>+CR30</f>
        <v>1</v>
      </c>
      <c r="CT30" s="557"/>
      <c r="CU30" s="909">
        <v>1</v>
      </c>
      <c r="CV30" s="910">
        <v>1</v>
      </c>
      <c r="CW30" s="910">
        <v>1</v>
      </c>
      <c r="CX30" s="910">
        <v>1</v>
      </c>
      <c r="CY30" s="562">
        <f>+CX30</f>
        <v>1</v>
      </c>
      <c r="CZ30" s="48"/>
      <c r="DA30"/>
      <c r="DB30"/>
      <c r="DC30"/>
      <c r="DD30" s="48"/>
      <c r="DE30" s="48"/>
      <c r="DF30" s="48"/>
      <c r="DG30" s="48"/>
      <c r="DH30" s="48"/>
      <c r="DI30" s="48"/>
      <c r="DJ30" s="48"/>
      <c r="DK30" s="48"/>
    </row>
    <row r="31" spans="1:115" s="5" customFormat="1" outlineLevel="1" x14ac:dyDescent="0.2">
      <c r="A31" s="205" t="s">
        <v>636</v>
      </c>
      <c r="B31" s="961"/>
      <c r="C31" s="565"/>
      <c r="D31" s="566"/>
      <c r="E31" s="566"/>
      <c r="F31" s="566"/>
      <c r="G31" s="584"/>
      <c r="H31" s="592"/>
      <c r="I31" s="565"/>
      <c r="J31" s="566"/>
      <c r="K31" s="566"/>
      <c r="L31" s="566"/>
      <c r="M31" s="584"/>
      <c r="N31" s="592"/>
      <c r="O31" s="565"/>
      <c r="P31" s="566"/>
      <c r="Q31" s="566"/>
      <c r="R31" s="566"/>
      <c r="S31" s="584"/>
      <c r="T31" s="591"/>
      <c r="U31" s="565"/>
      <c r="V31" s="566"/>
      <c r="W31" s="566"/>
      <c r="X31" s="566"/>
      <c r="Y31" s="584"/>
      <c r="Z31" s="593"/>
      <c r="AA31" s="909">
        <v>0.5</v>
      </c>
      <c r="AB31" s="910">
        <v>0.5</v>
      </c>
      <c r="AC31" s="910">
        <v>0.5</v>
      </c>
      <c r="AD31" s="910">
        <v>0.5</v>
      </c>
      <c r="AE31" s="584"/>
      <c r="AF31" s="592"/>
      <c r="AG31" s="909">
        <v>0.5</v>
      </c>
      <c r="AH31" s="910">
        <v>0.5</v>
      </c>
      <c r="AI31" s="910">
        <v>0.5</v>
      </c>
      <c r="AJ31" s="910">
        <v>0.5</v>
      </c>
      <c r="AK31" s="584"/>
      <c r="AL31" s="592"/>
      <c r="AM31" s="909">
        <v>0</v>
      </c>
      <c r="AN31" s="910">
        <v>0</v>
      </c>
      <c r="AO31" s="910">
        <v>0</v>
      </c>
      <c r="AP31" s="910">
        <v>0</v>
      </c>
      <c r="AQ31" s="584"/>
      <c r="AR31" s="592"/>
      <c r="AS31" s="909">
        <v>0</v>
      </c>
      <c r="AT31" s="910">
        <v>0</v>
      </c>
      <c r="AU31" s="910">
        <v>0</v>
      </c>
      <c r="AV31" s="910">
        <v>0</v>
      </c>
      <c r="AW31" s="584"/>
      <c r="AX31" s="592"/>
      <c r="AY31" s="909">
        <v>0</v>
      </c>
      <c r="AZ31" s="910">
        <v>0</v>
      </c>
      <c r="BA31" s="910">
        <v>0</v>
      </c>
      <c r="BB31" s="910">
        <v>0</v>
      </c>
      <c r="BC31" s="562"/>
      <c r="BD31" s="557"/>
      <c r="BE31" s="909">
        <v>0</v>
      </c>
      <c r="BF31" s="910">
        <v>0</v>
      </c>
      <c r="BG31" s="910">
        <v>0</v>
      </c>
      <c r="BH31" s="910">
        <v>0</v>
      </c>
      <c r="BI31" s="562"/>
      <c r="BJ31" s="629"/>
      <c r="BK31" s="909">
        <v>0</v>
      </c>
      <c r="BL31" s="910">
        <v>0</v>
      </c>
      <c r="BM31" s="910">
        <v>0</v>
      </c>
      <c r="BN31" s="910">
        <v>0</v>
      </c>
      <c r="BO31" s="562"/>
      <c r="BP31" s="557"/>
      <c r="BQ31" s="909">
        <v>0</v>
      </c>
      <c r="BR31" s="910">
        <v>0</v>
      </c>
      <c r="BS31" s="910">
        <v>0</v>
      </c>
      <c r="BT31" s="910">
        <v>0</v>
      </c>
      <c r="BU31" s="562">
        <f>+BT31</f>
        <v>0</v>
      </c>
      <c r="BV31" s="557"/>
      <c r="BW31" s="909">
        <v>0</v>
      </c>
      <c r="BX31" s="910">
        <v>0</v>
      </c>
      <c r="BY31" s="910">
        <v>0</v>
      </c>
      <c r="BZ31" s="910">
        <v>0</v>
      </c>
      <c r="CA31" s="562">
        <f>+BZ31</f>
        <v>0</v>
      </c>
      <c r="CB31" s="557"/>
      <c r="CC31" s="909">
        <v>0</v>
      </c>
      <c r="CD31" s="910">
        <v>0</v>
      </c>
      <c r="CE31" s="910">
        <v>0</v>
      </c>
      <c r="CF31" s="910">
        <v>0</v>
      </c>
      <c r="CG31" s="562">
        <f>+CF31</f>
        <v>0</v>
      </c>
      <c r="CH31" s="557"/>
      <c r="CI31" s="909">
        <v>0</v>
      </c>
      <c r="CJ31" s="910">
        <v>0</v>
      </c>
      <c r="CK31" s="910">
        <v>0</v>
      </c>
      <c r="CL31" s="910">
        <v>0</v>
      </c>
      <c r="CM31" s="562">
        <f>+CL31</f>
        <v>0</v>
      </c>
      <c r="CN31" s="557"/>
      <c r="CO31" s="909">
        <v>0</v>
      </c>
      <c r="CP31" s="910">
        <v>0</v>
      </c>
      <c r="CQ31" s="910">
        <v>0</v>
      </c>
      <c r="CR31" s="910">
        <v>0</v>
      </c>
      <c r="CS31" s="562">
        <f>+CR31</f>
        <v>0</v>
      </c>
      <c r="CT31" s="557"/>
      <c r="CU31" s="909">
        <v>0</v>
      </c>
      <c r="CV31" s="910">
        <v>0</v>
      </c>
      <c r="CW31" s="910">
        <v>0</v>
      </c>
      <c r="CX31" s="910">
        <v>0</v>
      </c>
      <c r="CY31" s="562">
        <f>+CX31</f>
        <v>0</v>
      </c>
      <c r="CZ31" s="48"/>
      <c r="DA31"/>
      <c r="DB31"/>
      <c r="DC31"/>
      <c r="DD31" s="48"/>
      <c r="DE31" s="48"/>
      <c r="DF31" s="48"/>
      <c r="DG31" s="48"/>
      <c r="DH31" s="48"/>
      <c r="DI31" s="48"/>
      <c r="DJ31" s="48"/>
      <c r="DK31" s="48"/>
    </row>
    <row r="32" spans="1:115" s="5" customFormat="1" outlineLevel="1" x14ac:dyDescent="0.2">
      <c r="A32" s="205" t="s">
        <v>637</v>
      </c>
      <c r="B32" s="961"/>
      <c r="C32" s="565"/>
      <c r="D32" s="566"/>
      <c r="E32" s="566"/>
      <c r="F32" s="566"/>
      <c r="G32" s="584"/>
      <c r="H32" s="592"/>
      <c r="I32" s="565"/>
      <c r="J32" s="566"/>
      <c r="K32" s="566"/>
      <c r="L32" s="566"/>
      <c r="M32" s="584"/>
      <c r="N32" s="592"/>
      <c r="O32" s="565"/>
      <c r="P32" s="566"/>
      <c r="Q32" s="566"/>
      <c r="R32" s="566"/>
      <c r="S32" s="584"/>
      <c r="T32" s="591"/>
      <c r="U32" s="565"/>
      <c r="V32" s="566"/>
      <c r="W32" s="566"/>
      <c r="X32" s="566"/>
      <c r="Y32" s="584"/>
      <c r="Z32" s="593"/>
      <c r="AA32" s="909">
        <v>0</v>
      </c>
      <c r="AB32" s="910">
        <v>0</v>
      </c>
      <c r="AC32" s="910">
        <v>0</v>
      </c>
      <c r="AD32" s="910">
        <v>0</v>
      </c>
      <c r="AE32" s="584"/>
      <c r="AF32" s="592"/>
      <c r="AG32" s="909">
        <v>0</v>
      </c>
      <c r="AH32" s="910">
        <v>0</v>
      </c>
      <c r="AI32" s="910">
        <v>0</v>
      </c>
      <c r="AJ32" s="910">
        <v>0</v>
      </c>
      <c r="AK32" s="584"/>
      <c r="AL32" s="592"/>
      <c r="AM32" s="909">
        <v>0</v>
      </c>
      <c r="AN32" s="910">
        <v>0</v>
      </c>
      <c r="AO32" s="910">
        <v>0</v>
      </c>
      <c r="AP32" s="910">
        <v>0</v>
      </c>
      <c r="AQ32" s="584"/>
      <c r="AR32" s="592"/>
      <c r="AS32" s="909">
        <v>0</v>
      </c>
      <c r="AT32" s="910">
        <v>0</v>
      </c>
      <c r="AU32" s="910">
        <v>0</v>
      </c>
      <c r="AV32" s="910">
        <v>0</v>
      </c>
      <c r="AW32" s="584"/>
      <c r="AX32" s="592"/>
      <c r="AY32" s="909">
        <v>0</v>
      </c>
      <c r="AZ32" s="910">
        <v>0</v>
      </c>
      <c r="BA32" s="910">
        <v>0</v>
      </c>
      <c r="BB32" s="910">
        <v>0</v>
      </c>
      <c r="BC32" s="562"/>
      <c r="BD32" s="557"/>
      <c r="BE32" s="909">
        <v>0</v>
      </c>
      <c r="BF32" s="910">
        <v>0</v>
      </c>
      <c r="BG32" s="910">
        <v>0</v>
      </c>
      <c r="BH32" s="910">
        <v>0</v>
      </c>
      <c r="BI32" s="562"/>
      <c r="BJ32" s="629"/>
      <c r="BK32" s="909">
        <v>0</v>
      </c>
      <c r="BL32" s="910">
        <v>0</v>
      </c>
      <c r="BM32" s="910">
        <v>0</v>
      </c>
      <c r="BN32" s="910">
        <v>0</v>
      </c>
      <c r="BO32" s="562"/>
      <c r="BP32" s="557"/>
      <c r="BQ32" s="909">
        <v>0</v>
      </c>
      <c r="BR32" s="910">
        <v>0</v>
      </c>
      <c r="BS32" s="910">
        <v>0</v>
      </c>
      <c r="BT32" s="910">
        <v>0</v>
      </c>
      <c r="BU32" s="562">
        <f>+BT32</f>
        <v>0</v>
      </c>
      <c r="BV32" s="557"/>
      <c r="BW32" s="909">
        <v>0</v>
      </c>
      <c r="BX32" s="910">
        <v>0</v>
      </c>
      <c r="BY32" s="910">
        <v>0</v>
      </c>
      <c r="BZ32" s="910">
        <v>0</v>
      </c>
      <c r="CA32" s="562">
        <f>+BZ32</f>
        <v>0</v>
      </c>
      <c r="CB32" s="557"/>
      <c r="CC32" s="909">
        <v>0</v>
      </c>
      <c r="CD32" s="910">
        <v>0</v>
      </c>
      <c r="CE32" s="910">
        <v>0</v>
      </c>
      <c r="CF32" s="910">
        <v>0</v>
      </c>
      <c r="CG32" s="562">
        <f>+CF32</f>
        <v>0</v>
      </c>
      <c r="CH32" s="557"/>
      <c r="CI32" s="909">
        <v>0</v>
      </c>
      <c r="CJ32" s="910">
        <v>0</v>
      </c>
      <c r="CK32" s="910">
        <v>0</v>
      </c>
      <c r="CL32" s="910">
        <v>0</v>
      </c>
      <c r="CM32" s="562">
        <f>+CL32</f>
        <v>0</v>
      </c>
      <c r="CN32" s="557"/>
      <c r="CO32" s="909">
        <v>0</v>
      </c>
      <c r="CP32" s="910">
        <v>0</v>
      </c>
      <c r="CQ32" s="910">
        <v>0</v>
      </c>
      <c r="CR32" s="910">
        <v>0</v>
      </c>
      <c r="CS32" s="562">
        <f>+CR32</f>
        <v>0</v>
      </c>
      <c r="CT32" s="557"/>
      <c r="CU32" s="909">
        <v>0</v>
      </c>
      <c r="CV32" s="910">
        <v>0</v>
      </c>
      <c r="CW32" s="910">
        <v>0</v>
      </c>
      <c r="CX32" s="910">
        <v>0</v>
      </c>
      <c r="CY32" s="562">
        <f>+CX32</f>
        <v>0</v>
      </c>
      <c r="CZ32" s="48"/>
      <c r="DA32"/>
      <c r="DB32"/>
      <c r="DC32"/>
      <c r="DD32" s="48"/>
      <c r="DE32" s="48"/>
      <c r="DF32" s="48"/>
      <c r="DG32" s="48"/>
      <c r="DH32" s="48"/>
      <c r="DI32" s="48"/>
      <c r="DJ32" s="48"/>
      <c r="DK32" s="48"/>
    </row>
    <row r="33" spans="1:115" s="5" customFormat="1" outlineLevel="1" x14ac:dyDescent="0.2">
      <c r="A33" s="205" t="s">
        <v>638</v>
      </c>
      <c r="B33" s="961"/>
      <c r="C33" s="565"/>
      <c r="D33" s="566"/>
      <c r="E33" s="566"/>
      <c r="F33" s="566"/>
      <c r="G33" s="584"/>
      <c r="H33" s="592"/>
      <c r="I33" s="565"/>
      <c r="J33" s="566"/>
      <c r="K33" s="566"/>
      <c r="L33" s="566"/>
      <c r="M33" s="584"/>
      <c r="N33" s="592"/>
      <c r="O33" s="565"/>
      <c r="P33" s="566"/>
      <c r="Q33" s="566"/>
      <c r="R33" s="566"/>
      <c r="S33" s="584"/>
      <c r="T33" s="591"/>
      <c r="U33" s="565"/>
      <c r="V33" s="566"/>
      <c r="W33" s="566"/>
      <c r="X33" s="566"/>
      <c r="Y33" s="584"/>
      <c r="Z33" s="593"/>
      <c r="AA33" s="909">
        <v>0</v>
      </c>
      <c r="AB33" s="910">
        <v>0</v>
      </c>
      <c r="AC33" s="910">
        <v>0</v>
      </c>
      <c r="AD33" s="910">
        <v>0</v>
      </c>
      <c r="AE33" s="584"/>
      <c r="AF33" s="592"/>
      <c r="AG33" s="909">
        <v>0</v>
      </c>
      <c r="AH33" s="910">
        <v>0</v>
      </c>
      <c r="AI33" s="910">
        <v>0</v>
      </c>
      <c r="AJ33" s="910">
        <v>0</v>
      </c>
      <c r="AK33" s="584"/>
      <c r="AL33" s="592"/>
      <c r="AM33" s="909">
        <v>0</v>
      </c>
      <c r="AN33" s="910">
        <v>0</v>
      </c>
      <c r="AO33" s="910">
        <v>0</v>
      </c>
      <c r="AP33" s="910">
        <v>0</v>
      </c>
      <c r="AQ33" s="584"/>
      <c r="AR33" s="592"/>
      <c r="AS33" s="909">
        <v>0</v>
      </c>
      <c r="AT33" s="910">
        <v>0</v>
      </c>
      <c r="AU33" s="910">
        <v>0</v>
      </c>
      <c r="AV33" s="910">
        <v>0</v>
      </c>
      <c r="AW33" s="584"/>
      <c r="AX33" s="592"/>
      <c r="AY33" s="909">
        <v>0</v>
      </c>
      <c r="AZ33" s="910">
        <v>0</v>
      </c>
      <c r="BA33" s="910">
        <v>0</v>
      </c>
      <c r="BB33" s="910">
        <v>0</v>
      </c>
      <c r="BC33" s="562"/>
      <c r="BD33" s="557"/>
      <c r="BE33" s="909">
        <v>0</v>
      </c>
      <c r="BF33" s="910">
        <v>0</v>
      </c>
      <c r="BG33" s="910">
        <v>0</v>
      </c>
      <c r="BH33" s="910">
        <v>0</v>
      </c>
      <c r="BI33" s="562"/>
      <c r="BJ33" s="629"/>
      <c r="BK33" s="909">
        <v>0</v>
      </c>
      <c r="BL33" s="910">
        <v>0</v>
      </c>
      <c r="BM33" s="910">
        <v>0</v>
      </c>
      <c r="BN33" s="910">
        <v>0</v>
      </c>
      <c r="BO33" s="562"/>
      <c r="BP33" s="557"/>
      <c r="BQ33" s="909">
        <v>0</v>
      </c>
      <c r="BR33" s="910">
        <v>0</v>
      </c>
      <c r="BS33" s="910">
        <v>0</v>
      </c>
      <c r="BT33" s="910">
        <v>0</v>
      </c>
      <c r="BU33" s="562">
        <f>+BT33</f>
        <v>0</v>
      </c>
      <c r="BV33" s="557"/>
      <c r="BW33" s="909">
        <v>0</v>
      </c>
      <c r="BX33" s="910">
        <v>0</v>
      </c>
      <c r="BY33" s="910">
        <v>0</v>
      </c>
      <c r="BZ33" s="910">
        <v>0</v>
      </c>
      <c r="CA33" s="562">
        <f>+BZ33</f>
        <v>0</v>
      </c>
      <c r="CB33" s="557"/>
      <c r="CC33" s="909">
        <v>0</v>
      </c>
      <c r="CD33" s="910">
        <v>0</v>
      </c>
      <c r="CE33" s="910">
        <v>0</v>
      </c>
      <c r="CF33" s="910">
        <v>0</v>
      </c>
      <c r="CG33" s="562">
        <f>+CF33</f>
        <v>0</v>
      </c>
      <c r="CH33" s="557"/>
      <c r="CI33" s="909">
        <v>0</v>
      </c>
      <c r="CJ33" s="910">
        <v>0</v>
      </c>
      <c r="CK33" s="910">
        <v>0</v>
      </c>
      <c r="CL33" s="910">
        <v>0</v>
      </c>
      <c r="CM33" s="562">
        <f>+CL33</f>
        <v>0</v>
      </c>
      <c r="CN33" s="557"/>
      <c r="CO33" s="909">
        <v>0</v>
      </c>
      <c r="CP33" s="910">
        <v>0</v>
      </c>
      <c r="CQ33" s="910">
        <v>0</v>
      </c>
      <c r="CR33" s="910">
        <v>0</v>
      </c>
      <c r="CS33" s="562">
        <f>+CR33</f>
        <v>0</v>
      </c>
      <c r="CT33" s="557"/>
      <c r="CU33" s="909">
        <v>0</v>
      </c>
      <c r="CV33" s="910">
        <v>0</v>
      </c>
      <c r="CW33" s="910">
        <v>0</v>
      </c>
      <c r="CX33" s="910">
        <v>0</v>
      </c>
      <c r="CY33" s="562">
        <f>+CX33</f>
        <v>0</v>
      </c>
      <c r="CZ33" s="48"/>
      <c r="DA33"/>
      <c r="DB33"/>
      <c r="DC33"/>
      <c r="DD33" s="48"/>
      <c r="DE33" s="48"/>
      <c r="DF33" s="48"/>
      <c r="DG33" s="48"/>
      <c r="DH33" s="48"/>
      <c r="DI33" s="48"/>
      <c r="DJ33" s="48"/>
      <c r="DK33" s="48"/>
    </row>
    <row r="34" spans="1:115" s="5" customFormat="1" x14ac:dyDescent="0.2">
      <c r="A34" s="432" t="s">
        <v>223</v>
      </c>
      <c r="B34" s="58"/>
      <c r="C34" s="558"/>
      <c r="D34" s="558"/>
      <c r="E34" s="558"/>
      <c r="F34" s="558"/>
      <c r="G34" s="629"/>
      <c r="H34" s="557"/>
      <c r="I34" s="704"/>
      <c r="J34" s="558"/>
      <c r="K34" s="558"/>
      <c r="L34" s="558"/>
      <c r="M34" s="629"/>
      <c r="N34" s="557"/>
      <c r="O34" s="704"/>
      <c r="P34" s="558"/>
      <c r="Q34" s="558"/>
      <c r="R34" s="558"/>
      <c r="S34" s="629"/>
      <c r="T34" s="558"/>
      <c r="U34" s="704"/>
      <c r="V34" s="558"/>
      <c r="W34" s="558"/>
      <c r="X34" s="558"/>
      <c r="Y34" s="629"/>
      <c r="Z34" s="578"/>
      <c r="AA34" s="685"/>
      <c r="AB34" s="578"/>
      <c r="AC34" s="578"/>
      <c r="AD34" s="582"/>
      <c r="AE34" s="580"/>
      <c r="AF34" s="557"/>
      <c r="AG34" s="685"/>
      <c r="AH34" s="578"/>
      <c r="AI34" s="578"/>
      <c r="AJ34" s="582"/>
      <c r="AK34" s="580"/>
      <c r="AL34" s="557"/>
      <c r="AM34" s="581">
        <f>0.2*RevBuild!AM29</f>
        <v>52.872799999999998</v>
      </c>
      <c r="AN34" s="550">
        <f>0.19*RevBuild!AN29</f>
        <v>49.916420000000002</v>
      </c>
      <c r="AO34" s="550">
        <f>0.2*RevBuild!AO29</f>
        <v>54.863400000000006</v>
      </c>
      <c r="AP34" s="550">
        <f>0.18*RevBuild!AP29</f>
        <v>51.485760000000006</v>
      </c>
      <c r="AQ34" s="580">
        <f>+SUM(AM34:AP34)</f>
        <v>209.13838000000001</v>
      </c>
      <c r="AR34" s="557"/>
      <c r="AS34" s="581">
        <f>+AW34-AV34-AU34-AT34</f>
        <v>41.748356799999989</v>
      </c>
      <c r="AT34" s="550">
        <f>+AN34*(1+0.01)</f>
        <v>50.415584200000005</v>
      </c>
      <c r="AU34" s="550">
        <f>0.15*RevBuild!AU29</f>
        <v>43.332749999999997</v>
      </c>
      <c r="AV34" s="550">
        <f>0.13*RevBuild!AV29</f>
        <v>43.474600000000009</v>
      </c>
      <c r="AW34" s="580">
        <f>0.153*RevBuild!AW29</f>
        <v>178.97129100000001</v>
      </c>
      <c r="AX34" s="557"/>
      <c r="AY34" s="581">
        <f>0.142*RevBuild!AY29</f>
        <v>42.091923999999999</v>
      </c>
      <c r="AZ34" s="550">
        <f>0.133*RevBuild!AZ29</f>
        <v>40.859329000000002</v>
      </c>
      <c r="BA34" s="550">
        <f>+RevBuild!BA29*0.133</f>
        <v>40.470437000000004</v>
      </c>
      <c r="BB34" s="550">
        <f>+BC34-SUM(AY34:BA34)</f>
        <v>39.657589999999999</v>
      </c>
      <c r="BC34" s="580">
        <f>+RevBuild!BC29*0.13</f>
        <v>163.07928000000001</v>
      </c>
      <c r="BD34" s="557"/>
      <c r="BE34" s="581">
        <f>+RevBuild!BE29*0.127</f>
        <v>38.554152000000002</v>
      </c>
      <c r="BF34" s="550">
        <f>0.1*RevBuild!BF29</f>
        <v>31.641199999999998</v>
      </c>
      <c r="BG34" s="550">
        <f>0.11*RevBuild!BG29</f>
        <v>35.619209999999995</v>
      </c>
      <c r="BH34" s="550">
        <f>+BI34-SUM(BE34:BG34)</f>
        <v>30.049374</v>
      </c>
      <c r="BI34" s="580">
        <f>+RevBuild!BI29*0.104</f>
        <v>135.863936</v>
      </c>
      <c r="BJ34" s="629"/>
      <c r="BK34" s="550">
        <f>+BQ34/(1+BQ36)</f>
        <v>26.625845652173915</v>
      </c>
      <c r="BL34" s="550">
        <f>+BR34/(1+BR36)</f>
        <v>19.615719298245615</v>
      </c>
      <c r="BM34" s="550">
        <f>0.063*RevBuild!BM29</f>
        <v>21.215691</v>
      </c>
      <c r="BN34" s="550">
        <f>+BO34-BM34-BL34-BK34</f>
        <v>15.332629549580481</v>
      </c>
      <c r="BO34" s="580">
        <f>+RevBuild!BO29*0.0615</f>
        <v>82.789885500000011</v>
      </c>
      <c r="BP34" s="557"/>
      <c r="BQ34" s="581">
        <f>+RevBuild!BQ29*0.041</f>
        <v>12.247889000000001</v>
      </c>
      <c r="BR34" s="550">
        <f>+RevBuild!BR29*0.035</f>
        <v>11.180960000000002</v>
      </c>
      <c r="BS34" s="550">
        <f>+(1+BS35)*BM34</f>
        <v>11.03215932</v>
      </c>
      <c r="BT34" s="550">
        <f>+(1+BT35)*BN34</f>
        <v>11.192819571193752</v>
      </c>
      <c r="BU34" s="580">
        <f>SUM(BQ34:BT34)</f>
        <v>45.653827891193757</v>
      </c>
      <c r="BV34" s="557"/>
      <c r="BW34" s="581">
        <f>+(1+BW35)*BQ34</f>
        <v>7.1037756200000013</v>
      </c>
      <c r="BX34" s="550">
        <f>+(1+BX35)*BR34</f>
        <v>6.5967664000000026</v>
      </c>
      <c r="BY34" s="550">
        <f>+(1+BY35)*BS34</f>
        <v>7.0605819647999999</v>
      </c>
      <c r="BZ34" s="550">
        <f>+(1+BZ35)*BT34</f>
        <v>10.238613794258869</v>
      </c>
      <c r="CA34" s="580">
        <f>SUM(BW34:BZ34)</f>
        <v>30.999737779058876</v>
      </c>
      <c r="CB34" s="557"/>
      <c r="CC34" s="581">
        <f>+(1+CC35)*BW34</f>
        <v>3.8927196642144413</v>
      </c>
      <c r="CD34" s="550">
        <f>+(1+CD35)*BX34</f>
        <v>6.9893673493204895</v>
      </c>
      <c r="CE34" s="550">
        <f>+(1+CE35)*BY34</f>
        <v>7.1227614082276984</v>
      </c>
      <c r="CF34" s="550">
        <f>+(1+CF35)*BZ34</f>
        <v>7.9793019468958084</v>
      </c>
      <c r="CG34" s="580">
        <f>SUM(CC34:CF34)</f>
        <v>25.98415036865844</v>
      </c>
      <c r="CH34" s="557"/>
      <c r="CI34" s="581">
        <f>+(1+CI35)*CC34</f>
        <v>4.0873556474251638</v>
      </c>
      <c r="CJ34" s="550">
        <f>+(1+CJ35)*CD34</f>
        <v>3.8092052053796661</v>
      </c>
      <c r="CK34" s="550">
        <f>+(1+CK35)*CE34</f>
        <v>3.7394497393195421</v>
      </c>
      <c r="CL34" s="550">
        <f>+(1+CL35)*CF34</f>
        <v>3.3513068176962397</v>
      </c>
      <c r="CM34" s="580">
        <f>SUM(CI34:CL34)</f>
        <v>14.987317409820612</v>
      </c>
      <c r="CN34" s="557"/>
      <c r="CO34" s="581">
        <f>+(1+CO35)*CI34</f>
        <v>3.6786200826826474</v>
      </c>
      <c r="CP34" s="550">
        <f>+(1+CP35)*CJ34</f>
        <v>3.4282846848416995</v>
      </c>
      <c r="CQ34" s="550">
        <f>+(1+CQ35)*CK34</f>
        <v>3.365504765387588</v>
      </c>
      <c r="CR34" s="550">
        <f>+(1+CR35)*CL34</f>
        <v>3.0161761359266159</v>
      </c>
      <c r="CS34" s="580">
        <f>SUM(CO34:CR34)</f>
        <v>13.488585668838549</v>
      </c>
      <c r="CT34" s="557"/>
      <c r="CU34" s="581">
        <f>+(1+CU35)*CO34</f>
        <v>3.3107580744143825</v>
      </c>
      <c r="CV34" s="550">
        <f>+(1+CV35)*CP34</f>
        <v>3.0854562163575294</v>
      </c>
      <c r="CW34" s="550">
        <f>+(1+CW35)*CQ34</f>
        <v>3.0289542888488294</v>
      </c>
      <c r="CX34" s="550">
        <f>+(1+CX35)*CR34</f>
        <v>2.7145585223339546</v>
      </c>
      <c r="CY34" s="580">
        <f>SUM(CU34:CX34)</f>
        <v>12.139727101954696</v>
      </c>
      <c r="CZ34" s="48"/>
      <c r="DA34"/>
      <c r="DB34"/>
      <c r="DC34"/>
      <c r="DD34" s="48"/>
      <c r="DE34" s="48"/>
      <c r="DF34" s="48"/>
      <c r="DG34" s="48"/>
      <c r="DH34" s="48"/>
      <c r="DI34" s="48"/>
      <c r="DJ34" s="48"/>
      <c r="DK34" s="48"/>
    </row>
    <row r="35" spans="1:115" s="5" customFormat="1" x14ac:dyDescent="0.2">
      <c r="A35" s="205" t="s">
        <v>639</v>
      </c>
      <c r="B35" s="58"/>
      <c r="C35" s="558"/>
      <c r="D35" s="558"/>
      <c r="E35" s="558"/>
      <c r="F35" s="558"/>
      <c r="G35" s="629"/>
      <c r="H35" s="557"/>
      <c r="I35" s="704"/>
      <c r="J35" s="558"/>
      <c r="K35" s="558"/>
      <c r="L35" s="558"/>
      <c r="M35" s="629"/>
      <c r="N35" s="557"/>
      <c r="O35" s="704"/>
      <c r="P35" s="558"/>
      <c r="Q35" s="558"/>
      <c r="R35" s="558"/>
      <c r="S35" s="629"/>
      <c r="T35" s="558"/>
      <c r="U35" s="704"/>
      <c r="V35" s="558"/>
      <c r="W35" s="558"/>
      <c r="X35" s="558"/>
      <c r="Y35" s="629"/>
      <c r="Z35" s="578"/>
      <c r="AA35" s="685"/>
      <c r="AB35" s="578"/>
      <c r="AC35" s="578"/>
      <c r="AD35" s="582"/>
      <c r="AE35" s="707"/>
      <c r="AF35" s="557"/>
      <c r="AG35" s="685"/>
      <c r="AH35" s="578"/>
      <c r="AI35" s="578"/>
      <c r="AJ35" s="582"/>
      <c r="AK35" s="707"/>
      <c r="AL35" s="557"/>
      <c r="AM35" s="581"/>
      <c r="AN35" s="550"/>
      <c r="AO35" s="550"/>
      <c r="AP35" s="550"/>
      <c r="AQ35" s="707"/>
      <c r="AR35" s="557"/>
      <c r="AS35" s="581"/>
      <c r="AT35" s="550"/>
      <c r="AU35" s="627"/>
      <c r="AV35" s="550"/>
      <c r="AW35" s="707">
        <f>AW34/AQ34-1</f>
        <v>-0.14424463362487561</v>
      </c>
      <c r="AX35" s="557"/>
      <c r="AY35" s="586">
        <f>AY34/AS34-1</f>
        <v>8.2294783875185296E-3</v>
      </c>
      <c r="AZ35" s="587">
        <f>AZ34/AT34-1</f>
        <v>-0.18954962739477688</v>
      </c>
      <c r="BA35" s="587">
        <f>BA34/AU34-1</f>
        <v>-6.6054266115120663E-2</v>
      </c>
      <c r="BB35" s="587">
        <f>BB34/AV34-1</f>
        <v>-8.7798622644026825E-2</v>
      </c>
      <c r="BC35" s="707">
        <f>BC34/AW34-1</f>
        <v>-8.8796426014494112E-2</v>
      </c>
      <c r="BD35" s="557"/>
      <c r="BE35" s="586">
        <f>BE34/AY34-1</f>
        <v>-8.4048712052221641E-2</v>
      </c>
      <c r="BF35" s="587">
        <f>BF34/AZ34-1</f>
        <v>-0.22560647043420623</v>
      </c>
      <c r="BG35" s="587">
        <f>BG34/BA34-1</f>
        <v>-0.11987088254075462</v>
      </c>
      <c r="BH35" s="587">
        <f>BH34/BB34-1</f>
        <v>-0.24227937199411254</v>
      </c>
      <c r="BI35" s="707">
        <f>BI34/BC34-1</f>
        <v>-0.16688413144821346</v>
      </c>
      <c r="BJ35" s="629"/>
      <c r="BK35" s="586">
        <f>BK34/BE34-1</f>
        <v>-0.30939096644704012</v>
      </c>
      <c r="BL35" s="587">
        <f>BL34/BF34-1</f>
        <v>-0.38005766853831024</v>
      </c>
      <c r="BM35" s="587">
        <f>BM34/BG34-1</f>
        <v>-0.40437502684646842</v>
      </c>
      <c r="BN35" s="587">
        <f>BN34/BH34-1</f>
        <v>-0.48975211431757348</v>
      </c>
      <c r="BO35" s="707">
        <f>BO34/BI34-1</f>
        <v>-0.39064119635103156</v>
      </c>
      <c r="BP35" s="557"/>
      <c r="BQ35" s="586">
        <f>BQ34/BK34-1</f>
        <v>-0.54</v>
      </c>
      <c r="BR35" s="587">
        <f>BR34/BL34-1</f>
        <v>-0.42999999999999994</v>
      </c>
      <c r="BS35" s="1110">
        <f>+BS36</f>
        <v>-0.48</v>
      </c>
      <c r="BT35" s="1110">
        <f>+BT36</f>
        <v>-0.27</v>
      </c>
      <c r="BU35" s="707">
        <f>BU34/BO34-1</f>
        <v>-0.44855790516591842</v>
      </c>
      <c r="BV35" s="557"/>
      <c r="BW35" s="1109">
        <f>+BW36</f>
        <v>-0.42</v>
      </c>
      <c r="BX35" s="1110">
        <f>+BX36</f>
        <v>-0.41</v>
      </c>
      <c r="BY35" s="1110">
        <f>+BY36</f>
        <v>-0.36</v>
      </c>
      <c r="BZ35" s="1113">
        <f>+BZ36+AVERAGE(RevBuild!BZ$47,RevBuild!BZ$34)</f>
        <v>-8.5251599998150795E-2</v>
      </c>
      <c r="CA35" s="707">
        <f>CA34/BU34-1</f>
        <v>-0.32098272563386809</v>
      </c>
      <c r="CB35" s="557"/>
      <c r="CC35" s="1109">
        <f>+CC36+AVERAGE(RevBuild!CC$47,RevBuild!CC$34)</f>
        <v>-0.45202102762721547</v>
      </c>
      <c r="CD35" s="1110">
        <f>+CD36+AVERAGE(RevBuild!CD$47,RevBuild!CD$34)</f>
        <v>5.9514150648185403E-2</v>
      </c>
      <c r="CE35" s="1110">
        <f>+CE36+AVERAGE(RevBuild!CE$47,RevBuild!CE$34)</f>
        <v>8.8065606684675501E-3</v>
      </c>
      <c r="CF35" s="1113">
        <f>+CF36+AVERAGE(RevBuild!CF$47,RevBuild!CF$34)</f>
        <v>-0.22066579448771981</v>
      </c>
      <c r="CG35" s="707">
        <f>CG34/CA34-1</f>
        <v>-0.16179451084868834</v>
      </c>
      <c r="CH35" s="557"/>
      <c r="CI35" s="1109">
        <f>+CI36+AVERAGE(RevBuild!CI$47,RevBuild!CI$34)</f>
        <v>0.05</v>
      </c>
      <c r="CJ35" s="1110">
        <f>+CJ36+AVERAGE(RevBuild!CJ$47,RevBuild!CJ$34)</f>
        <v>-0.45500000000000002</v>
      </c>
      <c r="CK35" s="1110">
        <f>+CK36+AVERAGE(RevBuild!CK$47,RevBuild!CK$34)</f>
        <v>-0.47499999999999998</v>
      </c>
      <c r="CL35" s="1113">
        <f>+CL36+AVERAGE(RevBuild!CL$47,RevBuild!CL$34)</f>
        <v>-0.57999999999999996</v>
      </c>
      <c r="CM35" s="707">
        <f>CM34/CG34-1</f>
        <v>-0.4232131050204353</v>
      </c>
      <c r="CN35" s="557"/>
      <c r="CO35" s="1109">
        <f>+CO36+AVERAGE(RevBuild!CO$47,RevBuild!CO$34)</f>
        <v>-0.1</v>
      </c>
      <c r="CP35" s="1110">
        <f>+CP36+AVERAGE(RevBuild!CP$47,RevBuild!CP$34)</f>
        <v>-0.1</v>
      </c>
      <c r="CQ35" s="1110">
        <f>+CQ36+AVERAGE(RevBuild!CQ$47,RevBuild!CQ$34)</f>
        <v>-0.1</v>
      </c>
      <c r="CR35" s="1113">
        <f>+CR36+AVERAGE(RevBuild!CR$47,RevBuild!CR$34)</f>
        <v>-0.1</v>
      </c>
      <c r="CS35" s="707">
        <f>CS34/CM34-1</f>
        <v>-0.10000000000000009</v>
      </c>
      <c r="CT35" s="557"/>
      <c r="CU35" s="1109">
        <f>+CU36+AVERAGE(RevBuild!CU$47,RevBuild!CU$34)</f>
        <v>-0.1</v>
      </c>
      <c r="CV35" s="1110">
        <f>+CV36+AVERAGE(RevBuild!CV$47,RevBuild!CV$34)</f>
        <v>-0.1</v>
      </c>
      <c r="CW35" s="1110">
        <f>+CW36+AVERAGE(RevBuild!CW$47,RevBuild!CW$34)</f>
        <v>-0.1</v>
      </c>
      <c r="CX35" s="1113">
        <f>+CX36+AVERAGE(RevBuild!CX$47,RevBuild!CX$34)</f>
        <v>-0.1</v>
      </c>
      <c r="CY35" s="707">
        <f>CY34/CS34-1</f>
        <v>-9.9999999999999867E-2</v>
      </c>
      <c r="CZ35" s="48"/>
      <c r="DA35"/>
      <c r="DB35"/>
      <c r="DC35"/>
      <c r="DD35" s="48"/>
      <c r="DE35" s="48"/>
      <c r="DF35" s="48"/>
      <c r="DG35" s="48"/>
      <c r="DH35" s="48"/>
      <c r="DI35" s="48"/>
      <c r="DJ35" s="48"/>
      <c r="DK35" s="48"/>
    </row>
    <row r="36" spans="1:115" s="5" customFormat="1" x14ac:dyDescent="0.2">
      <c r="A36" s="205" t="s">
        <v>227</v>
      </c>
      <c r="B36" s="58"/>
      <c r="C36" s="558"/>
      <c r="D36" s="558"/>
      <c r="E36" s="558"/>
      <c r="F36" s="558"/>
      <c r="G36" s="629"/>
      <c r="H36" s="557"/>
      <c r="I36" s="704"/>
      <c r="J36" s="558"/>
      <c r="K36" s="558"/>
      <c r="L36" s="558"/>
      <c r="M36" s="629"/>
      <c r="N36" s="557"/>
      <c r="O36" s="704"/>
      <c r="P36" s="558"/>
      <c r="Q36" s="558"/>
      <c r="R36" s="558"/>
      <c r="S36" s="629"/>
      <c r="T36" s="558"/>
      <c r="U36" s="704"/>
      <c r="V36" s="558"/>
      <c r="W36" s="558"/>
      <c r="X36" s="558"/>
      <c r="Y36" s="629"/>
      <c r="Z36" s="578"/>
      <c r="AA36" s="685"/>
      <c r="AB36" s="578"/>
      <c r="AC36" s="578"/>
      <c r="AD36" s="582"/>
      <c r="AE36" s="584"/>
      <c r="AF36" s="557"/>
      <c r="AG36" s="685"/>
      <c r="AH36" s="578"/>
      <c r="AI36" s="578"/>
      <c r="AJ36" s="582"/>
      <c r="AK36" s="584"/>
      <c r="AL36" s="557"/>
      <c r="AM36" s="581"/>
      <c r="AN36" s="550"/>
      <c r="AO36" s="550"/>
      <c r="AP36" s="550"/>
      <c r="AQ36" s="584"/>
      <c r="AR36" s="557"/>
      <c r="AS36" s="581"/>
      <c r="AT36" s="550"/>
      <c r="AU36" s="627"/>
      <c r="AV36" s="550"/>
      <c r="AW36" s="1228">
        <f>+AW35-AVERAGE(RevBuild!AW$47,RevBuild!AW$34)</f>
        <v>-0.14103792747911609</v>
      </c>
      <c r="AX36" s="557"/>
      <c r="AY36" s="1109">
        <f>+AY35-AVERAGE(RevBuild!AY$47,RevBuild!AY$34)</f>
        <v>3.0012333522028117E-2</v>
      </c>
      <c r="AZ36" s="1110">
        <f>+AZ35-AVERAGE(RevBuild!AZ$47,RevBuild!AZ$34)</f>
        <v>-0.12601999259167676</v>
      </c>
      <c r="BA36" s="1110">
        <f>+BA35-AVERAGE(RevBuild!BA$47,RevBuild!BA$34)</f>
        <v>-1.3565784575241352E-2</v>
      </c>
      <c r="BB36" s="1110">
        <f>+BB35-AVERAGE(RevBuild!BB$47,RevBuild!BB$34)</f>
        <v>-8.2472017901801892E-2</v>
      </c>
      <c r="BC36" s="1228">
        <f>+BC35-AVERAGE(RevBuild!BC$47,RevBuild!BC$34)</f>
        <v>-5.6889744658611498E-2</v>
      </c>
      <c r="BD36" s="557"/>
      <c r="BE36" s="1109">
        <f>+BE35-AVERAGE(RevBuild!BE$47,RevBuild!BE$34)</f>
        <v>-5.4661641405241462E-2</v>
      </c>
      <c r="BF36" s="1110">
        <f>+BF35-AVERAGE(RevBuild!BF$47,RevBuild!BF$34)</f>
        <v>-0.22627844178090475</v>
      </c>
      <c r="BG36" s="1110">
        <f>+BG35-AVERAGE(RevBuild!BG$47,RevBuild!BG$34)</f>
        <v>-0.14074446901644716</v>
      </c>
      <c r="BH36" s="1110">
        <f>+BH35-AVERAGE(RevBuild!BH$47,RevBuild!BH$34)</f>
        <v>-0.22854328346327218</v>
      </c>
      <c r="BI36" s="1228">
        <f>+BI35-AVERAGE(RevBuild!BI$47,RevBuild!BI$34)</f>
        <v>-0.15788928155635379</v>
      </c>
      <c r="BJ36" s="557"/>
      <c r="BK36" s="1107">
        <v>-0.27</v>
      </c>
      <c r="BL36" s="1105">
        <v>-0.31</v>
      </c>
      <c r="BM36" s="1105">
        <v>-0.46</v>
      </c>
      <c r="BN36" s="1105">
        <v>-0.59</v>
      </c>
      <c r="BO36" s="1228">
        <f>+BO35-AVERAGE(RevBuild!BO$47,RevBuild!BO$34)</f>
        <v>-0.39116972423470536</v>
      </c>
      <c r="BP36" s="557"/>
      <c r="BQ36" s="1107">
        <v>-0.54</v>
      </c>
      <c r="BR36" s="910">
        <v>-0.43</v>
      </c>
      <c r="BS36" s="910">
        <v>-0.48</v>
      </c>
      <c r="BT36" s="923">
        <v>-0.27</v>
      </c>
      <c r="BU36" s="1228">
        <f>+BU35-AVERAGE(RevBuild!BU$47,RevBuild!BU$34)</f>
        <v>-0.38164375578254917</v>
      </c>
      <c r="BV36" s="557"/>
      <c r="BW36" s="909">
        <v>-0.42</v>
      </c>
      <c r="BX36" s="910">
        <v>-0.41</v>
      </c>
      <c r="BY36" s="910">
        <v>-0.36</v>
      </c>
      <c r="BZ36" s="910">
        <v>-0.04</v>
      </c>
      <c r="CA36" s="1228">
        <f>+CA35-AVERAGE(RevBuild!CA$47,RevBuild!CA$34)</f>
        <v>-0.3020187228099615</v>
      </c>
      <c r="CB36" s="557"/>
      <c r="CC36" s="909">
        <v>-0.4</v>
      </c>
      <c r="CD36" s="910">
        <v>0.11</v>
      </c>
      <c r="CE36" s="910">
        <v>0.04</v>
      </c>
      <c r="CF36" s="923">
        <v>-0.23</v>
      </c>
      <c r="CG36" s="1228">
        <f>+CG35-AVERAGE(RevBuild!CG$47,RevBuild!CG$34)</f>
        <v>-0.13153172645170369</v>
      </c>
      <c r="CH36" s="557"/>
      <c r="CI36" s="909">
        <v>0</v>
      </c>
      <c r="CJ36" s="910">
        <v>-0.5</v>
      </c>
      <c r="CK36" s="910">
        <v>-0.5</v>
      </c>
      <c r="CL36" s="923">
        <v>-0.6</v>
      </c>
      <c r="CM36" s="1228">
        <f>+CM35-AVERAGE(RevBuild!CM$47,RevBuild!CM$34)</f>
        <v>-0.45735385025363778</v>
      </c>
      <c r="CN36" s="557"/>
      <c r="CO36" s="909">
        <v>-0.1</v>
      </c>
      <c r="CP36" s="910">
        <v>-0.1</v>
      </c>
      <c r="CQ36" s="910">
        <v>-0.1</v>
      </c>
      <c r="CR36" s="923">
        <v>-0.1</v>
      </c>
      <c r="CS36" s="1228">
        <f>+CS35-AVERAGE(RevBuild!CS$47,RevBuild!CS$34)</f>
        <v>-0.10000000000000012</v>
      </c>
      <c r="CT36" s="557"/>
      <c r="CU36" s="909">
        <v>-0.1</v>
      </c>
      <c r="CV36" s="910">
        <v>-0.1</v>
      </c>
      <c r="CW36" s="910">
        <v>-0.1</v>
      </c>
      <c r="CX36" s="923">
        <v>-0.1</v>
      </c>
      <c r="CY36" s="1228">
        <f>+CY35-AVERAGE(RevBuild!CY$47,RevBuild!CY$34)</f>
        <v>-9.9999999999999784E-2</v>
      </c>
      <c r="CZ36" s="48"/>
      <c r="DA36"/>
      <c r="DB36"/>
      <c r="DC36"/>
      <c r="DD36" s="48"/>
      <c r="DE36" s="48"/>
      <c r="DF36" s="48"/>
      <c r="DG36" s="48"/>
      <c r="DH36" s="48"/>
      <c r="DI36" s="48"/>
      <c r="DJ36" s="48"/>
      <c r="DK36" s="48"/>
    </row>
    <row r="37" spans="1:115" x14ac:dyDescent="0.2">
      <c r="A37" s="1196" t="s">
        <v>425</v>
      </c>
      <c r="B37" s="1197"/>
      <c r="C37" s="1198"/>
      <c r="D37" s="1198"/>
      <c r="E37" s="1198"/>
      <c r="F37" s="1198"/>
      <c r="G37" s="1199"/>
      <c r="H37" s="1200"/>
      <c r="I37" s="1201"/>
      <c r="J37" s="1198"/>
      <c r="K37" s="1198"/>
      <c r="L37" s="1198"/>
      <c r="M37" s="1199"/>
      <c r="N37" s="1200"/>
      <c r="O37" s="1201"/>
      <c r="P37" s="1198"/>
      <c r="Q37" s="1198"/>
      <c r="R37" s="1198"/>
      <c r="S37" s="1199"/>
      <c r="T37" s="1198"/>
      <c r="U37" s="1201"/>
      <c r="V37" s="1198"/>
      <c r="W37" s="1198"/>
      <c r="X37" s="1198"/>
      <c r="Y37" s="1202"/>
      <c r="Z37" s="1203"/>
      <c r="AA37" s="1204"/>
      <c r="AB37" s="1205"/>
      <c r="AC37" s="1205"/>
      <c r="AD37" s="1206"/>
      <c r="AE37" s="1207"/>
      <c r="AF37" s="1200"/>
      <c r="AG37" s="1209">
        <f>AG34/AG$366</f>
        <v>0</v>
      </c>
      <c r="AH37" s="1210">
        <f>AH34/AH$366</f>
        <v>0</v>
      </c>
      <c r="AI37" s="1210">
        <f>AI34/AI$366</f>
        <v>0</v>
      </c>
      <c r="AJ37" s="1210">
        <f>AJ34/AJ$366</f>
        <v>0</v>
      </c>
      <c r="AK37" s="1208">
        <f>AK34/AK$366</f>
        <v>0</v>
      </c>
      <c r="AL37" s="1200"/>
      <c r="AM37" s="1209">
        <f>AM34/AM$366</f>
        <v>0.2</v>
      </c>
      <c r="AN37" s="1210">
        <f>AN34/AN$366</f>
        <v>0.19191919191919193</v>
      </c>
      <c r="AO37" s="1210">
        <f>AO34/AO$366</f>
        <v>0.2</v>
      </c>
      <c r="AP37" s="1210">
        <f>AP34/AP$366</f>
        <v>0.18</v>
      </c>
      <c r="AQ37" s="1208">
        <f>AQ34/AQ$366</f>
        <v>0.1927891256872602</v>
      </c>
      <c r="AR37" s="1200"/>
      <c r="AS37" s="1209">
        <f>AS34/AS$366</f>
        <v>0.15797913760808277</v>
      </c>
      <c r="AT37" s="1210">
        <f>AT34/AT$366</f>
        <v>0.17866652562044391</v>
      </c>
      <c r="AU37" s="1210">
        <f>AU34/AU$366</f>
        <v>0.15</v>
      </c>
      <c r="AV37" s="1210">
        <f>AV34/AV$366</f>
        <v>0.13</v>
      </c>
      <c r="AW37" s="1208">
        <f>AW34/AW$366</f>
        <v>0.153</v>
      </c>
      <c r="AX37" s="1200"/>
      <c r="AY37" s="1209">
        <f>AY34/AY$366</f>
        <v>0.14199999999999999</v>
      </c>
      <c r="AZ37" s="1210">
        <f>AZ34/AZ$366</f>
        <v>0.13300000000000001</v>
      </c>
      <c r="BA37" s="1210">
        <f>BA34/BA$366</f>
        <v>0.13300000000000001</v>
      </c>
      <c r="BB37" s="1210">
        <f>BB34/BB$366</f>
        <v>0.11444135029376798</v>
      </c>
      <c r="BC37" s="1208">
        <f>BC34/BC$366</f>
        <v>0.13000000000000003</v>
      </c>
      <c r="BD37" s="1200"/>
      <c r="BE37" s="1209">
        <f>BE34/BE$366</f>
        <v>0.127</v>
      </c>
      <c r="BF37" s="1210">
        <f>BF34/BF$366</f>
        <v>0.1</v>
      </c>
      <c r="BG37" s="1210">
        <f>BG34/BG$366</f>
        <v>0.10999999999999999</v>
      </c>
      <c r="BH37" s="1210">
        <f>BH34/BH$366</f>
        <v>8.2875391977053667E-2</v>
      </c>
      <c r="BI37" s="1208">
        <f>BI34/BI$366</f>
        <v>0.104</v>
      </c>
      <c r="BJ37" s="1200"/>
      <c r="BK37" s="1209">
        <f>BK34/BK$366</f>
        <v>8.3894488983542764E-2</v>
      </c>
      <c r="BL37" s="1210">
        <f>BL34/BL$366</f>
        <v>5.9219589895590216E-2</v>
      </c>
      <c r="BM37" s="1210">
        <f>BM34/BM$366</f>
        <v>6.3E-2</v>
      </c>
      <c r="BN37" s="1210">
        <f>BN34/BN$366</f>
        <v>4.249502383409684E-2</v>
      </c>
      <c r="BO37" s="1208">
        <f>BO34/BO$366</f>
        <v>6.1500000000000013E-2</v>
      </c>
      <c r="BP37" s="1200"/>
      <c r="BQ37" s="1209">
        <f>BQ34/BQ$366</f>
        <v>4.1000000000000002E-2</v>
      </c>
      <c r="BR37" s="1210">
        <f>BR34/BR$366</f>
        <v>3.5000000000000003E-2</v>
      </c>
      <c r="BS37" s="1210">
        <f>BS34/BS$366</f>
        <v>3.5071605570938545E-2</v>
      </c>
      <c r="BT37" s="1210">
        <f>BT34/BT$366</f>
        <v>3.2117129329106889E-2</v>
      </c>
      <c r="BU37" s="1208">
        <f>BU34/BU$366</f>
        <v>3.5632367157590161E-2</v>
      </c>
      <c r="BV37" s="1200"/>
      <c r="BW37" s="1209">
        <f>BW34/BW$366</f>
        <v>2.3807894054206229E-2</v>
      </c>
      <c r="BX37" s="1210">
        <f>BX34/BX$366</f>
        <v>1.9726464361326756E-2</v>
      </c>
      <c r="BY37" s="1210">
        <f>BY34/BY$366</f>
        <v>2.0847046561849505E-2</v>
      </c>
      <c r="BZ37" s="1210">
        <f>BZ34/BZ$366</f>
        <v>2.7935047117468234E-2</v>
      </c>
      <c r="CA37" s="1208">
        <f>CA34/CA$366</f>
        <v>2.3168868683764596E-2</v>
      </c>
      <c r="CB37" s="1200"/>
      <c r="CC37" s="1209">
        <f>CC34/CC$366</f>
        <v>1.2626156040474207E-2</v>
      </c>
      <c r="CD37" s="1210">
        <f>CD34/CD$366</f>
        <v>1.9992126420371761E-2</v>
      </c>
      <c r="CE37" s="1210">
        <f>CE34/CE$366</f>
        <v>1.9546546125762072E-2</v>
      </c>
      <c r="CF37" s="1210">
        <f>CF34/CF$366</f>
        <v>2.0093278101940275E-2</v>
      </c>
      <c r="CG37" s="1208">
        <f>CG34/CG$366</f>
        <v>1.830611012815643E-2</v>
      </c>
      <c r="CH37" s="1200"/>
      <c r="CI37" s="1209">
        <f>CI34/CI$366</f>
        <v>1.1944453120445548E-2</v>
      </c>
      <c r="CJ37" s="1210">
        <f>CJ34/CJ$366</f>
        <v>9.7669986588155393E-3</v>
      </c>
      <c r="CK37" s="1210">
        <f>CK34/CK$366</f>
        <v>9.279519121782643E-3</v>
      </c>
      <c r="CL37" s="1210">
        <f>CL34/CL$366</f>
        <v>7.8017250711492833E-3</v>
      </c>
      <c r="CM37" s="1208">
        <f>CM34/CM$366</f>
        <v>9.5781319034096493E-3</v>
      </c>
      <c r="CN37" s="1200"/>
      <c r="CO37" s="1209">
        <f>CO34/CO$366</f>
        <v>9.6823855584505358E-3</v>
      </c>
      <c r="CP37" s="1210">
        <f>CP34/CP$366</f>
        <v>8.1728661707162094E-3</v>
      </c>
      <c r="CQ37" s="1210">
        <f>CQ34/CQ$366</f>
        <v>7.8808642517019228E-3</v>
      </c>
      <c r="CR37" s="1210">
        <f>CR34/CR$366</f>
        <v>6.4503139724040801E-3</v>
      </c>
      <c r="CS37" s="1208">
        <f>CS34/CS$366</f>
        <v>7.9623314527405703E-3</v>
      </c>
      <c r="CT37" s="1200"/>
      <c r="CU37" s="1209">
        <f>CU34/CU$366</f>
        <v>7.8707126560657956E-3</v>
      </c>
      <c r="CV37" s="1210">
        <f>CV34/CV$366</f>
        <v>6.6827419314336427E-3</v>
      </c>
      <c r="CW37" s="1210">
        <f>CW34/CW$366</f>
        <v>6.4582386864299223E-3</v>
      </c>
      <c r="CX37" s="1210">
        <f>CX34/CX$366</f>
        <v>5.2905767282722697E-3</v>
      </c>
      <c r="CY37" s="1208">
        <f>CY34/CY$366</f>
        <v>6.5111669161533265E-3</v>
      </c>
      <c r="CZ37" s="48"/>
      <c r="DD37" s="48"/>
      <c r="DE37" s="48"/>
      <c r="DF37" s="48"/>
      <c r="DG37" s="48"/>
      <c r="DH37" s="48"/>
      <c r="DI37" s="48"/>
      <c r="DJ37" s="48"/>
      <c r="DK37" s="48"/>
    </row>
    <row r="38" spans="1:115" s="5" customFormat="1" x14ac:dyDescent="0.2">
      <c r="A38" s="432" t="s">
        <v>226</v>
      </c>
      <c r="B38" s="58"/>
      <c r="C38" s="558"/>
      <c r="D38" s="558"/>
      <c r="E38" s="558"/>
      <c r="F38" s="558"/>
      <c r="G38" s="629"/>
      <c r="H38" s="557"/>
      <c r="I38" s="704"/>
      <c r="J38" s="558"/>
      <c r="K38" s="558"/>
      <c r="L38" s="558"/>
      <c r="M38" s="629"/>
      <c r="N38" s="557"/>
      <c r="O38" s="704"/>
      <c r="P38" s="558"/>
      <c r="Q38" s="558"/>
      <c r="R38" s="558"/>
      <c r="S38" s="1134"/>
      <c r="T38" s="1135"/>
      <c r="U38" s="704"/>
      <c r="V38" s="558"/>
      <c r="W38" s="558"/>
      <c r="X38" s="558"/>
      <c r="Y38" s="1134"/>
      <c r="Z38" s="579"/>
      <c r="AA38" s="685"/>
      <c r="AB38" s="578"/>
      <c r="AC38" s="578"/>
      <c r="AD38" s="582"/>
      <c r="AE38" s="580"/>
      <c r="AF38" s="557"/>
      <c r="AG38" s="685"/>
      <c r="AH38" s="578"/>
      <c r="AI38" s="578"/>
      <c r="AJ38" s="582"/>
      <c r="AK38" s="580"/>
      <c r="AL38" s="557"/>
      <c r="AM38" s="581"/>
      <c r="AN38" s="550"/>
      <c r="AO38" s="550"/>
      <c r="AP38" s="550"/>
      <c r="AQ38" s="580">
        <f>AQ43-AQ34</f>
        <v>40.188259999999985</v>
      </c>
      <c r="AR38" s="557"/>
      <c r="AS38" s="581"/>
      <c r="AT38" s="550"/>
      <c r="AU38" s="550"/>
      <c r="AV38" s="550"/>
      <c r="AW38" s="580">
        <f>AW43-AW34</f>
        <v>43.500406129137986</v>
      </c>
      <c r="AX38" s="557"/>
      <c r="AY38" s="581">
        <f>+AY43-AY34</f>
        <v>11.264036000000004</v>
      </c>
      <c r="AZ38" s="550">
        <f>+AZ43-AZ34</f>
        <v>11.366881000000006</v>
      </c>
      <c r="BA38" s="550">
        <f>+BA43-BA34</f>
        <v>11.258693000000001</v>
      </c>
      <c r="BB38" s="550">
        <f>+BB43-BB34</f>
        <v>3.744070000000022</v>
      </c>
      <c r="BC38" s="580">
        <f>SUM(AY38:BB38)</f>
        <v>37.633680000000034</v>
      </c>
      <c r="BD38" s="557"/>
      <c r="BE38" s="581">
        <f>+BE43-BE34</f>
        <v>13.053768000000005</v>
      </c>
      <c r="BF38" s="550">
        <f>+BF43-BF34</f>
        <v>12.656480000000002</v>
      </c>
      <c r="BG38" s="550">
        <f>+BG43-BG34</f>
        <v>18.457227000000003</v>
      </c>
      <c r="BH38" s="550">
        <f>+BH43-BH34</f>
        <v>25.070877000000024</v>
      </c>
      <c r="BI38" s="580">
        <f>SUM(BE38:BH38)</f>
        <v>69.238352000000035</v>
      </c>
      <c r="BJ38" s="629"/>
      <c r="BK38" s="550">
        <f>+BK43-BK34</f>
        <v>12.093660347826081</v>
      </c>
      <c r="BL38" s="550">
        <f>+BF38*(1+BL39)</f>
        <v>13.694899751020412</v>
      </c>
      <c r="BM38" s="550">
        <f>+(1+BM39)*BG38</f>
        <v>17.537614035294123</v>
      </c>
      <c r="BN38" s="550">
        <f>+(1+BN39)*BH38</f>
        <v>25.700271242553772</v>
      </c>
      <c r="BO38" s="580">
        <f>+SUM(BK38:BN38)</f>
        <v>69.026445376694383</v>
      </c>
      <c r="BP38" s="557"/>
      <c r="BQ38" s="581">
        <f>+(1+BQ39)*BK38</f>
        <v>17.432049603402145</v>
      </c>
      <c r="BR38" s="550">
        <f>+(1+BR39)*BL38</f>
        <v>14.795393365234808</v>
      </c>
      <c r="BS38" s="550">
        <f>+(1+BS39)*BM38</f>
        <v>14.32341460496361</v>
      </c>
      <c r="BT38" s="550">
        <f>+(1+BT39)*BN38</f>
        <v>17.830167535993173</v>
      </c>
      <c r="BU38" s="580">
        <f>SUM(BQ38:BT38)</f>
        <v>64.381025109593736</v>
      </c>
      <c r="BV38" s="557"/>
      <c r="BW38" s="581">
        <f>+(1+BW39)*BQ38</f>
        <v>10.961256731582315</v>
      </c>
      <c r="BX38" s="550">
        <f>+(1+BX39)*BR38</f>
        <v>14.64044548006267</v>
      </c>
      <c r="BY38" s="550">
        <f>+(1+BY39)*BS38</f>
        <v>14.648235993922013</v>
      </c>
      <c r="BZ38" s="550">
        <f>+(1+BZ39)*BT38</f>
        <v>16.845022251394465</v>
      </c>
      <c r="CA38" s="580">
        <f>SUM(BW38:BZ38)</f>
        <v>57.094960456961459</v>
      </c>
      <c r="CB38" s="557"/>
      <c r="CC38" s="581">
        <f>+(1+CC39)*BW38</f>
        <v>8.1987895460032068</v>
      </c>
      <c r="CD38" s="550">
        <f>+(1+CD39)*BX38</f>
        <v>10.241198785097104</v>
      </c>
      <c r="CE38" s="550">
        <f>+(1+CE39)*BY38</f>
        <v>13.605377693374756</v>
      </c>
      <c r="CF38" s="550">
        <f>+(1+CF39)*BZ38</f>
        <v>14.475503813238744</v>
      </c>
      <c r="CG38" s="580">
        <f>SUM(CC38:CF38)</f>
        <v>46.520869837713811</v>
      </c>
      <c r="CH38" s="557"/>
      <c r="CI38" s="581">
        <f>+(1+CI39)*CC38</f>
        <v>6.9689711141027253</v>
      </c>
      <c r="CJ38" s="550">
        <f>+(1+CJ39)*CD38</f>
        <v>8.653812973407053</v>
      </c>
      <c r="CK38" s="550">
        <f>+(1+CK39)*CE38</f>
        <v>11.224436597034172</v>
      </c>
      <c r="CL38" s="550">
        <f>+(1+CL39)*CF38</f>
        <v>11.869913126855769</v>
      </c>
      <c r="CM38" s="580">
        <f>SUM(CI38:CL38)</f>
        <v>38.717133811399719</v>
      </c>
      <c r="CN38" s="557"/>
      <c r="CO38" s="581">
        <f>+(1+CO39)*CI38</f>
        <v>5.923625446987316</v>
      </c>
      <c r="CP38" s="550">
        <f>+(1+CP39)*CJ38</f>
        <v>7.3557410273959949</v>
      </c>
      <c r="CQ38" s="550">
        <f>+(1+CQ39)*CK38</f>
        <v>9.5407711074790456</v>
      </c>
      <c r="CR38" s="550">
        <f>+(1+CR39)*CL38</f>
        <v>10.089426157827404</v>
      </c>
      <c r="CS38" s="580">
        <f>SUM(CO38:CR38)</f>
        <v>32.909563739689759</v>
      </c>
      <c r="CT38" s="557"/>
      <c r="CU38" s="581">
        <f>+(1+CU39)*CO38</f>
        <v>5.035081629939218</v>
      </c>
      <c r="CV38" s="550">
        <f>+(1+CV39)*CP38</f>
        <v>6.2523798732865954</v>
      </c>
      <c r="CW38" s="550">
        <f>+(1+CW39)*CQ38</f>
        <v>8.1096554413571891</v>
      </c>
      <c r="CX38" s="550">
        <f>+(1+CX39)*CR38</f>
        <v>8.5760122341532927</v>
      </c>
      <c r="CY38" s="580">
        <f>SUM(CU38:CX38)</f>
        <v>27.973129178736297</v>
      </c>
      <c r="CZ38" s="48"/>
      <c r="DA38"/>
      <c r="DB38"/>
      <c r="DC38"/>
      <c r="DD38" s="48"/>
      <c r="DE38" s="48"/>
      <c r="DF38" s="48"/>
      <c r="DG38" s="48"/>
      <c r="DH38" s="48"/>
      <c r="DI38" s="48"/>
      <c r="DJ38" s="48"/>
      <c r="DK38" s="48"/>
    </row>
    <row r="39" spans="1:115" s="5" customFormat="1" x14ac:dyDescent="0.2">
      <c r="A39" s="205" t="s">
        <v>639</v>
      </c>
      <c r="B39" s="58"/>
      <c r="C39" s="558"/>
      <c r="D39" s="558"/>
      <c r="E39" s="558"/>
      <c r="F39" s="558"/>
      <c r="G39" s="629"/>
      <c r="H39" s="557"/>
      <c r="I39" s="704"/>
      <c r="J39" s="558"/>
      <c r="K39" s="558"/>
      <c r="L39" s="558"/>
      <c r="M39" s="629"/>
      <c r="N39" s="557"/>
      <c r="O39" s="704"/>
      <c r="P39" s="558"/>
      <c r="Q39" s="558"/>
      <c r="R39" s="558"/>
      <c r="S39" s="1134"/>
      <c r="T39" s="1135"/>
      <c r="U39" s="704"/>
      <c r="V39" s="558"/>
      <c r="W39" s="558"/>
      <c r="X39" s="558"/>
      <c r="Y39" s="1134"/>
      <c r="Z39" s="579"/>
      <c r="AA39" s="685"/>
      <c r="AB39" s="578"/>
      <c r="AC39" s="578"/>
      <c r="AD39" s="582"/>
      <c r="AE39" s="707"/>
      <c r="AF39" s="557"/>
      <c r="AG39" s="685"/>
      <c r="AH39" s="578"/>
      <c r="AI39" s="578"/>
      <c r="AJ39" s="582"/>
      <c r="AK39" s="707"/>
      <c r="AL39" s="557"/>
      <c r="AM39" s="581"/>
      <c r="AN39" s="550"/>
      <c r="AO39" s="550"/>
      <c r="AP39" s="550"/>
      <c r="AQ39" s="707"/>
      <c r="AR39" s="557"/>
      <c r="AS39" s="581"/>
      <c r="AT39" s="550"/>
      <c r="AU39" s="550"/>
      <c r="AV39" s="550"/>
      <c r="AW39" s="707">
        <f>AW38/AQ38-1</f>
        <v>8.241576343782997E-2</v>
      </c>
      <c r="AX39" s="557"/>
      <c r="AY39" s="581"/>
      <c r="AZ39" s="550"/>
      <c r="BA39" s="550"/>
      <c r="BB39" s="896"/>
      <c r="BC39" s="707">
        <f>BC38/AW38-1</f>
        <v>-0.13486600818671957</v>
      </c>
      <c r="BD39" s="557"/>
      <c r="BE39" s="586">
        <f>BE38/AY38-1</f>
        <v>0.15888905184607016</v>
      </c>
      <c r="BF39" s="587">
        <f>BF38/AZ38-1</f>
        <v>0.11345231818649237</v>
      </c>
      <c r="BG39" s="587">
        <f>BG38/BA38-1</f>
        <v>0.63937563623060001</v>
      </c>
      <c r="BH39" s="587">
        <f>BH38/BB38-1</f>
        <v>5.6961560547745842</v>
      </c>
      <c r="BI39" s="707">
        <f>BI38/BC38-1</f>
        <v>0.83979754305186138</v>
      </c>
      <c r="BJ39" s="629"/>
      <c r="BK39" s="587">
        <f>BK38/BE38-1</f>
        <v>-7.3550231027081581E-2</v>
      </c>
      <c r="BL39" s="1110">
        <f>+BL40+AVERAGE(RevBuild!BL$47,RevBuild!BL$34)</f>
        <v>8.2046489309856224E-2</v>
      </c>
      <c r="BM39" s="1110">
        <f>+BM40+AVERAGE(RevBuild!BM$47,RevBuild!BM$34)</f>
        <v>-4.9824004695065011E-2</v>
      </c>
      <c r="BN39" s="1110">
        <f>+BN40+AVERAGE(RevBuild!BN$47,RevBuild!BN$34)</f>
        <v>2.5104596163658153E-2</v>
      </c>
      <c r="BO39" s="1117">
        <f>BO38/BI38-1</f>
        <v>-3.0605382303965367E-3</v>
      </c>
      <c r="BP39" s="557"/>
      <c r="BQ39" s="1109">
        <f>+BQ40+AVERAGE(RevBuild!BQ$47,RevBuild!BQ$34)</f>
        <v>0.44142047172142368</v>
      </c>
      <c r="BR39" s="1110">
        <f>+BR40+AVERAGE(RevBuild!BR$47,RevBuild!BR$34)</f>
        <v>8.0357916758930462E-2</v>
      </c>
      <c r="BS39" s="1110">
        <f>+BS40+AVERAGE(RevBuild!BS$47,RevBuild!BS$34)</f>
        <v>-0.1832746132890139</v>
      </c>
      <c r="BT39" s="1110">
        <f>+BT40+AVERAGE(RevBuild!BT$47,RevBuild!BT$34)</f>
        <v>-0.30622648423762577</v>
      </c>
      <c r="BU39" s="1117">
        <f>BU38/BO38-1</f>
        <v>-6.7299137913729101E-2</v>
      </c>
      <c r="BV39" s="557"/>
      <c r="BW39" s="1109">
        <f>+BW40+AVERAGE(RevBuild!BW$47,RevBuild!BW$34)</f>
        <v>-0.37120092123630433</v>
      </c>
      <c r="BX39" s="1110">
        <f>+BX40+AVERAGE(RevBuild!BX$47,RevBuild!BX$34)</f>
        <v>-1.0472711427614016E-2</v>
      </c>
      <c r="BY39" s="1110">
        <f>+BY40+AVERAGE(RevBuild!BY$47,RevBuild!BY$34)</f>
        <v>2.2677650400892483E-2</v>
      </c>
      <c r="BZ39" s="1110">
        <f>+BZ40+AVERAGE(RevBuild!BZ$47,RevBuild!BZ$34)</f>
        <v>-5.5251599998150804E-2</v>
      </c>
      <c r="CA39" s="1117">
        <f>CA38/BU38-1</f>
        <v>-0.11317099471823333</v>
      </c>
      <c r="CB39" s="557"/>
      <c r="CC39" s="1109">
        <f>+CC40+AVERAGE(RevBuild!CC$47,RevBuild!CC$34)</f>
        <v>-0.25202102762721545</v>
      </c>
      <c r="CD39" s="1110">
        <f>+CD40+AVERAGE(RevBuild!CD$47,RevBuild!CD$34)</f>
        <v>-0.3004858493518146</v>
      </c>
      <c r="CE39" s="1110">
        <f>+CE40+AVERAGE(RevBuild!CE$47,RevBuild!CE$34)</f>
        <v>-7.1193439331532452E-2</v>
      </c>
      <c r="CF39" s="1110">
        <f>+CF40+AVERAGE(RevBuild!CF$47,RevBuild!CF$34)</f>
        <v>-0.14066579448771979</v>
      </c>
      <c r="CG39" s="1117">
        <f>CG38/CA38-1</f>
        <v>-0.18520182052176859</v>
      </c>
      <c r="CH39" s="557"/>
      <c r="CI39" s="1109">
        <f>+CI40+AVERAGE(RevBuild!CI$47,RevBuild!CI$34)</f>
        <v>-0.15000000000000002</v>
      </c>
      <c r="CJ39" s="1110">
        <f>+CJ40+AVERAGE(RevBuild!CJ$47,RevBuild!CJ$34)</f>
        <v>-0.15500000000000003</v>
      </c>
      <c r="CK39" s="1110">
        <f>+CK40+AVERAGE(RevBuild!CK$47,RevBuild!CK$34)</f>
        <v>-0.17500000000000002</v>
      </c>
      <c r="CL39" s="1110">
        <f>+CL40+AVERAGE(RevBuild!CL$47,RevBuild!CL$34)</f>
        <v>-0.18000000000000002</v>
      </c>
      <c r="CM39" s="1117">
        <f>CM38/CG38-1</f>
        <v>-0.16774699298480689</v>
      </c>
      <c r="CN39" s="557"/>
      <c r="CO39" s="1109">
        <f>+CO40+AVERAGE(RevBuild!CO$47,RevBuild!CO$34)</f>
        <v>-0.15</v>
      </c>
      <c r="CP39" s="1110">
        <f>+CP40+AVERAGE(RevBuild!CP$47,RevBuild!CP$34)</f>
        <v>-0.15</v>
      </c>
      <c r="CQ39" s="1110">
        <f>+CQ40+AVERAGE(RevBuild!CQ$47,RevBuild!CQ$34)</f>
        <v>-0.15</v>
      </c>
      <c r="CR39" s="1110">
        <f>+CR40+AVERAGE(RevBuild!CR$47,RevBuild!CR$34)</f>
        <v>-0.15</v>
      </c>
      <c r="CS39" s="1117">
        <f>CS38/CM38-1</f>
        <v>-0.15000000000000002</v>
      </c>
      <c r="CT39" s="557"/>
      <c r="CU39" s="1109">
        <f>+CU40+AVERAGE(RevBuild!CU$47,RevBuild!CU$34)</f>
        <v>-0.15</v>
      </c>
      <c r="CV39" s="1110">
        <f>+CV40+AVERAGE(RevBuild!CV$47,RevBuild!CV$34)</f>
        <v>-0.15</v>
      </c>
      <c r="CW39" s="1110">
        <f>+CW40+AVERAGE(RevBuild!CW$47,RevBuild!CW$34)</f>
        <v>-0.15</v>
      </c>
      <c r="CX39" s="1110">
        <f>+CX40+AVERAGE(RevBuild!CX$47,RevBuild!CX$34)</f>
        <v>-0.15</v>
      </c>
      <c r="CY39" s="1117">
        <f>CY38/CS38-1</f>
        <v>-0.14999999999999991</v>
      </c>
      <c r="CZ39" s="48"/>
      <c r="DA39"/>
      <c r="DB39"/>
      <c r="DC39"/>
      <c r="DD39" s="48"/>
      <c r="DE39" s="48"/>
      <c r="DF39" s="48"/>
      <c r="DG39" s="48"/>
      <c r="DH39" s="48"/>
      <c r="DI39" s="48"/>
      <c r="DJ39" s="48"/>
      <c r="DK39" s="48"/>
    </row>
    <row r="40" spans="1:115" s="5" customFormat="1" x14ac:dyDescent="0.2">
      <c r="A40" s="205" t="s">
        <v>227</v>
      </c>
      <c r="B40" s="58"/>
      <c r="C40" s="558"/>
      <c r="D40" s="48"/>
      <c r="E40" s="48"/>
      <c r="F40" s="48"/>
      <c r="G40" s="629"/>
      <c r="H40" s="48"/>
      <c r="I40" s="704"/>
      <c r="J40" s="48"/>
      <c r="K40" s="48"/>
      <c r="L40" s="48"/>
      <c r="M40" s="629"/>
      <c r="N40" s="48"/>
      <c r="O40" s="59"/>
      <c r="P40" s="48"/>
      <c r="Q40" s="48"/>
      <c r="R40" s="48"/>
      <c r="S40" s="59"/>
      <c r="T40" s="58"/>
      <c r="U40" s="59"/>
      <c r="V40" s="48"/>
      <c r="W40" s="48"/>
      <c r="X40" s="48"/>
      <c r="Y40" s="59"/>
      <c r="Z40" s="58"/>
      <c r="AA40" s="909"/>
      <c r="AB40" s="910"/>
      <c r="AC40" s="910"/>
      <c r="AD40" s="910"/>
      <c r="AE40" s="584"/>
      <c r="AF40" s="48"/>
      <c r="AG40" s="909"/>
      <c r="AH40" s="910"/>
      <c r="AI40" s="910"/>
      <c r="AJ40" s="910"/>
      <c r="AK40" s="584"/>
      <c r="AL40" s="48"/>
      <c r="AM40" s="909"/>
      <c r="AN40" s="910"/>
      <c r="AO40" s="910"/>
      <c r="AP40" s="910"/>
      <c r="AQ40" s="584"/>
      <c r="AR40" s="48"/>
      <c r="AS40" s="909"/>
      <c r="AT40" s="910"/>
      <c r="AU40" s="910"/>
      <c r="AV40" s="910"/>
      <c r="AW40" s="1228">
        <f>+AW39-AVERAGE(RevBuild!AW$47,RevBuild!AW$34)</f>
        <v>8.5622469583589503E-2</v>
      </c>
      <c r="AX40" s="48"/>
      <c r="AY40" s="1109"/>
      <c r="AZ40" s="1110"/>
      <c r="BA40" s="1110"/>
      <c r="BB40" s="1110"/>
      <c r="BC40" s="1228">
        <f>+BC39-AVERAGE(RevBuild!BC$47,RevBuild!BC$34)</f>
        <v>-0.10295932683083694</v>
      </c>
      <c r="BD40" s="48"/>
      <c r="BE40" s="1109">
        <f>+BE39-AVERAGE(RevBuild!BE$47,RevBuild!BE$34)</f>
        <v>0.18827612249305034</v>
      </c>
      <c r="BF40" s="1110">
        <f>+BF39-AVERAGE(RevBuild!BF$47,RevBuild!BF$34)</f>
        <v>0.11278034683979385</v>
      </c>
      <c r="BG40" s="1110">
        <f>+BG39-AVERAGE(RevBuild!BG$47,RevBuild!BG$34)</f>
        <v>0.61850204975490741</v>
      </c>
      <c r="BH40" s="1110">
        <f>+BH39-AVERAGE(RevBuild!BH$47,RevBuild!BH$34)</f>
        <v>5.7098921433054244</v>
      </c>
      <c r="BI40" s="1228">
        <f>+BI39-AVERAGE(RevBuild!BI$47,RevBuild!BI$34)</f>
        <v>0.84879239294372111</v>
      </c>
      <c r="BJ40" s="48"/>
      <c r="BK40" s="1109">
        <f>+BK39-AVERAGE(RevBuild!BK$47,RevBuild!BK$34)</f>
        <v>-9.2584234593459144E-2</v>
      </c>
      <c r="BL40" s="910">
        <v>0.08</v>
      </c>
      <c r="BM40" s="910">
        <v>-0.05</v>
      </c>
      <c r="BN40" s="910">
        <v>0.05</v>
      </c>
      <c r="BO40" s="1228">
        <f>+BO39-AVERAGE(RevBuild!BO$47,RevBuild!BO$34)</f>
        <v>-3.5890661140703141E-3</v>
      </c>
      <c r="BP40" s="48"/>
      <c r="BQ40" s="909">
        <v>0.5</v>
      </c>
      <c r="BR40" s="910">
        <v>0.15</v>
      </c>
      <c r="BS40" s="910">
        <v>-0.1</v>
      </c>
      <c r="BT40" s="910">
        <v>-0.25</v>
      </c>
      <c r="BU40" s="1228">
        <f>+BU39-AVERAGE(RevBuild!BU$47,RevBuild!BU$34)</f>
        <v>-3.849885303598144E-4</v>
      </c>
      <c r="BV40" s="48"/>
      <c r="BW40" s="909">
        <v>-0.35</v>
      </c>
      <c r="BX40" s="910">
        <v>0</v>
      </c>
      <c r="BY40" s="910">
        <v>0.02</v>
      </c>
      <c r="BZ40" s="910">
        <v>-0.01</v>
      </c>
      <c r="CA40" s="1228">
        <f>+CA39-AVERAGE(RevBuild!CA$47,RevBuild!CA$34)</f>
        <v>-9.4206991894326728E-2</v>
      </c>
      <c r="CB40" s="557"/>
      <c r="CC40" s="909">
        <v>-0.2</v>
      </c>
      <c r="CD40" s="910">
        <v>-0.25</v>
      </c>
      <c r="CE40" s="910">
        <v>-0.04</v>
      </c>
      <c r="CF40" s="910">
        <v>-0.15</v>
      </c>
      <c r="CG40" s="1228">
        <f>+CG39-AVERAGE(RevBuild!CG$47,RevBuild!CG$34)</f>
        <v>-0.15493903612478394</v>
      </c>
      <c r="CH40" s="557"/>
      <c r="CI40" s="909">
        <v>-0.2</v>
      </c>
      <c r="CJ40" s="910">
        <f>CI40</f>
        <v>-0.2</v>
      </c>
      <c r="CK40" s="910">
        <f>CJ40</f>
        <v>-0.2</v>
      </c>
      <c r="CL40" s="910">
        <f>CK40</f>
        <v>-0.2</v>
      </c>
      <c r="CM40" s="1228">
        <f>+CM39-AVERAGE(RevBuild!CM$47,RevBuild!CM$34)</f>
        <v>-0.20188773821800937</v>
      </c>
      <c r="CN40" s="557"/>
      <c r="CO40" s="909">
        <v>-0.15</v>
      </c>
      <c r="CP40" s="910">
        <f>CO40</f>
        <v>-0.15</v>
      </c>
      <c r="CQ40" s="910">
        <f>CP40</f>
        <v>-0.15</v>
      </c>
      <c r="CR40" s="910">
        <f>CQ40</f>
        <v>-0.15</v>
      </c>
      <c r="CS40" s="1228">
        <f>+CS39-AVERAGE(RevBuild!CS$47,RevBuild!CS$34)</f>
        <v>-0.15000000000000005</v>
      </c>
      <c r="CT40" s="557"/>
      <c r="CU40" s="909">
        <f>CR40</f>
        <v>-0.15</v>
      </c>
      <c r="CV40" s="910">
        <f>CU40</f>
        <v>-0.15</v>
      </c>
      <c r="CW40" s="910">
        <f>CV40</f>
        <v>-0.15</v>
      </c>
      <c r="CX40" s="910">
        <f>CW40</f>
        <v>-0.15</v>
      </c>
      <c r="CY40" s="1228">
        <f>+CY39-AVERAGE(RevBuild!CY$47,RevBuild!CY$34)</f>
        <v>-0.14999999999999983</v>
      </c>
      <c r="CZ40" s="48"/>
      <c r="DA40"/>
      <c r="DB40"/>
      <c r="DC40"/>
      <c r="DD40" s="48"/>
      <c r="DE40" s="48"/>
      <c r="DF40" s="48"/>
      <c r="DG40" s="48"/>
      <c r="DH40" s="48"/>
      <c r="DI40" s="48"/>
      <c r="DJ40" s="48"/>
      <c r="DK40" s="48"/>
    </row>
    <row r="41" spans="1:115" outlineLevel="1" x14ac:dyDescent="0.2">
      <c r="A41" s="1247" t="s">
        <v>440</v>
      </c>
      <c r="B41" s="1181"/>
      <c r="C41" s="1182"/>
      <c r="D41" s="1182"/>
      <c r="E41" s="1182"/>
      <c r="F41" s="1182"/>
      <c r="G41" s="1183"/>
      <c r="H41" s="1184"/>
      <c r="I41" s="1185"/>
      <c r="J41" s="1182"/>
      <c r="K41" s="1182"/>
      <c r="L41" s="1182"/>
      <c r="M41" s="1183"/>
      <c r="N41" s="1184"/>
      <c r="O41" s="1185"/>
      <c r="P41" s="1182"/>
      <c r="Q41" s="1182"/>
      <c r="R41" s="1182"/>
      <c r="S41" s="1186"/>
      <c r="T41" s="1187"/>
      <c r="U41" s="1185"/>
      <c r="V41" s="1182"/>
      <c r="W41" s="1182"/>
      <c r="X41" s="1182"/>
      <c r="Y41" s="1186"/>
      <c r="Z41" s="1188"/>
      <c r="AA41" s="1189">
        <f>+AA43</f>
        <v>60.037469662921339</v>
      </c>
      <c r="AB41" s="1190">
        <f>+AB43</f>
        <v>50.35089737827716</v>
      </c>
      <c r="AC41" s="1190">
        <f>+AC43</f>
        <v>49</v>
      </c>
      <c r="AD41" s="1191">
        <f>+AD43</f>
        <v>52.5</v>
      </c>
      <c r="AE41" s="1192">
        <f>SUM(AA41:AD41)</f>
        <v>211.88836704119851</v>
      </c>
      <c r="AF41" s="1184"/>
      <c r="AG41" s="1189">
        <f>+AG43</f>
        <v>55.233249999999998</v>
      </c>
      <c r="AH41" s="1190">
        <f>+AH43</f>
        <v>60.038999999999994</v>
      </c>
      <c r="AI41" s="1190">
        <f>+AI43</f>
        <v>64.914749999999998</v>
      </c>
      <c r="AJ41" s="1191">
        <f>+AJ43</f>
        <v>72.269250000000028</v>
      </c>
      <c r="AK41" s="1192">
        <f>SUM(AG41:AJ41)</f>
        <v>252.45625000000001</v>
      </c>
      <c r="AL41" s="1184"/>
      <c r="AM41" s="1189">
        <f>+AM43</f>
        <v>66.090999999999994</v>
      </c>
      <c r="AN41" s="1190">
        <f>+AN43</f>
        <v>65.679500000000004</v>
      </c>
      <c r="AO41" s="1190">
        <f>+AO43</f>
        <v>60.349740000000004</v>
      </c>
      <c r="AP41" s="1191">
        <f>+AP43</f>
        <v>57.206400000000009</v>
      </c>
      <c r="AQ41" s="1192">
        <f>SUM(AM41:AP41)</f>
        <v>249.32664</v>
      </c>
      <c r="AR41" s="1184"/>
      <c r="AS41" s="1189">
        <f>+AS43</f>
        <v>53.894909090909096</v>
      </c>
      <c r="AT41" s="1190">
        <f>+AT43</f>
        <v>62.923144578313256</v>
      </c>
      <c r="AU41" s="1190">
        <f>+AU43</f>
        <v>50.714833333333338</v>
      </c>
      <c r="AV41" s="1191">
        <f>+AV43</f>
        <v>54.938810126582304</v>
      </c>
      <c r="AW41" s="1192">
        <f>SUM(AS41:AV41)</f>
        <v>222.47169712913799</v>
      </c>
      <c r="AX41" s="1184"/>
      <c r="AY41" s="1189">
        <f>+AY43</f>
        <v>53.355960000000003</v>
      </c>
      <c r="AZ41" s="1190">
        <f>+AZ43</f>
        <v>52.226210000000009</v>
      </c>
      <c r="BA41" s="1190">
        <f>+BA43</f>
        <v>51.729130000000005</v>
      </c>
      <c r="BB41" s="1191">
        <f>+BB43</f>
        <v>43.401660000000021</v>
      </c>
      <c r="BC41" s="1192">
        <f>SUM(AY41:BB41)</f>
        <v>200.71296000000004</v>
      </c>
      <c r="BD41" s="1184"/>
      <c r="BE41" s="1189">
        <f>+BE43</f>
        <v>51.607920000000007</v>
      </c>
      <c r="BF41" s="1190">
        <f>+BF43</f>
        <v>44.29768</v>
      </c>
      <c r="BG41" s="1190">
        <f>+BG43</f>
        <v>54.076436999999999</v>
      </c>
      <c r="BH41" s="1191">
        <f>+BH43</f>
        <v>55.120251000000025</v>
      </c>
      <c r="BI41" s="1192">
        <f>SUM(BE41:BH41)</f>
        <v>205.10228800000002</v>
      </c>
      <c r="BJ41" s="1183"/>
      <c r="BK41" s="1189">
        <f>+BK43</f>
        <v>38.719505999999996</v>
      </c>
      <c r="BL41" s="1190">
        <f>+BL43</f>
        <v>33.310619049266023</v>
      </c>
      <c r="BM41" s="1190">
        <f>+BM43</f>
        <v>38.753305035294119</v>
      </c>
      <c r="BN41" s="1191">
        <f>+BN43</f>
        <v>41.032900792134257</v>
      </c>
      <c r="BO41" s="1192">
        <f>SUM(BK41:BN41)</f>
        <v>151.81633087669439</v>
      </c>
      <c r="BP41" s="1184"/>
      <c r="BQ41" s="1189">
        <f>+BQ43</f>
        <v>29.679938603402146</v>
      </c>
      <c r="BR41" s="1190">
        <f>+BR43</f>
        <v>25.976353365234811</v>
      </c>
      <c r="BS41" s="1190">
        <f>+BS43</f>
        <v>25.355573924963608</v>
      </c>
      <c r="BT41" s="1191">
        <f>+BT43</f>
        <v>29.022987107186925</v>
      </c>
      <c r="BU41" s="1192">
        <f>SUM(BQ41:BT41)</f>
        <v>110.03485300078749</v>
      </c>
      <c r="BV41" s="1184"/>
      <c r="BW41" s="1189">
        <f>+BW43</f>
        <v>18.065032351582317</v>
      </c>
      <c r="BX41" s="1190">
        <f>+BX43</f>
        <v>21.237211880062674</v>
      </c>
      <c r="BY41" s="1190">
        <f>+BY43</f>
        <v>21.708817958722012</v>
      </c>
      <c r="BZ41" s="1191">
        <f>+BZ43</f>
        <v>27.083636045653336</v>
      </c>
      <c r="CA41" s="1192">
        <f>SUM(BW41:BZ41)</f>
        <v>88.094698236020335</v>
      </c>
      <c r="CB41" s="1184"/>
      <c r="CC41" s="1189">
        <f>+CC43</f>
        <v>12.091509210217648</v>
      </c>
      <c r="CD41" s="1190">
        <f>+CD43</f>
        <v>17.230566134417593</v>
      </c>
      <c r="CE41" s="1190">
        <f>+CE43</f>
        <v>20.728139101602455</v>
      </c>
      <c r="CF41" s="1191">
        <f>+CF43</f>
        <v>22.454805760134551</v>
      </c>
      <c r="CG41" s="1192">
        <f>SUM(CC41:CF41)</f>
        <v>72.505020206372251</v>
      </c>
      <c r="CH41" s="1184"/>
      <c r="CI41" s="1189">
        <f>+CI43</f>
        <v>11.056326761527888</v>
      </c>
      <c r="CJ41" s="1190">
        <f>+CJ43</f>
        <v>12.463018178786719</v>
      </c>
      <c r="CK41" s="1190">
        <f>+CK43</f>
        <v>14.963886336353713</v>
      </c>
      <c r="CL41" s="1191">
        <f>+CL43</f>
        <v>15.221219944552008</v>
      </c>
      <c r="CM41" s="1192">
        <f>SUM(CI41:CL41)</f>
        <v>53.704451221220324</v>
      </c>
      <c r="CN41" s="1184"/>
      <c r="CO41" s="1189">
        <f>+CO43</f>
        <v>9.6022455296699629</v>
      </c>
      <c r="CP41" s="1190">
        <f>+CP43</f>
        <v>10.784025712237694</v>
      </c>
      <c r="CQ41" s="1190">
        <f>+CQ43</f>
        <v>12.906275872866633</v>
      </c>
      <c r="CR41" s="1191">
        <f>+CR43</f>
        <v>13.10560229375402</v>
      </c>
      <c r="CS41" s="1192">
        <f>SUM(CO41:CR41)</f>
        <v>46.398149408528312</v>
      </c>
      <c r="CT41" s="1184"/>
      <c r="CU41" s="1189">
        <f>+CU43</f>
        <v>8.345839704353601</v>
      </c>
      <c r="CV41" s="1190">
        <f>+CV43</f>
        <v>9.3378360896441244</v>
      </c>
      <c r="CW41" s="1190">
        <f>+CW43</f>
        <v>11.138609730206019</v>
      </c>
      <c r="CX41" s="1191">
        <f>+CX43</f>
        <v>11.290570756487247</v>
      </c>
      <c r="CY41" s="1192">
        <f>SUM(CU41:CX41)</f>
        <v>40.112856280690991</v>
      </c>
      <c r="CZ41" s="48"/>
      <c r="DD41" s="48"/>
      <c r="DE41" s="48"/>
      <c r="DF41" s="48"/>
      <c r="DG41" s="48"/>
      <c r="DH41" s="48"/>
      <c r="DI41" s="48"/>
      <c r="DJ41" s="48"/>
      <c r="DK41" s="48"/>
    </row>
    <row r="42" spans="1:115" outlineLevel="1" x14ac:dyDescent="0.2">
      <c r="A42" s="1248" t="s">
        <v>441</v>
      </c>
      <c r="B42" s="1230"/>
      <c r="C42" s="1231"/>
      <c r="D42" s="1231"/>
      <c r="E42" s="1231"/>
      <c r="F42" s="1231"/>
      <c r="G42" s="1232"/>
      <c r="H42" s="1233"/>
      <c r="I42" s="1234"/>
      <c r="J42" s="1231"/>
      <c r="K42" s="1231"/>
      <c r="L42" s="1231"/>
      <c r="M42" s="1232"/>
      <c r="N42" s="1233"/>
      <c r="O42" s="1234"/>
      <c r="P42" s="1231"/>
      <c r="Q42" s="1231"/>
      <c r="R42" s="1231"/>
      <c r="S42" s="1235"/>
      <c r="T42" s="1249"/>
      <c r="U42" s="1234"/>
      <c r="V42" s="1231"/>
      <c r="W42" s="1231"/>
      <c r="X42" s="1231"/>
      <c r="Y42" s="1235"/>
      <c r="Z42" s="1250"/>
      <c r="AA42" s="1236">
        <f>+AA43-AA41</f>
        <v>0</v>
      </c>
      <c r="AB42" s="1237">
        <f>+AB43-AB41</f>
        <v>0</v>
      </c>
      <c r="AC42" s="1237">
        <f>+AC43-AC41</f>
        <v>0</v>
      </c>
      <c r="AD42" s="1238">
        <f>+AD43-AD41</f>
        <v>0</v>
      </c>
      <c r="AE42" s="1239">
        <f>+AE43-AE41</f>
        <v>0</v>
      </c>
      <c r="AF42" s="1233"/>
      <c r="AG42" s="1236">
        <f>+AG43-AG41</f>
        <v>0</v>
      </c>
      <c r="AH42" s="1237">
        <f>+AH43-AH41</f>
        <v>0</v>
      </c>
      <c r="AI42" s="1237">
        <f>+AI43-AI41</f>
        <v>0</v>
      </c>
      <c r="AJ42" s="1238">
        <f>+AJ43-AJ41</f>
        <v>0</v>
      </c>
      <c r="AK42" s="1239">
        <f>+AK43-AK41</f>
        <v>0</v>
      </c>
      <c r="AL42" s="1233"/>
      <c r="AM42" s="1236">
        <f>+AM43-AM41</f>
        <v>0</v>
      </c>
      <c r="AN42" s="1237">
        <f>+AN43-AN41</f>
        <v>0</v>
      </c>
      <c r="AO42" s="1237">
        <f>+AO43-AO41</f>
        <v>0</v>
      </c>
      <c r="AP42" s="1238">
        <f>+AP43-AP41</f>
        <v>0</v>
      </c>
      <c r="AQ42" s="1239">
        <f>+AQ43-AQ41</f>
        <v>0</v>
      </c>
      <c r="AR42" s="1233"/>
      <c r="AS42" s="1236">
        <f>+AS43-AS41</f>
        <v>0</v>
      </c>
      <c r="AT42" s="1237">
        <f>+AT43-AT41</f>
        <v>0</v>
      </c>
      <c r="AU42" s="1237">
        <f>+AU43-AU41</f>
        <v>0</v>
      </c>
      <c r="AV42" s="1238">
        <f>+AV43-AV41</f>
        <v>0</v>
      </c>
      <c r="AW42" s="1239">
        <f>+AW43-AW41</f>
        <v>0</v>
      </c>
      <c r="AX42" s="1233"/>
      <c r="AY42" s="1236">
        <f>+AY43-AY41</f>
        <v>0</v>
      </c>
      <c r="AZ42" s="1237">
        <f>+AZ43-AZ41</f>
        <v>0</v>
      </c>
      <c r="BA42" s="1237">
        <f>+BA43-BA41</f>
        <v>0</v>
      </c>
      <c r="BB42" s="1238">
        <f>+BB43-BB41</f>
        <v>0</v>
      </c>
      <c r="BC42" s="1239">
        <f>+BC43-BC41</f>
        <v>0</v>
      </c>
      <c r="BD42" s="1233"/>
      <c r="BE42" s="1236">
        <f>+BE43-BE41</f>
        <v>0</v>
      </c>
      <c r="BF42" s="1237">
        <f>+BF43-BF41</f>
        <v>0</v>
      </c>
      <c r="BG42" s="1237">
        <f>+BG43-BG41</f>
        <v>0</v>
      </c>
      <c r="BH42" s="1238">
        <f>+BH43-BH41</f>
        <v>0</v>
      </c>
      <c r="BI42" s="1239">
        <f>+BI43-BI41</f>
        <v>0</v>
      </c>
      <c r="BJ42" s="1232"/>
      <c r="BK42" s="1236">
        <f>+BK43-BK41</f>
        <v>0</v>
      </c>
      <c r="BL42" s="1237">
        <f>+BL43-BL41</f>
        <v>0</v>
      </c>
      <c r="BM42" s="1237">
        <f>+BM43-BM41</f>
        <v>0</v>
      </c>
      <c r="BN42" s="1238">
        <f>+BN43-BN41</f>
        <v>0</v>
      </c>
      <c r="BO42" s="1239">
        <f>+BO43-BO41</f>
        <v>0</v>
      </c>
      <c r="BP42" s="1233"/>
      <c r="BQ42" s="1236">
        <f>+BQ43-BQ41</f>
        <v>0</v>
      </c>
      <c r="BR42" s="1237">
        <f>+BR43-BR41</f>
        <v>0</v>
      </c>
      <c r="BS42" s="1237">
        <f>+BS43-BS41</f>
        <v>0</v>
      </c>
      <c r="BT42" s="1238">
        <f>+BT43-BT41</f>
        <v>0</v>
      </c>
      <c r="BU42" s="1239">
        <f>+BU43-BU41</f>
        <v>0</v>
      </c>
      <c r="BV42" s="1233"/>
      <c r="BW42" s="1236">
        <f>+BW43-BW41</f>
        <v>0</v>
      </c>
      <c r="BX42" s="1237">
        <f>+BX43-BX41</f>
        <v>0</v>
      </c>
      <c r="BY42" s="1237">
        <f>+BY43-BY41</f>
        <v>0</v>
      </c>
      <c r="BZ42" s="1238">
        <f>+BZ43-BZ41</f>
        <v>0</v>
      </c>
      <c r="CA42" s="1239">
        <f>+CA43-CA41</f>
        <v>0</v>
      </c>
      <c r="CB42" s="1233"/>
      <c r="CC42" s="1236">
        <f>+CC43-CC41</f>
        <v>0</v>
      </c>
      <c r="CD42" s="1237">
        <f>+CD43-CD41</f>
        <v>0</v>
      </c>
      <c r="CE42" s="1237">
        <f>+CE43-CE41</f>
        <v>0</v>
      </c>
      <c r="CF42" s="1238">
        <f>+CF43-CF41</f>
        <v>0</v>
      </c>
      <c r="CG42" s="1239">
        <f>+CG43-CG41</f>
        <v>0</v>
      </c>
      <c r="CH42" s="1233"/>
      <c r="CI42" s="1236">
        <f>+CI43-CI41</f>
        <v>0</v>
      </c>
      <c r="CJ42" s="1237">
        <f>+CJ43-CJ41</f>
        <v>0</v>
      </c>
      <c r="CK42" s="1237">
        <f>+CK43-CK41</f>
        <v>0</v>
      </c>
      <c r="CL42" s="1238">
        <f>+CL43-CL41</f>
        <v>0</v>
      </c>
      <c r="CM42" s="1239">
        <f>+CM43-CM41</f>
        <v>0</v>
      </c>
      <c r="CN42" s="1233"/>
      <c r="CO42" s="1236">
        <f>+CO43-CO41</f>
        <v>0</v>
      </c>
      <c r="CP42" s="1237">
        <f>+CP43-CP41</f>
        <v>0</v>
      </c>
      <c r="CQ42" s="1237">
        <f>+CQ43-CQ41</f>
        <v>0</v>
      </c>
      <c r="CR42" s="1238">
        <f>+CR43-CR41</f>
        <v>0</v>
      </c>
      <c r="CS42" s="1239">
        <f>+CS43-CS41</f>
        <v>0</v>
      </c>
      <c r="CT42" s="1233"/>
      <c r="CU42" s="1236">
        <f>+CU43-CU41</f>
        <v>0</v>
      </c>
      <c r="CV42" s="1237">
        <f>+CV43-CV41</f>
        <v>0</v>
      </c>
      <c r="CW42" s="1237">
        <f>+CW43-CW41</f>
        <v>0</v>
      </c>
      <c r="CX42" s="1238">
        <f>+CX43-CX41</f>
        <v>0</v>
      </c>
      <c r="CY42" s="1239">
        <f>+CY43-CY41</f>
        <v>0</v>
      </c>
      <c r="CZ42" s="48"/>
      <c r="DD42" s="48"/>
      <c r="DE42" s="48"/>
      <c r="DF42" s="48"/>
      <c r="DG42" s="48"/>
      <c r="DH42" s="48"/>
      <c r="DI42" s="48"/>
      <c r="DJ42" s="48"/>
      <c r="DK42" s="48"/>
    </row>
    <row r="43" spans="1:115" x14ac:dyDescent="0.2">
      <c r="A43" s="1240" t="s">
        <v>439</v>
      </c>
      <c r="B43" s="1241"/>
      <c r="C43" s="1193"/>
      <c r="D43" s="1193"/>
      <c r="E43" s="1193"/>
      <c r="F43" s="1193"/>
      <c r="G43" s="1195"/>
      <c r="H43" s="1193"/>
      <c r="I43" s="1194"/>
      <c r="J43" s="1193"/>
      <c r="K43" s="1193"/>
      <c r="L43" s="1193"/>
      <c r="M43" s="1195"/>
      <c r="N43" s="1193"/>
      <c r="O43" s="1194"/>
      <c r="P43" s="1193"/>
      <c r="Q43" s="1193"/>
      <c r="R43" s="1193"/>
      <c r="S43" s="1194"/>
      <c r="T43" s="1195"/>
      <c r="U43" s="1194"/>
      <c r="V43" s="1193"/>
      <c r="W43" s="1193"/>
      <c r="X43" s="1193"/>
      <c r="Y43" s="1194"/>
      <c r="Z43" s="1242"/>
      <c r="AA43" s="1251">
        <f>RevBuild!AA9*0.6</f>
        <v>60.037469662921339</v>
      </c>
      <c r="AB43" s="1252">
        <f>RevBuild!AB9*0.5</f>
        <v>50.35089737827716</v>
      </c>
      <c r="AC43" s="1252">
        <v>49</v>
      </c>
      <c r="AD43" s="1253">
        <v>52.5</v>
      </c>
      <c r="AE43" s="1246">
        <f>SUM(AA43:AD43)</f>
        <v>211.88836704119851</v>
      </c>
      <c r="AF43" s="1193"/>
      <c r="AG43" s="1251">
        <f>0.25*RevBuild!AG29</f>
        <v>55.233249999999998</v>
      </c>
      <c r="AH43" s="1252">
        <f>0.25*RevBuild!AH29</f>
        <v>60.038999999999994</v>
      </c>
      <c r="AI43" s="1252">
        <f>0.25*RevBuild!AI29</f>
        <v>64.914749999999998</v>
      </c>
      <c r="AJ43" s="1253">
        <f>0.25*RevBuild!AJ29</f>
        <v>72.269250000000028</v>
      </c>
      <c r="AK43" s="1246">
        <f>SUM(AG43:AJ43)</f>
        <v>252.45625000000001</v>
      </c>
      <c r="AL43" s="1193"/>
      <c r="AM43" s="1251">
        <f>0.25*RevBuild!AM29</f>
        <v>66.090999999999994</v>
      </c>
      <c r="AN43" s="1252">
        <f>0.25*RevBuild!AN29</f>
        <v>65.679500000000004</v>
      </c>
      <c r="AO43" s="1252">
        <f>0.22*RevBuild!AO29</f>
        <v>60.349740000000004</v>
      </c>
      <c r="AP43" s="1253">
        <f>0.2*RevBuild!AP29</f>
        <v>57.206400000000009</v>
      </c>
      <c r="AQ43" s="1246">
        <f>SUM(AM43:AP43)</f>
        <v>249.32664</v>
      </c>
      <c r="AR43" s="1193"/>
      <c r="AS43" s="1251">
        <f>AY43/(AY45-0.01+1)</f>
        <v>53.894909090909096</v>
      </c>
      <c r="AT43" s="1252">
        <f>AZ43/(AZ45-0.05+1)</f>
        <v>62.923144578313256</v>
      </c>
      <c r="AU43" s="1252">
        <f>BA43/(BA45+-0.05+1)</f>
        <v>50.714833333333338</v>
      </c>
      <c r="AV43" s="1253">
        <f>BB43/(BB45+0+1)</f>
        <v>54.938810126582304</v>
      </c>
      <c r="AW43" s="1246">
        <f>SUM(AS43:AV43)</f>
        <v>222.47169712913799</v>
      </c>
      <c r="AX43" s="1193"/>
      <c r="AY43" s="1251">
        <f>+RevBuild!AY29*0.18</f>
        <v>53.355960000000003</v>
      </c>
      <c r="AZ43" s="1252">
        <f>0.17*RevBuild!AZ29</f>
        <v>52.226210000000009</v>
      </c>
      <c r="BA43" s="1252">
        <f>0.17*RevBuild!BA29</f>
        <v>51.729130000000005</v>
      </c>
      <c r="BB43" s="1245">
        <f>+BC43-SUM(AY43:BA43)</f>
        <v>43.401660000000021</v>
      </c>
      <c r="BC43" s="1254">
        <f>+RevBuild!BC29*0.16</f>
        <v>200.71296000000004</v>
      </c>
      <c r="BD43" s="1193"/>
      <c r="BE43" s="1251">
        <f>0.17*RevBuild!BE29</f>
        <v>51.607920000000007</v>
      </c>
      <c r="BF43" s="1252">
        <f>0.14*RevBuild!BF29</f>
        <v>44.29768</v>
      </c>
      <c r="BG43" s="1252">
        <f>0.167*RevBuild!BG29</f>
        <v>54.076436999999999</v>
      </c>
      <c r="BH43" s="1245">
        <f>+BI43-SUM(BE43:BG43)</f>
        <v>55.120251000000025</v>
      </c>
      <c r="BI43" s="1254">
        <f>+RevBuild!BI29*0.157</f>
        <v>205.10228800000002</v>
      </c>
      <c r="BJ43" s="1195"/>
      <c r="BK43" s="1251">
        <f>0.122*RevBuild!BK29</f>
        <v>38.719505999999996</v>
      </c>
      <c r="BL43" s="1244">
        <f>+BL34+BL38</f>
        <v>33.310619049266023</v>
      </c>
      <c r="BM43" s="1244">
        <f>+BM34+BM38</f>
        <v>38.753305035294119</v>
      </c>
      <c r="BN43" s="1245">
        <f>+BN34+BN38</f>
        <v>41.032900792134257</v>
      </c>
      <c r="BO43" s="1246">
        <f>+BO34+BO38</f>
        <v>151.81633087669439</v>
      </c>
      <c r="BP43" s="1193"/>
      <c r="BQ43" s="1243">
        <f>+BQ34+BQ38</f>
        <v>29.679938603402146</v>
      </c>
      <c r="BR43" s="1244">
        <f>+BR34+BR38</f>
        <v>25.976353365234811</v>
      </c>
      <c r="BS43" s="1244">
        <f>+BS34+BS38</f>
        <v>25.355573924963608</v>
      </c>
      <c r="BT43" s="1245">
        <f>+BT34+BT38</f>
        <v>29.022987107186925</v>
      </c>
      <c r="BU43" s="1246">
        <f>SUM(BQ43:BT43)</f>
        <v>110.03485300078749</v>
      </c>
      <c r="BV43" s="1193"/>
      <c r="BW43" s="1243">
        <f>+BW34+BW38</f>
        <v>18.065032351582317</v>
      </c>
      <c r="BX43" s="1244">
        <f>+BX34+BX38</f>
        <v>21.237211880062674</v>
      </c>
      <c r="BY43" s="1244">
        <f>+BY34+BY38</f>
        <v>21.708817958722012</v>
      </c>
      <c r="BZ43" s="1245">
        <f>+BZ34+BZ38</f>
        <v>27.083636045653336</v>
      </c>
      <c r="CA43" s="1246">
        <f>SUM(BW43:BZ43)</f>
        <v>88.094698236020335</v>
      </c>
      <c r="CB43" s="1193"/>
      <c r="CC43" s="1243">
        <f>+CC34+CC38</f>
        <v>12.091509210217648</v>
      </c>
      <c r="CD43" s="1244">
        <f>+CD34+CD38</f>
        <v>17.230566134417593</v>
      </c>
      <c r="CE43" s="1244">
        <f>+CE34+CE38</f>
        <v>20.728139101602455</v>
      </c>
      <c r="CF43" s="1245">
        <f>+CF34+CF38</f>
        <v>22.454805760134551</v>
      </c>
      <c r="CG43" s="1246">
        <f>SUM(CC43:CF43)</f>
        <v>72.505020206372251</v>
      </c>
      <c r="CH43" s="1193"/>
      <c r="CI43" s="1243">
        <f>+CI34+CI38</f>
        <v>11.056326761527888</v>
      </c>
      <c r="CJ43" s="1244">
        <f>+CJ34+CJ38</f>
        <v>12.463018178786719</v>
      </c>
      <c r="CK43" s="1244">
        <f>+CK34+CK38</f>
        <v>14.963886336353713</v>
      </c>
      <c r="CL43" s="1245">
        <f>+CL34+CL38</f>
        <v>15.221219944552008</v>
      </c>
      <c r="CM43" s="1246">
        <f>SUM(CI43:CL43)</f>
        <v>53.704451221220324</v>
      </c>
      <c r="CN43" s="1193"/>
      <c r="CO43" s="1243">
        <f>+CO34+CO38</f>
        <v>9.6022455296699629</v>
      </c>
      <c r="CP43" s="1244">
        <f>+CP34+CP38</f>
        <v>10.784025712237694</v>
      </c>
      <c r="CQ43" s="1244">
        <f>+CQ34+CQ38</f>
        <v>12.906275872866633</v>
      </c>
      <c r="CR43" s="1245">
        <f>+CR34+CR38</f>
        <v>13.10560229375402</v>
      </c>
      <c r="CS43" s="1246">
        <f>SUM(CO43:CR43)</f>
        <v>46.398149408528312</v>
      </c>
      <c r="CT43" s="1193"/>
      <c r="CU43" s="1243">
        <f>+CU34+CU38</f>
        <v>8.345839704353601</v>
      </c>
      <c r="CV43" s="1244">
        <f>+CV34+CV38</f>
        <v>9.3378360896441244</v>
      </c>
      <c r="CW43" s="1244">
        <f>+CW34+CW38</f>
        <v>11.138609730206019</v>
      </c>
      <c r="CX43" s="1245">
        <f>+CX34+CX38</f>
        <v>11.290570756487247</v>
      </c>
      <c r="CY43" s="1246">
        <f>SUM(CU43:CX43)</f>
        <v>40.112856280690991</v>
      </c>
      <c r="CZ43" s="48"/>
      <c r="DD43" s="48"/>
      <c r="DE43" s="48"/>
      <c r="DF43" s="48"/>
      <c r="DG43" s="48"/>
      <c r="DH43" s="48"/>
      <c r="DI43" s="48"/>
      <c r="DJ43" s="48"/>
      <c r="DK43" s="48"/>
    </row>
    <row r="44" spans="1:115" s="5" customFormat="1" x14ac:dyDescent="0.2">
      <c r="A44" s="205" t="s">
        <v>639</v>
      </c>
      <c r="B44" s="58"/>
      <c r="C44" s="556"/>
      <c r="D44" s="556"/>
      <c r="E44" s="556"/>
      <c r="F44" s="556"/>
      <c r="G44" s="629"/>
      <c r="H44" s="557"/>
      <c r="I44" s="677"/>
      <c r="J44" s="556"/>
      <c r="K44" s="556"/>
      <c r="L44" s="556"/>
      <c r="M44" s="629"/>
      <c r="N44" s="557"/>
      <c r="O44" s="677"/>
      <c r="P44" s="556"/>
      <c r="Q44" s="556"/>
      <c r="R44" s="556"/>
      <c r="S44" s="629"/>
      <c r="T44" s="556"/>
      <c r="U44" s="677"/>
      <c r="V44" s="556"/>
      <c r="W44" s="556"/>
      <c r="X44" s="556"/>
      <c r="Y44" s="629"/>
      <c r="Z44" s="578"/>
      <c r="AA44" s="565"/>
      <c r="AB44" s="566"/>
      <c r="AC44" s="566"/>
      <c r="AD44" s="588"/>
      <c r="AE44" s="707"/>
      <c r="AF44" s="557"/>
      <c r="AG44" s="586">
        <f>AG43/AA43-1</f>
        <v>-8.0020355452927849E-2</v>
      </c>
      <c r="AH44" s="587">
        <f>AH43/AB43-1</f>
        <v>0.1924117170929025</v>
      </c>
      <c r="AI44" s="587">
        <f>AI43/AC43-1</f>
        <v>0.32479081632653051</v>
      </c>
      <c r="AJ44" s="1111">
        <f>AJ43/AD43-1</f>
        <v>0.37655714285714348</v>
      </c>
      <c r="AK44" s="707">
        <f>AK43/AE43-1</f>
        <v>0.19145875502883869</v>
      </c>
      <c r="AL44" s="614"/>
      <c r="AM44" s="1112">
        <f>AM43/AG43-1</f>
        <v>0.19657995862999189</v>
      </c>
      <c r="AN44" s="1104">
        <f>AN43/AH43-1</f>
        <v>9.3947267609387319E-2</v>
      </c>
      <c r="AO44" s="1104">
        <f>AO43/AI43-1</f>
        <v>-7.0323154598916138E-2</v>
      </c>
      <c r="AP44" s="1104">
        <f>AP43/AJ43-1</f>
        <v>-0.20842682053570516</v>
      </c>
      <c r="AQ44" s="707">
        <f>AQ43/AK43-1</f>
        <v>-1.239664298269505E-2</v>
      </c>
      <c r="AR44" s="585"/>
      <c r="AS44" s="586">
        <f>AS43/AM43-1</f>
        <v>-0.18453482182280345</v>
      </c>
      <c r="AT44" s="587">
        <f>AT43/AN43-1</f>
        <v>-4.1966754035684617E-2</v>
      </c>
      <c r="AU44" s="587">
        <f>AU43/AO43-1</f>
        <v>-0.15965117110142757</v>
      </c>
      <c r="AV44" s="587">
        <f>AV43/AP43-1</f>
        <v>-3.9638744500924861E-2</v>
      </c>
      <c r="AW44" s="707">
        <f>AW43/AQ43-1</f>
        <v>-0.10770988158690942</v>
      </c>
      <c r="AX44" s="587"/>
      <c r="AY44" s="586">
        <f>AY43/AS43-1</f>
        <v>-1.0000000000000009E-2</v>
      </c>
      <c r="AZ44" s="587">
        <f>AZ43/AT43-1</f>
        <v>-0.16999999999999993</v>
      </c>
      <c r="BA44" s="587">
        <f>BA43/AU43-1</f>
        <v>2.0000000000000018E-2</v>
      </c>
      <c r="BB44" s="587">
        <f>BB43/AV43-1</f>
        <v>-0.20999999999999996</v>
      </c>
      <c r="BC44" s="707">
        <f>BC43/AW43-1</f>
        <v>-9.7804518102397875E-2</v>
      </c>
      <c r="BD44" s="585"/>
      <c r="BE44" s="586">
        <f>BE43/AY43-1</f>
        <v>-3.2761850784804425E-2</v>
      </c>
      <c r="BF44" s="587">
        <f>BF43/AZ43-1</f>
        <v>-0.15181132232264238</v>
      </c>
      <c r="BG44" s="587">
        <f>BG43/BA43-1</f>
        <v>4.5376889191834247E-2</v>
      </c>
      <c r="BH44" s="587">
        <f>BH43/BB43-1</f>
        <v>0.27000329019673441</v>
      </c>
      <c r="BI44" s="707">
        <f>BI43/BC43-1</f>
        <v>2.186868252055052E-2</v>
      </c>
      <c r="BJ44" s="966"/>
      <c r="BK44" s="586">
        <f>BK43/BE43-1</f>
        <v>-0.24973713337022707</v>
      </c>
      <c r="BL44" s="587">
        <f>BL43/BF43-1</f>
        <v>-0.2480279091531199</v>
      </c>
      <c r="BM44" s="587">
        <f>+BM43/BG43-1</f>
        <v>-0.28336060611215719</v>
      </c>
      <c r="BN44" s="587">
        <f>+BN43/BH43-1</f>
        <v>-0.25557485592483531</v>
      </c>
      <c r="BO44" s="707">
        <f>BO43/BI43-1</f>
        <v>-0.25980186590266419</v>
      </c>
      <c r="BP44" s="585"/>
      <c r="BQ44" s="586">
        <f>+BQ43/BK43-1</f>
        <v>-0.23346288035280849</v>
      </c>
      <c r="BR44" s="587">
        <f>+BR43/BL43-1</f>
        <v>-0.22017800609421034</v>
      </c>
      <c r="BS44" s="587">
        <f>+BS43/BM43-1</f>
        <v>-0.34571841287159077</v>
      </c>
      <c r="BT44" s="587">
        <f>+BT43/BN43-1</f>
        <v>-0.29268985260845992</v>
      </c>
      <c r="BU44" s="707">
        <f>BU43/BO43-1</f>
        <v>-0.27521069462442693</v>
      </c>
      <c r="BV44" s="585"/>
      <c r="BW44" s="586">
        <f>+BW43/BQ43-1</f>
        <v>-0.39133862124931884</v>
      </c>
      <c r="BX44" s="587">
        <f>+BX43/BR43-1</f>
        <v>-0.1824405996691868</v>
      </c>
      <c r="BY44" s="587">
        <f>+BY43/BS43-1</f>
        <v>-0.14382462716220412</v>
      </c>
      <c r="BZ44" s="587">
        <f>+BZ43/BT43-1</f>
        <v>-6.6821208112425867E-2</v>
      </c>
      <c r="CA44" s="707">
        <f>CA43/BU43-1</f>
        <v>-0.19939277571089353</v>
      </c>
      <c r="CB44" s="585"/>
      <c r="CC44" s="586">
        <f>+CC43/BW43-1</f>
        <v>-0.33066772453587379</v>
      </c>
      <c r="CD44" s="587">
        <f>+CD43/BX43-1</f>
        <v>-0.18866157046756626</v>
      </c>
      <c r="CE44" s="587">
        <f>+CE43/BY43-1</f>
        <v>-4.5174217176829123E-2</v>
      </c>
      <c r="CF44" s="587">
        <f>+CF43/BZ43-1</f>
        <v>-0.17090874643700826</v>
      </c>
      <c r="CG44" s="707">
        <f>CG43/CA43-1</f>
        <v>-0.17696499723378067</v>
      </c>
      <c r="CH44" s="585"/>
      <c r="CI44" s="586">
        <f>+CI43/CC43-1</f>
        <v>-8.5612344223746972E-2</v>
      </c>
      <c r="CJ44" s="587">
        <f>+CJ43/CD43-1</f>
        <v>-0.27669131231317035</v>
      </c>
      <c r="CK44" s="587">
        <f>+CK43/CE43-1</f>
        <v>-0.27808829036674676</v>
      </c>
      <c r="CL44" s="587">
        <f>+CL43/CF43-1</f>
        <v>-0.32213976343651074</v>
      </c>
      <c r="CM44" s="707">
        <f>CM43/CG43-1</f>
        <v>-0.25930023785442102</v>
      </c>
      <c r="CN44" s="585"/>
      <c r="CO44" s="586">
        <f>+CO43/CI43-1</f>
        <v>-0.13151576135734466</v>
      </c>
      <c r="CP44" s="587">
        <f>+CP43/CJ43-1</f>
        <v>-0.13471796658427682</v>
      </c>
      <c r="CQ44" s="587">
        <f>+CQ43/CK43-1</f>
        <v>-0.13750508505856929</v>
      </c>
      <c r="CR44" s="587">
        <f>+CR43/CL43-1</f>
        <v>-0.13899133305377487</v>
      </c>
      <c r="CS44" s="707">
        <f>CS43/CM43-1</f>
        <v>-0.1360464849104549</v>
      </c>
      <c r="CT44" s="585"/>
      <c r="CU44" s="586">
        <f>+CU43/CO43-1</f>
        <v>-0.13084500093589524</v>
      </c>
      <c r="CV44" s="587">
        <f>+CV43/CP43-1</f>
        <v>-0.13410480104405131</v>
      </c>
      <c r="CW44" s="587">
        <f>+CW43/CQ43-1</f>
        <v>-0.13696175101733632</v>
      </c>
      <c r="CX44" s="587">
        <f>+CX43/CR43-1</f>
        <v>-0.13849279846770535</v>
      </c>
      <c r="CY44" s="707">
        <f>CY43/CS43-1</f>
        <v>-0.13546430639929874</v>
      </c>
      <c r="CZ44" s="48"/>
      <c r="DA44"/>
      <c r="DB44"/>
      <c r="DC44"/>
      <c r="DD44" s="48"/>
      <c r="DE44" s="48"/>
      <c r="DF44" s="48"/>
      <c r="DG44" s="48"/>
      <c r="DH44" s="48"/>
      <c r="DI44" s="48"/>
      <c r="DJ44" s="48"/>
      <c r="DK44" s="48"/>
    </row>
    <row r="45" spans="1:115" s="5" customFormat="1" x14ac:dyDescent="0.2">
      <c r="A45" s="205" t="s">
        <v>227</v>
      </c>
      <c r="B45" s="58"/>
      <c r="C45" s="556"/>
      <c r="D45" s="556"/>
      <c r="E45" s="556"/>
      <c r="F45" s="556"/>
      <c r="G45" s="629"/>
      <c r="H45" s="557"/>
      <c r="I45" s="677"/>
      <c r="J45" s="556"/>
      <c r="K45" s="556"/>
      <c r="L45" s="556"/>
      <c r="M45" s="629"/>
      <c r="N45" s="557"/>
      <c r="O45" s="677"/>
      <c r="P45" s="556"/>
      <c r="Q45" s="556"/>
      <c r="R45" s="556"/>
      <c r="S45" s="629"/>
      <c r="T45" s="556"/>
      <c r="U45" s="677"/>
      <c r="V45" s="556"/>
      <c r="W45" s="556"/>
      <c r="X45" s="556"/>
      <c r="Y45" s="629"/>
      <c r="Z45" s="578"/>
      <c r="AA45" s="565"/>
      <c r="AB45" s="566"/>
      <c r="AC45" s="566"/>
      <c r="AD45" s="588"/>
      <c r="AE45" s="584"/>
      <c r="AF45" s="557"/>
      <c r="AG45" s="565"/>
      <c r="AH45" s="566"/>
      <c r="AI45" s="566"/>
      <c r="AJ45" s="588"/>
      <c r="AK45" s="1228"/>
      <c r="AL45" s="557"/>
      <c r="AM45" s="694"/>
      <c r="AN45" s="583"/>
      <c r="AO45" s="583"/>
      <c r="AP45" s="583"/>
      <c r="AQ45" s="1228">
        <f>+AQ44-AVERAGE(RevBuild!AQ$47,RevBuild!AQ$34)</f>
        <v>-2.1619646118423652E-2</v>
      </c>
      <c r="AR45" s="585"/>
      <c r="AS45" s="565"/>
      <c r="AT45" s="566"/>
      <c r="AU45" s="566"/>
      <c r="AV45" s="566"/>
      <c r="AW45" s="1228">
        <f>+AW44-AVERAGE(RevBuild!AW$47,RevBuild!AW$34)</f>
        <v>-0.10450317544114988</v>
      </c>
      <c r="AX45" s="585"/>
      <c r="AY45" s="909">
        <v>0</v>
      </c>
      <c r="AZ45" s="910">
        <v>-0.12</v>
      </c>
      <c r="BA45" s="910">
        <v>7.0000000000000007E-2</v>
      </c>
      <c r="BB45" s="910">
        <v>-0.21</v>
      </c>
      <c r="BC45" s="1106">
        <v>-0.08</v>
      </c>
      <c r="BD45" s="585"/>
      <c r="BE45" s="909">
        <v>-0.02</v>
      </c>
      <c r="BF45" s="910">
        <v>-0.17</v>
      </c>
      <c r="BG45" s="910">
        <v>0.03</v>
      </c>
      <c r="BH45" s="910">
        <v>-0.23</v>
      </c>
      <c r="BI45" s="1228">
        <f>+BI44-AVERAGE(RevBuild!BI$47,RevBuild!BI$34)</f>
        <v>3.0863532412410202E-2</v>
      </c>
      <c r="BJ45" s="966"/>
      <c r="BK45" s="910">
        <v>-0.23</v>
      </c>
      <c r="BL45" s="587">
        <f>-(RevBuild!BF29*0.03)/BF43</f>
        <v>-0.21428571428571427</v>
      </c>
      <c r="BM45" s="1110">
        <f>+BM44-AVERAGE(RevBuild!BM$47,RevBuild!BM$34)</f>
        <v>-0.28353660141709219</v>
      </c>
      <c r="BN45" s="1110">
        <f>+BN44-AVERAGE(RevBuild!BN$47,RevBuild!BN$34)</f>
        <v>-0.23067945208849347</v>
      </c>
      <c r="BO45" s="1228">
        <f>+BO44-AVERAGE(RevBuild!BO$47,RevBuild!BO$34)</f>
        <v>-0.26033039378633799</v>
      </c>
      <c r="BP45" s="585"/>
      <c r="BQ45" s="1109">
        <f>+BQ44-AVERAGE(RevBuild!BQ$47,RevBuild!BQ$34)</f>
        <v>-0.17488335207423217</v>
      </c>
      <c r="BR45" s="1110">
        <f>+BR44-AVERAGE(RevBuild!BR$47,RevBuild!BR$34)</f>
        <v>-0.15053592285314082</v>
      </c>
      <c r="BS45" s="1110">
        <f>+BS44-AVERAGE(RevBuild!BS$47,RevBuild!BS$34)</f>
        <v>-0.26244379958257685</v>
      </c>
      <c r="BT45" s="1110">
        <f>+BT44-AVERAGE(RevBuild!BT$47,RevBuild!BT$34)</f>
        <v>-0.23646336837083418</v>
      </c>
      <c r="BU45" s="1228">
        <f>+BU44-AVERAGE(RevBuild!BU$47,RevBuild!BU$34)</f>
        <v>-0.20829654524105765</v>
      </c>
      <c r="BV45" s="585"/>
      <c r="BW45" s="1109">
        <f>+BW44-AVERAGE(RevBuild!BW$47,RevBuild!BW$34)</f>
        <v>-0.37013770001301449</v>
      </c>
      <c r="BX45" s="1110">
        <f>+BX44-AVERAGE(RevBuild!BX$47,RevBuild!BX$34)</f>
        <v>-0.17196788824157277</v>
      </c>
      <c r="BY45" s="1110">
        <f>+BY44-AVERAGE(RevBuild!BY$47,RevBuild!BY$34)</f>
        <v>-0.14650227756309661</v>
      </c>
      <c r="BZ45" s="1110">
        <f>+BZ44-AVERAGE(RevBuild!BZ$47,RevBuild!BZ$34)</f>
        <v>-2.1569608114275066E-2</v>
      </c>
      <c r="CA45" s="1228">
        <f>+CA44-AVERAGE(RevBuild!CA$47,RevBuild!CA$34)</f>
        <v>-0.18042877288698694</v>
      </c>
      <c r="CB45" s="585"/>
      <c r="CC45" s="1109">
        <f>+CC44-AVERAGE(RevBuild!CC$47,RevBuild!CC$34)</f>
        <v>-0.27864669690865834</v>
      </c>
      <c r="CD45" s="1110">
        <f>+CD44-AVERAGE(RevBuild!CD$47,RevBuild!CD$34)</f>
        <v>-0.13817572111575166</v>
      </c>
      <c r="CE45" s="1110">
        <f>+CE44-AVERAGE(RevBuild!CE$47,RevBuild!CE$34)</f>
        <v>-1.3980777845296673E-2</v>
      </c>
      <c r="CF45" s="1110">
        <f>+CF44-AVERAGE(RevBuild!CF$47,RevBuild!CF$34)</f>
        <v>-0.18024295194928847</v>
      </c>
      <c r="CG45" s="1228">
        <f>+CG44-AVERAGE(RevBuild!CG$47,RevBuild!CG$34)</f>
        <v>-0.14670221283679602</v>
      </c>
      <c r="CH45" s="585"/>
      <c r="CI45" s="1109">
        <f>+CI44-AVERAGE(RevBuild!CI$47,RevBuild!CI$34)</f>
        <v>-0.13561234422374696</v>
      </c>
      <c r="CJ45" s="1110">
        <f>+CJ44-AVERAGE(RevBuild!CJ$47,RevBuild!CJ$34)</f>
        <v>-0.32169131231317033</v>
      </c>
      <c r="CK45" s="1110">
        <f>+CK44-AVERAGE(RevBuild!CK$47,RevBuild!CK$34)</f>
        <v>-0.30308829036674678</v>
      </c>
      <c r="CL45" s="1110">
        <f>+CL44-AVERAGE(RevBuild!CL$47,RevBuild!CL$34)</f>
        <v>-0.34213976343651076</v>
      </c>
      <c r="CM45" s="1228">
        <f>+CM44-AVERAGE(RevBuild!CM$47,RevBuild!CM$34)</f>
        <v>-0.29344098308762351</v>
      </c>
      <c r="CN45" s="585"/>
      <c r="CO45" s="1109">
        <f>+CO44-AVERAGE(RevBuild!CO$47,RevBuild!CO$34)</f>
        <v>-0.13151576135734466</v>
      </c>
      <c r="CP45" s="1110">
        <f>+CP44-AVERAGE(RevBuild!CP$47,RevBuild!CP$34)</f>
        <v>-0.13471796658427682</v>
      </c>
      <c r="CQ45" s="1110">
        <f>+CQ44-AVERAGE(RevBuild!CQ$47,RevBuild!CQ$34)</f>
        <v>-0.13750508505856929</v>
      </c>
      <c r="CR45" s="1110">
        <f>+CR44-AVERAGE(RevBuild!CR$47,RevBuild!CR$34)</f>
        <v>-0.13899133305377487</v>
      </c>
      <c r="CS45" s="1228">
        <f>+CS44-AVERAGE(RevBuild!CS$47,RevBuild!CS$34)</f>
        <v>-0.13604648491045493</v>
      </c>
      <c r="CT45" s="585"/>
      <c r="CU45" s="1109">
        <f>+CU44-AVERAGE(RevBuild!CU$47,RevBuild!CU$34)</f>
        <v>-0.13084500093589524</v>
      </c>
      <c r="CV45" s="1110">
        <f>+CV44-AVERAGE(RevBuild!CV$47,RevBuild!CV$34)</f>
        <v>-0.13410480104405131</v>
      </c>
      <c r="CW45" s="1110">
        <f>+CW44-AVERAGE(RevBuild!CW$47,RevBuild!CW$34)</f>
        <v>-0.13696175101733632</v>
      </c>
      <c r="CX45" s="1110">
        <f>+CX44-AVERAGE(RevBuild!CX$47,RevBuild!CX$34)</f>
        <v>-0.13849279846770535</v>
      </c>
      <c r="CY45" s="1228">
        <f>+CY44-AVERAGE(RevBuild!CY$47,RevBuild!CY$34)</f>
        <v>-0.13546430639929866</v>
      </c>
      <c r="CZ45" s="48"/>
      <c r="DA45"/>
      <c r="DB45"/>
      <c r="DC45"/>
      <c r="DD45" s="48"/>
      <c r="DE45" s="48"/>
      <c r="DF45" s="48"/>
      <c r="DG45" s="48"/>
      <c r="DH45" s="48"/>
      <c r="DI45" s="48"/>
      <c r="DJ45" s="48"/>
      <c r="DK45" s="48"/>
    </row>
    <row r="46" spans="1:115" x14ac:dyDescent="0.2">
      <c r="A46" s="1196" t="s">
        <v>425</v>
      </c>
      <c r="B46" s="1197"/>
      <c r="C46" s="1198"/>
      <c r="D46" s="1198"/>
      <c r="E46" s="1198"/>
      <c r="F46" s="1198"/>
      <c r="G46" s="1199"/>
      <c r="H46" s="1200"/>
      <c r="I46" s="1201"/>
      <c r="J46" s="1198"/>
      <c r="K46" s="1198"/>
      <c r="L46" s="1198"/>
      <c r="M46" s="1199"/>
      <c r="N46" s="1200"/>
      <c r="O46" s="1201"/>
      <c r="P46" s="1198"/>
      <c r="Q46" s="1198"/>
      <c r="R46" s="1198"/>
      <c r="S46" s="1199"/>
      <c r="T46" s="1198"/>
      <c r="U46" s="1201"/>
      <c r="V46" s="1198"/>
      <c r="W46" s="1198"/>
      <c r="X46" s="1198"/>
      <c r="Y46" s="1202"/>
      <c r="Z46" s="1203"/>
      <c r="AA46" s="1204"/>
      <c r="AB46" s="1205"/>
      <c r="AC46" s="1205"/>
      <c r="AD46" s="1206"/>
      <c r="AE46" s="1207"/>
      <c r="AF46" s="1200"/>
      <c r="AG46" s="1209">
        <f>AG43/AG$366</f>
        <v>0.25</v>
      </c>
      <c r="AH46" s="1210">
        <f>AH43/AH$366</f>
        <v>0.25</v>
      </c>
      <c r="AI46" s="1210">
        <f>AI43/AI$366</f>
        <v>0.25</v>
      </c>
      <c r="AJ46" s="1210">
        <f>AJ43/AJ$366</f>
        <v>0.25</v>
      </c>
      <c r="AK46" s="1208">
        <f>AK43/AK$366</f>
        <v>0.25</v>
      </c>
      <c r="AL46" s="1200"/>
      <c r="AM46" s="1209">
        <f>AM43/AM$366</f>
        <v>0.25</v>
      </c>
      <c r="AN46" s="1210">
        <f>AN43/AN$366</f>
        <v>0.25252525252525254</v>
      </c>
      <c r="AO46" s="1210">
        <f>AO43/AO$366</f>
        <v>0.22</v>
      </c>
      <c r="AP46" s="1210">
        <f>AP43/AP$366</f>
        <v>0.2</v>
      </c>
      <c r="AQ46" s="1208">
        <f>AQ43/AQ$366</f>
        <v>0.22983569508448079</v>
      </c>
      <c r="AR46" s="1200"/>
      <c r="AS46" s="1209">
        <f>AS43/AS$366</f>
        <v>0.20394266774226288</v>
      </c>
      <c r="AT46" s="1210">
        <f>AT43/AT$366</f>
        <v>0.22299175545247577</v>
      </c>
      <c r="AU46" s="1210">
        <f>AU43/AU$366</f>
        <v>0.17555370937685702</v>
      </c>
      <c r="AV46" s="1210">
        <f>AV43/AV$366</f>
        <v>0.16428087472813316</v>
      </c>
      <c r="AW46" s="1208">
        <f>AW43/AW$366</f>
        <v>0.19018787577923943</v>
      </c>
      <c r="AX46" s="1200"/>
      <c r="AY46" s="1209">
        <f>AY43/AY$366</f>
        <v>0.18</v>
      </c>
      <c r="AZ46" s="1210">
        <f>AZ43/AZ$366</f>
        <v>0.17</v>
      </c>
      <c r="BA46" s="1210">
        <f>BA43/BA$366</f>
        <v>0.17</v>
      </c>
      <c r="BB46" s="1210">
        <f>BB43/BB$366</f>
        <v>0.1252457493103091</v>
      </c>
      <c r="BC46" s="1208">
        <f>BC43/BC$366</f>
        <v>0.16000000000000003</v>
      </c>
      <c r="BD46" s="1200"/>
      <c r="BE46" s="1209">
        <f>BE43/BE$366</f>
        <v>0.17</v>
      </c>
      <c r="BF46" s="1210">
        <f>BF43/BF$366</f>
        <v>0.14000000000000001</v>
      </c>
      <c r="BG46" s="1210">
        <f>BG43/BG$366</f>
        <v>0.16700000000000001</v>
      </c>
      <c r="BH46" s="1210">
        <f>BH43/BH$366</f>
        <v>0.15202021870733767</v>
      </c>
      <c r="BI46" s="1208">
        <f>BI43/BI$366</f>
        <v>0.157</v>
      </c>
      <c r="BJ46" s="1200"/>
      <c r="BK46" s="1209">
        <f>BK43/BK$366</f>
        <v>0.12199999999999998</v>
      </c>
      <c r="BL46" s="1210">
        <f>BL43/BL$366</f>
        <v>0.10056430606866391</v>
      </c>
      <c r="BM46" s="1210">
        <f>BM43/BM$366</f>
        <v>0.11507794948670441</v>
      </c>
      <c r="BN46" s="1210">
        <f>BN43/BN$366</f>
        <v>0.11372440007797527</v>
      </c>
      <c r="BO46" s="1208">
        <f>BO43/BO$366</f>
        <v>0.11277590604853181</v>
      </c>
      <c r="BP46" s="1200"/>
      <c r="BQ46" s="1209">
        <f>BQ43/BQ$366</f>
        <v>9.9354058706727991E-2</v>
      </c>
      <c r="BR46" s="1210">
        <f>BR43/BR$366</f>
        <v>8.131433864205026E-2</v>
      </c>
      <c r="BS46" s="1210">
        <f>BS43/BS$366</f>
        <v>8.0606222401898547E-2</v>
      </c>
      <c r="BT46" s="1210">
        <f>BT43/BT$366</f>
        <v>8.3279733449603807E-2</v>
      </c>
      <c r="BU46" s="1208">
        <f>BU43/BU$366</f>
        <v>8.5881128995358824E-2</v>
      </c>
      <c r="BV46" s="1200"/>
      <c r="BW46" s="1209">
        <f>BW43/BW$366</f>
        <v>6.0543913450954376E-2</v>
      </c>
      <c r="BX46" s="1210">
        <f>BX43/BX$366</f>
        <v>6.3506129804141817E-2</v>
      </c>
      <c r="BY46" s="1210">
        <f>BY43/BY$366</f>
        <v>6.4097370591322353E-2</v>
      </c>
      <c r="BZ46" s="1210">
        <f>BZ43/BZ$366</f>
        <v>7.3895027613203657E-2</v>
      </c>
      <c r="CA46" s="1208">
        <f>CA43/CA$366</f>
        <v>6.5841024518117339E-2</v>
      </c>
      <c r="CB46" s="1200"/>
      <c r="CC46" s="1209">
        <f>CC43/CC$366</f>
        <v>3.9219182274161539E-2</v>
      </c>
      <c r="CD46" s="1210">
        <f>CD43/CD$366</f>
        <v>4.9285670538885468E-2</v>
      </c>
      <c r="CE46" s="1210">
        <f>CE43/CE$366</f>
        <v>5.6882928379809156E-2</v>
      </c>
      <c r="CF46" s="1210">
        <f>CF43/CF$366</f>
        <v>5.654512886794074E-2</v>
      </c>
      <c r="CG46" s="1208">
        <f>CG43/CG$366</f>
        <v>5.1080557413299227E-2</v>
      </c>
      <c r="CH46" s="1200"/>
      <c r="CI46" s="1209">
        <f>CI43/CI$366</f>
        <v>3.2309832585914057E-2</v>
      </c>
      <c r="CJ46" s="1210">
        <f>CJ43/CJ$366</f>
        <v>3.1955821562222986E-2</v>
      </c>
      <c r="CK46" s="1210">
        <f>CK43/CK$366</f>
        <v>3.7133182439736137E-2</v>
      </c>
      <c r="CL46" s="1210">
        <f>CL43/CL$366</f>
        <v>3.5434467721019172E-2</v>
      </c>
      <c r="CM46" s="1208">
        <f>CM43/CM$366</f>
        <v>3.4321573603293333E-2</v>
      </c>
      <c r="CN46" s="1200"/>
      <c r="CO46" s="1209">
        <f>CO43/CO$366</f>
        <v>2.527378238455438E-2</v>
      </c>
      <c r="CP46" s="1210">
        <f>CP43/CP$366</f>
        <v>2.5708599789679053E-2</v>
      </c>
      <c r="CQ46" s="1210">
        <f>CQ43/CQ$366</f>
        <v>3.0222096012205157E-2</v>
      </c>
      <c r="CR46" s="1210">
        <f>CR43/CR$366</f>
        <v>2.8027292101826133E-2</v>
      </c>
      <c r="CS46" s="1208">
        <f>CS43/CS$366</f>
        <v>2.7388894095691511E-2</v>
      </c>
      <c r="CT46" s="1200"/>
      <c r="CU46" s="1209">
        <f>CU43/CU$366</f>
        <v>1.9840684432423036E-2</v>
      </c>
      <c r="CV46" s="1210">
        <f>CV43/CV$366</f>
        <v>2.0224674864706693E-2</v>
      </c>
      <c r="CW46" s="1210">
        <f>CW43/CW$366</f>
        <v>2.3749384577210261E-2</v>
      </c>
      <c r="CX46" s="1210">
        <f>CX43/CX$366</f>
        <v>2.2004915496102249E-2</v>
      </c>
      <c r="CY46" s="1208">
        <f>CY43/CY$366</f>
        <v>2.1514610710251784E-2</v>
      </c>
      <c r="CZ46" s="48"/>
      <c r="DD46" s="48"/>
      <c r="DE46" s="48"/>
      <c r="DF46" s="48"/>
      <c r="DG46" s="48"/>
      <c r="DH46" s="48"/>
      <c r="DI46" s="48"/>
      <c r="DJ46" s="48"/>
      <c r="DK46" s="48"/>
    </row>
    <row r="47" spans="1:115" s="5" customFormat="1" x14ac:dyDescent="0.2">
      <c r="A47" s="354" t="s">
        <v>472</v>
      </c>
      <c r="B47" s="58"/>
      <c r="C47" s="556"/>
      <c r="D47" s="556"/>
      <c r="E47" s="556"/>
      <c r="F47" s="556"/>
      <c r="G47" s="629"/>
      <c r="H47" s="557"/>
      <c r="I47" s="677"/>
      <c r="J47" s="556"/>
      <c r="K47" s="556"/>
      <c r="L47" s="556"/>
      <c r="M47" s="629"/>
      <c r="N47" s="557"/>
      <c r="O47" s="677"/>
      <c r="P47" s="556"/>
      <c r="Q47" s="556"/>
      <c r="R47" s="556"/>
      <c r="S47" s="629"/>
      <c r="T47" s="556"/>
      <c r="U47" s="677"/>
      <c r="V47" s="556"/>
      <c r="W47" s="556"/>
      <c r="X47" s="556"/>
      <c r="Y47" s="629"/>
      <c r="Z47" s="578"/>
      <c r="AA47" s="581"/>
      <c r="AB47" s="550"/>
      <c r="AC47" s="601"/>
      <c r="AD47" s="852"/>
      <c r="AE47" s="580"/>
      <c r="AF47" s="557"/>
      <c r="AG47" s="581">
        <f>+AG48*AG43</f>
        <v>46.948262499999998</v>
      </c>
      <c r="AH47" s="550">
        <f>+AH48*AH43</f>
        <v>51.033149999999992</v>
      </c>
      <c r="AI47" s="550">
        <f>+AI48*AI43</f>
        <v>55.1775375</v>
      </c>
      <c r="AJ47" s="582">
        <f>+AJ48*AJ43</f>
        <v>61.428862500000022</v>
      </c>
      <c r="AK47" s="580">
        <f>SUM(AG47:AJ47)</f>
        <v>214.58781250000004</v>
      </c>
      <c r="AL47" s="557"/>
      <c r="AM47" s="581">
        <f>+AM48*AM43</f>
        <v>56.17734999999999</v>
      </c>
      <c r="AN47" s="550">
        <f>+AN48*AN43</f>
        <v>55.827575000000003</v>
      </c>
      <c r="AO47" s="550">
        <f>+AO48*AO43</f>
        <v>51.297279000000003</v>
      </c>
      <c r="AP47" s="582">
        <f>+AP48*AP43</f>
        <v>48.625440000000005</v>
      </c>
      <c r="AQ47" s="580">
        <f>SUM(AM47:AP47)</f>
        <v>211.92764399999999</v>
      </c>
      <c r="AR47" s="557"/>
      <c r="AS47" s="581">
        <f>+AS48*AS43</f>
        <v>45.810672727272731</v>
      </c>
      <c r="AT47" s="550">
        <f>+AT48*AT43</f>
        <v>53.484672891566269</v>
      </c>
      <c r="AU47" s="550">
        <f>+AU48*AU43</f>
        <v>43.107608333333339</v>
      </c>
      <c r="AV47" s="582">
        <f>+AV48*AV43</f>
        <v>46.697988607594958</v>
      </c>
      <c r="AW47" s="580">
        <f>SUM(AS47:AV47)</f>
        <v>189.1009425597673</v>
      </c>
      <c r="AX47" s="557"/>
      <c r="AY47" s="581">
        <f>+AY48*AY43</f>
        <v>44.387432479734095</v>
      </c>
      <c r="AZ47" s="550">
        <f>+AZ48*AZ43</f>
        <v>43.44758055233968</v>
      </c>
      <c r="BA47" s="550">
        <f>+BA48*BA43</f>
        <v>43.034054023400337</v>
      </c>
      <c r="BB47" s="582">
        <f>+BB48*BB43</f>
        <v>36.106336625906025</v>
      </c>
      <c r="BC47" s="580">
        <f>SUM(AY47:BB47)</f>
        <v>166.97540368138016</v>
      </c>
      <c r="BD47" s="557"/>
      <c r="BE47" s="581">
        <f>+BE48*BE43</f>
        <v>43.379506539872857</v>
      </c>
      <c r="BF47" s="550">
        <f>+BF48*BF43</f>
        <v>37.234817819846157</v>
      </c>
      <c r="BG47" s="550">
        <f>+BG48*BG43</f>
        <v>45.454440955855659</v>
      </c>
      <c r="BH47" s="582">
        <f>+BH48*BH43</f>
        <v>46.331828307243036</v>
      </c>
      <c r="BI47" s="580">
        <f>SUM(BE47:BH47)</f>
        <v>172.40059362281769</v>
      </c>
      <c r="BJ47" s="557"/>
      <c r="BK47" s="581">
        <f>+BK48*BK43</f>
        <v>31.481632990271983</v>
      </c>
      <c r="BL47" s="550">
        <f>+BL48*BL43</f>
        <v>27.083834271742923</v>
      </c>
      <c r="BM47" s="550">
        <f>+BM48*BM43</f>
        <v>31.509113940688934</v>
      </c>
      <c r="BN47" s="582">
        <f>+BN48*BN43</f>
        <v>33.362582757750353</v>
      </c>
      <c r="BO47" s="580">
        <f>SUM(BK47:BN47)</f>
        <v>123.4371639604542</v>
      </c>
      <c r="BP47" s="557"/>
      <c r="BQ47" s="581">
        <f>+BQ48*BQ43</f>
        <v>23.123303601633744</v>
      </c>
      <c r="BR47" s="550">
        <f>+BR48*BR43</f>
        <v>20.237882340457158</v>
      </c>
      <c r="BS47" s="550">
        <f>+BS48*BS43</f>
        <v>19.754240118050475</v>
      </c>
      <c r="BT47" s="582">
        <f>+BT48*BT43</f>
        <v>22.611480140624604</v>
      </c>
      <c r="BU47" s="580">
        <f>SUM(BQ47:BT47)</f>
        <v>85.726906200765981</v>
      </c>
      <c r="BV47" s="557"/>
      <c r="BW47" s="581">
        <f>+BW48*BW43</f>
        <v>14.074261851440987</v>
      </c>
      <c r="BX47" s="550">
        <f>+BX48*BX43</f>
        <v>16.333298831429079</v>
      </c>
      <c r="BY47" s="550">
        <f>+BY48*BY43</f>
        <v>16.696005718611989</v>
      </c>
      <c r="BZ47" s="582">
        <f>+BZ48*BZ43</f>
        <v>20.82971735996141</v>
      </c>
      <c r="CA47" s="580">
        <f>SUM(BW47:BZ47)</f>
        <v>67.933283761443462</v>
      </c>
      <c r="CB47" s="557"/>
      <c r="CC47" s="581">
        <f>+CC48*CC43</f>
        <v>9.2994426184007661</v>
      </c>
      <c r="CD47" s="550">
        <f>+CD48*CD43</f>
        <v>13.251833022975605</v>
      </c>
      <c r="CE47" s="550">
        <f>+CE48*CE43</f>
        <v>15.94177673029383</v>
      </c>
      <c r="CF47" s="582">
        <f>+CF48*CF43</f>
        <v>17.269736477333215</v>
      </c>
      <c r="CG47" s="580">
        <f>SUM(CC47:CF47)</f>
        <v>55.762788849003414</v>
      </c>
      <c r="CH47" s="557"/>
      <c r="CI47" s="581">
        <f>+CI48*CI43</f>
        <v>8.5032955358652575</v>
      </c>
      <c r="CJ47" s="550">
        <f>+CJ48*CJ43</f>
        <v>9.5851659532934779</v>
      </c>
      <c r="CK47" s="550">
        <f>+CK48*CK43</f>
        <v>11.508555293958032</v>
      </c>
      <c r="CL47" s="582">
        <f>+CL48*CL43</f>
        <v>11.706467653914213</v>
      </c>
      <c r="CM47" s="580">
        <f>SUM(CI47:CL47)</f>
        <v>41.303484437030981</v>
      </c>
      <c r="CN47" s="557"/>
      <c r="CO47" s="581">
        <f>+CO48*CO43</f>
        <v>7.3849781494194273</v>
      </c>
      <c r="CP47" s="550">
        <f>+CP48*CP43</f>
        <v>8.2938718866929388</v>
      </c>
      <c r="CQ47" s="550">
        <f>+CQ48*CQ43</f>
        <v>9.9260704193610856</v>
      </c>
      <c r="CR47" s="582">
        <f>+CR48*CR43</f>
        <v>10.079370109345779</v>
      </c>
      <c r="CS47" s="580">
        <f>SUM(CO47:CR47)</f>
        <v>35.684290564819229</v>
      </c>
      <c r="CT47" s="557"/>
      <c r="CU47" s="581">
        <f>+CU48*CU43</f>
        <v>6.4186906765470768</v>
      </c>
      <c r="CV47" s="550">
        <f>+CV48*CV43</f>
        <v>7.1816238474431318</v>
      </c>
      <c r="CW47" s="550">
        <f>+CW48*CW43</f>
        <v>8.5665784340040059</v>
      </c>
      <c r="CX47" s="582">
        <f>+CX48*CX43</f>
        <v>8.6834499361107422</v>
      </c>
      <c r="CY47" s="580">
        <f>SUM(CU47:CX47)</f>
        <v>30.850342894104955</v>
      </c>
      <c r="CZ47" s="48"/>
      <c r="DA47"/>
      <c r="DB47"/>
      <c r="DC47"/>
      <c r="DD47" s="48"/>
      <c r="DE47" s="48"/>
      <c r="DF47" s="48"/>
      <c r="DG47" s="48"/>
      <c r="DH47" s="48"/>
      <c r="DI47" s="48"/>
      <c r="DJ47" s="48"/>
      <c r="DK47" s="48"/>
    </row>
    <row r="48" spans="1:115" s="5" customFormat="1" x14ac:dyDescent="0.2">
      <c r="A48" s="205" t="s">
        <v>471</v>
      </c>
      <c r="B48" s="58"/>
      <c r="C48" s="558"/>
      <c r="D48" s="558"/>
      <c r="E48" s="558"/>
      <c r="F48" s="558"/>
      <c r="G48" s="629"/>
      <c r="H48" s="557"/>
      <c r="I48" s="704"/>
      <c r="J48" s="558"/>
      <c r="K48" s="558"/>
      <c r="L48" s="558"/>
      <c r="M48" s="629"/>
      <c r="N48" s="557"/>
      <c r="O48" s="704"/>
      <c r="P48" s="558"/>
      <c r="Q48" s="558"/>
      <c r="R48" s="558"/>
      <c r="S48" s="707"/>
      <c r="T48" s="557"/>
      <c r="U48" s="704"/>
      <c r="V48" s="558"/>
      <c r="W48" s="558"/>
      <c r="X48" s="558"/>
      <c r="Y48" s="707"/>
      <c r="Z48" s="557"/>
      <c r="AA48" s="685"/>
      <c r="AB48" s="578"/>
      <c r="AC48" s="578"/>
      <c r="AD48" s="582"/>
      <c r="AE48" s="707"/>
      <c r="AF48" s="557"/>
      <c r="AG48" s="909">
        <f>+AM48</f>
        <v>0.85</v>
      </c>
      <c r="AH48" s="910">
        <f>+AN48</f>
        <v>0.85</v>
      </c>
      <c r="AI48" s="910">
        <f>+AO48</f>
        <v>0.85</v>
      </c>
      <c r="AJ48" s="910">
        <f>+AP48</f>
        <v>0.85</v>
      </c>
      <c r="AK48" s="707">
        <f>+AK47/AK$43</f>
        <v>0.85000000000000009</v>
      </c>
      <c r="AL48" s="557"/>
      <c r="AM48" s="909">
        <v>0.85</v>
      </c>
      <c r="AN48" s="910">
        <v>0.85</v>
      </c>
      <c r="AO48" s="910">
        <v>0.85</v>
      </c>
      <c r="AP48" s="910">
        <v>0.85</v>
      </c>
      <c r="AQ48" s="707">
        <f>+AQ47/AQ$43</f>
        <v>0.85</v>
      </c>
      <c r="AR48" s="557"/>
      <c r="AS48" s="909">
        <v>0.85</v>
      </c>
      <c r="AT48" s="910">
        <v>0.85</v>
      </c>
      <c r="AU48" s="910">
        <v>0.85</v>
      </c>
      <c r="AV48" s="910">
        <v>0.85</v>
      </c>
      <c r="AW48" s="707">
        <f>+AW47/AW$43</f>
        <v>0.85000000000000009</v>
      </c>
      <c r="AX48" s="557"/>
      <c r="AY48" s="1109">
        <v>0.83191142057483536</v>
      </c>
      <c r="AZ48" s="1110">
        <f>+AY48</f>
        <v>0.83191142057483536</v>
      </c>
      <c r="BA48" s="1110">
        <f>+AY48</f>
        <v>0.83191142057483536</v>
      </c>
      <c r="BB48" s="1110">
        <f>+AY48</f>
        <v>0.83191142057483536</v>
      </c>
      <c r="BC48" s="707">
        <f>+BC47/BC$43</f>
        <v>0.83191142057483547</v>
      </c>
      <c r="BD48" s="557"/>
      <c r="BE48" s="1109">
        <v>0.84055909519067717</v>
      </c>
      <c r="BF48" s="1110">
        <f>+BE48</f>
        <v>0.84055909519067717</v>
      </c>
      <c r="BG48" s="1110">
        <f>+BE48</f>
        <v>0.84055909519067717</v>
      </c>
      <c r="BH48" s="1110">
        <f>+BE48</f>
        <v>0.84055909519067717</v>
      </c>
      <c r="BI48" s="707">
        <f>+BI47/BI$43</f>
        <v>0.84055909519067717</v>
      </c>
      <c r="BJ48" s="629"/>
      <c r="BK48" s="1109">
        <v>0.81306907661146266</v>
      </c>
      <c r="BL48" s="1110">
        <f>+BK48</f>
        <v>0.81306907661146266</v>
      </c>
      <c r="BM48" s="1110">
        <f>+BK48</f>
        <v>0.81306907661146266</v>
      </c>
      <c r="BN48" s="1110">
        <f>+BK48</f>
        <v>0.81306907661146266</v>
      </c>
      <c r="BO48" s="707">
        <f>+BO47/BO$43</f>
        <v>0.81306907661146266</v>
      </c>
      <c r="BP48" s="557"/>
      <c r="BQ48" s="1109">
        <v>0.7790886602098015</v>
      </c>
      <c r="BR48" s="1110">
        <f>+BQ48</f>
        <v>0.7790886602098015</v>
      </c>
      <c r="BS48" s="1110">
        <f>+BQ48</f>
        <v>0.7790886602098015</v>
      </c>
      <c r="BT48" s="1110">
        <f>+BQ48</f>
        <v>0.7790886602098015</v>
      </c>
      <c r="BU48" s="707">
        <f>+BU47/BU$43</f>
        <v>0.7790886602098015</v>
      </c>
      <c r="BV48" s="557"/>
      <c r="BW48" s="1109">
        <f>+BT48</f>
        <v>0.7790886602098015</v>
      </c>
      <c r="BX48" s="910">
        <f>+BR48-0.01</f>
        <v>0.76908866020980149</v>
      </c>
      <c r="BY48" s="910">
        <f>+BS48-0.01</f>
        <v>0.76908866020980149</v>
      </c>
      <c r="BZ48" s="910">
        <f>+BT48-0.01</f>
        <v>0.76908866020980149</v>
      </c>
      <c r="CA48" s="707">
        <f>+CA47/CA$43</f>
        <v>0.77113929807034365</v>
      </c>
      <c r="CB48" s="557"/>
      <c r="CC48" s="1109">
        <f>+BZ48</f>
        <v>0.76908866020980149</v>
      </c>
      <c r="CD48" s="910">
        <f>+BX48</f>
        <v>0.76908866020980149</v>
      </c>
      <c r="CE48" s="910">
        <f>+BY48</f>
        <v>0.76908866020980149</v>
      </c>
      <c r="CF48" s="910">
        <f>+BZ48</f>
        <v>0.76908866020980149</v>
      </c>
      <c r="CG48" s="707">
        <f>+CG47/CG$43</f>
        <v>0.76908866020980138</v>
      </c>
      <c r="CH48" s="557"/>
      <c r="CI48" s="909">
        <f>+CC48</f>
        <v>0.76908866020980149</v>
      </c>
      <c r="CJ48" s="910">
        <f>+CD48</f>
        <v>0.76908866020980149</v>
      </c>
      <c r="CK48" s="910">
        <f>+CE48</f>
        <v>0.76908866020980149</v>
      </c>
      <c r="CL48" s="910">
        <f>+CF48</f>
        <v>0.76908866020980149</v>
      </c>
      <c r="CM48" s="707">
        <f>+CM47/CM$43</f>
        <v>0.7690886602098016</v>
      </c>
      <c r="CN48" s="557"/>
      <c r="CO48" s="909">
        <f>+CI48</f>
        <v>0.76908866020980149</v>
      </c>
      <c r="CP48" s="910">
        <f>+CJ48</f>
        <v>0.76908866020980149</v>
      </c>
      <c r="CQ48" s="910">
        <f>+CK48</f>
        <v>0.76908866020980149</v>
      </c>
      <c r="CR48" s="910">
        <f>+CL48</f>
        <v>0.76908866020980149</v>
      </c>
      <c r="CS48" s="707">
        <f>+CS47/CS$43</f>
        <v>0.76908866020980138</v>
      </c>
      <c r="CT48" s="557"/>
      <c r="CU48" s="909">
        <f>+CO48</f>
        <v>0.76908866020980149</v>
      </c>
      <c r="CV48" s="910">
        <f>+CP48</f>
        <v>0.76908866020980149</v>
      </c>
      <c r="CW48" s="910">
        <f>+CQ48</f>
        <v>0.76908866020980149</v>
      </c>
      <c r="CX48" s="910">
        <f>+CR48</f>
        <v>0.76908866020980149</v>
      </c>
      <c r="CY48" s="707">
        <f>+CY47/CY$43</f>
        <v>0.76908866020980149</v>
      </c>
      <c r="CZ48" s="48"/>
      <c r="DA48"/>
      <c r="DB48"/>
      <c r="DC48"/>
      <c r="DD48" s="48"/>
      <c r="DE48" s="48"/>
      <c r="DF48" s="48"/>
      <c r="DG48" s="48"/>
      <c r="DH48" s="48"/>
      <c r="DI48" s="48"/>
      <c r="DJ48" s="48"/>
      <c r="DK48" s="48"/>
    </row>
    <row r="49" spans="1:115" s="5" customFormat="1" x14ac:dyDescent="0.2">
      <c r="A49" s="354" t="s">
        <v>474</v>
      </c>
      <c r="B49" s="58"/>
      <c r="C49" s="558"/>
      <c r="D49" s="558"/>
      <c r="E49" s="558"/>
      <c r="F49" s="558"/>
      <c r="G49" s="629"/>
      <c r="H49" s="557"/>
      <c r="I49" s="704"/>
      <c r="J49" s="558"/>
      <c r="K49" s="558"/>
      <c r="L49" s="558"/>
      <c r="M49" s="629"/>
      <c r="N49" s="557"/>
      <c r="O49" s="704"/>
      <c r="P49" s="558"/>
      <c r="Q49" s="558"/>
      <c r="R49" s="558"/>
      <c r="S49" s="707"/>
      <c r="T49" s="557"/>
      <c r="U49" s="704"/>
      <c r="V49" s="558"/>
      <c r="W49" s="558"/>
      <c r="X49" s="558"/>
      <c r="Y49" s="707"/>
      <c r="Z49" s="557"/>
      <c r="AA49" s="685"/>
      <c r="AB49" s="578"/>
      <c r="AC49" s="578"/>
      <c r="AD49" s="582"/>
      <c r="AE49" s="707"/>
      <c r="AF49" s="557"/>
      <c r="AG49" s="581">
        <f>+AG50*AG43</f>
        <v>25.182249999999996</v>
      </c>
      <c r="AH49" s="550">
        <f>+AH50*AH43</f>
        <v>25.345000000000002</v>
      </c>
      <c r="AI49" s="550">
        <f>+AI50*AI43</f>
        <v>26.8215</v>
      </c>
      <c r="AJ49" s="550">
        <f>+AJ50*AJ43</f>
        <v>30.977326210756626</v>
      </c>
      <c r="AK49" s="580">
        <f>SUM(AG49:AJ49)</f>
        <v>108.32607621075663</v>
      </c>
      <c r="AL49" s="557"/>
      <c r="AM49" s="581">
        <f>+AM50*AM43</f>
        <v>29.230790678220917</v>
      </c>
      <c r="AN49" s="550">
        <f>+AN50*AN43</f>
        <v>29.366248706925692</v>
      </c>
      <c r="AO49" s="550">
        <f>+AO50*AO43</f>
        <v>26.155164311236927</v>
      </c>
      <c r="AP49" s="550">
        <f>+AP50*AP43</f>
        <v>24.933095510204076</v>
      </c>
      <c r="AQ49" s="580">
        <f>SUM(AM49:AP49)</f>
        <v>109.68529920658762</v>
      </c>
      <c r="AR49" s="557"/>
      <c r="AS49" s="581">
        <f>+AS50*AS43</f>
        <v>24.900170605982797</v>
      </c>
      <c r="AT49" s="550">
        <f>+AT50*AT43</f>
        <v>28.747078500445316</v>
      </c>
      <c r="AU49" s="550">
        <f>+AU50*AU43</f>
        <v>23.50526176784533</v>
      </c>
      <c r="AV49" s="550">
        <f>+AV50*AV43</f>
        <v>22.245671153528246</v>
      </c>
      <c r="AW49" s="580">
        <f>SUM(AS49:AV49)</f>
        <v>99.398182027801695</v>
      </c>
      <c r="AX49" s="557"/>
      <c r="AY49" s="581">
        <f>+AY50*AY43</f>
        <v>23.369721265407481</v>
      </c>
      <c r="AZ49" s="550">
        <f>+AZ50*AZ43</f>
        <v>22.625131692448715</v>
      </c>
      <c r="BA49" s="550">
        <f>+BA50*BA43</f>
        <v>23.034178911384117</v>
      </c>
      <c r="BB49" s="550">
        <f>+BB50*BB43</f>
        <v>18.056973253911973</v>
      </c>
      <c r="BC49" s="580">
        <f>SUM(AY49:BB49)</f>
        <v>87.08600512315229</v>
      </c>
      <c r="BD49" s="557"/>
      <c r="BE49" s="581">
        <f>+BE50*BE43</f>
        <v>23.241322949588127</v>
      </c>
      <c r="BF49" s="550">
        <f>+BF50*BF43</f>
        <v>18.909996225426543</v>
      </c>
      <c r="BG49" s="550">
        <f>+BG50*BG43</f>
        <v>22.85075591264826</v>
      </c>
      <c r="BH49" s="550">
        <f>+BH50*BH43</f>
        <v>22.601041681835024</v>
      </c>
      <c r="BI49" s="580">
        <f>SUM(BE49:BH49)</f>
        <v>87.603116769497959</v>
      </c>
      <c r="BJ49" s="557"/>
      <c r="BK49" s="581">
        <f>+BK50*BK43</f>
        <v>17.680345281151244</v>
      </c>
      <c r="BL49" s="550">
        <f>+BL50*BL43</f>
        <v>14.699439740663166</v>
      </c>
      <c r="BM49" s="550">
        <f>+BM50*BM43</f>
        <v>17.050366386897473</v>
      </c>
      <c r="BN49" s="550">
        <f>+BN50*BN43</f>
        <v>18.3898510121737</v>
      </c>
      <c r="BO49" s="580">
        <f>SUM(BK49:BN49)</f>
        <v>67.820002420885587</v>
      </c>
      <c r="BP49" s="557"/>
      <c r="BQ49" s="581">
        <f>+BQ50*BQ43</f>
        <v>13.655753917395783</v>
      </c>
      <c r="BR49" s="550">
        <f>+BR50*BR43</f>
        <v>10.842408003387391</v>
      </c>
      <c r="BS49" s="550">
        <f>+BS50*BS43</f>
        <v>10.523596300163028</v>
      </c>
      <c r="BT49" s="550">
        <f>+BT50*BT43</f>
        <v>11.544899684377071</v>
      </c>
      <c r="BU49" s="580">
        <f>SUM(BQ49:BT49)</f>
        <v>46.566657905323275</v>
      </c>
      <c r="BV49" s="557"/>
      <c r="BW49" s="581">
        <f>+BW50*BW43</f>
        <v>8.611528193646544</v>
      </c>
      <c r="BX49" s="550">
        <f>+BX50*BX43</f>
        <v>9.8249685706579104</v>
      </c>
      <c r="BY49" s="550">
        <f>+BY50*BY43</f>
        <v>9.2445599430168475</v>
      </c>
      <c r="BZ49" s="550">
        <f>+BZ50*BZ43</f>
        <v>10.123325426731828</v>
      </c>
      <c r="CA49" s="580">
        <f>SUM(BW49:BZ49)</f>
        <v>37.804382134053128</v>
      </c>
      <c r="CB49" s="557"/>
      <c r="CC49" s="581">
        <f>+CC50*CC43</f>
        <v>5.6711719939594234</v>
      </c>
      <c r="CD49" s="550">
        <f>+CD50*CD43</f>
        <v>7.2846411181921527</v>
      </c>
      <c r="CE49" s="550">
        <f>+CE50*CE43</f>
        <v>8.5281795085212178</v>
      </c>
      <c r="CF49" s="550">
        <f>+CF50*CF43</f>
        <v>8.1949160746565397</v>
      </c>
      <c r="CG49" s="580">
        <f>SUM(CC49:CF49)</f>
        <v>29.678908695329334</v>
      </c>
      <c r="CH49" s="557"/>
      <c r="CI49" s="581">
        <f>+CI50*CI43</f>
        <v>5.3021028471861751</v>
      </c>
      <c r="CJ49" s="550">
        <f>+CJ50*CJ43</f>
        <v>5.4483993525265015</v>
      </c>
      <c r="CK49" s="550">
        <f>+CK50*CK43</f>
        <v>6.4484646061852491</v>
      </c>
      <c r="CL49" s="550">
        <f>+CL50*CL43</f>
        <v>5.8610972963304269</v>
      </c>
      <c r="CM49" s="580">
        <f>SUM(CI49:CL49)</f>
        <v>23.060064102228353</v>
      </c>
      <c r="CN49" s="557"/>
      <c r="CO49" s="581">
        <f>+CO50*CO43</f>
        <v>4.3551343706721211</v>
      </c>
      <c r="CP49" s="550">
        <f>+CP50*CP43</f>
        <v>4.6496979163416148</v>
      </c>
      <c r="CQ49" s="550">
        <f>+CQ50*CQ43</f>
        <v>5.3552675180487066</v>
      </c>
      <c r="CR49" s="550">
        <f>+CR50*CR43</f>
        <v>4.9678219561930606</v>
      </c>
      <c r="CS49" s="580">
        <f>SUM(CO49:CR49)</f>
        <v>19.327921761255503</v>
      </c>
      <c r="CT49" s="557"/>
      <c r="CU49" s="581">
        <f>+CU50*CU43</f>
        <v>3.6600992143002742</v>
      </c>
      <c r="CV49" s="550">
        <f>+CV50*CV43</f>
        <v>3.8860835610110209</v>
      </c>
      <c r="CW49" s="550">
        <f>+CW50*CW43</f>
        <v>4.4547215556574011</v>
      </c>
      <c r="CX49" s="550">
        <f>+CX50*CX43</f>
        <v>4.1104558298432643</v>
      </c>
      <c r="CY49" s="580">
        <f>SUM(CU49:CX49)</f>
        <v>16.111360160811962</v>
      </c>
      <c r="CZ49" s="48"/>
      <c r="DA49"/>
      <c r="DB49"/>
      <c r="DC49"/>
      <c r="DD49" s="48"/>
      <c r="DE49" s="48"/>
      <c r="DF49" s="48"/>
      <c r="DG49" s="48"/>
      <c r="DH49" s="48"/>
      <c r="DI49" s="48"/>
      <c r="DJ49" s="48"/>
      <c r="DK49" s="48"/>
    </row>
    <row r="50" spans="1:115" x14ac:dyDescent="0.2">
      <c r="A50" s="205" t="s">
        <v>473</v>
      </c>
      <c r="B50" s="961"/>
      <c r="C50" s="565"/>
      <c r="D50" s="566"/>
      <c r="E50" s="566"/>
      <c r="F50" s="566"/>
      <c r="G50" s="584"/>
      <c r="H50" s="592"/>
      <c r="I50" s="565"/>
      <c r="J50" s="566"/>
      <c r="K50" s="566"/>
      <c r="L50" s="566"/>
      <c r="M50" s="584"/>
      <c r="N50" s="592"/>
      <c r="O50" s="565"/>
      <c r="P50" s="566"/>
      <c r="Q50" s="566"/>
      <c r="R50" s="566"/>
      <c r="S50" s="584"/>
      <c r="T50" s="591"/>
      <c r="U50" s="565"/>
      <c r="V50" s="566"/>
      <c r="W50" s="566"/>
      <c r="X50" s="566"/>
      <c r="Y50" s="584"/>
      <c r="Z50" s="593"/>
      <c r="AA50" s="909"/>
      <c r="AB50" s="910"/>
      <c r="AC50" s="910"/>
      <c r="AD50" s="910"/>
      <c r="AE50" s="584"/>
      <c r="AF50" s="592"/>
      <c r="AG50" s="1688">
        <f>+AG$445</f>
        <v>0.45592555209045271</v>
      </c>
      <c r="AH50" s="1689">
        <f>+AH$445</f>
        <v>0.42214227418844424</v>
      </c>
      <c r="AI50" s="1689">
        <f>+AI$445</f>
        <v>0.41318036347671372</v>
      </c>
      <c r="AJ50" s="1690">
        <f>+AJ$445</f>
        <v>0.42863771535966699</v>
      </c>
      <c r="AK50" s="1117">
        <f>+AK49/AK43</f>
        <v>0.4290885102300166</v>
      </c>
      <c r="AL50" s="592"/>
      <c r="AM50" s="1688">
        <f>+AM$445</f>
        <v>0.44228095623036295</v>
      </c>
      <c r="AN50" s="1689">
        <f>+AN$445</f>
        <v>0.44711437673742477</v>
      </c>
      <c r="AO50" s="1689">
        <f>+AO$445</f>
        <v>0.43339315647817084</v>
      </c>
      <c r="AP50" s="1690">
        <f>+AP$445</f>
        <v>0.43584451233085936</v>
      </c>
      <c r="AQ50" s="1117">
        <f>+AQ49/AQ43</f>
        <v>0.43992611141187166</v>
      </c>
      <c r="AR50" s="592"/>
      <c r="AS50" s="1688">
        <f>+AS$445</f>
        <v>0.46201340768534516</v>
      </c>
      <c r="AT50" s="1689">
        <f>+AT$445</f>
        <v>0.45686016954647124</v>
      </c>
      <c r="AU50" s="1689">
        <f>+AU$445</f>
        <v>0.4634790301557794</v>
      </c>
      <c r="AV50" s="1690">
        <f>+AV$445</f>
        <v>0.4049172361445923</v>
      </c>
      <c r="AW50" s="1117">
        <f>+AW49/AW43</f>
        <v>0.44679023583887212</v>
      </c>
      <c r="AX50" s="592"/>
      <c r="AY50" s="1688">
        <f>+AY$445</f>
        <v>0.43799645373089491</v>
      </c>
      <c r="AZ50" s="1689">
        <f>+AZ$445</f>
        <v>0.43321412165364309</v>
      </c>
      <c r="BA50" s="1689">
        <f>+BA$445</f>
        <v>0.44528448306368412</v>
      </c>
      <c r="BB50" s="1690">
        <f>+BB$445</f>
        <v>0.41604337838488126</v>
      </c>
      <c r="BC50" s="1117">
        <f>+BC49/BC43</f>
        <v>0.43388331836246286</v>
      </c>
      <c r="BD50" s="592"/>
      <c r="BE50" s="1688">
        <f>+BE$445</f>
        <v>0.45034411287236775</v>
      </c>
      <c r="BF50" s="1689">
        <f>+BF$445</f>
        <v>0.42688457331008178</v>
      </c>
      <c r="BG50" s="1689">
        <f>+BG$445</f>
        <v>0.4225640071783624</v>
      </c>
      <c r="BH50" s="1690">
        <f>+BH$445</f>
        <v>0.41003154506380995</v>
      </c>
      <c r="BI50" s="1117">
        <f>+BI49/BI43</f>
        <v>0.42711915904857167</v>
      </c>
      <c r="BJ50" s="592"/>
      <c r="BK50" s="1688">
        <f>+BK$445</f>
        <v>0.45662631339230531</v>
      </c>
      <c r="BL50" s="1689">
        <f>+BL$445</f>
        <v>0.44128389565270054</v>
      </c>
      <c r="BM50" s="1689">
        <f>+BM$445</f>
        <v>0.43997192939722302</v>
      </c>
      <c r="BN50" s="1690">
        <f>+BN$445</f>
        <v>0.4481733111030482</v>
      </c>
      <c r="BO50" s="1117">
        <f>+BO49/BO43</f>
        <v>0.44672402520364668</v>
      </c>
      <c r="BP50" s="592"/>
      <c r="BQ50" s="1688">
        <f>+BQ$445</f>
        <v>0.46010047729109704</v>
      </c>
      <c r="BR50" s="1689">
        <f>+BR$445</f>
        <v>0.41739530760688748</v>
      </c>
      <c r="BS50" s="1689">
        <f>+BS$445</f>
        <v>0.415040745333006</v>
      </c>
      <c r="BT50" s="1690">
        <f>+BT$445</f>
        <v>0.39778468156085223</v>
      </c>
      <c r="BU50" s="1117">
        <f>+BU49/BU43</f>
        <v>0.42319916494994553</v>
      </c>
      <c r="BV50" s="592"/>
      <c r="BW50" s="1688">
        <f>+BW$445</f>
        <v>0.47669597408123432</v>
      </c>
      <c r="BX50" s="1689">
        <f>+BX$445</f>
        <v>0.46262986997278643</v>
      </c>
      <c r="BY50" s="1689">
        <f>+BY$445</f>
        <v>0.42584354249940332</v>
      </c>
      <c r="BZ50" s="1690">
        <f>+BZ$445</f>
        <v>0.37378014568160334</v>
      </c>
      <c r="CA50" s="1117">
        <f>+CA49/CA43</f>
        <v>0.42913345401069319</v>
      </c>
      <c r="CB50" s="592"/>
      <c r="CC50" s="1688">
        <f>+CC$445</f>
        <v>0.46902102089680681</v>
      </c>
      <c r="CD50" s="1689">
        <f>+CD$445</f>
        <v>0.42277433378357065</v>
      </c>
      <c r="CE50" s="1689">
        <f>+CE$445</f>
        <v>0.41143005972310942</v>
      </c>
      <c r="CF50" s="1690">
        <f>+CF$445</f>
        <v>0.36495154588268569</v>
      </c>
      <c r="CG50" s="1117">
        <f>+CG49/CG43</f>
        <v>0.40933591371816408</v>
      </c>
      <c r="CH50" s="592"/>
      <c r="CI50" s="1688">
        <f>+CI$445</f>
        <v>0.4795537398221279</v>
      </c>
      <c r="CJ50" s="1689">
        <f>+CJ$445</f>
        <v>0.43716532178378853</v>
      </c>
      <c r="CK50" s="1689">
        <f>+CK$445</f>
        <v>0.43093515021690298</v>
      </c>
      <c r="CL50" s="1690">
        <f>+CL$445</f>
        <v>0.38506094240023353</v>
      </c>
      <c r="CM50" s="1117">
        <f>+CM49/CM43</f>
        <v>0.42938832029469826</v>
      </c>
      <c r="CN50" s="592"/>
      <c r="CO50" s="1688">
        <f>+CO$445</f>
        <v>0.45355373982212788</v>
      </c>
      <c r="CP50" s="1689">
        <f>+CP$445</f>
        <v>0.43116532178378852</v>
      </c>
      <c r="CQ50" s="1689">
        <f>+CQ$445</f>
        <v>0.41493515021690297</v>
      </c>
      <c r="CR50" s="1690">
        <f>+CR$445</f>
        <v>0.37906094240023352</v>
      </c>
      <c r="CS50" s="1117">
        <f>+CS49/CS43</f>
        <v>0.41656665206787091</v>
      </c>
      <c r="CT50" s="592"/>
      <c r="CU50" s="1688">
        <f>+CU$445</f>
        <v>0.43855373982212792</v>
      </c>
      <c r="CV50" s="1689">
        <f>+CV$445</f>
        <v>0.41616532178378857</v>
      </c>
      <c r="CW50" s="1689">
        <f>+CW$445</f>
        <v>0.39993515021690296</v>
      </c>
      <c r="CX50" s="1690">
        <f>+CX$445</f>
        <v>0.36406094240023351</v>
      </c>
      <c r="CY50" s="1117">
        <f>+CY49/CY43</f>
        <v>0.40165078368072832</v>
      </c>
    </row>
    <row r="51" spans="1:115" s="5" customFormat="1" x14ac:dyDescent="0.2">
      <c r="A51" s="354" t="s">
        <v>475</v>
      </c>
      <c r="B51" s="58"/>
      <c r="C51" s="558"/>
      <c r="D51" s="558"/>
      <c r="E51" s="558"/>
      <c r="F51" s="558"/>
      <c r="G51" s="629"/>
      <c r="H51" s="557"/>
      <c r="I51" s="704"/>
      <c r="J51" s="558"/>
      <c r="K51" s="558"/>
      <c r="L51" s="558"/>
      <c r="M51" s="629"/>
      <c r="N51" s="557"/>
      <c r="O51" s="704"/>
      <c r="P51" s="558"/>
      <c r="Q51" s="558"/>
      <c r="R51" s="558"/>
      <c r="S51" s="707"/>
      <c r="T51" s="557"/>
      <c r="U51" s="704"/>
      <c r="V51" s="558"/>
      <c r="W51" s="558"/>
      <c r="X51" s="558"/>
      <c r="Y51" s="707"/>
      <c r="Z51" s="557"/>
      <c r="AA51" s="685"/>
      <c r="AB51" s="578"/>
      <c r="AC51" s="578"/>
      <c r="AD51" s="582"/>
      <c r="AE51" s="707"/>
      <c r="AF51" s="557"/>
      <c r="AG51" s="581">
        <f>+AG47-AG49</f>
        <v>21.766012500000002</v>
      </c>
      <c r="AH51" s="550">
        <f>+AH47-AH49</f>
        <v>25.68814999999999</v>
      </c>
      <c r="AI51" s="550">
        <f>+AI47-AI49</f>
        <v>28.356037499999999</v>
      </c>
      <c r="AJ51" s="550">
        <f>+AJ47-AJ49</f>
        <v>30.451536289243396</v>
      </c>
      <c r="AK51" s="580">
        <f>+AK47-AK49</f>
        <v>106.26173628924342</v>
      </c>
      <c r="AL51" s="557"/>
      <c r="AM51" s="581">
        <f>+AM47-AM49</f>
        <v>26.946559321779073</v>
      </c>
      <c r="AN51" s="550">
        <f>+AN47-AN49</f>
        <v>26.461326293074311</v>
      </c>
      <c r="AO51" s="550">
        <f>+AO47-AO49</f>
        <v>25.142114688763076</v>
      </c>
      <c r="AP51" s="550">
        <f>+AP47-AP49</f>
        <v>23.692344489795929</v>
      </c>
      <c r="AQ51" s="580">
        <f>+AQ47-AQ49</f>
        <v>102.24234479341237</v>
      </c>
      <c r="AR51" s="557"/>
      <c r="AS51" s="581">
        <f>+AS47-AS49</f>
        <v>20.910502121289934</v>
      </c>
      <c r="AT51" s="550">
        <f>+AT47-AT49</f>
        <v>24.737594391120954</v>
      </c>
      <c r="AU51" s="550">
        <f>+AU47-AU49</f>
        <v>19.602346565488009</v>
      </c>
      <c r="AV51" s="550">
        <f>+AV47-AV49</f>
        <v>24.452317454066712</v>
      </c>
      <c r="AW51" s="580">
        <f>+AW47-AW49</f>
        <v>89.702760531965609</v>
      </c>
      <c r="AX51" s="557"/>
      <c r="AY51" s="581">
        <f>+AY47-AY49</f>
        <v>21.017711214326614</v>
      </c>
      <c r="AZ51" s="550">
        <f>+AZ47-AZ49</f>
        <v>20.822448859890965</v>
      </c>
      <c r="BA51" s="550">
        <f>+BA47-BA49</f>
        <v>19.99987511201622</v>
      </c>
      <c r="BB51" s="550">
        <f>+BB47-BB49</f>
        <v>18.049363371994051</v>
      </c>
      <c r="BC51" s="580">
        <f>+BC47-BC49</f>
        <v>79.889398558227867</v>
      </c>
      <c r="BD51" s="557"/>
      <c r="BE51" s="581">
        <f>+BE47-BE49</f>
        <v>20.138183590284729</v>
      </c>
      <c r="BF51" s="550">
        <f>+BF47-BF49</f>
        <v>18.324821594419614</v>
      </c>
      <c r="BG51" s="550">
        <f>+BG47-BG49</f>
        <v>22.603685043207399</v>
      </c>
      <c r="BH51" s="550">
        <f>+BH47-BH49</f>
        <v>23.730786625408012</v>
      </c>
      <c r="BI51" s="580">
        <f>+BI47-BI49</f>
        <v>84.797476853319736</v>
      </c>
      <c r="BJ51" s="557"/>
      <c r="BK51" s="581">
        <f>+BK47-BK49</f>
        <v>13.801287709120739</v>
      </c>
      <c r="BL51" s="550">
        <f>+BL47-BL49</f>
        <v>12.384394531079757</v>
      </c>
      <c r="BM51" s="550">
        <f>+BM47-BM49</f>
        <v>14.458747553791461</v>
      </c>
      <c r="BN51" s="550">
        <f>+BN47-BN49</f>
        <v>14.972731745576652</v>
      </c>
      <c r="BO51" s="580">
        <f>+BO47-BO49</f>
        <v>55.617161539568613</v>
      </c>
      <c r="BP51" s="557"/>
      <c r="BQ51" s="581">
        <f>+BQ47-BQ49</f>
        <v>9.4675496842379605</v>
      </c>
      <c r="BR51" s="550">
        <f>+BR47-BR49</f>
        <v>9.3954743370697678</v>
      </c>
      <c r="BS51" s="550">
        <f>+BS47-BS49</f>
        <v>9.2306438178874473</v>
      </c>
      <c r="BT51" s="550">
        <f>+BT47-BT49</f>
        <v>11.066580456247532</v>
      </c>
      <c r="BU51" s="580">
        <f>+BU47-BU49</f>
        <v>39.160248295442706</v>
      </c>
      <c r="BV51" s="557"/>
      <c r="BW51" s="581">
        <f>+BW47-BW49</f>
        <v>5.462733657794443</v>
      </c>
      <c r="BX51" s="550">
        <f>+BX47-BX49</f>
        <v>6.5083302607711691</v>
      </c>
      <c r="BY51" s="550">
        <f>+BY47-BY49</f>
        <v>7.4514457755951415</v>
      </c>
      <c r="BZ51" s="550">
        <f>+BZ47-BZ49</f>
        <v>10.706391933229582</v>
      </c>
      <c r="CA51" s="580">
        <f>+CA47-CA49</f>
        <v>30.128901627390334</v>
      </c>
      <c r="CB51" s="557"/>
      <c r="CC51" s="581">
        <f>+CC47-CC49</f>
        <v>3.6282706244413427</v>
      </c>
      <c r="CD51" s="550">
        <f>+CD47-CD49</f>
        <v>5.9671919047834523</v>
      </c>
      <c r="CE51" s="550">
        <f>+CE47-CE49</f>
        <v>7.413597221772612</v>
      </c>
      <c r="CF51" s="550">
        <f>+CF47-CF49</f>
        <v>9.074820402676675</v>
      </c>
      <c r="CG51" s="580">
        <f>+CG47-CG49</f>
        <v>26.08388015367408</v>
      </c>
      <c r="CH51" s="557"/>
      <c r="CI51" s="581">
        <f>+CI47-CI49</f>
        <v>3.2011926886790825</v>
      </c>
      <c r="CJ51" s="550">
        <f>+CJ47-CJ49</f>
        <v>4.1367666007669763</v>
      </c>
      <c r="CK51" s="550">
        <f>+CK47-CK49</f>
        <v>5.0600906877727834</v>
      </c>
      <c r="CL51" s="550">
        <f>+CL47-CL49</f>
        <v>5.8453703575837865</v>
      </c>
      <c r="CM51" s="580">
        <f>+CM47-CM49</f>
        <v>18.243420334802629</v>
      </c>
      <c r="CN51" s="557"/>
      <c r="CO51" s="581">
        <f>+CO47-CO49</f>
        <v>3.0298437787473063</v>
      </c>
      <c r="CP51" s="550">
        <f>+CP47-CP49</f>
        <v>3.6441739703513241</v>
      </c>
      <c r="CQ51" s="550">
        <f>+CQ47-CQ49</f>
        <v>4.570802901312379</v>
      </c>
      <c r="CR51" s="550">
        <f>+CR47-CR49</f>
        <v>5.1115481531527189</v>
      </c>
      <c r="CS51" s="580">
        <f>+CS47-CS49</f>
        <v>16.356368803563726</v>
      </c>
      <c r="CT51" s="557"/>
      <c r="CU51" s="581">
        <f>+CU47-CU49</f>
        <v>2.7585914622468026</v>
      </c>
      <c r="CV51" s="550">
        <f>+CV47-CV49</f>
        <v>3.2955402864321108</v>
      </c>
      <c r="CW51" s="550">
        <f>+CW47-CW49</f>
        <v>4.1118568783466047</v>
      </c>
      <c r="CX51" s="550">
        <f>+CX47-CX49</f>
        <v>4.5729941062674779</v>
      </c>
      <c r="CY51" s="580">
        <f>+CY47-CY49</f>
        <v>14.738982733292993</v>
      </c>
      <c r="CZ51" s="48"/>
      <c r="DA51"/>
      <c r="DB51"/>
      <c r="DC51"/>
      <c r="DD51" s="48"/>
      <c r="DE51" s="48"/>
      <c r="DF51" s="48"/>
      <c r="DG51" s="48"/>
      <c r="DH51" s="48"/>
      <c r="DI51" s="48"/>
      <c r="DJ51" s="48"/>
      <c r="DK51" s="48"/>
    </row>
    <row r="52" spans="1:115" s="5" customFormat="1" x14ac:dyDescent="0.2">
      <c r="A52" s="205" t="s">
        <v>476</v>
      </c>
      <c r="B52" s="961"/>
      <c r="C52" s="565"/>
      <c r="D52" s="566"/>
      <c r="E52" s="566"/>
      <c r="F52" s="566"/>
      <c r="G52" s="584"/>
      <c r="H52" s="592"/>
      <c r="I52" s="565"/>
      <c r="J52" s="566"/>
      <c r="K52" s="566"/>
      <c r="L52" s="566"/>
      <c r="M52" s="584"/>
      <c r="N52" s="592"/>
      <c r="O52" s="565"/>
      <c r="P52" s="566"/>
      <c r="Q52" s="566"/>
      <c r="R52" s="566"/>
      <c r="S52" s="584"/>
      <c r="T52" s="591"/>
      <c r="U52" s="565"/>
      <c r="V52" s="566"/>
      <c r="W52" s="566"/>
      <c r="X52" s="566"/>
      <c r="Y52" s="584"/>
      <c r="Z52" s="593"/>
      <c r="AA52" s="909">
        <v>0</v>
      </c>
      <c r="AB52" s="910">
        <v>0</v>
      </c>
      <c r="AC52" s="910">
        <v>0</v>
      </c>
      <c r="AD52" s="910">
        <v>0</v>
      </c>
      <c r="AE52" s="584"/>
      <c r="AF52" s="592"/>
      <c r="AG52" s="1131">
        <f>+AG51/AG$43</f>
        <v>0.39407444790954727</v>
      </c>
      <c r="AH52" s="1132">
        <f>+AH51/AH$43</f>
        <v>0.42785772581155568</v>
      </c>
      <c r="AI52" s="1132">
        <f>+AI51/AI$43</f>
        <v>0.43681963652328631</v>
      </c>
      <c r="AJ52" s="1213">
        <f>+AJ51/AJ$43</f>
        <v>0.42136228464033298</v>
      </c>
      <c r="AK52" s="707">
        <f>+AK51/AK$43</f>
        <v>0.42091148976998355</v>
      </c>
      <c r="AL52" s="592"/>
      <c r="AM52" s="1131">
        <f>+AM51/AM$43</f>
        <v>0.40771904376963697</v>
      </c>
      <c r="AN52" s="1132">
        <f>+AN51/AN$43</f>
        <v>0.40288562326257521</v>
      </c>
      <c r="AO52" s="1132">
        <f>+AO51/AO$43</f>
        <v>0.41660684352182914</v>
      </c>
      <c r="AP52" s="1213">
        <f>+AP51/AP$43</f>
        <v>0.41415548766914062</v>
      </c>
      <c r="AQ52" s="707">
        <f>+AQ51/AQ$43</f>
        <v>0.41007388858812832</v>
      </c>
      <c r="AR52" s="592"/>
      <c r="AS52" s="1131">
        <f>+AS51/AS$43</f>
        <v>0.38798659231465488</v>
      </c>
      <c r="AT52" s="1132">
        <f>+AT51/AT$43</f>
        <v>0.39313983045352879</v>
      </c>
      <c r="AU52" s="1132">
        <f>+AU51/AU$43</f>
        <v>0.38652096984422063</v>
      </c>
      <c r="AV52" s="1213">
        <f>+AV51/AV$43</f>
        <v>0.44508276385540768</v>
      </c>
      <c r="AW52" s="707">
        <f>+AW51/AW$43</f>
        <v>0.40320976416112791</v>
      </c>
      <c r="AX52" s="592"/>
      <c r="AY52" s="1131">
        <f>+AY51/AY$43</f>
        <v>0.39391496684394045</v>
      </c>
      <c r="AZ52" s="1132">
        <f>+AZ51/AZ$43</f>
        <v>0.39869729892119227</v>
      </c>
      <c r="BA52" s="1132">
        <f>+BA51/BA$43</f>
        <v>0.38662693751115124</v>
      </c>
      <c r="BB52" s="1213">
        <f>+BB51/BB$43</f>
        <v>0.4158680421899541</v>
      </c>
      <c r="BC52" s="707">
        <f>+BC51/BC$43</f>
        <v>0.39802810221237261</v>
      </c>
      <c r="BD52" s="592"/>
      <c r="BE52" s="1131">
        <f>+BE51/BE$43</f>
        <v>0.39021498231830942</v>
      </c>
      <c r="BF52" s="1132">
        <f>+BF51/BF$43</f>
        <v>0.41367452188059545</v>
      </c>
      <c r="BG52" s="1132">
        <f>+BG51/BG$43</f>
        <v>0.41799508801231483</v>
      </c>
      <c r="BH52" s="1213">
        <f>+BH51/BH$43</f>
        <v>0.43052755012686716</v>
      </c>
      <c r="BI52" s="707">
        <f>+BI51/BI$43</f>
        <v>0.4134399361421055</v>
      </c>
      <c r="BJ52" s="592"/>
      <c r="BK52" s="1131">
        <f>+BK51/BK$43</f>
        <v>0.3564427632191573</v>
      </c>
      <c r="BL52" s="1132">
        <f>+BL51/BL$43</f>
        <v>0.37178518095876212</v>
      </c>
      <c r="BM52" s="1132">
        <f>+BM51/BM$43</f>
        <v>0.37309714721423959</v>
      </c>
      <c r="BN52" s="1213">
        <f>+BN51/BN$43</f>
        <v>0.3648957655084144</v>
      </c>
      <c r="BO52" s="707">
        <f>+BO51/BO$43</f>
        <v>0.36634505140781604</v>
      </c>
      <c r="BP52" s="592"/>
      <c r="BQ52" s="1131">
        <f>+BQ51/BQ$43</f>
        <v>0.3189881829187044</v>
      </c>
      <c r="BR52" s="1132">
        <f>+BR51/BR$43</f>
        <v>0.36169335260291408</v>
      </c>
      <c r="BS52" s="1132">
        <f>+BS51/BS$43</f>
        <v>0.3640479148767955</v>
      </c>
      <c r="BT52" s="1213">
        <f>+BT51/BT$43</f>
        <v>0.38130397864894922</v>
      </c>
      <c r="BU52" s="707">
        <f>+BU51/BU$43</f>
        <v>0.35588949525985597</v>
      </c>
      <c r="BV52" s="592"/>
      <c r="BW52" s="1131">
        <f>+BW51/BW$43</f>
        <v>0.30239268612856712</v>
      </c>
      <c r="BX52" s="1132">
        <f>+BX51/BX$43</f>
        <v>0.30645879023701494</v>
      </c>
      <c r="BY52" s="1132">
        <f>+BY51/BY$43</f>
        <v>0.34324511771039812</v>
      </c>
      <c r="BZ52" s="1213">
        <f>+BZ51/BZ$43</f>
        <v>0.39530851452819815</v>
      </c>
      <c r="CA52" s="707">
        <f>+CA51/CA$43</f>
        <v>0.34200584405965045</v>
      </c>
      <c r="CB52" s="592"/>
      <c r="CC52" s="1131">
        <f>+CC51/CC$43</f>
        <v>0.30006763931299468</v>
      </c>
      <c r="CD52" s="1132">
        <f>+CD51/CD$43</f>
        <v>0.34631432642623083</v>
      </c>
      <c r="CE52" s="1132">
        <f>+CE51/CE$43</f>
        <v>0.35765860048669201</v>
      </c>
      <c r="CF52" s="1213">
        <f>+CF51/CF$43</f>
        <v>0.4041371143271158</v>
      </c>
      <c r="CG52" s="707">
        <f>+CG51/CG$43</f>
        <v>0.35975274649163735</v>
      </c>
      <c r="CH52" s="592"/>
      <c r="CI52" s="1131">
        <f>+CI51/CI$43</f>
        <v>0.28953492038767364</v>
      </c>
      <c r="CJ52" s="1132">
        <f>+CJ51/CJ$43</f>
        <v>0.33192333842601301</v>
      </c>
      <c r="CK52" s="1132">
        <f>+CK51/CK$43</f>
        <v>0.33815350999289856</v>
      </c>
      <c r="CL52" s="1213">
        <f>+CL51/CL$43</f>
        <v>0.38402771780956801</v>
      </c>
      <c r="CM52" s="707">
        <f>+CM51/CM$43</f>
        <v>0.33970033991510329</v>
      </c>
      <c r="CN52" s="592"/>
      <c r="CO52" s="1131">
        <f>+CO51/CO$43</f>
        <v>0.31553492038767356</v>
      </c>
      <c r="CP52" s="1132">
        <f>+CP51/CP$43</f>
        <v>0.33792333842601296</v>
      </c>
      <c r="CQ52" s="1132">
        <f>+CQ51/CQ$43</f>
        <v>0.35415350999289857</v>
      </c>
      <c r="CR52" s="1213">
        <f>+CR51/CR$43</f>
        <v>0.39002771780956791</v>
      </c>
      <c r="CS52" s="707">
        <f>+CS51/CS$43</f>
        <v>0.35252200814193052</v>
      </c>
      <c r="CT52" s="592"/>
      <c r="CU52" s="1131">
        <f>+CU51/CU$43</f>
        <v>0.33053492038767357</v>
      </c>
      <c r="CV52" s="1132">
        <f>+CV51/CV$43</f>
        <v>0.35292333842601298</v>
      </c>
      <c r="CW52" s="1132">
        <f>+CW51/CW$43</f>
        <v>0.36915350999289853</v>
      </c>
      <c r="CX52" s="1213">
        <f>+CX51/CX$43</f>
        <v>0.40502771780956803</v>
      </c>
      <c r="CY52" s="707">
        <f>+CY51/CY$43</f>
        <v>0.36743787652907317</v>
      </c>
      <c r="CZ52" s="48"/>
      <c r="DA52"/>
      <c r="DB52"/>
      <c r="DC52"/>
      <c r="DD52" s="48"/>
      <c r="DE52" s="48"/>
      <c r="DF52" s="48"/>
      <c r="DG52" s="48"/>
      <c r="DH52" s="48"/>
      <c r="DI52" s="48"/>
      <c r="DJ52" s="48"/>
      <c r="DK52" s="48"/>
    </row>
    <row r="53" spans="1:115" x14ac:dyDescent="0.2">
      <c r="A53" s="1161" t="s">
        <v>715</v>
      </c>
      <c r="B53" s="1162"/>
      <c r="C53" s="1163"/>
      <c r="D53" s="1163"/>
      <c r="E53" s="1163"/>
      <c r="F53" s="1163"/>
      <c r="G53" s="1164"/>
      <c r="H53" s="1165"/>
      <c r="I53" s="1166"/>
      <c r="J53" s="1163"/>
      <c r="K53" s="1163"/>
      <c r="L53" s="1163"/>
      <c r="M53" s="1164"/>
      <c r="N53" s="1165"/>
      <c r="O53" s="1166"/>
      <c r="P53" s="1163"/>
      <c r="Q53" s="1163"/>
      <c r="R53" s="1163"/>
      <c r="S53" s="1164"/>
      <c r="T53" s="1163"/>
      <c r="U53" s="1166"/>
      <c r="V53" s="1163"/>
      <c r="W53" s="1163"/>
      <c r="X53" s="1163"/>
      <c r="Y53" s="1164"/>
      <c r="Z53" s="1167"/>
      <c r="AA53" s="1168"/>
      <c r="AB53" s="1169"/>
      <c r="AC53" s="1169"/>
      <c r="AD53" s="1170"/>
      <c r="AE53" s="1171"/>
      <c r="AF53" s="1165"/>
      <c r="AG53" s="1172"/>
      <c r="AH53" s="1173"/>
      <c r="AI53" s="1173"/>
      <c r="AJ53" s="1174"/>
      <c r="AK53" s="1171"/>
      <c r="AL53" s="1175"/>
      <c r="AM53" s="1176"/>
      <c r="AN53" s="1177"/>
      <c r="AO53" s="1177"/>
      <c r="AP53" s="1177"/>
      <c r="AQ53" s="1171"/>
      <c r="AR53" s="1178"/>
      <c r="AS53" s="1172"/>
      <c r="AT53" s="1173"/>
      <c r="AU53" s="1173"/>
      <c r="AV53" s="1173"/>
      <c r="AW53" s="1171"/>
      <c r="AX53" s="1173"/>
      <c r="AY53" s="1172"/>
      <c r="AZ53" s="1173"/>
      <c r="BA53" s="1173"/>
      <c r="BB53" s="1173"/>
      <c r="BC53" s="1171"/>
      <c r="BD53" s="1178"/>
      <c r="BE53" s="1172"/>
      <c r="BF53" s="1173"/>
      <c r="BG53" s="1173"/>
      <c r="BH53" s="1173"/>
      <c r="BI53" s="1171"/>
      <c r="BJ53" s="1179"/>
      <c r="BK53" s="1180"/>
      <c r="BL53" s="1173"/>
      <c r="BM53" s="1173"/>
      <c r="BN53" s="1173"/>
      <c r="BO53" s="1171"/>
      <c r="BP53" s="1178"/>
      <c r="BQ53" s="1172"/>
      <c r="BR53" s="1173"/>
      <c r="BS53" s="1173"/>
      <c r="BT53" s="1173"/>
      <c r="BU53" s="1171"/>
      <c r="BV53" s="1178"/>
      <c r="BW53" s="1172"/>
      <c r="BX53" s="1173"/>
      <c r="BY53" s="1173"/>
      <c r="BZ53" s="1173"/>
      <c r="CA53" s="1171"/>
      <c r="CB53" s="1178"/>
      <c r="CC53" s="1172"/>
      <c r="CD53" s="1173"/>
      <c r="CE53" s="1173"/>
      <c r="CF53" s="1173"/>
      <c r="CG53" s="1171"/>
      <c r="CH53" s="1178"/>
      <c r="CI53" s="1172"/>
      <c r="CJ53" s="1173"/>
      <c r="CK53" s="1173"/>
      <c r="CL53" s="1173"/>
      <c r="CM53" s="1171"/>
      <c r="CN53" s="1178"/>
      <c r="CO53" s="1172"/>
      <c r="CP53" s="1173"/>
      <c r="CQ53" s="1173"/>
      <c r="CR53" s="1173"/>
      <c r="CS53" s="1171"/>
      <c r="CT53" s="1178"/>
      <c r="CU53" s="1172"/>
      <c r="CV53" s="1173"/>
      <c r="CW53" s="1173"/>
      <c r="CX53" s="1173"/>
      <c r="CY53" s="1171"/>
      <c r="CZ53" s="48"/>
      <c r="DD53" s="48"/>
      <c r="DE53" s="48"/>
      <c r="DF53" s="48"/>
      <c r="DG53" s="48"/>
      <c r="DH53" s="48"/>
      <c r="DI53" s="48"/>
      <c r="DJ53" s="48"/>
      <c r="DK53" s="48"/>
    </row>
    <row r="54" spans="1:115" x14ac:dyDescent="0.2">
      <c r="A54" s="1141"/>
      <c r="B54" s="1142"/>
      <c r="C54" s="1143"/>
      <c r="D54" s="1143"/>
      <c r="E54" s="1143"/>
      <c r="F54" s="1143"/>
      <c r="G54" s="1144"/>
      <c r="H54" s="1145"/>
      <c r="I54" s="1146"/>
      <c r="J54" s="1143"/>
      <c r="K54" s="1143"/>
      <c r="L54" s="1143"/>
      <c r="M54" s="1144"/>
      <c r="N54" s="1145"/>
      <c r="O54" s="1146"/>
      <c r="P54" s="1143"/>
      <c r="Q54" s="1143"/>
      <c r="R54" s="1143"/>
      <c r="S54" s="1144"/>
      <c r="T54" s="1143"/>
      <c r="U54" s="1146"/>
      <c r="V54" s="1143"/>
      <c r="W54" s="1143"/>
      <c r="X54" s="1143"/>
      <c r="Y54" s="1144"/>
      <c r="Z54" s="1147"/>
      <c r="AA54" s="1148"/>
      <c r="AB54" s="1149"/>
      <c r="AC54" s="1149"/>
      <c r="AD54" s="1149"/>
      <c r="AE54" s="1151"/>
      <c r="AF54" s="1145"/>
      <c r="AG54" s="1152"/>
      <c r="AH54" s="1153"/>
      <c r="AI54" s="1153"/>
      <c r="AJ54" s="1153"/>
      <c r="AK54" s="1151"/>
      <c r="AL54" s="1155"/>
      <c r="AM54" s="1156"/>
      <c r="AN54" s="1157"/>
      <c r="AO54" s="1157"/>
      <c r="AP54" s="1157"/>
      <c r="AQ54" s="1151"/>
      <c r="AR54" s="1158"/>
      <c r="AS54" s="1152"/>
      <c r="AT54" s="1153"/>
      <c r="AU54" s="1153"/>
      <c r="AV54" s="1153"/>
      <c r="AW54" s="1151"/>
      <c r="AX54" s="1153"/>
      <c r="AY54" s="1152"/>
      <c r="AZ54" s="1153"/>
      <c r="BA54" s="1153"/>
      <c r="BB54" s="1153"/>
      <c r="BC54" s="1269">
        <f>+RevBuild!BC$6</f>
        <v>2012</v>
      </c>
      <c r="BD54" s="1158"/>
      <c r="BE54" s="1152"/>
      <c r="BF54" s="1153"/>
      <c r="BG54" s="1153"/>
      <c r="BH54" s="1153"/>
      <c r="BI54" s="1269">
        <f>+RevBuild!BI$6</f>
        <v>2013</v>
      </c>
      <c r="BJ54" s="1159"/>
      <c r="BK54" s="1160"/>
      <c r="BL54" s="1153"/>
      <c r="BM54" s="1153"/>
      <c r="BN54" s="1153"/>
      <c r="BO54" s="1269">
        <f>+RevBuild!BO$6</f>
        <v>2014</v>
      </c>
      <c r="BP54" s="1158"/>
      <c r="BQ54" s="1152"/>
      <c r="BR54" s="1153"/>
      <c r="BS54" s="1153"/>
      <c r="BT54" s="1153"/>
      <c r="BU54" s="1270">
        <f>+RevBuild!BU$6</f>
        <v>2015</v>
      </c>
      <c r="BV54" s="1158"/>
      <c r="BW54" s="1152"/>
      <c r="BX54" s="1153"/>
      <c r="BY54" s="1153"/>
      <c r="BZ54" s="1153"/>
      <c r="CA54" s="1270">
        <f>+RevBuild!CA$6</f>
        <v>2016</v>
      </c>
      <c r="CB54" s="1158"/>
      <c r="CC54" s="1152"/>
      <c r="CD54" s="1153"/>
      <c r="CE54" s="1153"/>
      <c r="CF54" s="1153"/>
      <c r="CG54" s="1270">
        <f>+RevBuild!CG$6</f>
        <v>2017</v>
      </c>
      <c r="CH54" s="1158"/>
      <c r="CI54" s="1152"/>
      <c r="CJ54" s="1153"/>
      <c r="CK54" s="1153"/>
      <c r="CL54" s="1153"/>
      <c r="CM54" s="1270">
        <f>+RevBuild!CM$6</f>
        <v>2018</v>
      </c>
      <c r="CN54" s="1158"/>
      <c r="CO54" s="1152"/>
      <c r="CP54" s="1153"/>
      <c r="CQ54" s="1153"/>
      <c r="CR54" s="1153"/>
      <c r="CS54" s="1270">
        <f>+RevBuild!CS$6</f>
        <v>2019</v>
      </c>
      <c r="CT54" s="1158"/>
      <c r="CU54" s="1152"/>
      <c r="CV54" s="1153"/>
      <c r="CW54" s="1153"/>
      <c r="CX54" s="1153"/>
      <c r="CY54" s="1270">
        <f>+RevBuild!CY$6</f>
        <v>2020</v>
      </c>
      <c r="CZ54" s="48"/>
      <c r="DD54" s="48"/>
      <c r="DE54" s="48"/>
      <c r="DF54" s="48"/>
      <c r="DG54" s="48"/>
      <c r="DH54" s="48"/>
      <c r="DI54" s="48"/>
      <c r="DJ54" s="48"/>
      <c r="DK54" s="48"/>
    </row>
    <row r="55" spans="1:115" s="5" customFormat="1" outlineLevel="1" x14ac:dyDescent="0.2">
      <c r="A55" s="205" t="s">
        <v>635</v>
      </c>
      <c r="B55" s="961"/>
      <c r="C55" s="565"/>
      <c r="D55" s="566"/>
      <c r="E55" s="566"/>
      <c r="F55" s="566"/>
      <c r="G55" s="584"/>
      <c r="H55" s="592"/>
      <c r="I55" s="565"/>
      <c r="J55" s="566"/>
      <c r="K55" s="566"/>
      <c r="L55" s="566"/>
      <c r="M55" s="584"/>
      <c r="N55" s="592"/>
      <c r="O55" s="565"/>
      <c r="P55" s="566"/>
      <c r="Q55" s="566"/>
      <c r="R55" s="566"/>
      <c r="S55" s="584"/>
      <c r="T55" s="591"/>
      <c r="U55" s="565"/>
      <c r="V55" s="566"/>
      <c r="W55" s="566"/>
      <c r="X55" s="566"/>
      <c r="Y55" s="584"/>
      <c r="Z55" s="593"/>
      <c r="AA55" s="909"/>
      <c r="AB55" s="910"/>
      <c r="AC55" s="910"/>
      <c r="AD55" s="910"/>
      <c r="AE55" s="584"/>
      <c r="AF55" s="592"/>
      <c r="AG55" s="909"/>
      <c r="AH55" s="910"/>
      <c r="AI55" s="910"/>
      <c r="AJ55" s="910"/>
      <c r="AK55" s="584"/>
      <c r="AL55" s="592"/>
      <c r="AM55" s="909"/>
      <c r="AN55" s="910"/>
      <c r="AO55" s="910"/>
      <c r="AP55" s="910"/>
      <c r="AQ55" s="584"/>
      <c r="AR55" s="592"/>
      <c r="AS55" s="909"/>
      <c r="AT55" s="910"/>
      <c r="AU55" s="910"/>
      <c r="AV55" s="910"/>
      <c r="AW55" s="584"/>
      <c r="AX55" s="592"/>
      <c r="AY55" s="909"/>
      <c r="AZ55" s="910"/>
      <c r="BA55" s="910"/>
      <c r="BB55" s="910"/>
      <c r="BC55" s="562"/>
      <c r="BD55" s="557"/>
      <c r="BE55" s="909"/>
      <c r="BF55" s="910"/>
      <c r="BG55" s="910"/>
      <c r="BH55" s="910"/>
      <c r="BI55" s="562"/>
      <c r="BJ55" s="629"/>
      <c r="BK55" s="909"/>
      <c r="BL55" s="910"/>
      <c r="BM55" s="910"/>
      <c r="BN55" s="910"/>
      <c r="BO55" s="562"/>
      <c r="BP55" s="557"/>
      <c r="BQ55" s="909"/>
      <c r="BR55" s="910"/>
      <c r="BS55" s="910"/>
      <c r="BT55" s="910"/>
      <c r="BU55" s="562"/>
      <c r="BV55" s="557"/>
      <c r="BW55" s="909"/>
      <c r="BX55" s="910"/>
      <c r="BY55" s="910"/>
      <c r="BZ55" s="910"/>
      <c r="CA55" s="562"/>
      <c r="CB55" s="557"/>
      <c r="CC55" s="909"/>
      <c r="CD55" s="910"/>
      <c r="CE55" s="910"/>
      <c r="CF55" s="910"/>
      <c r="CG55" s="562"/>
      <c r="CH55" s="557"/>
      <c r="CI55" s="909"/>
      <c r="CJ55" s="910"/>
      <c r="CK55" s="910">
        <v>1</v>
      </c>
      <c r="CL55" s="910">
        <v>1</v>
      </c>
      <c r="CM55" s="562">
        <f t="shared" ref="CM55:CM61" si="0">+CL55</f>
        <v>1</v>
      </c>
      <c r="CN55" s="557"/>
      <c r="CO55" s="909">
        <v>1</v>
      </c>
      <c r="CP55" s="910">
        <v>1</v>
      </c>
      <c r="CQ55" s="910">
        <v>1</v>
      </c>
      <c r="CR55" s="910">
        <v>1</v>
      </c>
      <c r="CS55" s="562">
        <f t="shared" ref="CS55:CS61" si="1">+CR55</f>
        <v>1</v>
      </c>
      <c r="CT55" s="557"/>
      <c r="CU55" s="909">
        <v>1</v>
      </c>
      <c r="CV55" s="910">
        <v>1</v>
      </c>
      <c r="CW55" s="910">
        <v>1</v>
      </c>
      <c r="CX55" s="910">
        <v>1</v>
      </c>
      <c r="CY55" s="562">
        <f>+CX55</f>
        <v>1</v>
      </c>
      <c r="CZ55" s="48"/>
      <c r="DA55"/>
      <c r="DB55"/>
      <c r="DC55"/>
      <c r="DD55" s="48"/>
      <c r="DE55" s="48"/>
      <c r="DF55" s="48"/>
      <c r="DG55" s="48"/>
      <c r="DH55" s="48"/>
      <c r="DI55" s="48"/>
      <c r="DJ55" s="48"/>
      <c r="DK55" s="48"/>
    </row>
    <row r="56" spans="1:115" s="5" customFormat="1" outlineLevel="1" x14ac:dyDescent="0.2">
      <c r="A56" s="205" t="s">
        <v>636</v>
      </c>
      <c r="B56" s="961"/>
      <c r="C56" s="565"/>
      <c r="D56" s="566"/>
      <c r="E56" s="566"/>
      <c r="F56" s="566"/>
      <c r="G56" s="584"/>
      <c r="H56" s="592"/>
      <c r="I56" s="565"/>
      <c r="J56" s="566"/>
      <c r="K56" s="566"/>
      <c r="L56" s="566"/>
      <c r="M56" s="584"/>
      <c r="N56" s="592"/>
      <c r="O56" s="565"/>
      <c r="P56" s="566"/>
      <c r="Q56" s="566"/>
      <c r="R56" s="566"/>
      <c r="S56" s="584"/>
      <c r="T56" s="591"/>
      <c r="U56" s="565"/>
      <c r="V56" s="566"/>
      <c r="W56" s="566"/>
      <c r="X56" s="566"/>
      <c r="Y56" s="584"/>
      <c r="Z56" s="593"/>
      <c r="AA56" s="909"/>
      <c r="AB56" s="910"/>
      <c r="AC56" s="910"/>
      <c r="AD56" s="910"/>
      <c r="AE56" s="584"/>
      <c r="AF56" s="592"/>
      <c r="AG56" s="909"/>
      <c r="AH56" s="910"/>
      <c r="AI56" s="910"/>
      <c r="AJ56" s="910"/>
      <c r="AK56" s="584"/>
      <c r="AL56" s="592"/>
      <c r="AM56" s="909"/>
      <c r="AN56" s="910"/>
      <c r="AO56" s="910"/>
      <c r="AP56" s="910"/>
      <c r="AQ56" s="584"/>
      <c r="AR56" s="592"/>
      <c r="AS56" s="909"/>
      <c r="AT56" s="910"/>
      <c r="AU56" s="910"/>
      <c r="AV56" s="910"/>
      <c r="AW56" s="584"/>
      <c r="AX56" s="592"/>
      <c r="AY56" s="909"/>
      <c r="AZ56" s="910"/>
      <c r="BA56" s="910"/>
      <c r="BB56" s="910"/>
      <c r="BC56" s="562"/>
      <c r="BD56" s="557"/>
      <c r="BE56" s="909"/>
      <c r="BF56" s="910"/>
      <c r="BG56" s="910"/>
      <c r="BH56" s="910"/>
      <c r="BI56" s="562"/>
      <c r="BJ56" s="629"/>
      <c r="BK56" s="909"/>
      <c r="BL56" s="910"/>
      <c r="BM56" s="910"/>
      <c r="BN56" s="910"/>
      <c r="BO56" s="562"/>
      <c r="BP56" s="557"/>
      <c r="BQ56" s="909"/>
      <c r="BR56" s="910"/>
      <c r="BS56" s="910"/>
      <c r="BT56" s="910"/>
      <c r="BU56" s="562"/>
      <c r="BV56" s="557"/>
      <c r="BW56" s="909"/>
      <c r="BX56" s="910"/>
      <c r="BY56" s="910"/>
      <c r="BZ56" s="910"/>
      <c r="CA56" s="562"/>
      <c r="CB56" s="557"/>
      <c r="CC56" s="909"/>
      <c r="CD56" s="910"/>
      <c r="CE56" s="910"/>
      <c r="CF56" s="910"/>
      <c r="CG56" s="562"/>
      <c r="CH56" s="557"/>
      <c r="CI56" s="909"/>
      <c r="CJ56" s="910"/>
      <c r="CK56" s="910">
        <v>0</v>
      </c>
      <c r="CL56" s="910">
        <v>0</v>
      </c>
      <c r="CM56" s="562">
        <f t="shared" si="0"/>
        <v>0</v>
      </c>
      <c r="CN56" s="557"/>
      <c r="CO56" s="909">
        <v>0</v>
      </c>
      <c r="CP56" s="910">
        <v>0</v>
      </c>
      <c r="CQ56" s="910">
        <v>0</v>
      </c>
      <c r="CR56" s="910">
        <v>0</v>
      </c>
      <c r="CS56" s="562">
        <f t="shared" si="1"/>
        <v>0</v>
      </c>
      <c r="CT56" s="557"/>
      <c r="CU56" s="909">
        <v>0</v>
      </c>
      <c r="CV56" s="910">
        <v>0</v>
      </c>
      <c r="CW56" s="910">
        <v>0</v>
      </c>
      <c r="CX56" s="910">
        <v>0</v>
      </c>
      <c r="CY56" s="562">
        <f>+CX56</f>
        <v>0</v>
      </c>
      <c r="CZ56" s="48"/>
      <c r="DA56"/>
      <c r="DB56"/>
      <c r="DC56"/>
      <c r="DD56" s="48"/>
      <c r="DE56" s="48"/>
      <c r="DF56" s="48"/>
      <c r="DG56" s="48"/>
      <c r="DH56" s="48"/>
      <c r="DI56" s="48"/>
      <c r="DJ56" s="48"/>
      <c r="DK56" s="48"/>
    </row>
    <row r="57" spans="1:115" s="5" customFormat="1" outlineLevel="1" x14ac:dyDescent="0.2">
      <c r="A57" s="205" t="s">
        <v>637</v>
      </c>
      <c r="B57" s="961"/>
      <c r="C57" s="565"/>
      <c r="D57" s="566"/>
      <c r="E57" s="566"/>
      <c r="F57" s="566"/>
      <c r="G57" s="584"/>
      <c r="H57" s="592"/>
      <c r="I57" s="565"/>
      <c r="J57" s="566"/>
      <c r="K57" s="566"/>
      <c r="L57" s="566"/>
      <c r="M57" s="584"/>
      <c r="N57" s="592"/>
      <c r="O57" s="565"/>
      <c r="P57" s="566"/>
      <c r="Q57" s="566"/>
      <c r="R57" s="566"/>
      <c r="S57" s="584"/>
      <c r="T57" s="591"/>
      <c r="U57" s="565"/>
      <c r="V57" s="566"/>
      <c r="W57" s="566"/>
      <c r="X57" s="566"/>
      <c r="Y57" s="584"/>
      <c r="Z57" s="593"/>
      <c r="AA57" s="909"/>
      <c r="AB57" s="910"/>
      <c r="AC57" s="910"/>
      <c r="AD57" s="910"/>
      <c r="AE57" s="584"/>
      <c r="AF57" s="592"/>
      <c r="AG57" s="909"/>
      <c r="AH57" s="910"/>
      <c r="AI57" s="910"/>
      <c r="AJ57" s="910"/>
      <c r="AK57" s="584"/>
      <c r="AL57" s="592"/>
      <c r="AM57" s="909"/>
      <c r="AN57" s="910"/>
      <c r="AO57" s="910"/>
      <c r="AP57" s="910"/>
      <c r="AQ57" s="584"/>
      <c r="AR57" s="592"/>
      <c r="AS57" s="909"/>
      <c r="AT57" s="910"/>
      <c r="AU57" s="910"/>
      <c r="AV57" s="910"/>
      <c r="AW57" s="584"/>
      <c r="AX57" s="592"/>
      <c r="AY57" s="909"/>
      <c r="AZ57" s="910"/>
      <c r="BA57" s="910"/>
      <c r="BB57" s="910"/>
      <c r="BC57" s="562"/>
      <c r="BD57" s="557"/>
      <c r="BE57" s="909"/>
      <c r="BF57" s="910"/>
      <c r="BG57" s="910"/>
      <c r="BH57" s="910"/>
      <c r="BI57" s="562"/>
      <c r="BJ57" s="629"/>
      <c r="BK57" s="909"/>
      <c r="BL57" s="910"/>
      <c r="BM57" s="910"/>
      <c r="BN57" s="910"/>
      <c r="BO57" s="562"/>
      <c r="BP57" s="557"/>
      <c r="BQ57" s="909"/>
      <c r="BR57" s="910"/>
      <c r="BS57" s="910"/>
      <c r="BT57" s="910"/>
      <c r="BU57" s="562"/>
      <c r="BV57" s="557"/>
      <c r="BW57" s="909"/>
      <c r="BX57" s="910"/>
      <c r="BY57" s="910"/>
      <c r="BZ57" s="910"/>
      <c r="CA57" s="562"/>
      <c r="CB57" s="557"/>
      <c r="CC57" s="909"/>
      <c r="CD57" s="910"/>
      <c r="CE57" s="910"/>
      <c r="CF57" s="910"/>
      <c r="CG57" s="562"/>
      <c r="CH57" s="557"/>
      <c r="CI57" s="909"/>
      <c r="CJ57" s="910"/>
      <c r="CK57" s="910">
        <v>0</v>
      </c>
      <c r="CL57" s="910">
        <v>0</v>
      </c>
      <c r="CM57" s="562">
        <f t="shared" si="0"/>
        <v>0</v>
      </c>
      <c r="CN57" s="557"/>
      <c r="CO57" s="909">
        <v>0</v>
      </c>
      <c r="CP57" s="910">
        <v>0</v>
      </c>
      <c r="CQ57" s="910">
        <v>0</v>
      </c>
      <c r="CR57" s="910">
        <v>0</v>
      </c>
      <c r="CS57" s="562">
        <f t="shared" si="1"/>
        <v>0</v>
      </c>
      <c r="CT57" s="557"/>
      <c r="CU57" s="909">
        <v>0</v>
      </c>
      <c r="CV57" s="910">
        <v>0</v>
      </c>
      <c r="CW57" s="910">
        <v>0</v>
      </c>
      <c r="CX57" s="910">
        <v>0</v>
      </c>
      <c r="CY57" s="562">
        <f>+CX57</f>
        <v>0</v>
      </c>
      <c r="CZ57" s="48"/>
      <c r="DA57"/>
      <c r="DB57"/>
      <c r="DC57"/>
      <c r="DD57" s="48"/>
      <c r="DE57" s="48"/>
      <c r="DF57" s="48"/>
      <c r="DG57" s="48"/>
      <c r="DH57" s="48"/>
      <c r="DI57" s="48"/>
      <c r="DJ57" s="48"/>
      <c r="DK57" s="48"/>
    </row>
    <row r="58" spans="1:115" s="5" customFormat="1" outlineLevel="1" x14ac:dyDescent="0.2">
      <c r="A58" s="205" t="s">
        <v>638</v>
      </c>
      <c r="B58" s="961"/>
      <c r="C58" s="565"/>
      <c r="D58" s="566"/>
      <c r="E58" s="566"/>
      <c r="F58" s="566"/>
      <c r="G58" s="584"/>
      <c r="H58" s="592"/>
      <c r="I58" s="565"/>
      <c r="J58" s="566"/>
      <c r="K58" s="566"/>
      <c r="L58" s="566"/>
      <c r="M58" s="584"/>
      <c r="N58" s="592"/>
      <c r="O58" s="565"/>
      <c r="P58" s="566"/>
      <c r="Q58" s="566"/>
      <c r="R58" s="566"/>
      <c r="S58" s="584"/>
      <c r="T58" s="591"/>
      <c r="U58" s="565"/>
      <c r="V58" s="566"/>
      <c r="W58" s="566"/>
      <c r="X58" s="566"/>
      <c r="Y58" s="584"/>
      <c r="Z58" s="593"/>
      <c r="AA58" s="909"/>
      <c r="AB58" s="910"/>
      <c r="AC58" s="910"/>
      <c r="AD58" s="910"/>
      <c r="AE58" s="584"/>
      <c r="AF58" s="592"/>
      <c r="AG58" s="909"/>
      <c r="AH58" s="910"/>
      <c r="AI58" s="910"/>
      <c r="AJ58" s="910"/>
      <c r="AK58" s="584"/>
      <c r="AL58" s="592"/>
      <c r="AM58" s="909"/>
      <c r="AN58" s="910"/>
      <c r="AO58" s="910"/>
      <c r="AP58" s="910"/>
      <c r="AQ58" s="584"/>
      <c r="AR58" s="592"/>
      <c r="AS58" s="909"/>
      <c r="AT58" s="910"/>
      <c r="AU58" s="910"/>
      <c r="AV58" s="910"/>
      <c r="AW58" s="584"/>
      <c r="AX58" s="592"/>
      <c r="AY58" s="909"/>
      <c r="AZ58" s="910"/>
      <c r="BA58" s="910"/>
      <c r="BB58" s="910"/>
      <c r="BC58" s="562"/>
      <c r="BD58" s="557"/>
      <c r="BE58" s="909"/>
      <c r="BF58" s="910"/>
      <c r="BG58" s="910"/>
      <c r="BH58" s="910"/>
      <c r="BI58" s="562"/>
      <c r="BJ58" s="629"/>
      <c r="BK58" s="909"/>
      <c r="BL58" s="910"/>
      <c r="BM58" s="910"/>
      <c r="BN58" s="910"/>
      <c r="BO58" s="562"/>
      <c r="BP58" s="557"/>
      <c r="BQ58" s="909"/>
      <c r="BR58" s="910"/>
      <c r="BS58" s="910"/>
      <c r="BT58" s="910"/>
      <c r="BU58" s="562"/>
      <c r="BV58" s="557"/>
      <c r="BW58" s="909"/>
      <c r="BX58" s="910"/>
      <c r="BY58" s="910"/>
      <c r="BZ58" s="910"/>
      <c r="CA58" s="562"/>
      <c r="CB58" s="557"/>
      <c r="CC58" s="909"/>
      <c r="CD58" s="910"/>
      <c r="CE58" s="910"/>
      <c r="CF58" s="910"/>
      <c r="CG58" s="562"/>
      <c r="CH58" s="557"/>
      <c r="CI58" s="909"/>
      <c r="CJ58" s="910"/>
      <c r="CK58" s="910">
        <v>0</v>
      </c>
      <c r="CL58" s="910">
        <v>0</v>
      </c>
      <c r="CM58" s="562">
        <f t="shared" si="0"/>
        <v>0</v>
      </c>
      <c r="CN58" s="557"/>
      <c r="CO58" s="909">
        <v>0</v>
      </c>
      <c r="CP58" s="910">
        <v>0</v>
      </c>
      <c r="CQ58" s="910">
        <v>0</v>
      </c>
      <c r="CR58" s="910">
        <v>0</v>
      </c>
      <c r="CS58" s="562">
        <f t="shared" si="1"/>
        <v>0</v>
      </c>
      <c r="CT58" s="557"/>
      <c r="CU58" s="909">
        <v>0</v>
      </c>
      <c r="CV58" s="910">
        <v>0</v>
      </c>
      <c r="CW58" s="910">
        <v>0</v>
      </c>
      <c r="CX58" s="910">
        <v>0</v>
      </c>
      <c r="CY58" s="562">
        <f>+CX58</f>
        <v>0</v>
      </c>
      <c r="CZ58" s="48"/>
      <c r="DA58"/>
      <c r="DB58"/>
      <c r="DC58"/>
      <c r="DD58" s="48"/>
      <c r="DE58" s="48"/>
      <c r="DF58" s="48"/>
      <c r="DG58" s="48"/>
      <c r="DH58" s="48"/>
      <c r="DI58" s="48"/>
      <c r="DJ58" s="48"/>
      <c r="DK58" s="48"/>
    </row>
    <row r="59" spans="1:115" s="2149" customFormat="1" outlineLevel="1" x14ac:dyDescent="0.2">
      <c r="A59" s="2144" t="s">
        <v>724</v>
      </c>
      <c r="B59" s="2129"/>
      <c r="C59" s="566"/>
      <c r="D59" s="566"/>
      <c r="E59" s="566"/>
      <c r="F59" s="566"/>
      <c r="G59" s="2130"/>
      <c r="H59" s="592"/>
      <c r="I59" s="2131"/>
      <c r="J59" s="566"/>
      <c r="K59" s="566"/>
      <c r="L59" s="566"/>
      <c r="M59" s="2130"/>
      <c r="N59" s="592"/>
      <c r="O59" s="2131"/>
      <c r="P59" s="566"/>
      <c r="Q59" s="566"/>
      <c r="R59" s="566"/>
      <c r="S59" s="2137"/>
      <c r="T59" s="591"/>
      <c r="U59" s="2131"/>
      <c r="V59" s="566"/>
      <c r="W59" s="566"/>
      <c r="X59" s="566"/>
      <c r="Y59" s="2137"/>
      <c r="Z59" s="593"/>
      <c r="AA59" s="2132"/>
      <c r="AB59" s="910"/>
      <c r="AC59" s="910"/>
      <c r="AD59" s="910"/>
      <c r="AE59" s="2130"/>
      <c r="AF59" s="592"/>
      <c r="AG59" s="2132"/>
      <c r="AH59" s="910"/>
      <c r="AI59" s="910"/>
      <c r="AJ59" s="910"/>
      <c r="AK59" s="2130"/>
      <c r="AL59" s="592"/>
      <c r="AM59" s="2132"/>
      <c r="AN59" s="910"/>
      <c r="AO59" s="910"/>
      <c r="AP59" s="910"/>
      <c r="AQ59" s="2130"/>
      <c r="AR59" s="592"/>
      <c r="AS59" s="2132"/>
      <c r="AT59" s="910"/>
      <c r="AU59" s="910"/>
      <c r="AV59" s="910"/>
      <c r="AW59" s="2130"/>
      <c r="AX59" s="592"/>
      <c r="AY59" s="2132"/>
      <c r="AZ59" s="910"/>
      <c r="BA59" s="910"/>
      <c r="BB59" s="910"/>
      <c r="BC59" s="2138"/>
      <c r="BD59" s="557"/>
      <c r="BE59" s="2132"/>
      <c r="BF59" s="910"/>
      <c r="BG59" s="910"/>
      <c r="BH59" s="910"/>
      <c r="BI59" s="2138"/>
      <c r="BJ59" s="2139"/>
      <c r="BK59" s="2132"/>
      <c r="BL59" s="910"/>
      <c r="BM59" s="910"/>
      <c r="BN59" s="910"/>
      <c r="BO59" s="2138"/>
      <c r="BP59" s="557"/>
      <c r="BQ59" s="2132"/>
      <c r="BR59" s="910"/>
      <c r="BS59" s="910"/>
      <c r="BT59" s="910"/>
      <c r="BU59" s="2138"/>
      <c r="BV59" s="557"/>
      <c r="BW59" s="2132"/>
      <c r="BX59" s="910"/>
      <c r="BY59" s="910"/>
      <c r="BZ59" s="910"/>
      <c r="CA59" s="2138"/>
      <c r="CB59" s="557"/>
      <c r="CC59" s="2132"/>
      <c r="CD59" s="910"/>
      <c r="CE59" s="910"/>
      <c r="CF59" s="910"/>
      <c r="CG59" s="2138"/>
      <c r="CH59" s="557"/>
      <c r="CI59" s="2132"/>
      <c r="CJ59" s="910"/>
      <c r="CK59" s="2150">
        <v>45</v>
      </c>
      <c r="CL59" s="2135">
        <f>+CK59</f>
        <v>45</v>
      </c>
      <c r="CM59" s="2146">
        <f t="shared" si="0"/>
        <v>45</v>
      </c>
      <c r="CN59" s="2135"/>
      <c r="CO59" s="2147">
        <f>+CM59-2</f>
        <v>43</v>
      </c>
      <c r="CP59" s="2135">
        <f t="shared" ref="CP59:CR60" si="2">+CO59</f>
        <v>43</v>
      </c>
      <c r="CQ59" s="2135">
        <f t="shared" si="2"/>
        <v>43</v>
      </c>
      <c r="CR59" s="2135">
        <f t="shared" si="2"/>
        <v>43</v>
      </c>
      <c r="CS59" s="2146">
        <f t="shared" si="1"/>
        <v>43</v>
      </c>
      <c r="CT59" s="2135"/>
      <c r="CU59" s="2147">
        <f t="shared" ref="CU59" si="3">+CS59-2</f>
        <v>41</v>
      </c>
      <c r="CV59" s="2135">
        <f t="shared" ref="CV59:CY59" si="4">+CU59</f>
        <v>41</v>
      </c>
      <c r="CW59" s="2135">
        <f t="shared" si="4"/>
        <v>41</v>
      </c>
      <c r="CX59" s="2135">
        <f t="shared" si="4"/>
        <v>41</v>
      </c>
      <c r="CY59" s="2146">
        <f t="shared" si="4"/>
        <v>41</v>
      </c>
      <c r="CZ59" s="2145"/>
      <c r="DA59" s="2148"/>
      <c r="DB59" s="2148"/>
      <c r="DC59" s="2148"/>
      <c r="DD59" s="2145"/>
      <c r="DE59" s="2145"/>
      <c r="DF59" s="2145"/>
      <c r="DG59" s="2145"/>
      <c r="DH59" s="2145"/>
      <c r="DI59" s="2145"/>
      <c r="DJ59" s="2145"/>
      <c r="DK59" s="2145"/>
    </row>
    <row r="60" spans="1:115" s="5" customFormat="1" x14ac:dyDescent="0.2">
      <c r="A60" s="354" t="s">
        <v>723</v>
      </c>
      <c r="B60" s="961"/>
      <c r="C60" s="566"/>
      <c r="D60" s="566"/>
      <c r="E60" s="566"/>
      <c r="F60" s="566"/>
      <c r="G60" s="584"/>
      <c r="H60" s="592"/>
      <c r="I60" s="565"/>
      <c r="J60" s="566"/>
      <c r="K60" s="566"/>
      <c r="L60" s="566"/>
      <c r="M60" s="584"/>
      <c r="N60" s="592"/>
      <c r="O60" s="565"/>
      <c r="P60" s="566"/>
      <c r="Q60" s="566"/>
      <c r="R60" s="566"/>
      <c r="S60" s="694"/>
      <c r="T60" s="591"/>
      <c r="U60" s="565"/>
      <c r="V60" s="566"/>
      <c r="W60" s="566"/>
      <c r="X60" s="566"/>
      <c r="Y60" s="694"/>
      <c r="Z60" s="593"/>
      <c r="AA60" s="909"/>
      <c r="AB60" s="910"/>
      <c r="AC60" s="910"/>
      <c r="AD60" s="910"/>
      <c r="AE60" s="584"/>
      <c r="AF60" s="592"/>
      <c r="AG60" s="909"/>
      <c r="AH60" s="910"/>
      <c r="AI60" s="910"/>
      <c r="AJ60" s="910"/>
      <c r="AK60" s="584"/>
      <c r="AL60" s="592"/>
      <c r="AM60" s="909"/>
      <c r="AN60" s="910"/>
      <c r="AO60" s="910"/>
      <c r="AP60" s="910"/>
      <c r="AQ60" s="584"/>
      <c r="AR60" s="592"/>
      <c r="AS60" s="909"/>
      <c r="AT60" s="910"/>
      <c r="AU60" s="910"/>
      <c r="AV60" s="910"/>
      <c r="AW60" s="584"/>
      <c r="AX60" s="592"/>
      <c r="AY60" s="909"/>
      <c r="AZ60" s="910"/>
      <c r="BA60" s="910"/>
      <c r="BB60" s="910"/>
      <c r="BC60" s="562"/>
      <c r="BD60" s="557"/>
      <c r="BE60" s="909"/>
      <c r="BF60" s="910"/>
      <c r="BG60" s="910"/>
      <c r="BH60" s="910"/>
      <c r="BI60" s="580"/>
      <c r="BJ60" s="629"/>
      <c r="BK60" s="1211"/>
      <c r="BL60" s="1212"/>
      <c r="BM60" s="1212"/>
      <c r="BN60" s="1212"/>
      <c r="BO60" s="580"/>
      <c r="BP60" s="1279"/>
      <c r="BQ60" s="1214"/>
      <c r="BR60" s="1103"/>
      <c r="BS60" s="1103"/>
      <c r="BT60" s="1103"/>
      <c r="BU60" s="580"/>
      <c r="BV60" s="1279"/>
      <c r="BW60" s="1214"/>
      <c r="BX60" s="1103"/>
      <c r="BY60" s="1103"/>
      <c r="BZ60" s="1103"/>
      <c r="CA60" s="580"/>
      <c r="CB60" s="1279"/>
      <c r="CC60" s="1214"/>
      <c r="CD60" s="1103"/>
      <c r="CE60" s="1103"/>
      <c r="CF60" s="1103"/>
      <c r="CG60" s="580"/>
      <c r="CH60" s="1279"/>
      <c r="CI60" s="1214"/>
      <c r="CJ60" s="1103"/>
      <c r="CK60" s="2151">
        <v>30</v>
      </c>
      <c r="CL60" s="1130">
        <v>35</v>
      </c>
      <c r="CM60" s="2143">
        <f t="shared" si="0"/>
        <v>35</v>
      </c>
      <c r="CN60" s="1130"/>
      <c r="CO60" s="1133">
        <v>35</v>
      </c>
      <c r="CP60" s="1129">
        <f t="shared" si="2"/>
        <v>35</v>
      </c>
      <c r="CQ60" s="1129">
        <f t="shared" si="2"/>
        <v>35</v>
      </c>
      <c r="CR60" s="1129">
        <f t="shared" si="2"/>
        <v>35</v>
      </c>
      <c r="CS60" s="2143">
        <f t="shared" si="1"/>
        <v>35</v>
      </c>
      <c r="CT60" s="1130"/>
      <c r="CU60" s="1128">
        <f>+CO60+10</f>
        <v>45</v>
      </c>
      <c r="CV60" s="1129">
        <f t="shared" ref="CV60:CY60" si="5">+CU60</f>
        <v>45</v>
      </c>
      <c r="CW60" s="1129">
        <f t="shared" si="5"/>
        <v>45</v>
      </c>
      <c r="CX60" s="1129">
        <f t="shared" si="5"/>
        <v>45</v>
      </c>
      <c r="CY60" s="2143">
        <f t="shared" si="5"/>
        <v>45</v>
      </c>
      <c r="CZ60" s="48"/>
      <c r="DA60"/>
      <c r="DB60"/>
      <c r="DC60"/>
      <c r="DD60" s="48"/>
      <c r="DE60" s="48"/>
      <c r="DF60" s="48"/>
      <c r="DG60" s="48"/>
      <c r="DH60" s="48"/>
      <c r="DI60" s="48"/>
      <c r="DJ60" s="48"/>
      <c r="DK60" s="48"/>
    </row>
    <row r="61" spans="1:115" s="5" customFormat="1" x14ac:dyDescent="0.2">
      <c r="A61" s="432" t="s">
        <v>721</v>
      </c>
      <c r="B61" s="961"/>
      <c r="C61" s="566"/>
      <c r="D61" s="566"/>
      <c r="E61" s="566"/>
      <c r="F61" s="566"/>
      <c r="G61" s="584"/>
      <c r="H61" s="592"/>
      <c r="I61" s="565"/>
      <c r="J61" s="566"/>
      <c r="K61" s="566"/>
      <c r="L61" s="566"/>
      <c r="M61" s="584"/>
      <c r="N61" s="592"/>
      <c r="O61" s="565"/>
      <c r="P61" s="566"/>
      <c r="Q61" s="566"/>
      <c r="R61" s="566"/>
      <c r="S61" s="694"/>
      <c r="T61" s="591"/>
      <c r="U61" s="565"/>
      <c r="V61" s="566"/>
      <c r="W61" s="566"/>
      <c r="X61" s="566"/>
      <c r="Y61" s="694"/>
      <c r="Z61" s="593"/>
      <c r="AA61" s="909"/>
      <c r="AB61" s="910"/>
      <c r="AC61" s="910"/>
      <c r="AD61" s="910"/>
      <c r="AE61" s="584"/>
      <c r="AF61" s="592"/>
      <c r="AG61" s="909"/>
      <c r="AH61" s="910"/>
      <c r="AI61" s="910"/>
      <c r="AJ61" s="910"/>
      <c r="AK61" s="584"/>
      <c r="AL61" s="592"/>
      <c r="AM61" s="909"/>
      <c r="AN61" s="910"/>
      <c r="AO61" s="910"/>
      <c r="AP61" s="910"/>
      <c r="AQ61" s="584"/>
      <c r="AR61" s="592"/>
      <c r="AS61" s="909"/>
      <c r="AT61" s="910"/>
      <c r="AU61" s="910"/>
      <c r="AV61" s="910"/>
      <c r="AW61" s="584"/>
      <c r="AX61" s="592"/>
      <c r="AY61" s="909"/>
      <c r="AZ61" s="910"/>
      <c r="BA61" s="910"/>
      <c r="BB61" s="910"/>
      <c r="BC61" s="562"/>
      <c r="BD61" s="557"/>
      <c r="BE61" s="909"/>
      <c r="BF61" s="910"/>
      <c r="BG61" s="910"/>
      <c r="BH61" s="910"/>
      <c r="BI61" s="562"/>
      <c r="BJ61" s="629"/>
      <c r="BK61" s="909"/>
      <c r="BL61" s="910"/>
      <c r="BM61" s="910"/>
      <c r="BN61" s="910"/>
      <c r="BO61" s="562"/>
      <c r="BP61" s="557"/>
      <c r="BQ61" s="1115"/>
      <c r="BR61" s="1114"/>
      <c r="BS61" s="1114"/>
      <c r="BT61" s="1114"/>
      <c r="BU61" s="707"/>
      <c r="BV61" s="557"/>
      <c r="BW61" s="1115"/>
      <c r="BX61" s="1114"/>
      <c r="BY61" s="1114"/>
      <c r="BZ61" s="1114"/>
      <c r="CA61" s="707"/>
      <c r="CB61" s="557"/>
      <c r="CC61" s="1115"/>
      <c r="CD61" s="1114"/>
      <c r="CE61" s="1114"/>
      <c r="CF61" s="1114"/>
      <c r="CG61" s="707"/>
      <c r="CH61" s="557"/>
      <c r="CI61" s="1133"/>
      <c r="CJ61" s="1130"/>
      <c r="CK61" s="1129">
        <f>+CK60</f>
        <v>30</v>
      </c>
      <c r="CL61" s="1129">
        <f>+CK61+CL60</f>
        <v>65</v>
      </c>
      <c r="CM61" s="2143">
        <f t="shared" si="0"/>
        <v>65</v>
      </c>
      <c r="CN61" s="1130"/>
      <c r="CO61" s="1128">
        <f>+CM61+CO60</f>
        <v>100</v>
      </c>
      <c r="CP61" s="1129">
        <f>+CO61+CP60</f>
        <v>135</v>
      </c>
      <c r="CQ61" s="1129">
        <f>+CP61+CQ60</f>
        <v>170</v>
      </c>
      <c r="CR61" s="1129">
        <f>+CQ61+CR60</f>
        <v>205</v>
      </c>
      <c r="CS61" s="2143">
        <f t="shared" si="1"/>
        <v>205</v>
      </c>
      <c r="CT61" s="1130"/>
      <c r="CU61" s="1128">
        <f t="shared" ref="CU61" si="6">+CS61+CU60</f>
        <v>250</v>
      </c>
      <c r="CV61" s="1129">
        <f t="shared" ref="CV61:CX61" si="7">+CU61+CV60</f>
        <v>295</v>
      </c>
      <c r="CW61" s="1129">
        <f t="shared" si="7"/>
        <v>340</v>
      </c>
      <c r="CX61" s="1129">
        <f t="shared" si="7"/>
        <v>385</v>
      </c>
      <c r="CY61" s="2143">
        <f t="shared" ref="CY61" si="8">+CX61</f>
        <v>385</v>
      </c>
      <c r="CZ61" s="48"/>
      <c r="DA61"/>
      <c r="DB61"/>
      <c r="DC61"/>
      <c r="DD61" s="48"/>
      <c r="DE61" s="48"/>
      <c r="DF61" s="48"/>
      <c r="DG61" s="48"/>
      <c r="DH61" s="48"/>
      <c r="DI61" s="48"/>
      <c r="DJ61" s="48"/>
      <c r="DK61" s="48"/>
    </row>
    <row r="62" spans="1:115" s="5" customFormat="1" x14ac:dyDescent="0.2">
      <c r="A62" s="205" t="s">
        <v>639</v>
      </c>
      <c r="B62" s="2129"/>
      <c r="C62" s="566"/>
      <c r="D62" s="566"/>
      <c r="E62" s="566"/>
      <c r="F62" s="566"/>
      <c r="G62" s="2130"/>
      <c r="H62" s="592"/>
      <c r="I62" s="2131"/>
      <c r="J62" s="566"/>
      <c r="K62" s="566"/>
      <c r="L62" s="566"/>
      <c r="M62" s="2130"/>
      <c r="N62" s="592"/>
      <c r="O62" s="2131"/>
      <c r="P62" s="566"/>
      <c r="Q62" s="566"/>
      <c r="R62" s="566"/>
      <c r="S62" s="2137"/>
      <c r="T62" s="591"/>
      <c r="U62" s="2131"/>
      <c r="V62" s="566"/>
      <c r="W62" s="566"/>
      <c r="X62" s="566"/>
      <c r="Y62" s="2137"/>
      <c r="Z62" s="593"/>
      <c r="AA62" s="2132"/>
      <c r="AB62" s="910"/>
      <c r="AC62" s="910"/>
      <c r="AD62" s="910"/>
      <c r="AE62" s="2130"/>
      <c r="AF62" s="592"/>
      <c r="AG62" s="2132"/>
      <c r="AH62" s="910"/>
      <c r="AI62" s="910"/>
      <c r="AJ62" s="910"/>
      <c r="AK62" s="2130"/>
      <c r="AL62" s="592"/>
      <c r="AM62" s="2132"/>
      <c r="AN62" s="910"/>
      <c r="AO62" s="910"/>
      <c r="AP62" s="910"/>
      <c r="AQ62" s="2130"/>
      <c r="AR62" s="592"/>
      <c r="AS62" s="2132"/>
      <c r="AT62" s="910"/>
      <c r="AU62" s="910"/>
      <c r="AV62" s="910"/>
      <c r="AW62" s="2130"/>
      <c r="AX62" s="592"/>
      <c r="AY62" s="2132"/>
      <c r="AZ62" s="910"/>
      <c r="BA62" s="910"/>
      <c r="BB62" s="910"/>
      <c r="BC62" s="2138"/>
      <c r="BD62" s="557"/>
      <c r="BE62" s="2132"/>
      <c r="BF62" s="910"/>
      <c r="BG62" s="910"/>
      <c r="BH62" s="910"/>
      <c r="BI62" s="2138"/>
      <c r="BJ62" s="2139"/>
      <c r="BK62" s="2132"/>
      <c r="BL62" s="910"/>
      <c r="BM62" s="910"/>
      <c r="BN62" s="910"/>
      <c r="BO62" s="2138"/>
      <c r="BP62" s="557"/>
      <c r="BQ62" s="2140"/>
      <c r="BR62" s="1114"/>
      <c r="BS62" s="1114"/>
      <c r="BT62" s="1114"/>
      <c r="BU62" s="2134"/>
      <c r="BV62" s="557"/>
      <c r="BW62" s="2140"/>
      <c r="BX62" s="1114"/>
      <c r="BY62" s="1114"/>
      <c r="BZ62" s="1114"/>
      <c r="CA62" s="2134"/>
      <c r="CB62" s="557"/>
      <c r="CC62" s="2140"/>
      <c r="CD62" s="1114"/>
      <c r="CE62" s="1114"/>
      <c r="CF62" s="1114"/>
      <c r="CG62" s="2134"/>
      <c r="CH62" s="557"/>
      <c r="CI62" s="2141"/>
      <c r="CJ62" s="2136"/>
      <c r="CK62" s="2136"/>
      <c r="CL62" s="2136"/>
      <c r="CM62" s="2142"/>
      <c r="CN62" s="2136"/>
      <c r="CO62" s="2141"/>
      <c r="CP62" s="2136"/>
      <c r="CQ62" s="587">
        <f>+CQ61/CK61-1</f>
        <v>4.666666666666667</v>
      </c>
      <c r="CR62" s="587">
        <f>+CR61/CL61-1</f>
        <v>2.1538461538461537</v>
      </c>
      <c r="CS62" s="707">
        <f>CS61/CM61-1</f>
        <v>2.1538461538461537</v>
      </c>
      <c r="CT62" s="592"/>
      <c r="CU62" s="586">
        <f>+CU61/CO61-1</f>
        <v>1.5</v>
      </c>
      <c r="CV62" s="587">
        <f>+CV61/CP61-1</f>
        <v>1.1851851851851851</v>
      </c>
      <c r="CW62" s="587">
        <f>+CW61/CQ61-1</f>
        <v>1</v>
      </c>
      <c r="CX62" s="587">
        <f>+CX61/CR61-1</f>
        <v>0.87804878048780477</v>
      </c>
      <c r="CY62" s="707">
        <f>CY61/CS61-1</f>
        <v>0.87804878048780477</v>
      </c>
      <c r="CZ62" s="48"/>
      <c r="DA62"/>
      <c r="DB62"/>
      <c r="DC62"/>
      <c r="DD62" s="48"/>
      <c r="DE62" s="48"/>
      <c r="DF62" s="48"/>
      <c r="DG62" s="48"/>
      <c r="DH62" s="48"/>
      <c r="DI62" s="48"/>
      <c r="DJ62" s="48"/>
      <c r="DK62" s="48"/>
    </row>
    <row r="63" spans="1:115" s="5" customFormat="1" x14ac:dyDescent="0.2">
      <c r="A63" s="205" t="s">
        <v>227</v>
      </c>
      <c r="B63" s="2129"/>
      <c r="C63" s="566"/>
      <c r="D63" s="566"/>
      <c r="E63" s="566"/>
      <c r="F63" s="566"/>
      <c r="G63" s="2130"/>
      <c r="H63" s="592"/>
      <c r="I63" s="2131"/>
      <c r="J63" s="566"/>
      <c r="K63" s="566"/>
      <c r="L63" s="566"/>
      <c r="M63" s="2130"/>
      <c r="N63" s="592"/>
      <c r="O63" s="2131"/>
      <c r="P63" s="566"/>
      <c r="Q63" s="566"/>
      <c r="R63" s="566"/>
      <c r="S63" s="2137"/>
      <c r="T63" s="591"/>
      <c r="U63" s="2131"/>
      <c r="V63" s="566"/>
      <c r="W63" s="566"/>
      <c r="X63" s="566"/>
      <c r="Y63" s="2137"/>
      <c r="Z63" s="593"/>
      <c r="AA63" s="2132"/>
      <c r="AB63" s="910"/>
      <c r="AC63" s="910"/>
      <c r="AD63" s="910"/>
      <c r="AE63" s="2130"/>
      <c r="AF63" s="592"/>
      <c r="AG63" s="2132"/>
      <c r="AH63" s="910"/>
      <c r="AI63" s="910"/>
      <c r="AJ63" s="910"/>
      <c r="AK63" s="2130"/>
      <c r="AL63" s="592"/>
      <c r="AM63" s="2132"/>
      <c r="AN63" s="910"/>
      <c r="AO63" s="910"/>
      <c r="AP63" s="910"/>
      <c r="AQ63" s="2130"/>
      <c r="AR63" s="592"/>
      <c r="AS63" s="2132"/>
      <c r="AT63" s="910"/>
      <c r="AU63" s="910"/>
      <c r="AV63" s="910"/>
      <c r="AW63" s="2130"/>
      <c r="AX63" s="592"/>
      <c r="AY63" s="2132"/>
      <c r="AZ63" s="910"/>
      <c r="BA63" s="910"/>
      <c r="BB63" s="910"/>
      <c r="BC63" s="2138"/>
      <c r="BD63" s="557"/>
      <c r="BE63" s="2132"/>
      <c r="BF63" s="910"/>
      <c r="BG63" s="910"/>
      <c r="BH63" s="910"/>
      <c r="BI63" s="2138"/>
      <c r="BJ63" s="2139"/>
      <c r="BK63" s="2132"/>
      <c r="BL63" s="910"/>
      <c r="BM63" s="910"/>
      <c r="BN63" s="910"/>
      <c r="BO63" s="2138"/>
      <c r="BP63" s="557"/>
      <c r="BQ63" s="2140"/>
      <c r="BR63" s="1114"/>
      <c r="BS63" s="1114"/>
      <c r="BT63" s="1114"/>
      <c r="BU63" s="2134"/>
      <c r="BV63" s="557"/>
      <c r="BW63" s="2140"/>
      <c r="BX63" s="1114"/>
      <c r="BY63" s="1114"/>
      <c r="BZ63" s="1114"/>
      <c r="CA63" s="2134"/>
      <c r="CB63" s="557"/>
      <c r="CC63" s="2140"/>
      <c r="CD63" s="1114"/>
      <c r="CE63" s="1114"/>
      <c r="CF63" s="1114"/>
      <c r="CG63" s="2134"/>
      <c r="CH63" s="557"/>
      <c r="CI63" s="2141"/>
      <c r="CJ63" s="2136"/>
      <c r="CK63" s="2136"/>
      <c r="CL63" s="2136"/>
      <c r="CM63" s="2142"/>
      <c r="CN63" s="2136"/>
      <c r="CO63" s="2141"/>
      <c r="CP63" s="2136"/>
      <c r="CQ63" s="1110">
        <f>+CQ62-+AVERAGE(RevBuild!CQ$34)</f>
        <v>4.666666666666667</v>
      </c>
      <c r="CR63" s="1110">
        <f>+CR62-+AVERAGE(RevBuild!CR$34)</f>
        <v>2.1538461538461537</v>
      </c>
      <c r="CS63" s="1259">
        <f>+CS62-+AVERAGE(RevBuild!CS$34)</f>
        <v>2.1538461538461537</v>
      </c>
      <c r="CT63" s="592"/>
      <c r="CU63" s="1109">
        <f>+CU62-+AVERAGE(RevBuild!CU$34)</f>
        <v>1.5</v>
      </c>
      <c r="CV63" s="1110">
        <f>+CV62-+AVERAGE(RevBuild!CV$34)</f>
        <v>1.1851851851851851</v>
      </c>
      <c r="CW63" s="1110">
        <f>+CW62-+AVERAGE(RevBuild!CW$34)</f>
        <v>1</v>
      </c>
      <c r="CX63" s="1110">
        <f>+CX62-+AVERAGE(RevBuild!CX$34)</f>
        <v>0.87804878048780477</v>
      </c>
      <c r="CY63" s="1259">
        <f>+CY62-+AVERAGE(RevBuild!CY$34)</f>
        <v>0.87804878048780477</v>
      </c>
      <c r="CZ63" s="48"/>
      <c r="DA63"/>
      <c r="DB63"/>
      <c r="DC63"/>
      <c r="DD63" s="48"/>
      <c r="DE63" s="48"/>
      <c r="DF63" s="48"/>
      <c r="DG63" s="48"/>
      <c r="DH63" s="48"/>
      <c r="DI63" s="48"/>
      <c r="DJ63" s="48"/>
      <c r="DK63" s="48"/>
    </row>
    <row r="64" spans="1:115" s="5" customFormat="1" x14ac:dyDescent="0.2">
      <c r="A64" s="354" t="s">
        <v>722</v>
      </c>
      <c r="B64" s="2129"/>
      <c r="C64" s="566"/>
      <c r="D64" s="566"/>
      <c r="E64" s="566"/>
      <c r="F64" s="566"/>
      <c r="G64" s="2130"/>
      <c r="H64" s="592"/>
      <c r="I64" s="2131"/>
      <c r="J64" s="566"/>
      <c r="K64" s="566"/>
      <c r="L64" s="566"/>
      <c r="M64" s="2130"/>
      <c r="N64" s="592"/>
      <c r="O64" s="2131"/>
      <c r="P64" s="566"/>
      <c r="Q64" s="566"/>
      <c r="R64" s="566"/>
      <c r="S64" s="2137"/>
      <c r="T64" s="591"/>
      <c r="U64" s="2131"/>
      <c r="V64" s="566"/>
      <c r="W64" s="566"/>
      <c r="X64" s="566"/>
      <c r="Y64" s="2137"/>
      <c r="Z64" s="593"/>
      <c r="AA64" s="2132"/>
      <c r="AB64" s="910"/>
      <c r="AC64" s="910"/>
      <c r="AD64" s="910"/>
      <c r="AE64" s="2130"/>
      <c r="AF64" s="592"/>
      <c r="AG64" s="2132"/>
      <c r="AH64" s="910"/>
      <c r="AI64" s="910"/>
      <c r="AJ64" s="910"/>
      <c r="AK64" s="2130"/>
      <c r="AL64" s="592"/>
      <c r="AM64" s="2132"/>
      <c r="AN64" s="910"/>
      <c r="AO64" s="910"/>
      <c r="AP64" s="910"/>
      <c r="AQ64" s="2130"/>
      <c r="AR64" s="592"/>
      <c r="AS64" s="2132"/>
      <c r="AT64" s="910"/>
      <c r="AU64" s="910"/>
      <c r="AV64" s="910"/>
      <c r="AW64" s="2130"/>
      <c r="AX64" s="592"/>
      <c r="AY64" s="2132"/>
      <c r="AZ64" s="910"/>
      <c r="BA64" s="910"/>
      <c r="BB64" s="910"/>
      <c r="BC64" s="2138"/>
      <c r="BD64" s="557"/>
      <c r="BE64" s="2132"/>
      <c r="BF64" s="910"/>
      <c r="BG64" s="910"/>
      <c r="BH64" s="910"/>
      <c r="BI64" s="2138"/>
      <c r="BJ64" s="2139"/>
      <c r="BK64" s="2132"/>
      <c r="BL64" s="910"/>
      <c r="BM64" s="910"/>
      <c r="BN64" s="910"/>
      <c r="BO64" s="2138"/>
      <c r="BP64" s="557"/>
      <c r="BQ64" s="2140"/>
      <c r="BR64" s="1114"/>
      <c r="BS64" s="1114"/>
      <c r="BT64" s="1114"/>
      <c r="BU64" s="2134"/>
      <c r="BV64" s="557"/>
      <c r="BW64" s="2140"/>
      <c r="BX64" s="1114"/>
      <c r="BY64" s="1114"/>
      <c r="BZ64" s="1114"/>
      <c r="CA64" s="2134"/>
      <c r="CB64" s="557"/>
      <c r="CC64" s="2140"/>
      <c r="CD64" s="1114"/>
      <c r="CE64" s="1114"/>
      <c r="CF64" s="1114"/>
      <c r="CG64" s="2134"/>
      <c r="CH64" s="557"/>
      <c r="CI64" s="2141"/>
      <c r="CJ64" s="2136"/>
      <c r="CK64" s="2152">
        <v>20</v>
      </c>
      <c r="CL64" s="2136">
        <v>30</v>
      </c>
      <c r="CM64" s="2142">
        <f>+AVERAGE(CI64:CL64)</f>
        <v>25</v>
      </c>
      <c r="CN64" s="2136"/>
      <c r="CO64" s="2141">
        <v>20</v>
      </c>
      <c r="CP64" s="2136">
        <v>40</v>
      </c>
      <c r="CQ64" s="2136">
        <v>40</v>
      </c>
      <c r="CR64" s="2136">
        <v>40</v>
      </c>
      <c r="CS64" s="2142">
        <f>+AVERAGE(CO64:CR64)</f>
        <v>35</v>
      </c>
      <c r="CT64" s="2136"/>
      <c r="CU64" s="2141">
        <f>+CR64</f>
        <v>40</v>
      </c>
      <c r="CV64" s="2136">
        <f>+CU64</f>
        <v>40</v>
      </c>
      <c r="CW64" s="2136">
        <f>+CV64</f>
        <v>40</v>
      </c>
      <c r="CX64" s="2136">
        <f>+CW64</f>
        <v>40</v>
      </c>
      <c r="CY64" s="2142">
        <f>+AVERAGE(CU64:CX64)</f>
        <v>40</v>
      </c>
      <c r="CZ64" s="48"/>
      <c r="DA64"/>
      <c r="DB64"/>
      <c r="DC64"/>
      <c r="DD64" s="48"/>
      <c r="DE64" s="48"/>
      <c r="DF64" s="48"/>
      <c r="DG64" s="48"/>
      <c r="DH64" s="48"/>
      <c r="DI64" s="48"/>
      <c r="DJ64" s="48"/>
      <c r="DK64" s="48"/>
    </row>
    <row r="65" spans="1:115" s="5" customFormat="1" x14ac:dyDescent="0.2">
      <c r="A65" s="1139" t="s">
        <v>639</v>
      </c>
      <c r="B65" s="2129"/>
      <c r="C65" s="566"/>
      <c r="D65" s="566"/>
      <c r="E65" s="566"/>
      <c r="F65" s="566"/>
      <c r="G65" s="2130"/>
      <c r="H65" s="592"/>
      <c r="I65" s="2131"/>
      <c r="J65" s="566"/>
      <c r="K65" s="566"/>
      <c r="L65" s="566"/>
      <c r="M65" s="2130"/>
      <c r="N65" s="592"/>
      <c r="O65" s="2131"/>
      <c r="P65" s="566"/>
      <c r="Q65" s="566"/>
      <c r="R65" s="566"/>
      <c r="S65" s="2137"/>
      <c r="T65" s="591"/>
      <c r="U65" s="2131"/>
      <c r="V65" s="566"/>
      <c r="W65" s="566"/>
      <c r="X65" s="566"/>
      <c r="Y65" s="2137"/>
      <c r="Z65" s="593"/>
      <c r="AA65" s="2132"/>
      <c r="AB65" s="910"/>
      <c r="AC65" s="910"/>
      <c r="AD65" s="910"/>
      <c r="AE65" s="2130"/>
      <c r="AF65" s="592"/>
      <c r="AG65" s="2132"/>
      <c r="AH65" s="910"/>
      <c r="AI65" s="910"/>
      <c r="AJ65" s="910"/>
      <c r="AK65" s="2130"/>
      <c r="AL65" s="592"/>
      <c r="AM65" s="2132"/>
      <c r="AN65" s="910"/>
      <c r="AO65" s="910"/>
      <c r="AP65" s="910"/>
      <c r="AQ65" s="2130"/>
      <c r="AR65" s="592"/>
      <c r="AS65" s="2132"/>
      <c r="AT65" s="910"/>
      <c r="AU65" s="910"/>
      <c r="AV65" s="910"/>
      <c r="AW65" s="2130"/>
      <c r="AX65" s="592"/>
      <c r="AY65" s="2132"/>
      <c r="AZ65" s="910"/>
      <c r="BA65" s="910"/>
      <c r="BB65" s="910"/>
      <c r="BC65" s="2138"/>
      <c r="BD65" s="557"/>
      <c r="BE65" s="2132"/>
      <c r="BF65" s="910"/>
      <c r="BG65" s="910"/>
      <c r="BH65" s="910"/>
      <c r="BI65" s="2138"/>
      <c r="BJ65" s="2139"/>
      <c r="BK65" s="2132"/>
      <c r="BL65" s="910"/>
      <c r="BM65" s="910"/>
      <c r="BN65" s="910"/>
      <c r="BO65" s="2138"/>
      <c r="BP65" s="557"/>
      <c r="BQ65" s="2140"/>
      <c r="BR65" s="1114"/>
      <c r="BS65" s="1114"/>
      <c r="BT65" s="1114"/>
      <c r="BU65" s="2134"/>
      <c r="BV65" s="557"/>
      <c r="BW65" s="2140"/>
      <c r="BX65" s="1114"/>
      <c r="BY65" s="1114"/>
      <c r="BZ65" s="1114"/>
      <c r="CA65" s="2134"/>
      <c r="CB65" s="557"/>
      <c r="CC65" s="2140"/>
      <c r="CD65" s="1114"/>
      <c r="CE65" s="1114"/>
      <c r="CF65" s="1114"/>
      <c r="CG65" s="2134"/>
      <c r="CH65" s="557"/>
      <c r="CI65" s="2141"/>
      <c r="CJ65" s="2136"/>
      <c r="CK65" s="2136"/>
      <c r="CL65" s="2136"/>
      <c r="CM65" s="2142"/>
      <c r="CN65" s="2136"/>
      <c r="CO65" s="2141"/>
      <c r="CP65" s="2136"/>
      <c r="CQ65" s="587">
        <f>+CQ64/CK64-1</f>
        <v>1</v>
      </c>
      <c r="CR65" s="587">
        <f>+CR64/CL64-1</f>
        <v>0.33333333333333326</v>
      </c>
      <c r="CS65" s="707">
        <f>CS64/CM64-1</f>
        <v>0.39999999999999991</v>
      </c>
      <c r="CT65" s="592"/>
      <c r="CU65" s="586">
        <f>+CU64/CO64-1</f>
        <v>1</v>
      </c>
      <c r="CV65" s="587">
        <f>+CV64/CP64-1</f>
        <v>0</v>
      </c>
      <c r="CW65" s="587">
        <f>+CW64/CQ64-1</f>
        <v>0</v>
      </c>
      <c r="CX65" s="587">
        <f>+CX64/CR64-1</f>
        <v>0</v>
      </c>
      <c r="CY65" s="707">
        <f>CY64/CS64-1</f>
        <v>0.14285714285714279</v>
      </c>
      <c r="CZ65" s="48"/>
      <c r="DA65"/>
      <c r="DB65"/>
      <c r="DC65"/>
      <c r="DD65" s="48"/>
      <c r="DE65" s="48"/>
      <c r="DF65" s="48"/>
      <c r="DG65" s="48"/>
      <c r="DH65" s="48"/>
      <c r="DI65" s="48"/>
      <c r="DJ65" s="48"/>
      <c r="DK65" s="48"/>
    </row>
    <row r="66" spans="1:115" s="5" customFormat="1" x14ac:dyDescent="0.2">
      <c r="A66" s="1139" t="s">
        <v>227</v>
      </c>
      <c r="B66" s="2129"/>
      <c r="C66" s="566"/>
      <c r="D66" s="566"/>
      <c r="E66" s="566"/>
      <c r="F66" s="566"/>
      <c r="G66" s="2130"/>
      <c r="H66" s="592"/>
      <c r="I66" s="2131"/>
      <c r="J66" s="566"/>
      <c r="K66" s="566"/>
      <c r="L66" s="566"/>
      <c r="M66" s="2130"/>
      <c r="N66" s="592"/>
      <c r="O66" s="2131"/>
      <c r="P66" s="566"/>
      <c r="Q66" s="566"/>
      <c r="R66" s="566"/>
      <c r="S66" s="2137"/>
      <c r="T66" s="591"/>
      <c r="U66" s="2131"/>
      <c r="V66" s="566"/>
      <c r="W66" s="566"/>
      <c r="X66" s="566"/>
      <c r="Y66" s="2137"/>
      <c r="Z66" s="593"/>
      <c r="AA66" s="2132"/>
      <c r="AB66" s="910"/>
      <c r="AC66" s="910"/>
      <c r="AD66" s="910"/>
      <c r="AE66" s="2130"/>
      <c r="AF66" s="592"/>
      <c r="AG66" s="2132"/>
      <c r="AH66" s="910"/>
      <c r="AI66" s="910"/>
      <c r="AJ66" s="910"/>
      <c r="AK66" s="2130"/>
      <c r="AL66" s="592"/>
      <c r="AM66" s="2132"/>
      <c r="AN66" s="910"/>
      <c r="AO66" s="910"/>
      <c r="AP66" s="910"/>
      <c r="AQ66" s="2130"/>
      <c r="AR66" s="592"/>
      <c r="AS66" s="2132"/>
      <c r="AT66" s="910"/>
      <c r="AU66" s="910"/>
      <c r="AV66" s="910"/>
      <c r="AW66" s="2130"/>
      <c r="AX66" s="592"/>
      <c r="AY66" s="2132"/>
      <c r="AZ66" s="910"/>
      <c r="BA66" s="910"/>
      <c r="BB66" s="910"/>
      <c r="BC66" s="2138"/>
      <c r="BD66" s="557"/>
      <c r="BE66" s="2132"/>
      <c r="BF66" s="910"/>
      <c r="BG66" s="910"/>
      <c r="BH66" s="910"/>
      <c r="BI66" s="2138"/>
      <c r="BJ66" s="2139"/>
      <c r="BK66" s="2132"/>
      <c r="BL66" s="910"/>
      <c r="BM66" s="910"/>
      <c r="BN66" s="910"/>
      <c r="BO66" s="2138"/>
      <c r="BP66" s="557"/>
      <c r="BQ66" s="2140"/>
      <c r="BR66" s="1114"/>
      <c r="BS66" s="1114"/>
      <c r="BT66" s="1114"/>
      <c r="BU66" s="2134"/>
      <c r="BV66" s="557"/>
      <c r="BW66" s="2140"/>
      <c r="BX66" s="1114"/>
      <c r="BY66" s="1114"/>
      <c r="BZ66" s="1114"/>
      <c r="CA66" s="2134"/>
      <c r="CB66" s="557"/>
      <c r="CC66" s="2140"/>
      <c r="CD66" s="1114"/>
      <c r="CE66" s="1114"/>
      <c r="CF66" s="1114"/>
      <c r="CG66" s="2134"/>
      <c r="CH66" s="557"/>
      <c r="CI66" s="2141"/>
      <c r="CJ66" s="2136"/>
      <c r="CK66" s="2136"/>
      <c r="CL66" s="2136"/>
      <c r="CM66" s="2142"/>
      <c r="CN66" s="2136"/>
      <c r="CO66" s="2141"/>
      <c r="CP66" s="2136"/>
      <c r="CQ66" s="1110">
        <f>+CQ65-+AVERAGE(RevBuild!CQ$34)</f>
        <v>1</v>
      </c>
      <c r="CR66" s="1110">
        <f>+CR65-+AVERAGE(RevBuild!CR$34)</f>
        <v>0.33333333333333326</v>
      </c>
      <c r="CS66" s="1259">
        <f>+CS65-+AVERAGE(RevBuild!CS$34)</f>
        <v>0.39999999999999991</v>
      </c>
      <c r="CT66" s="592"/>
      <c r="CU66" s="1109">
        <f>+CU65-+AVERAGE(RevBuild!CU$34)</f>
        <v>1</v>
      </c>
      <c r="CV66" s="1110">
        <f>+CV65-+AVERAGE(RevBuild!CV$34)</f>
        <v>0</v>
      </c>
      <c r="CW66" s="1110">
        <f>+CW65-+AVERAGE(RevBuild!CW$34)</f>
        <v>0</v>
      </c>
      <c r="CX66" s="1110">
        <f>+CX65-+AVERAGE(RevBuild!CX$34)</f>
        <v>0</v>
      </c>
      <c r="CY66" s="1259">
        <f>+CY65-+AVERAGE(RevBuild!CY$34)</f>
        <v>0.14285714285714279</v>
      </c>
      <c r="CZ66" s="48"/>
      <c r="DA66"/>
      <c r="DB66"/>
      <c r="DC66"/>
      <c r="DD66" s="48"/>
      <c r="DE66" s="48"/>
      <c r="DF66" s="48"/>
      <c r="DG66" s="48"/>
      <c r="DH66" s="48"/>
      <c r="DI66" s="48"/>
      <c r="DJ66" s="48"/>
      <c r="DK66" s="48"/>
    </row>
    <row r="67" spans="1:115" outlineLevel="1" x14ac:dyDescent="0.2">
      <c r="A67" s="1247" t="s">
        <v>717</v>
      </c>
      <c r="B67" s="1181"/>
      <c r="C67" s="1182"/>
      <c r="D67" s="1182"/>
      <c r="E67" s="1182"/>
      <c r="F67" s="1182"/>
      <c r="G67" s="1183"/>
      <c r="H67" s="1184"/>
      <c r="I67" s="1189"/>
      <c r="J67" s="1190"/>
      <c r="K67" s="1190"/>
      <c r="L67" s="1191"/>
      <c r="M67" s="1192"/>
      <c r="N67" s="1183"/>
      <c r="O67" s="1189"/>
      <c r="P67" s="1190"/>
      <c r="Q67" s="1190"/>
      <c r="R67" s="1191"/>
      <c r="S67" s="1192"/>
      <c r="T67" s="1183"/>
      <c r="U67" s="1189"/>
      <c r="V67" s="1190"/>
      <c r="W67" s="1190"/>
      <c r="X67" s="1191"/>
      <c r="Y67" s="1192"/>
      <c r="Z67" s="1183"/>
      <c r="AA67" s="1189"/>
      <c r="AB67" s="1190"/>
      <c r="AC67" s="1190"/>
      <c r="AD67" s="1191"/>
      <c r="AE67" s="1192"/>
      <c r="AF67" s="1183"/>
      <c r="AG67" s="1189"/>
      <c r="AH67" s="1190"/>
      <c r="AI67" s="1190"/>
      <c r="AJ67" s="1191"/>
      <c r="AK67" s="1192"/>
      <c r="AL67" s="1183"/>
      <c r="AM67" s="1189"/>
      <c r="AN67" s="1190"/>
      <c r="AO67" s="1190"/>
      <c r="AP67" s="1191"/>
      <c r="AQ67" s="1192"/>
      <c r="AR67" s="1183"/>
      <c r="AS67" s="1189"/>
      <c r="AT67" s="1190"/>
      <c r="AU67" s="1190"/>
      <c r="AV67" s="1191"/>
      <c r="AW67" s="1192"/>
      <c r="AX67" s="1183"/>
      <c r="AY67" s="1189"/>
      <c r="AZ67" s="1190"/>
      <c r="BA67" s="1190"/>
      <c r="BB67" s="1191"/>
      <c r="BC67" s="1192"/>
      <c r="BD67" s="1184"/>
      <c r="BE67" s="1189"/>
      <c r="BF67" s="1190"/>
      <c r="BG67" s="1190"/>
      <c r="BH67" s="1191"/>
      <c r="BI67" s="1192"/>
      <c r="BJ67" s="1183"/>
      <c r="BK67" s="1189"/>
      <c r="BL67" s="1190"/>
      <c r="BM67" s="1190"/>
      <c r="BN67" s="1191"/>
      <c r="BO67" s="1192"/>
      <c r="BP67" s="1184"/>
      <c r="BQ67" s="1189"/>
      <c r="BR67" s="1190"/>
      <c r="BS67" s="1190"/>
      <c r="BT67" s="1191"/>
      <c r="BU67" s="1192"/>
      <c r="BV67" s="1184"/>
      <c r="BW67" s="1189"/>
      <c r="BX67" s="1190"/>
      <c r="BY67" s="1190"/>
      <c r="BZ67" s="1191"/>
      <c r="CA67" s="1192"/>
      <c r="CB67" s="1184"/>
      <c r="CC67" s="1189"/>
      <c r="CD67" s="1190"/>
      <c r="CE67" s="1190"/>
      <c r="CF67" s="1191"/>
      <c r="CG67" s="1192"/>
      <c r="CH67" s="1184"/>
      <c r="CI67" s="1189"/>
      <c r="CJ67" s="1190"/>
      <c r="CK67" s="1190">
        <f>+CK60*CK59/1000</f>
        <v>1.35</v>
      </c>
      <c r="CL67" s="1190">
        <f t="shared" ref="CL67" si="9">+CL60*CL59/1000</f>
        <v>1.575</v>
      </c>
      <c r="CM67" s="1192">
        <f>+SUM(CI67:CL67)</f>
        <v>2.9249999999999998</v>
      </c>
      <c r="CN67" s="1184"/>
      <c r="CO67" s="1189">
        <f t="shared" ref="CO67:CP67" si="10">+CO60*CO59/1000</f>
        <v>1.5049999999999999</v>
      </c>
      <c r="CP67" s="1190">
        <f t="shared" si="10"/>
        <v>1.5049999999999999</v>
      </c>
      <c r="CQ67" s="1190">
        <f>+CQ60*CQ59/1000</f>
        <v>1.5049999999999999</v>
      </c>
      <c r="CR67" s="1190">
        <f t="shared" ref="CR67" si="11">+CR60*CR59/1000</f>
        <v>1.5049999999999999</v>
      </c>
      <c r="CS67" s="1192">
        <f>+SUM(CO67:CR67)</f>
        <v>6.02</v>
      </c>
      <c r="CT67" s="1184"/>
      <c r="CU67" s="1189">
        <f t="shared" ref="CU67:CX67" si="12">+CU60*CU59/1000</f>
        <v>1.845</v>
      </c>
      <c r="CV67" s="1190">
        <f t="shared" si="12"/>
        <v>1.845</v>
      </c>
      <c r="CW67" s="1190">
        <f t="shared" si="12"/>
        <v>1.845</v>
      </c>
      <c r="CX67" s="1190">
        <f t="shared" si="12"/>
        <v>1.845</v>
      </c>
      <c r="CY67" s="1192">
        <f t="shared" ref="CY67:CY68" si="13">+SUM(CU67:CX67)</f>
        <v>7.38</v>
      </c>
      <c r="CZ67" s="48"/>
      <c r="DD67" s="48"/>
      <c r="DE67" s="48"/>
      <c r="DF67" s="48"/>
      <c r="DG67" s="48"/>
      <c r="DH67" s="48"/>
      <c r="DI67" s="48"/>
      <c r="DJ67" s="48"/>
      <c r="DK67" s="48"/>
    </row>
    <row r="68" spans="1:115" outlineLevel="1" x14ac:dyDescent="0.2">
      <c r="A68" s="1248" t="s">
        <v>716</v>
      </c>
      <c r="B68" s="1230"/>
      <c r="C68" s="1231"/>
      <c r="D68" s="1231"/>
      <c r="E68" s="1231"/>
      <c r="F68" s="1231"/>
      <c r="G68" s="1232"/>
      <c r="H68" s="1233"/>
      <c r="I68" s="1236"/>
      <c r="J68" s="1237"/>
      <c r="K68" s="1237"/>
      <c r="L68" s="1238"/>
      <c r="M68" s="1239"/>
      <c r="N68" s="1232"/>
      <c r="O68" s="1236"/>
      <c r="P68" s="1237"/>
      <c r="Q68" s="1237"/>
      <c r="R68" s="1238"/>
      <c r="S68" s="1239"/>
      <c r="T68" s="1232"/>
      <c r="U68" s="1236"/>
      <c r="V68" s="1237"/>
      <c r="W68" s="1237"/>
      <c r="X68" s="1238"/>
      <c r="Y68" s="1239"/>
      <c r="Z68" s="1232"/>
      <c r="AA68" s="1236"/>
      <c r="AB68" s="1237"/>
      <c r="AC68" s="1237"/>
      <c r="AD68" s="1238"/>
      <c r="AE68" s="1239"/>
      <c r="AF68" s="1232"/>
      <c r="AG68" s="1236"/>
      <c r="AH68" s="1237"/>
      <c r="AI68" s="1237"/>
      <c r="AJ68" s="1238"/>
      <c r="AK68" s="1239"/>
      <c r="AL68" s="1232"/>
      <c r="AM68" s="1236"/>
      <c r="AN68" s="1237"/>
      <c r="AO68" s="1237"/>
      <c r="AP68" s="1238"/>
      <c r="AQ68" s="1239"/>
      <c r="AR68" s="1232"/>
      <c r="AS68" s="1236"/>
      <c r="AT68" s="1237"/>
      <c r="AU68" s="1237"/>
      <c r="AV68" s="1238"/>
      <c r="AW68" s="1239"/>
      <c r="AX68" s="1232"/>
      <c r="AY68" s="1236"/>
      <c r="AZ68" s="1237"/>
      <c r="BA68" s="1237"/>
      <c r="BB68" s="1238"/>
      <c r="BC68" s="1239"/>
      <c r="BD68" s="1233"/>
      <c r="BE68" s="1236"/>
      <c r="BF68" s="1237"/>
      <c r="BG68" s="1237"/>
      <c r="BH68" s="1238"/>
      <c r="BI68" s="1239"/>
      <c r="BJ68" s="1233"/>
      <c r="BK68" s="1236"/>
      <c r="BL68" s="1237"/>
      <c r="BM68" s="1237"/>
      <c r="BN68" s="1238"/>
      <c r="BO68" s="1239"/>
      <c r="BP68" s="1233"/>
      <c r="BQ68" s="1236"/>
      <c r="BR68" s="1237"/>
      <c r="BS68" s="1237"/>
      <c r="BT68" s="1238"/>
      <c r="BU68" s="1239"/>
      <c r="BV68" s="1233"/>
      <c r="BW68" s="1236"/>
      <c r="BX68" s="1237"/>
      <c r="BY68" s="1237"/>
      <c r="BZ68" s="1238"/>
      <c r="CA68" s="1239"/>
      <c r="CB68" s="1233"/>
      <c r="CC68" s="1236"/>
      <c r="CD68" s="1237"/>
      <c r="CE68" s="1237"/>
      <c r="CF68" s="1238"/>
      <c r="CG68" s="1239"/>
      <c r="CH68" s="1233"/>
      <c r="CI68" s="1236"/>
      <c r="CJ68" s="1237"/>
      <c r="CK68" s="1237">
        <f>+CK64*CK61/1000</f>
        <v>0.6</v>
      </c>
      <c r="CL68" s="1238">
        <f t="shared" ref="CL68" si="14">+CL64*CL61/1000</f>
        <v>1.95</v>
      </c>
      <c r="CM68" s="1239">
        <f>+SUM(CI68:CL68)</f>
        <v>2.5499999999999998</v>
      </c>
      <c r="CN68" s="1233"/>
      <c r="CO68" s="1236">
        <f t="shared" ref="CO68:CP68" si="15">+CO64*CO61/1000</f>
        <v>2</v>
      </c>
      <c r="CP68" s="1237">
        <f t="shared" si="15"/>
        <v>5.4</v>
      </c>
      <c r="CQ68" s="1237">
        <f>+CQ64*CQ61/1000</f>
        <v>6.8</v>
      </c>
      <c r="CR68" s="1238">
        <f t="shared" ref="CR68" si="16">+CR64*CR61/1000</f>
        <v>8.1999999999999993</v>
      </c>
      <c r="CS68" s="1239">
        <f>+SUM(CO68:CR68)</f>
        <v>22.4</v>
      </c>
      <c r="CT68" s="1233"/>
      <c r="CU68" s="1236">
        <f t="shared" ref="CU68:CX68" si="17">+CU64*CU61/1000</f>
        <v>10</v>
      </c>
      <c r="CV68" s="1237">
        <f t="shared" si="17"/>
        <v>11.8</v>
      </c>
      <c r="CW68" s="1237">
        <f t="shared" si="17"/>
        <v>13.6</v>
      </c>
      <c r="CX68" s="1238">
        <f t="shared" si="17"/>
        <v>15.4</v>
      </c>
      <c r="CY68" s="1239">
        <f t="shared" si="13"/>
        <v>50.8</v>
      </c>
      <c r="CZ68" s="48"/>
      <c r="DD68" s="48"/>
      <c r="DE68" s="48"/>
      <c r="DF68" s="48"/>
      <c r="DG68" s="48"/>
      <c r="DH68" s="48"/>
      <c r="DI68" s="48"/>
      <c r="DJ68" s="48"/>
      <c r="DK68" s="48"/>
    </row>
    <row r="69" spans="1:115" x14ac:dyDescent="0.2">
      <c r="A69" s="1240" t="s">
        <v>725</v>
      </c>
      <c r="B69" s="1241"/>
      <c r="C69" s="1193"/>
      <c r="D69" s="1193"/>
      <c r="E69" s="1193"/>
      <c r="F69" s="1193"/>
      <c r="G69" s="1195"/>
      <c r="H69" s="1193"/>
      <c r="I69" s="1251"/>
      <c r="J69" s="1252"/>
      <c r="K69" s="1252"/>
      <c r="L69" s="1253"/>
      <c r="M69" s="1255"/>
      <c r="N69" s="1242"/>
      <c r="O69" s="1251"/>
      <c r="P69" s="1252"/>
      <c r="Q69" s="1252"/>
      <c r="R69" s="1253"/>
      <c r="S69" s="1255"/>
      <c r="T69" s="1242"/>
      <c r="U69" s="1251"/>
      <c r="V69" s="1252"/>
      <c r="W69" s="1252"/>
      <c r="X69" s="1253"/>
      <c r="Y69" s="1255"/>
      <c r="Z69" s="1242"/>
      <c r="AA69" s="1251"/>
      <c r="AB69" s="1252"/>
      <c r="AC69" s="1252"/>
      <c r="AD69" s="1253"/>
      <c r="AE69" s="1255"/>
      <c r="AF69" s="1242"/>
      <c r="AG69" s="1251"/>
      <c r="AH69" s="1252"/>
      <c r="AI69" s="1252"/>
      <c r="AJ69" s="1253"/>
      <c r="AK69" s="1255"/>
      <c r="AL69" s="1242"/>
      <c r="AM69" s="1251"/>
      <c r="AN69" s="1252"/>
      <c r="AO69" s="1252"/>
      <c r="AP69" s="1253"/>
      <c r="AQ69" s="1255"/>
      <c r="AR69" s="1242"/>
      <c r="AS69" s="1251"/>
      <c r="AT69" s="1252"/>
      <c r="AU69" s="1252"/>
      <c r="AV69" s="1253"/>
      <c r="AW69" s="1246"/>
      <c r="AX69" s="1242"/>
      <c r="AY69" s="1251"/>
      <c r="AZ69" s="1252"/>
      <c r="BA69" s="1244"/>
      <c r="BB69" s="1245"/>
      <c r="BC69" s="1246"/>
      <c r="BD69" s="1194"/>
      <c r="BE69" s="1243"/>
      <c r="BF69" s="1244"/>
      <c r="BG69" s="1244"/>
      <c r="BH69" s="1245"/>
      <c r="BI69" s="1246"/>
      <c r="BJ69" s="1194"/>
      <c r="BK69" s="1243"/>
      <c r="BL69" s="1244"/>
      <c r="BM69" s="1244"/>
      <c r="BN69" s="1245"/>
      <c r="BO69" s="1246"/>
      <c r="BP69" s="1194"/>
      <c r="BQ69" s="1243"/>
      <c r="BR69" s="1244"/>
      <c r="BS69" s="1244"/>
      <c r="BT69" s="1245"/>
      <c r="BU69" s="1246"/>
      <c r="BV69" s="1194"/>
      <c r="BW69" s="1243"/>
      <c r="BX69" s="1244"/>
      <c r="BY69" s="1244"/>
      <c r="BZ69" s="1245"/>
      <c r="CA69" s="1246"/>
      <c r="CB69" s="1194"/>
      <c r="CC69" s="1243"/>
      <c r="CD69" s="1244"/>
      <c r="CE69" s="1244"/>
      <c r="CF69" s="1245"/>
      <c r="CG69" s="1246"/>
      <c r="CH69" s="1194"/>
      <c r="CI69" s="1243"/>
      <c r="CJ69" s="1244"/>
      <c r="CK69" s="1244">
        <f>+CK68+CK67</f>
        <v>1.9500000000000002</v>
      </c>
      <c r="CL69" s="1245">
        <f>+CL68+CL67</f>
        <v>3.5249999999999999</v>
      </c>
      <c r="CM69" s="1246">
        <f>+SUM(CI69:CL69)</f>
        <v>5.4749999999999996</v>
      </c>
      <c r="CN69" s="1194"/>
      <c r="CO69" s="1243">
        <f t="shared" ref="CO69:CP69" si="18">+CO68+CO67</f>
        <v>3.5049999999999999</v>
      </c>
      <c r="CP69" s="1244">
        <f t="shared" si="18"/>
        <v>6.9050000000000002</v>
      </c>
      <c r="CQ69" s="1244">
        <f>+CQ68+CQ67</f>
        <v>8.3049999999999997</v>
      </c>
      <c r="CR69" s="1245">
        <f>+CR68+CR67</f>
        <v>9.7049999999999983</v>
      </c>
      <c r="CS69" s="1246">
        <f>+SUM(CO69:CR69)</f>
        <v>28.419999999999998</v>
      </c>
      <c r="CT69" s="1194"/>
      <c r="CU69" s="1243">
        <f t="shared" ref="CU69" si="19">+CU68+CU67</f>
        <v>11.845000000000001</v>
      </c>
      <c r="CV69" s="1244">
        <f t="shared" ref="CV69:CX69" si="20">+CV68+CV67</f>
        <v>13.645000000000001</v>
      </c>
      <c r="CW69" s="1244">
        <f t="shared" si="20"/>
        <v>15.445</v>
      </c>
      <c r="CX69" s="1245">
        <f t="shared" si="20"/>
        <v>17.245000000000001</v>
      </c>
      <c r="CY69" s="1246">
        <f t="shared" ref="CY69" si="21">+SUM(CU69:CX69)</f>
        <v>58.180000000000007</v>
      </c>
      <c r="CZ69" s="48"/>
      <c r="DD69" s="48"/>
      <c r="DE69" s="48"/>
      <c r="DF69" s="48"/>
      <c r="DG69" s="48"/>
      <c r="DH69" s="48"/>
      <c r="DI69" s="48"/>
      <c r="DJ69" s="48"/>
      <c r="DK69" s="48"/>
    </row>
    <row r="70" spans="1:115" s="5" customFormat="1" x14ac:dyDescent="0.2">
      <c r="A70" s="205" t="s">
        <v>639</v>
      </c>
      <c r="B70" s="58"/>
      <c r="C70" s="591"/>
      <c r="D70" s="591"/>
      <c r="E70" s="591"/>
      <c r="F70" s="591"/>
      <c r="G70" s="594"/>
      <c r="H70" s="592"/>
      <c r="I70" s="680"/>
      <c r="J70" s="591"/>
      <c r="K70" s="591"/>
      <c r="L70" s="591"/>
      <c r="M70" s="594"/>
      <c r="N70" s="592"/>
      <c r="O70" s="680"/>
      <c r="P70" s="591"/>
      <c r="Q70" s="591"/>
      <c r="R70" s="591"/>
      <c r="S70" s="600"/>
      <c r="T70" s="854"/>
      <c r="U70" s="680"/>
      <c r="V70" s="591"/>
      <c r="W70" s="591"/>
      <c r="X70" s="591"/>
      <c r="Y70" s="1112"/>
      <c r="Z70" s="1136"/>
      <c r="AA70" s="688"/>
      <c r="AB70" s="593"/>
      <c r="AC70" s="593"/>
      <c r="AD70" s="689"/>
      <c r="AE70" s="707"/>
      <c r="AF70" s="592"/>
      <c r="AG70" s="688"/>
      <c r="AH70" s="593"/>
      <c r="AI70" s="593"/>
      <c r="AJ70" s="689"/>
      <c r="AK70" s="707"/>
      <c r="AL70" s="592"/>
      <c r="AM70" s="688"/>
      <c r="AN70" s="597"/>
      <c r="AO70" s="597"/>
      <c r="AP70" s="597"/>
      <c r="AQ70" s="707"/>
      <c r="AR70" s="592"/>
      <c r="AS70" s="695"/>
      <c r="AT70" s="599"/>
      <c r="AU70" s="599"/>
      <c r="AV70" s="599"/>
      <c r="AW70" s="707"/>
      <c r="AX70" s="592"/>
      <c r="AY70" s="1109"/>
      <c r="AZ70" s="1110"/>
      <c r="BA70" s="1110"/>
      <c r="BB70" s="1110"/>
      <c r="BC70" s="707"/>
      <c r="BD70" s="592"/>
      <c r="BE70" s="1109"/>
      <c r="BF70" s="1110"/>
      <c r="BG70" s="1110"/>
      <c r="BH70" s="1110"/>
      <c r="BI70" s="707"/>
      <c r="BJ70" s="594"/>
      <c r="BK70" s="1115"/>
      <c r="BL70" s="1114"/>
      <c r="BM70" s="1114"/>
      <c r="BN70" s="1114"/>
      <c r="BO70" s="707"/>
      <c r="BP70" s="592"/>
      <c r="BQ70" s="586"/>
      <c r="BR70" s="587"/>
      <c r="BS70" s="587"/>
      <c r="BT70" s="587"/>
      <c r="BU70" s="707"/>
      <c r="BV70" s="592"/>
      <c r="BW70" s="586"/>
      <c r="BX70" s="587"/>
      <c r="BY70" s="587"/>
      <c r="BZ70" s="587"/>
      <c r="CA70" s="707"/>
      <c r="CB70" s="592"/>
      <c r="CC70" s="586"/>
      <c r="CD70" s="587"/>
      <c r="CE70" s="587"/>
      <c r="CF70" s="587"/>
      <c r="CG70" s="707"/>
      <c r="CH70" s="592"/>
      <c r="CI70" s="586"/>
      <c r="CJ70" s="587"/>
      <c r="CK70" s="587"/>
      <c r="CL70" s="587"/>
      <c r="CM70" s="707"/>
      <c r="CN70" s="592"/>
      <c r="CO70" s="586"/>
      <c r="CP70" s="587"/>
      <c r="CQ70" s="587">
        <f>+CQ69/CK69-1</f>
        <v>3.2589743589743581</v>
      </c>
      <c r="CR70" s="587">
        <f>+CR69/CL69-1</f>
        <v>1.7531914893617015</v>
      </c>
      <c r="CS70" s="707">
        <f>CS69/CM69-1</f>
        <v>4.1908675799086756</v>
      </c>
      <c r="CT70" s="592"/>
      <c r="CU70" s="586">
        <f>+CU69/CO69-1</f>
        <v>2.3794579172610559</v>
      </c>
      <c r="CV70" s="587">
        <f>+CV69/CP69-1</f>
        <v>0.97610427226647367</v>
      </c>
      <c r="CW70" s="587">
        <f>+CW69/CQ69-1</f>
        <v>0.85972305839855512</v>
      </c>
      <c r="CX70" s="587">
        <f>+CX69/CR69-1</f>
        <v>0.77691911385883605</v>
      </c>
      <c r="CY70" s="707">
        <f>CY69/CS69-1</f>
        <v>1.0471498944405351</v>
      </c>
      <c r="CZ70" s="48"/>
      <c r="DA70"/>
      <c r="DB70"/>
      <c r="DC70"/>
      <c r="DD70" s="48"/>
      <c r="DE70" s="48"/>
      <c r="DF70" s="48"/>
      <c r="DG70" s="48"/>
      <c r="DH70" s="48"/>
      <c r="DI70" s="48"/>
      <c r="DJ70" s="48"/>
      <c r="DK70" s="48"/>
    </row>
    <row r="71" spans="1:115" s="5" customFormat="1" x14ac:dyDescent="0.2">
      <c r="A71" s="205" t="s">
        <v>227</v>
      </c>
      <c r="B71" s="961"/>
      <c r="C71" s="591"/>
      <c r="D71" s="591"/>
      <c r="E71" s="591"/>
      <c r="F71" s="591"/>
      <c r="G71" s="594"/>
      <c r="H71" s="592"/>
      <c r="I71" s="680"/>
      <c r="J71" s="591"/>
      <c r="K71" s="591"/>
      <c r="L71" s="591"/>
      <c r="M71" s="594"/>
      <c r="N71" s="592"/>
      <c r="O71" s="680"/>
      <c r="P71" s="591"/>
      <c r="Q71" s="591"/>
      <c r="R71" s="591"/>
      <c r="S71" s="594"/>
      <c r="T71" s="591"/>
      <c r="U71" s="680"/>
      <c r="V71" s="591"/>
      <c r="W71" s="591"/>
      <c r="X71" s="591"/>
      <c r="Y71" s="563"/>
      <c r="Z71" s="1136"/>
      <c r="AA71" s="688"/>
      <c r="AB71" s="593"/>
      <c r="AC71" s="593"/>
      <c r="AD71" s="689"/>
      <c r="AE71" s="598"/>
      <c r="AF71" s="592"/>
      <c r="AG71" s="688"/>
      <c r="AH71" s="593"/>
      <c r="AI71" s="593"/>
      <c r="AJ71" s="689"/>
      <c r="AK71" s="598"/>
      <c r="AL71" s="592"/>
      <c r="AM71" s="688"/>
      <c r="AN71" s="597"/>
      <c r="AO71" s="597"/>
      <c r="AP71" s="597"/>
      <c r="AQ71" s="598"/>
      <c r="AR71" s="592"/>
      <c r="AS71" s="695"/>
      <c r="AT71" s="599"/>
      <c r="AU71" s="599"/>
      <c r="AV71" s="599"/>
      <c r="AW71" s="853"/>
      <c r="AX71" s="592"/>
      <c r="AY71" s="909"/>
      <c r="AZ71" s="910"/>
      <c r="BA71" s="910"/>
      <c r="BB71" s="910"/>
      <c r="BC71" s="1259"/>
      <c r="BD71" s="592"/>
      <c r="BE71" s="909"/>
      <c r="BF71" s="910"/>
      <c r="BG71" s="910"/>
      <c r="BH71" s="910"/>
      <c r="BI71" s="1259"/>
      <c r="BJ71" s="594"/>
      <c r="BK71" s="1109"/>
      <c r="BL71" s="1110"/>
      <c r="BM71" s="1110"/>
      <c r="BN71" s="1110"/>
      <c r="BO71" s="1259"/>
      <c r="BP71" s="592"/>
      <c r="BQ71" s="1109"/>
      <c r="BR71" s="1110"/>
      <c r="BS71" s="1110"/>
      <c r="BT71" s="1110"/>
      <c r="BU71" s="1259"/>
      <c r="BV71" s="592"/>
      <c r="BW71" s="1109"/>
      <c r="BX71" s="1110"/>
      <c r="BY71" s="1110"/>
      <c r="BZ71" s="1110"/>
      <c r="CA71" s="1259"/>
      <c r="CB71" s="592"/>
      <c r="CC71" s="1109"/>
      <c r="CD71" s="1110"/>
      <c r="CE71" s="1110"/>
      <c r="CF71" s="1110"/>
      <c r="CG71" s="1259"/>
      <c r="CH71" s="592"/>
      <c r="CI71" s="1109"/>
      <c r="CJ71" s="1110"/>
      <c r="CK71" s="1110"/>
      <c r="CL71" s="1110"/>
      <c r="CM71" s="1259"/>
      <c r="CN71" s="592"/>
      <c r="CO71" s="1109"/>
      <c r="CP71" s="1110"/>
      <c r="CQ71" s="1110">
        <f>+CQ70-+AVERAGE(RevBuild!CQ$34)</f>
        <v>3.2589743589743581</v>
      </c>
      <c r="CR71" s="1110">
        <f>+CR70-+AVERAGE(RevBuild!CR$34)</f>
        <v>1.7531914893617015</v>
      </c>
      <c r="CS71" s="1259">
        <f>+CS70-+AVERAGE(RevBuild!CS$34)</f>
        <v>4.1908675799086756</v>
      </c>
      <c r="CT71" s="592"/>
      <c r="CU71" s="1109">
        <f>+CU70-+AVERAGE(RevBuild!CU$34)</f>
        <v>2.3794579172610559</v>
      </c>
      <c r="CV71" s="1110">
        <f>+CV70-+AVERAGE(RevBuild!CV$34)</f>
        <v>0.97610427226647367</v>
      </c>
      <c r="CW71" s="1110">
        <f>+CW70-+AVERAGE(RevBuild!CW$34)</f>
        <v>0.85972305839855512</v>
      </c>
      <c r="CX71" s="1110">
        <f>+CX70-+AVERAGE(RevBuild!CX$34)</f>
        <v>0.77691911385883605</v>
      </c>
      <c r="CY71" s="1259">
        <f>+CY70-+AVERAGE(RevBuild!CY$34)</f>
        <v>1.0471498944405351</v>
      </c>
      <c r="CZ71" s="48"/>
      <c r="DA71"/>
      <c r="DB71"/>
      <c r="DC71"/>
      <c r="DD71" s="48"/>
      <c r="DE71" s="48"/>
      <c r="DF71" s="48"/>
      <c r="DG71" s="48"/>
      <c r="DH71" s="48"/>
      <c r="DI71" s="48"/>
      <c r="DJ71" s="48"/>
      <c r="DK71" s="48"/>
    </row>
    <row r="72" spans="1:115" x14ac:dyDescent="0.2">
      <c r="A72" s="1196" t="s">
        <v>425</v>
      </c>
      <c r="B72" s="1197"/>
      <c r="C72" s="1198"/>
      <c r="D72" s="1198"/>
      <c r="E72" s="1198"/>
      <c r="F72" s="1198"/>
      <c r="G72" s="1199"/>
      <c r="H72" s="1200"/>
      <c r="I72" s="1201"/>
      <c r="J72" s="1198"/>
      <c r="K72" s="1198"/>
      <c r="L72" s="1198"/>
      <c r="M72" s="1199"/>
      <c r="N72" s="1200"/>
      <c r="O72" s="1201"/>
      <c r="P72" s="1198"/>
      <c r="Q72" s="1198"/>
      <c r="R72" s="1198"/>
      <c r="S72" s="1199"/>
      <c r="T72" s="1198"/>
      <c r="U72" s="1201"/>
      <c r="V72" s="1198"/>
      <c r="W72" s="1198"/>
      <c r="X72" s="1198"/>
      <c r="Y72" s="1202"/>
      <c r="Z72" s="1203"/>
      <c r="AA72" s="1204"/>
      <c r="AB72" s="1205"/>
      <c r="AC72" s="1205"/>
      <c r="AD72" s="1206"/>
      <c r="AE72" s="1207"/>
      <c r="AF72" s="1200"/>
      <c r="AG72" s="1209"/>
      <c r="AH72" s="1210"/>
      <c r="AI72" s="1210"/>
      <c r="AJ72" s="1210"/>
      <c r="AK72" s="1208"/>
      <c r="AL72" s="1200"/>
      <c r="AM72" s="1209"/>
      <c r="AN72" s="1210"/>
      <c r="AO72" s="1210"/>
      <c r="AP72" s="1210"/>
      <c r="AQ72" s="1208"/>
      <c r="AR72" s="1200"/>
      <c r="AS72" s="1209"/>
      <c r="AT72" s="1210"/>
      <c r="AU72" s="1210"/>
      <c r="AV72" s="1210"/>
      <c r="AW72" s="1208"/>
      <c r="AX72" s="1200"/>
      <c r="AY72" s="1209"/>
      <c r="AZ72" s="1210"/>
      <c r="BA72" s="1210"/>
      <c r="BB72" s="1210"/>
      <c r="BC72" s="1208"/>
      <c r="BD72" s="1200"/>
      <c r="BE72" s="1209"/>
      <c r="BF72" s="1210"/>
      <c r="BG72" s="1210"/>
      <c r="BH72" s="1210"/>
      <c r="BI72" s="1208"/>
      <c r="BJ72" s="1200"/>
      <c r="BK72" s="1209"/>
      <c r="BL72" s="1210"/>
      <c r="BM72" s="1210"/>
      <c r="BN72" s="1210"/>
      <c r="BO72" s="1208"/>
      <c r="BP72" s="1200"/>
      <c r="BQ72" s="1209"/>
      <c r="BR72" s="1210"/>
      <c r="BS72" s="1210"/>
      <c r="BT72" s="1210"/>
      <c r="BU72" s="1208"/>
      <c r="BV72" s="1200"/>
      <c r="BW72" s="1209"/>
      <c r="BX72" s="1210"/>
      <c r="BY72" s="1210"/>
      <c r="BZ72" s="1210"/>
      <c r="CA72" s="1208"/>
      <c r="CB72" s="1200"/>
      <c r="CC72" s="1209"/>
      <c r="CD72" s="1210"/>
      <c r="CE72" s="1210"/>
      <c r="CF72" s="1210"/>
      <c r="CG72" s="1208"/>
      <c r="CH72" s="1200"/>
      <c r="CI72" s="1209"/>
      <c r="CJ72" s="1210"/>
      <c r="CK72" s="1210"/>
      <c r="CL72" s="1210"/>
      <c r="CM72" s="1208"/>
      <c r="CN72" s="1200"/>
      <c r="CO72" s="1209">
        <f>CO69/CO$366</f>
        <v>9.225405347545599E-3</v>
      </c>
      <c r="CP72" s="1210">
        <f>CP69/CP$366</f>
        <v>1.6461188639998035E-2</v>
      </c>
      <c r="CQ72" s="1210">
        <f>CQ69/CQ$366</f>
        <v>1.9447477324503758E-2</v>
      </c>
      <c r="CR72" s="1210">
        <f>CR69/CR$366</f>
        <v>2.0754854584428904E-2</v>
      </c>
      <c r="CS72" s="1208">
        <f>CS69/CS$366</f>
        <v>1.6776366732774876E-2</v>
      </c>
      <c r="CT72" s="1200"/>
      <c r="CU72" s="1209">
        <f>CU69/CU$366</f>
        <v>2.8159288391251577E-2</v>
      </c>
      <c r="CV72" s="1210">
        <f>CV69/CV$366</f>
        <v>2.9553494608346702E-2</v>
      </c>
      <c r="CW72" s="1210">
        <f>CW69/CW$366</f>
        <v>3.2931331079882269E-2</v>
      </c>
      <c r="CX72" s="1210">
        <f>CX69/CX$366</f>
        <v>3.3609883496124204E-2</v>
      </c>
      <c r="CY72" s="1208">
        <f>CY69/CY$366</f>
        <v>3.1204959386673888E-2</v>
      </c>
      <c r="CZ72" s="48"/>
      <c r="DD72" s="48"/>
      <c r="DE72" s="48"/>
      <c r="DF72" s="48"/>
      <c r="DG72" s="48"/>
      <c r="DH72" s="48"/>
      <c r="DI72" s="48"/>
      <c r="DJ72" s="48"/>
      <c r="DK72" s="48"/>
    </row>
    <row r="73" spans="1:115" s="5" customFormat="1" outlineLevel="1" x14ac:dyDescent="0.2">
      <c r="A73" s="354" t="s">
        <v>718</v>
      </c>
      <c r="B73" s="58"/>
      <c r="C73" s="556"/>
      <c r="D73" s="556"/>
      <c r="E73" s="556"/>
      <c r="F73" s="556"/>
      <c r="G73" s="629"/>
      <c r="H73" s="557"/>
      <c r="I73" s="677"/>
      <c r="J73" s="556"/>
      <c r="K73" s="556"/>
      <c r="L73" s="556"/>
      <c r="M73" s="629"/>
      <c r="N73" s="557"/>
      <c r="O73" s="677"/>
      <c r="P73" s="556"/>
      <c r="Q73" s="556"/>
      <c r="R73" s="556"/>
      <c r="S73" s="629"/>
      <c r="T73" s="556"/>
      <c r="U73" s="677"/>
      <c r="V73" s="556"/>
      <c r="W73" s="556"/>
      <c r="X73" s="556"/>
      <c r="Y73" s="629"/>
      <c r="Z73" s="578"/>
      <c r="AA73" s="581"/>
      <c r="AB73" s="550"/>
      <c r="AC73" s="601"/>
      <c r="AD73" s="852"/>
      <c r="AE73" s="580"/>
      <c r="AF73" s="557"/>
      <c r="AG73" s="581"/>
      <c r="AH73" s="550"/>
      <c r="AI73" s="550"/>
      <c r="AJ73" s="582"/>
      <c r="AK73" s="580"/>
      <c r="AL73" s="557"/>
      <c r="AM73" s="581"/>
      <c r="AN73" s="550"/>
      <c r="AO73" s="550"/>
      <c r="AP73" s="582"/>
      <c r="AQ73" s="580"/>
      <c r="AR73" s="557"/>
      <c r="AS73" s="581"/>
      <c r="AT73" s="550"/>
      <c r="AU73" s="550"/>
      <c r="AV73" s="582"/>
      <c r="AW73" s="580"/>
      <c r="AX73" s="557"/>
      <c r="AY73" s="581"/>
      <c r="AZ73" s="550"/>
      <c r="BA73" s="550"/>
      <c r="BB73" s="582"/>
      <c r="BC73" s="580"/>
      <c r="BD73" s="557"/>
      <c r="BE73" s="581"/>
      <c r="BF73" s="550"/>
      <c r="BG73" s="550"/>
      <c r="BH73" s="582"/>
      <c r="BI73" s="580"/>
      <c r="BJ73" s="628"/>
      <c r="BK73" s="581"/>
      <c r="BL73" s="550"/>
      <c r="BM73" s="550"/>
      <c r="BN73" s="582"/>
      <c r="BO73" s="580"/>
      <c r="BP73" s="557"/>
      <c r="BQ73" s="581"/>
      <c r="BR73" s="550"/>
      <c r="BS73" s="550"/>
      <c r="BT73" s="582"/>
      <c r="BU73" s="580"/>
      <c r="BV73" s="557"/>
      <c r="BW73" s="581"/>
      <c r="BX73" s="550"/>
      <c r="BY73" s="550"/>
      <c r="BZ73" s="582"/>
      <c r="CA73" s="580"/>
      <c r="CB73" s="557"/>
      <c r="CC73" s="581"/>
      <c r="CD73" s="550"/>
      <c r="CE73" s="550"/>
      <c r="CF73" s="582"/>
      <c r="CG73" s="580"/>
      <c r="CH73" s="557"/>
      <c r="CI73" s="581">
        <f>+CI$69*CI74</f>
        <v>0</v>
      </c>
      <c r="CJ73" s="550">
        <f>+CJ$69*CJ74</f>
        <v>0</v>
      </c>
      <c r="CK73" s="550">
        <f>+CK$69*CK74</f>
        <v>0.78000000000000014</v>
      </c>
      <c r="CL73" s="582">
        <f>+CL$69*CL74</f>
        <v>1.4117625</v>
      </c>
      <c r="CM73" s="580">
        <f>SUM(CI73:CL73)</f>
        <v>2.1917625000000003</v>
      </c>
      <c r="CN73" s="557"/>
      <c r="CO73" s="581">
        <f>+CO$69*CO74</f>
        <v>2.4534999999999996</v>
      </c>
      <c r="CP73" s="550">
        <f>+CP$69*CP74</f>
        <v>4.8334999999999999</v>
      </c>
      <c r="CQ73" s="550">
        <f>+CQ$69*CQ74</f>
        <v>5.8134999999999994</v>
      </c>
      <c r="CR73" s="582">
        <f>+CR$69*CR74</f>
        <v>6.7934999999999981</v>
      </c>
      <c r="CS73" s="580">
        <f>SUM(CO73:CR73)</f>
        <v>19.893999999999998</v>
      </c>
      <c r="CT73" s="557"/>
      <c r="CU73" s="581">
        <f t="shared" ref="CU73:CX73" si="22">+CU$69*CU74</f>
        <v>8.2914999999999992</v>
      </c>
      <c r="CV73" s="550">
        <f t="shared" si="22"/>
        <v>9.5515000000000008</v>
      </c>
      <c r="CW73" s="550">
        <f t="shared" si="22"/>
        <v>10.811499999999999</v>
      </c>
      <c r="CX73" s="582">
        <f t="shared" si="22"/>
        <v>12.0715</v>
      </c>
      <c r="CY73" s="580">
        <f t="shared" ref="CY73" si="23">SUM(CU73:CX73)</f>
        <v>40.725999999999999</v>
      </c>
      <c r="CZ73" s="48"/>
      <c r="DA73"/>
      <c r="DB73"/>
      <c r="DC73"/>
      <c r="DD73" s="48"/>
      <c r="DE73" s="48"/>
      <c r="DF73" s="48"/>
      <c r="DG73" s="48"/>
      <c r="DH73" s="48"/>
      <c r="DI73" s="48"/>
      <c r="DJ73" s="48"/>
      <c r="DK73" s="48"/>
    </row>
    <row r="74" spans="1:115" s="5" customFormat="1" outlineLevel="1" x14ac:dyDescent="0.2">
      <c r="A74" s="205" t="s">
        <v>471</v>
      </c>
      <c r="B74" s="58"/>
      <c r="C74" s="558"/>
      <c r="D74" s="558"/>
      <c r="E74" s="558"/>
      <c r="F74" s="558"/>
      <c r="G74" s="629"/>
      <c r="H74" s="557"/>
      <c r="I74" s="704"/>
      <c r="J74" s="558"/>
      <c r="K74" s="558"/>
      <c r="L74" s="558"/>
      <c r="M74" s="629"/>
      <c r="N74" s="557"/>
      <c r="O74" s="704"/>
      <c r="P74" s="558"/>
      <c r="Q74" s="558"/>
      <c r="R74" s="558"/>
      <c r="S74" s="707"/>
      <c r="T74" s="557"/>
      <c r="U74" s="704"/>
      <c r="V74" s="558"/>
      <c r="W74" s="558"/>
      <c r="X74" s="558"/>
      <c r="Y74" s="707"/>
      <c r="Z74" s="557"/>
      <c r="AA74" s="685"/>
      <c r="AB74" s="578"/>
      <c r="AC74" s="578"/>
      <c r="AD74" s="582"/>
      <c r="AE74" s="707"/>
      <c r="AF74" s="557"/>
      <c r="AG74" s="909"/>
      <c r="AH74" s="910"/>
      <c r="AI74" s="910"/>
      <c r="AJ74" s="910"/>
      <c r="AK74" s="707"/>
      <c r="AL74" s="557"/>
      <c r="AM74" s="909"/>
      <c r="AN74" s="910"/>
      <c r="AO74" s="910"/>
      <c r="AP74" s="910"/>
      <c r="AQ74" s="707"/>
      <c r="AR74" s="557"/>
      <c r="AS74" s="909"/>
      <c r="AT74" s="910"/>
      <c r="AU74" s="910"/>
      <c r="AV74" s="910"/>
      <c r="AW74" s="707"/>
      <c r="AX74" s="557"/>
      <c r="AY74" s="909"/>
      <c r="AZ74" s="910"/>
      <c r="BA74" s="910"/>
      <c r="BB74" s="910"/>
      <c r="BC74" s="707"/>
      <c r="BD74" s="557"/>
      <c r="BE74" s="909"/>
      <c r="BF74" s="910"/>
      <c r="BG74" s="910"/>
      <c r="BH74" s="910"/>
      <c r="BI74" s="707"/>
      <c r="BJ74" s="629"/>
      <c r="BK74" s="909"/>
      <c r="BL74" s="910"/>
      <c r="BM74" s="910"/>
      <c r="BN74" s="910"/>
      <c r="BO74" s="707"/>
      <c r="BP74" s="557"/>
      <c r="BQ74" s="909"/>
      <c r="BR74" s="910"/>
      <c r="BS74" s="910"/>
      <c r="BT74" s="910"/>
      <c r="BU74" s="707"/>
      <c r="BV74" s="557"/>
      <c r="BW74" s="909"/>
      <c r="BX74" s="910"/>
      <c r="BY74" s="910"/>
      <c r="BZ74" s="910"/>
      <c r="CA74" s="707"/>
      <c r="CB74" s="557"/>
      <c r="CC74" s="909"/>
      <c r="CD74" s="910"/>
      <c r="CE74" s="910"/>
      <c r="CF74" s="910"/>
      <c r="CG74" s="707"/>
      <c r="CH74" s="557"/>
      <c r="CI74" s="909">
        <v>0</v>
      </c>
      <c r="CJ74" s="910">
        <v>0</v>
      </c>
      <c r="CK74" s="1677">
        <v>0.4</v>
      </c>
      <c r="CL74" s="1677">
        <f>+CK74+0.0005</f>
        <v>0.40050000000000002</v>
      </c>
      <c r="CM74" s="707">
        <f>+CM73/CM$69</f>
        <v>0.40032191780821924</v>
      </c>
      <c r="CN74" s="557"/>
      <c r="CO74" s="909">
        <v>0.7</v>
      </c>
      <c r="CP74" s="910">
        <f>+CO74</f>
        <v>0.7</v>
      </c>
      <c r="CQ74" s="910">
        <f>+CP74</f>
        <v>0.7</v>
      </c>
      <c r="CR74" s="910">
        <f>+CQ74</f>
        <v>0.7</v>
      </c>
      <c r="CS74" s="707">
        <f>+CS73/CS$69</f>
        <v>0.7</v>
      </c>
      <c r="CT74" s="557"/>
      <c r="CU74" s="909">
        <f>+CR74</f>
        <v>0.7</v>
      </c>
      <c r="CV74" s="910">
        <f>+CU74</f>
        <v>0.7</v>
      </c>
      <c r="CW74" s="910">
        <f>+CV74</f>
        <v>0.7</v>
      </c>
      <c r="CX74" s="910">
        <f>+CW74</f>
        <v>0.7</v>
      </c>
      <c r="CY74" s="707">
        <f>+CY73/CY$69</f>
        <v>0.7</v>
      </c>
      <c r="CZ74" s="48"/>
      <c r="DA74"/>
      <c r="DB74"/>
      <c r="DC74"/>
      <c r="DD74" s="48"/>
      <c r="DE74" s="48"/>
      <c r="DF74" s="48"/>
      <c r="DG74" s="48"/>
      <c r="DH74" s="48"/>
      <c r="DI74" s="48"/>
      <c r="DJ74" s="48"/>
      <c r="DK74" s="48"/>
    </row>
    <row r="75" spans="1:115" s="5" customFormat="1" outlineLevel="1" x14ac:dyDescent="0.2">
      <c r="A75" s="354" t="s">
        <v>719</v>
      </c>
      <c r="B75" s="58"/>
      <c r="C75" s="558"/>
      <c r="D75" s="558"/>
      <c r="E75" s="558"/>
      <c r="F75" s="558"/>
      <c r="G75" s="629"/>
      <c r="H75" s="557"/>
      <c r="I75" s="704"/>
      <c r="J75" s="558"/>
      <c r="K75" s="558"/>
      <c r="L75" s="558"/>
      <c r="M75" s="629"/>
      <c r="N75" s="557"/>
      <c r="O75" s="704"/>
      <c r="P75" s="558"/>
      <c r="Q75" s="558"/>
      <c r="R75" s="558"/>
      <c r="S75" s="707"/>
      <c r="T75" s="557"/>
      <c r="U75" s="704"/>
      <c r="V75" s="558"/>
      <c r="W75" s="558"/>
      <c r="X75" s="558"/>
      <c r="Y75" s="707"/>
      <c r="Z75" s="557"/>
      <c r="AA75" s="685"/>
      <c r="AB75" s="578"/>
      <c r="AC75" s="578"/>
      <c r="AD75" s="582"/>
      <c r="AE75" s="707"/>
      <c r="AF75" s="557"/>
      <c r="AG75" s="581"/>
      <c r="AH75" s="550"/>
      <c r="AI75" s="550"/>
      <c r="AJ75" s="582"/>
      <c r="AK75" s="580"/>
      <c r="AL75" s="557"/>
      <c r="AM75" s="581"/>
      <c r="AN75" s="550"/>
      <c r="AO75" s="550"/>
      <c r="AP75" s="582"/>
      <c r="AQ75" s="580"/>
      <c r="AR75" s="557"/>
      <c r="AS75" s="581"/>
      <c r="AT75" s="550"/>
      <c r="AU75" s="550"/>
      <c r="AV75" s="582"/>
      <c r="AW75" s="580"/>
      <c r="AX75" s="557"/>
      <c r="AY75" s="581"/>
      <c r="AZ75" s="550"/>
      <c r="BA75" s="550"/>
      <c r="BB75" s="582"/>
      <c r="BC75" s="580"/>
      <c r="BD75" s="557"/>
      <c r="BE75" s="581"/>
      <c r="BF75" s="550"/>
      <c r="BG75" s="550"/>
      <c r="BH75" s="582"/>
      <c r="BI75" s="580"/>
      <c r="BJ75" s="557"/>
      <c r="BK75" s="581"/>
      <c r="BL75" s="550"/>
      <c r="BM75" s="550"/>
      <c r="BN75" s="582"/>
      <c r="BO75" s="580"/>
      <c r="BP75" s="557"/>
      <c r="BQ75" s="581"/>
      <c r="BR75" s="550"/>
      <c r="BS75" s="550"/>
      <c r="BT75" s="582"/>
      <c r="BU75" s="580"/>
      <c r="BV75" s="557"/>
      <c r="BW75" s="581"/>
      <c r="BX75" s="550"/>
      <c r="BY75" s="550"/>
      <c r="BZ75" s="582"/>
      <c r="CA75" s="580"/>
      <c r="CB75" s="557"/>
      <c r="CC75" s="581"/>
      <c r="CD75" s="550"/>
      <c r="CE75" s="550"/>
      <c r="CF75" s="582"/>
      <c r="CG75" s="580"/>
      <c r="CH75" s="557"/>
      <c r="CI75" s="1217">
        <v>5</v>
      </c>
      <c r="CJ75" s="1216">
        <v>5</v>
      </c>
      <c r="CK75" s="1216">
        <v>4</v>
      </c>
      <c r="CL75" s="1482">
        <v>3</v>
      </c>
      <c r="CM75" s="580">
        <f>SUM(CI75:CL75)</f>
        <v>17</v>
      </c>
      <c r="CN75" s="557"/>
      <c r="CO75" s="1217">
        <v>4</v>
      </c>
      <c r="CP75" s="550">
        <f>+CP$69*CP76</f>
        <v>2.9771965469170598</v>
      </c>
      <c r="CQ75" s="550">
        <f>+CQ$69*CQ76</f>
        <v>3.4460364225513791</v>
      </c>
      <c r="CR75" s="582">
        <f>+CR$69*CR76</f>
        <v>3.6787864459942656</v>
      </c>
      <c r="CS75" s="580">
        <f>SUM(CO75:CR75)</f>
        <v>14.102019415462706</v>
      </c>
      <c r="CT75" s="557"/>
      <c r="CU75" s="581">
        <f t="shared" ref="CU75:CX75" si="24">+CU$69*CU76</f>
        <v>5.1946690481931057</v>
      </c>
      <c r="CV75" s="550">
        <f t="shared" si="24"/>
        <v>5.6785758157397952</v>
      </c>
      <c r="CW75" s="550">
        <f t="shared" si="24"/>
        <v>6.1769983951000667</v>
      </c>
      <c r="CX75" s="582">
        <f t="shared" si="24"/>
        <v>6.2782309516920272</v>
      </c>
      <c r="CY75" s="580">
        <f t="shared" ref="CY75" si="25">SUM(CU75:CX75)</f>
        <v>23.328474210724995</v>
      </c>
      <c r="CZ75" s="48"/>
      <c r="DA75"/>
      <c r="DB75"/>
      <c r="DC75"/>
      <c r="DD75" s="48"/>
      <c r="DE75" s="48"/>
      <c r="DF75" s="48"/>
      <c r="DG75" s="48"/>
      <c r="DH75" s="48"/>
      <c r="DI75" s="48"/>
      <c r="DJ75" s="48"/>
      <c r="DK75" s="48"/>
    </row>
    <row r="76" spans="1:115" s="5" customFormat="1" outlineLevel="1" x14ac:dyDescent="0.2">
      <c r="A76" s="205" t="s">
        <v>508</v>
      </c>
      <c r="B76" s="58"/>
      <c r="C76" s="558"/>
      <c r="D76" s="558"/>
      <c r="E76" s="558"/>
      <c r="F76" s="558"/>
      <c r="G76" s="629"/>
      <c r="H76" s="557"/>
      <c r="I76" s="704"/>
      <c r="J76" s="558"/>
      <c r="K76" s="558"/>
      <c r="L76" s="558"/>
      <c r="M76" s="629"/>
      <c r="N76" s="557"/>
      <c r="O76" s="704"/>
      <c r="P76" s="558"/>
      <c r="Q76" s="558"/>
      <c r="R76" s="558"/>
      <c r="S76" s="707"/>
      <c r="T76" s="557"/>
      <c r="U76" s="704"/>
      <c r="V76" s="558"/>
      <c r="W76" s="558"/>
      <c r="X76" s="558"/>
      <c r="Y76" s="707"/>
      <c r="Z76" s="557"/>
      <c r="AA76" s="685"/>
      <c r="AB76" s="578"/>
      <c r="AC76" s="578"/>
      <c r="AD76" s="582"/>
      <c r="AE76" s="707"/>
      <c r="AF76" s="557"/>
      <c r="AG76" s="1688"/>
      <c r="AH76" s="1689"/>
      <c r="AI76" s="1689"/>
      <c r="AJ76" s="1690"/>
      <c r="AK76" s="1117"/>
      <c r="AL76" s="592"/>
      <c r="AM76" s="1688"/>
      <c r="AN76" s="1689"/>
      <c r="AO76" s="1689"/>
      <c r="AP76" s="1690"/>
      <c r="AQ76" s="1117"/>
      <c r="AR76" s="592"/>
      <c r="AS76" s="1688"/>
      <c r="AT76" s="1689"/>
      <c r="AU76" s="1689"/>
      <c r="AV76" s="1690"/>
      <c r="AW76" s="1117"/>
      <c r="AX76" s="592"/>
      <c r="AY76" s="1688"/>
      <c r="AZ76" s="1689"/>
      <c r="BA76" s="1689"/>
      <c r="BB76" s="1690"/>
      <c r="BC76" s="1117"/>
      <c r="BD76" s="592"/>
      <c r="BE76" s="1688"/>
      <c r="BF76" s="1689"/>
      <c r="BG76" s="1689"/>
      <c r="BH76" s="1690"/>
      <c r="BI76" s="1117"/>
      <c r="BJ76" s="592"/>
      <c r="BK76" s="1688"/>
      <c r="BL76" s="1689"/>
      <c r="BM76" s="1689"/>
      <c r="BN76" s="1690"/>
      <c r="BO76" s="1117"/>
      <c r="BP76" s="592"/>
      <c r="BQ76" s="1688"/>
      <c r="BR76" s="1689"/>
      <c r="BS76" s="1689"/>
      <c r="BT76" s="1690"/>
      <c r="BU76" s="1117"/>
      <c r="BV76" s="592"/>
      <c r="BW76" s="1688"/>
      <c r="BX76" s="1689"/>
      <c r="BY76" s="1689"/>
      <c r="BZ76" s="1690"/>
      <c r="CA76" s="1117"/>
      <c r="CB76" s="592"/>
      <c r="CC76" s="1688"/>
      <c r="CD76" s="1689"/>
      <c r="CE76" s="1689"/>
      <c r="CF76" s="1690"/>
      <c r="CG76" s="1117"/>
      <c r="CH76" s="592"/>
      <c r="CI76" s="1688"/>
      <c r="CJ76" s="1689"/>
      <c r="CK76" s="1689"/>
      <c r="CL76" s="1213">
        <f>+CL75/CL69</f>
        <v>0.85106382978723405</v>
      </c>
      <c r="CM76" s="1117">
        <f>+CM75/CM69</f>
        <v>3.1050228310502286</v>
      </c>
      <c r="CN76" s="592"/>
      <c r="CO76" s="1131">
        <f>+CO75/CO69</f>
        <v>1.1412268188302426</v>
      </c>
      <c r="CP76" s="1689">
        <f>+CP$445</f>
        <v>0.43116532178378852</v>
      </c>
      <c r="CQ76" s="1689">
        <f>+CQ$445</f>
        <v>0.41493515021690297</v>
      </c>
      <c r="CR76" s="1690">
        <f>+CR$445</f>
        <v>0.37906094240023352</v>
      </c>
      <c r="CS76" s="1117">
        <f>+CS75/CS69</f>
        <v>0.49620054241599953</v>
      </c>
      <c r="CT76" s="592"/>
      <c r="CU76" s="1688">
        <f>+CU$445</f>
        <v>0.43855373982212792</v>
      </c>
      <c r="CV76" s="1689">
        <f>+CV$445</f>
        <v>0.41616532178378857</v>
      </c>
      <c r="CW76" s="1689">
        <f>+CW$445</f>
        <v>0.39993515021690296</v>
      </c>
      <c r="CX76" s="1690">
        <f>+CX$445</f>
        <v>0.36406094240023351</v>
      </c>
      <c r="CY76" s="1117">
        <f>+CY75/CY69</f>
        <v>0.40097068083061177</v>
      </c>
      <c r="CZ76" s="48"/>
      <c r="DA76"/>
      <c r="DB76"/>
      <c r="DC76"/>
      <c r="DD76" s="48"/>
      <c r="DE76" s="48"/>
      <c r="DF76" s="48"/>
      <c r="DG76" s="48"/>
      <c r="DH76" s="48"/>
      <c r="DI76" s="48"/>
      <c r="DJ76" s="48"/>
      <c r="DK76" s="48"/>
    </row>
    <row r="77" spans="1:115" s="5" customFormat="1" x14ac:dyDescent="0.2">
      <c r="A77" s="354" t="s">
        <v>720</v>
      </c>
      <c r="B77" s="58"/>
      <c r="C77" s="558"/>
      <c r="D77" s="558"/>
      <c r="E77" s="558"/>
      <c r="F77" s="558"/>
      <c r="G77" s="629"/>
      <c r="H77" s="557"/>
      <c r="I77" s="704"/>
      <c r="J77" s="558"/>
      <c r="K77" s="558"/>
      <c r="L77" s="558"/>
      <c r="M77" s="629"/>
      <c r="N77" s="557"/>
      <c r="O77" s="704"/>
      <c r="P77" s="558"/>
      <c r="Q77" s="558"/>
      <c r="R77" s="558"/>
      <c r="S77" s="707"/>
      <c r="T77" s="557"/>
      <c r="U77" s="704"/>
      <c r="V77" s="558"/>
      <c r="W77" s="558"/>
      <c r="X77" s="558"/>
      <c r="Y77" s="707"/>
      <c r="Z77" s="557"/>
      <c r="AA77" s="685"/>
      <c r="AB77" s="578"/>
      <c r="AC77" s="578"/>
      <c r="AD77" s="582"/>
      <c r="AE77" s="707"/>
      <c r="AF77" s="557"/>
      <c r="AG77" s="581"/>
      <c r="AH77" s="550"/>
      <c r="AI77" s="550"/>
      <c r="AJ77" s="550"/>
      <c r="AK77" s="580"/>
      <c r="AL77" s="557"/>
      <c r="AM77" s="581"/>
      <c r="AN77" s="550"/>
      <c r="AO77" s="550"/>
      <c r="AP77" s="550"/>
      <c r="AQ77" s="580"/>
      <c r="AR77" s="557"/>
      <c r="AS77" s="581"/>
      <c r="AT77" s="550"/>
      <c r="AU77" s="550"/>
      <c r="AV77" s="550"/>
      <c r="AW77" s="580"/>
      <c r="AX77" s="557"/>
      <c r="AY77" s="581"/>
      <c r="AZ77" s="550"/>
      <c r="BA77" s="550"/>
      <c r="BB77" s="550"/>
      <c r="BC77" s="580"/>
      <c r="BD77" s="557"/>
      <c r="BE77" s="581"/>
      <c r="BF77" s="550"/>
      <c r="BG77" s="550"/>
      <c r="BH77" s="550"/>
      <c r="BI77" s="580"/>
      <c r="BJ77" s="557"/>
      <c r="BK77" s="581"/>
      <c r="BL77" s="550"/>
      <c r="BM77" s="550"/>
      <c r="BN77" s="550"/>
      <c r="BO77" s="580"/>
      <c r="BP77" s="557"/>
      <c r="BQ77" s="581"/>
      <c r="BR77" s="550"/>
      <c r="BS77" s="550"/>
      <c r="BT77" s="550"/>
      <c r="BU77" s="580"/>
      <c r="BV77" s="557"/>
      <c r="BW77" s="581"/>
      <c r="BX77" s="550"/>
      <c r="BY77" s="550"/>
      <c r="BZ77" s="550"/>
      <c r="CA77" s="580"/>
      <c r="CB77" s="557"/>
      <c r="CC77" s="581"/>
      <c r="CD77" s="550"/>
      <c r="CE77" s="550"/>
      <c r="CF77" s="550"/>
      <c r="CG77" s="580"/>
      <c r="CH77" s="557"/>
      <c r="CI77" s="581">
        <f>+CI73-CI75</f>
        <v>-5</v>
      </c>
      <c r="CJ77" s="550">
        <f>+CJ73-CJ75</f>
        <v>-5</v>
      </c>
      <c r="CK77" s="550">
        <f>+CK73-CK75</f>
        <v>-3.2199999999999998</v>
      </c>
      <c r="CL77" s="550">
        <f>+CL73-CL75</f>
        <v>-1.5882375</v>
      </c>
      <c r="CM77" s="580">
        <f>+CM73-CM75</f>
        <v>-14.808237500000001</v>
      </c>
      <c r="CN77" s="557"/>
      <c r="CO77" s="581">
        <f>+CO73-CO75</f>
        <v>-1.5465000000000004</v>
      </c>
      <c r="CP77" s="550">
        <f>+CP73-CP75</f>
        <v>1.8563034530829401</v>
      </c>
      <c r="CQ77" s="550">
        <f>+CQ73-CQ75</f>
        <v>2.3674635774486203</v>
      </c>
      <c r="CR77" s="550">
        <f>+CR73-CR75</f>
        <v>3.1147135540057325</v>
      </c>
      <c r="CS77" s="580">
        <f>+CS73-CS75</f>
        <v>5.791980584537292</v>
      </c>
      <c r="CT77" s="557"/>
      <c r="CU77" s="581">
        <f>+CU73-CU75</f>
        <v>3.0968309518068935</v>
      </c>
      <c r="CV77" s="550">
        <f>+CV73-CV75</f>
        <v>3.8729241842602056</v>
      </c>
      <c r="CW77" s="550">
        <f>+CW73-CW75</f>
        <v>4.6345016048999321</v>
      </c>
      <c r="CX77" s="550">
        <f>+CX73-CX75</f>
        <v>5.7932690483079732</v>
      </c>
      <c r="CY77" s="580">
        <f>+CY73-CY75</f>
        <v>17.397525789275004</v>
      </c>
      <c r="CZ77" s="48"/>
      <c r="DA77"/>
      <c r="DB77"/>
      <c r="DC77"/>
      <c r="DD77" s="48"/>
      <c r="DE77" s="48"/>
      <c r="DF77" s="48"/>
      <c r="DG77" s="48"/>
      <c r="DH77" s="48"/>
      <c r="DI77" s="48"/>
      <c r="DJ77" s="48"/>
      <c r="DK77" s="48"/>
    </row>
    <row r="78" spans="1:115" s="5" customFormat="1" x14ac:dyDescent="0.2">
      <c r="A78" s="205" t="s">
        <v>476</v>
      </c>
      <c r="B78" s="961"/>
      <c r="C78" s="565"/>
      <c r="D78" s="566"/>
      <c r="E78" s="566"/>
      <c r="F78" s="566"/>
      <c r="G78" s="584"/>
      <c r="H78" s="592"/>
      <c r="I78" s="565"/>
      <c r="J78" s="566"/>
      <c r="K78" s="566"/>
      <c r="L78" s="566"/>
      <c r="M78" s="584"/>
      <c r="N78" s="592"/>
      <c r="O78" s="565"/>
      <c r="P78" s="566"/>
      <c r="Q78" s="566"/>
      <c r="R78" s="566"/>
      <c r="S78" s="584"/>
      <c r="T78" s="591"/>
      <c r="U78" s="565"/>
      <c r="V78" s="566"/>
      <c r="W78" s="566"/>
      <c r="X78" s="566"/>
      <c r="Y78" s="584"/>
      <c r="Z78" s="593"/>
      <c r="AA78" s="909"/>
      <c r="AB78" s="910"/>
      <c r="AC78" s="910"/>
      <c r="AD78" s="910"/>
      <c r="AE78" s="584"/>
      <c r="AF78" s="592"/>
      <c r="AG78" s="909"/>
      <c r="AH78" s="910"/>
      <c r="AI78" s="910"/>
      <c r="AJ78" s="910"/>
      <c r="AK78" s="1106"/>
      <c r="AL78" s="592"/>
      <c r="AM78" s="909"/>
      <c r="AN78" s="910"/>
      <c r="AO78" s="910"/>
      <c r="AP78" s="910"/>
      <c r="AQ78" s="1106"/>
      <c r="AR78" s="592"/>
      <c r="AS78" s="909"/>
      <c r="AT78" s="910"/>
      <c r="AU78" s="1132"/>
      <c r="AV78" s="1114"/>
      <c r="AW78" s="1117"/>
      <c r="AX78" s="592"/>
      <c r="AY78" s="1131"/>
      <c r="AZ78" s="1132"/>
      <c r="BA78" s="1132"/>
      <c r="BB78" s="1213"/>
      <c r="BC78" s="707"/>
      <c r="BD78" s="592"/>
      <c r="BE78" s="1131"/>
      <c r="BF78" s="1132"/>
      <c r="BG78" s="1132"/>
      <c r="BH78" s="1213"/>
      <c r="BI78" s="707"/>
      <c r="BJ78" s="592"/>
      <c r="BK78" s="1131"/>
      <c r="BL78" s="1132"/>
      <c r="BM78" s="1132"/>
      <c r="BN78" s="1213"/>
      <c r="BO78" s="707"/>
      <c r="BP78" s="592"/>
      <c r="BQ78" s="1131"/>
      <c r="BR78" s="1132"/>
      <c r="BS78" s="1132"/>
      <c r="BT78" s="1213"/>
      <c r="BU78" s="707"/>
      <c r="BV78" s="592"/>
      <c r="BW78" s="1131"/>
      <c r="BX78" s="1132"/>
      <c r="BY78" s="1132"/>
      <c r="BZ78" s="1213"/>
      <c r="CA78" s="707"/>
      <c r="CB78" s="592"/>
      <c r="CC78" s="1131"/>
      <c r="CD78" s="1132"/>
      <c r="CE78" s="1132"/>
      <c r="CF78" s="1213"/>
      <c r="CG78" s="707"/>
      <c r="CH78" s="592"/>
      <c r="CI78" s="1131">
        <f>+CI77/CI$93</f>
        <v>-0.11542974085668468</v>
      </c>
      <c r="CJ78" s="1132">
        <f>+CJ77/CJ$93</f>
        <v>-9.0282232544477772E-2</v>
      </c>
      <c r="CK78" s="1132">
        <f>+CK77/CK$93</f>
        <v>-4.8887272299997279E-2</v>
      </c>
      <c r="CL78" s="1213">
        <f>+CL77/CL$93</f>
        <v>-2.8672590288234996E-2</v>
      </c>
      <c r="CM78" s="707">
        <f>+CM77/CM$93</f>
        <v>-6.7323550303203125E-2</v>
      </c>
      <c r="CN78" s="592"/>
      <c r="CO78" s="1131">
        <f>+CO77/CO$93</f>
        <v>-2.380161256464839E-2</v>
      </c>
      <c r="CP78" s="1132">
        <f>+CP77/CP$93</f>
        <v>2.7931870004058515E-2</v>
      </c>
      <c r="CQ78" s="1132">
        <f>+CQ77/CQ$93</f>
        <v>3.5943738065545468E-2</v>
      </c>
      <c r="CR78" s="1213">
        <f>+CR77/CR$93</f>
        <v>4.685849649859182E-2</v>
      </c>
      <c r="CS78" s="707">
        <f>+CS77/CS$93</f>
        <v>2.1958510157670055E-2</v>
      </c>
      <c r="CT78" s="592"/>
      <c r="CU78" s="1131">
        <f>+CU77/CU$93</f>
        <v>4.1088091292417236E-2</v>
      </c>
      <c r="CV78" s="1132">
        <f>+CV77/CV$93</f>
        <v>5.0237965780245954E-2</v>
      </c>
      <c r="CW78" s="1132">
        <f>+CW77/CW$93</f>
        <v>6.0657566377574801E-2</v>
      </c>
      <c r="CX78" s="1213">
        <f>+CX77/CX$93</f>
        <v>7.5133902338450076E-2</v>
      </c>
      <c r="CY78" s="707">
        <f>+CY77/CY$93</f>
        <v>5.68597928407166E-2</v>
      </c>
      <c r="CZ78" s="48"/>
      <c r="DA78"/>
      <c r="DB78"/>
      <c r="DC78"/>
      <c r="DD78" s="48"/>
      <c r="DE78" s="48"/>
      <c r="DF78" s="48"/>
      <c r="DG78" s="48"/>
      <c r="DH78" s="48"/>
      <c r="DI78" s="48"/>
      <c r="DJ78" s="48"/>
      <c r="DK78" s="48"/>
    </row>
    <row r="79" spans="1:115" x14ac:dyDescent="0.2">
      <c r="A79" s="1161" t="s">
        <v>442</v>
      </c>
      <c r="B79" s="1162"/>
      <c r="C79" s="1163"/>
      <c r="D79" s="1163"/>
      <c r="E79" s="1163"/>
      <c r="F79" s="1163"/>
      <c r="G79" s="1164"/>
      <c r="H79" s="1165"/>
      <c r="I79" s="1166"/>
      <c r="J79" s="1163"/>
      <c r="K79" s="1163"/>
      <c r="L79" s="1163"/>
      <c r="M79" s="1164"/>
      <c r="N79" s="1165"/>
      <c r="O79" s="1166"/>
      <c r="P79" s="1163"/>
      <c r="Q79" s="1163"/>
      <c r="R79" s="1163"/>
      <c r="S79" s="1164"/>
      <c r="T79" s="1163"/>
      <c r="U79" s="1166"/>
      <c r="V79" s="1163"/>
      <c r="W79" s="1163"/>
      <c r="X79" s="1163"/>
      <c r="Y79" s="1164"/>
      <c r="Z79" s="1167"/>
      <c r="AA79" s="1168"/>
      <c r="AB79" s="1169"/>
      <c r="AC79" s="1169"/>
      <c r="AD79" s="1170"/>
      <c r="AE79" s="1171"/>
      <c r="AF79" s="1165"/>
      <c r="AG79" s="1172"/>
      <c r="AH79" s="1173"/>
      <c r="AI79" s="1173"/>
      <c r="AJ79" s="1174"/>
      <c r="AK79" s="1171"/>
      <c r="AL79" s="1175"/>
      <c r="AM79" s="1176"/>
      <c r="AN79" s="1177"/>
      <c r="AO79" s="1177"/>
      <c r="AP79" s="1177"/>
      <c r="AQ79" s="1171"/>
      <c r="AR79" s="1178"/>
      <c r="AS79" s="1172"/>
      <c r="AT79" s="1173"/>
      <c r="AU79" s="1173"/>
      <c r="AV79" s="1173"/>
      <c r="AW79" s="1171"/>
      <c r="AX79" s="1173"/>
      <c r="AY79" s="1172"/>
      <c r="AZ79" s="1173"/>
      <c r="BA79" s="1173"/>
      <c r="BB79" s="1173"/>
      <c r="BC79" s="1171"/>
      <c r="BD79" s="1178"/>
      <c r="BE79" s="1172"/>
      <c r="BF79" s="1173"/>
      <c r="BG79" s="1173"/>
      <c r="BH79" s="1173"/>
      <c r="BI79" s="1171"/>
      <c r="BJ79" s="1179"/>
      <c r="BK79" s="1180"/>
      <c r="BL79" s="1173"/>
      <c r="BM79" s="1173"/>
      <c r="BN79" s="1173"/>
      <c r="BO79" s="1171"/>
      <c r="BP79" s="1178"/>
      <c r="BQ79" s="1172"/>
      <c r="BR79" s="1173"/>
      <c r="BS79" s="1173"/>
      <c r="BT79" s="1173"/>
      <c r="BU79" s="1171"/>
      <c r="BV79" s="1178"/>
      <c r="BW79" s="1172"/>
      <c r="BX79" s="1173"/>
      <c r="BY79" s="1173"/>
      <c r="BZ79" s="1173"/>
      <c r="CA79" s="1171"/>
      <c r="CB79" s="1178"/>
      <c r="CC79" s="1172"/>
      <c r="CD79" s="1173"/>
      <c r="CE79" s="1173"/>
      <c r="CF79" s="1173"/>
      <c r="CG79" s="1171"/>
      <c r="CH79" s="1178"/>
      <c r="CI79" s="2154">
        <f>+(CI77*(1-'P&amp;L'!CI50))/'P&amp;L'!CI35</f>
        <v>-1.7156207160034145E-2</v>
      </c>
      <c r="CJ79" s="2155">
        <f>+(CJ77*(1-'P&amp;L'!CJ50))/'P&amp;L'!CJ35</f>
        <v>-1.7271003940139841E-2</v>
      </c>
      <c r="CK79" s="2155">
        <f>+(CK77*(1-'P&amp;L'!CK50))/'P&amp;L'!CK35</f>
        <v>-1.1195954775431123E-2</v>
      </c>
      <c r="CL79" s="2155">
        <f>+(CL77*(1-'P&amp;L'!CL50))/'P&amp;L'!CL35</f>
        <v>-5.5590015432479233E-3</v>
      </c>
      <c r="CM79" s="2156">
        <f>+SUM(CI79:CL79)</f>
        <v>-5.1182167418853036E-2</v>
      </c>
      <c r="CN79" s="1178"/>
      <c r="CO79" s="2154">
        <f>+(CO77*(1-'P&amp;L'!CO50))/'P&amp;L'!CO35</f>
        <v>-5.4518556585187406E-3</v>
      </c>
      <c r="CP79" s="2155">
        <f>+(CP77*(1-'P&amp;L'!CP50))/'P&amp;L'!CP35</f>
        <v>6.5868409840623473E-3</v>
      </c>
      <c r="CQ79" s="2155">
        <f>+(CQ77*(1-'P&amp;L'!CQ50))/'P&amp;L'!CQ35</f>
        <v>8.4548734267021579E-3</v>
      </c>
      <c r="CR79" s="2155">
        <f>+(CR77*(1-'P&amp;L'!CR50))/'P&amp;L'!CR35</f>
        <v>1.1195799435913204E-2</v>
      </c>
      <c r="CS79" s="2156">
        <f>+SUM(CO79:CR79)</f>
        <v>2.078565818815897E-2</v>
      </c>
      <c r="CT79" s="1178"/>
      <c r="CU79" s="1172"/>
      <c r="CV79" s="1173"/>
      <c r="CW79" s="1173"/>
      <c r="CX79" s="1173"/>
      <c r="CY79" s="1171"/>
      <c r="CZ79" s="48"/>
      <c r="DD79" s="48"/>
      <c r="DE79" s="48"/>
      <c r="DF79" s="48"/>
      <c r="DG79" s="48"/>
      <c r="DH79" s="48"/>
      <c r="DI79" s="48"/>
      <c r="DJ79" s="48"/>
      <c r="DK79" s="48"/>
    </row>
    <row r="80" spans="1:115" x14ac:dyDescent="0.2">
      <c r="A80" s="1141"/>
      <c r="B80" s="1142"/>
      <c r="C80" s="1143"/>
      <c r="D80" s="1143"/>
      <c r="E80" s="1143"/>
      <c r="F80" s="1143"/>
      <c r="G80" s="1144"/>
      <c r="H80" s="1145"/>
      <c r="I80" s="1146"/>
      <c r="J80" s="1143"/>
      <c r="K80" s="1143"/>
      <c r="L80" s="1143"/>
      <c r="M80" s="1144"/>
      <c r="N80" s="1145"/>
      <c r="O80" s="1146"/>
      <c r="P80" s="1143"/>
      <c r="Q80" s="1143"/>
      <c r="R80" s="1143"/>
      <c r="S80" s="1144"/>
      <c r="T80" s="1143"/>
      <c r="U80" s="1146"/>
      <c r="V80" s="1143"/>
      <c r="W80" s="1143"/>
      <c r="X80" s="1143"/>
      <c r="Y80" s="1144"/>
      <c r="Z80" s="1147"/>
      <c r="AA80" s="1148"/>
      <c r="AB80" s="1149"/>
      <c r="AC80" s="1149"/>
      <c r="AD80" s="1149"/>
      <c r="AE80" s="1151"/>
      <c r="AF80" s="1145"/>
      <c r="AG80" s="1152"/>
      <c r="AH80" s="1153"/>
      <c r="AI80" s="1153"/>
      <c r="AJ80" s="1153"/>
      <c r="AK80" s="1151"/>
      <c r="AL80" s="1155"/>
      <c r="AM80" s="1156"/>
      <c r="AN80" s="1157"/>
      <c r="AO80" s="1157"/>
      <c r="AP80" s="1157"/>
      <c r="AQ80" s="1151"/>
      <c r="AR80" s="1158"/>
      <c r="AS80" s="1152"/>
      <c r="AT80" s="1153"/>
      <c r="AU80" s="1153"/>
      <c r="AV80" s="1153"/>
      <c r="AW80" s="1151"/>
      <c r="AX80" s="1153"/>
      <c r="AY80" s="1152"/>
      <c r="AZ80" s="1153"/>
      <c r="BA80" s="1153"/>
      <c r="BB80" s="1153"/>
      <c r="BC80" s="1269">
        <f>+RevBuild!BC$6</f>
        <v>2012</v>
      </c>
      <c r="BD80" s="1158"/>
      <c r="BE80" s="1152"/>
      <c r="BF80" s="1153"/>
      <c r="BG80" s="1153"/>
      <c r="BH80" s="1153"/>
      <c r="BI80" s="1269">
        <f>+RevBuild!BI$6</f>
        <v>2013</v>
      </c>
      <c r="BJ80" s="1159"/>
      <c r="BK80" s="1160"/>
      <c r="BL80" s="1153"/>
      <c r="BM80" s="1153"/>
      <c r="BN80" s="1153"/>
      <c r="BO80" s="1269">
        <f>+RevBuild!BO$6</f>
        <v>2014</v>
      </c>
      <c r="BP80" s="1158"/>
      <c r="BQ80" s="1152"/>
      <c r="BR80" s="1153"/>
      <c r="BS80" s="1153"/>
      <c r="BT80" s="1153"/>
      <c r="BU80" s="1270">
        <f>+RevBuild!BU$6</f>
        <v>2015</v>
      </c>
      <c r="BV80" s="1158"/>
      <c r="BW80" s="1152"/>
      <c r="BX80" s="1153"/>
      <c r="BY80" s="1153"/>
      <c r="BZ80" s="1153"/>
      <c r="CA80" s="1270">
        <f>+RevBuild!CA$6</f>
        <v>2016</v>
      </c>
      <c r="CB80" s="1158"/>
      <c r="CC80" s="1152"/>
      <c r="CD80" s="1153"/>
      <c r="CE80" s="1153"/>
      <c r="CF80" s="1153"/>
      <c r="CG80" s="1270">
        <f>+RevBuild!CG$6</f>
        <v>2017</v>
      </c>
      <c r="CH80" s="1158"/>
      <c r="CI80" s="1152"/>
      <c r="CJ80" s="1153"/>
      <c r="CK80" s="1153"/>
      <c r="CL80" s="1153"/>
      <c r="CM80" s="1270">
        <f>+RevBuild!CM$6</f>
        <v>2018</v>
      </c>
      <c r="CN80" s="1158"/>
      <c r="CO80" s="1152"/>
      <c r="CP80" s="1153"/>
      <c r="CQ80" s="1153"/>
      <c r="CR80" s="1153"/>
      <c r="CS80" s="1270">
        <f>+RevBuild!CS$6</f>
        <v>2019</v>
      </c>
      <c r="CT80" s="1158"/>
      <c r="CU80" s="1152"/>
      <c r="CV80" s="1153"/>
      <c r="CW80" s="1153"/>
      <c r="CX80" s="1153"/>
      <c r="CY80" s="1270">
        <f>+RevBuild!CY$6</f>
        <v>2020</v>
      </c>
      <c r="CZ80" s="48"/>
      <c r="DD80" s="48"/>
      <c r="DE80" s="48"/>
      <c r="DF80" s="48"/>
      <c r="DG80" s="48"/>
      <c r="DH80" s="48"/>
      <c r="DI80" s="48"/>
      <c r="DJ80" s="48"/>
      <c r="DK80" s="48"/>
    </row>
    <row r="81" spans="1:115" s="5" customFormat="1" outlineLevel="1" x14ac:dyDescent="0.2">
      <c r="A81" s="205" t="s">
        <v>635</v>
      </c>
      <c r="B81" s="961"/>
      <c r="C81" s="565"/>
      <c r="D81" s="566"/>
      <c r="E81" s="566"/>
      <c r="F81" s="566"/>
      <c r="G81" s="584"/>
      <c r="H81" s="592"/>
      <c r="I81" s="565"/>
      <c r="J81" s="566"/>
      <c r="K81" s="566"/>
      <c r="L81" s="566"/>
      <c r="M81" s="584"/>
      <c r="N81" s="592"/>
      <c r="O81" s="565"/>
      <c r="P81" s="566"/>
      <c r="Q81" s="566"/>
      <c r="R81" s="566"/>
      <c r="S81" s="584"/>
      <c r="T81" s="591"/>
      <c r="U81" s="565"/>
      <c r="V81" s="566"/>
      <c r="W81" s="566"/>
      <c r="X81" s="566"/>
      <c r="Y81" s="584"/>
      <c r="Z81" s="593"/>
      <c r="AA81" s="909">
        <v>1</v>
      </c>
      <c r="AB81" s="910">
        <v>1</v>
      </c>
      <c r="AC81" s="910">
        <v>1</v>
      </c>
      <c r="AD81" s="910">
        <v>1</v>
      </c>
      <c r="AE81" s="584"/>
      <c r="AF81" s="592"/>
      <c r="AG81" s="909">
        <v>1</v>
      </c>
      <c r="AH81" s="910">
        <v>1</v>
      </c>
      <c r="AI81" s="910">
        <v>1</v>
      </c>
      <c r="AJ81" s="910">
        <v>1</v>
      </c>
      <c r="AK81" s="584"/>
      <c r="AL81" s="592"/>
      <c r="AM81" s="909">
        <v>1</v>
      </c>
      <c r="AN81" s="910">
        <v>1</v>
      </c>
      <c r="AO81" s="910">
        <v>1</v>
      </c>
      <c r="AP81" s="910">
        <v>1</v>
      </c>
      <c r="AQ81" s="584"/>
      <c r="AR81" s="592"/>
      <c r="AS81" s="909">
        <v>1</v>
      </c>
      <c r="AT81" s="910">
        <v>1</v>
      </c>
      <c r="AU81" s="910">
        <v>1</v>
      </c>
      <c r="AV81" s="910">
        <v>1</v>
      </c>
      <c r="AW81" s="584"/>
      <c r="AX81" s="592"/>
      <c r="AY81" s="909">
        <v>1</v>
      </c>
      <c r="AZ81" s="910">
        <v>1</v>
      </c>
      <c r="BA81" s="910">
        <v>1</v>
      </c>
      <c r="BB81" s="910">
        <v>1</v>
      </c>
      <c r="BC81" s="562">
        <f>+BB81</f>
        <v>1</v>
      </c>
      <c r="BD81" s="557"/>
      <c r="BE81" s="909">
        <v>1</v>
      </c>
      <c r="BF81" s="910">
        <v>1</v>
      </c>
      <c r="BG81" s="910">
        <v>1</v>
      </c>
      <c r="BH81" s="910">
        <v>1</v>
      </c>
      <c r="BI81" s="562">
        <f>+BH81</f>
        <v>1</v>
      </c>
      <c r="BJ81" s="629"/>
      <c r="BK81" s="909">
        <v>1</v>
      </c>
      <c r="BL81" s="910">
        <v>1</v>
      </c>
      <c r="BM81" s="910">
        <v>1</v>
      </c>
      <c r="BN81" s="910">
        <v>1</v>
      </c>
      <c r="BO81" s="562">
        <f>+BN81</f>
        <v>1</v>
      </c>
      <c r="BP81" s="557"/>
      <c r="BQ81" s="909">
        <v>1</v>
      </c>
      <c r="BR81" s="910">
        <v>1</v>
      </c>
      <c r="BS81" s="910">
        <v>1</v>
      </c>
      <c r="BT81" s="910">
        <v>1</v>
      </c>
      <c r="BU81" s="562">
        <f>+BT81</f>
        <v>1</v>
      </c>
      <c r="BV81" s="557"/>
      <c r="BW81" s="909">
        <v>1</v>
      </c>
      <c r="BX81" s="910">
        <v>1</v>
      </c>
      <c r="BY81" s="910">
        <v>1</v>
      </c>
      <c r="BZ81" s="910">
        <v>1</v>
      </c>
      <c r="CA81" s="562">
        <f>+BZ81</f>
        <v>1</v>
      </c>
      <c r="CB81" s="557"/>
      <c r="CC81" s="909">
        <v>1</v>
      </c>
      <c r="CD81" s="910">
        <v>1</v>
      </c>
      <c r="CE81" s="910">
        <v>1</v>
      </c>
      <c r="CF81" s="910">
        <v>1</v>
      </c>
      <c r="CG81" s="562">
        <f>+CF81</f>
        <v>1</v>
      </c>
      <c r="CH81" s="557"/>
      <c r="CI81" s="909">
        <v>1</v>
      </c>
      <c r="CJ81" s="910">
        <v>1</v>
      </c>
      <c r="CK81" s="910">
        <v>1</v>
      </c>
      <c r="CL81" s="910">
        <v>1</v>
      </c>
      <c r="CM81" s="562">
        <f>+CL81</f>
        <v>1</v>
      </c>
      <c r="CN81" s="557"/>
      <c r="CO81" s="909">
        <v>1</v>
      </c>
      <c r="CP81" s="910">
        <v>1</v>
      </c>
      <c r="CQ81" s="910">
        <v>1</v>
      </c>
      <c r="CR81" s="910">
        <v>1</v>
      </c>
      <c r="CS81" s="562">
        <f>+CR81</f>
        <v>1</v>
      </c>
      <c r="CT81" s="557"/>
      <c r="CU81" s="909">
        <v>1</v>
      </c>
      <c r="CV81" s="910">
        <v>1</v>
      </c>
      <c r="CW81" s="910">
        <v>1</v>
      </c>
      <c r="CX81" s="910">
        <v>1</v>
      </c>
      <c r="CY81" s="562">
        <f>+CX81</f>
        <v>1</v>
      </c>
      <c r="CZ81" s="48"/>
      <c r="DA81"/>
      <c r="DB81"/>
      <c r="DC81"/>
      <c r="DD81" s="48"/>
      <c r="DE81" s="48"/>
      <c r="DF81" s="48"/>
      <c r="DG81" s="48"/>
      <c r="DH81" s="48"/>
      <c r="DI81" s="48"/>
      <c r="DJ81" s="48"/>
      <c r="DK81" s="48"/>
    </row>
    <row r="82" spans="1:115" s="5" customFormat="1" outlineLevel="1" x14ac:dyDescent="0.2">
      <c r="A82" s="205" t="s">
        <v>636</v>
      </c>
      <c r="B82" s="961"/>
      <c r="C82" s="565"/>
      <c r="D82" s="566"/>
      <c r="E82" s="566"/>
      <c r="F82" s="566"/>
      <c r="G82" s="584"/>
      <c r="H82" s="592"/>
      <c r="I82" s="565"/>
      <c r="J82" s="566"/>
      <c r="K82" s="566"/>
      <c r="L82" s="566"/>
      <c r="M82" s="584"/>
      <c r="N82" s="592"/>
      <c r="O82" s="565"/>
      <c r="P82" s="566"/>
      <c r="Q82" s="566"/>
      <c r="R82" s="566"/>
      <c r="S82" s="584"/>
      <c r="T82" s="591"/>
      <c r="U82" s="565"/>
      <c r="V82" s="566"/>
      <c r="W82" s="566"/>
      <c r="X82" s="566"/>
      <c r="Y82" s="584"/>
      <c r="Z82" s="593"/>
      <c r="AA82" s="909">
        <v>0</v>
      </c>
      <c r="AB82" s="910">
        <v>0</v>
      </c>
      <c r="AC82" s="910">
        <v>0</v>
      </c>
      <c r="AD82" s="910">
        <v>0</v>
      </c>
      <c r="AE82" s="584"/>
      <c r="AF82" s="592"/>
      <c r="AG82" s="909">
        <v>0</v>
      </c>
      <c r="AH82" s="910">
        <v>0</v>
      </c>
      <c r="AI82" s="910">
        <v>0</v>
      </c>
      <c r="AJ82" s="910">
        <v>0</v>
      </c>
      <c r="AK82" s="584"/>
      <c r="AL82" s="592"/>
      <c r="AM82" s="909">
        <v>0</v>
      </c>
      <c r="AN82" s="910">
        <v>0</v>
      </c>
      <c r="AO82" s="910">
        <v>0</v>
      </c>
      <c r="AP82" s="910">
        <v>0</v>
      </c>
      <c r="AQ82" s="584"/>
      <c r="AR82" s="592"/>
      <c r="AS82" s="909">
        <v>0</v>
      </c>
      <c r="AT82" s="910">
        <v>0</v>
      </c>
      <c r="AU82" s="910">
        <v>0</v>
      </c>
      <c r="AV82" s="910">
        <v>0</v>
      </c>
      <c r="AW82" s="584"/>
      <c r="AX82" s="592"/>
      <c r="AY82" s="909">
        <v>0</v>
      </c>
      <c r="AZ82" s="910">
        <v>0</v>
      </c>
      <c r="BA82" s="910">
        <v>0</v>
      </c>
      <c r="BB82" s="910">
        <v>0</v>
      </c>
      <c r="BC82" s="562">
        <f>+BB82</f>
        <v>0</v>
      </c>
      <c r="BD82" s="557"/>
      <c r="BE82" s="909">
        <v>0</v>
      </c>
      <c r="BF82" s="910">
        <v>0</v>
      </c>
      <c r="BG82" s="910">
        <v>0</v>
      </c>
      <c r="BH82" s="910">
        <v>0</v>
      </c>
      <c r="BI82" s="562">
        <f>+BH82</f>
        <v>0</v>
      </c>
      <c r="BJ82" s="629"/>
      <c r="BK82" s="909">
        <v>0</v>
      </c>
      <c r="BL82" s="910">
        <v>0</v>
      </c>
      <c r="BM82" s="910">
        <v>0</v>
      </c>
      <c r="BN82" s="910">
        <v>0</v>
      </c>
      <c r="BO82" s="562">
        <f>+BN82</f>
        <v>0</v>
      </c>
      <c r="BP82" s="557"/>
      <c r="BQ82" s="909">
        <v>0</v>
      </c>
      <c r="BR82" s="910">
        <v>0</v>
      </c>
      <c r="BS82" s="910">
        <v>0</v>
      </c>
      <c r="BT82" s="910">
        <v>0</v>
      </c>
      <c r="BU82" s="562">
        <f>+BT82</f>
        <v>0</v>
      </c>
      <c r="BV82" s="557"/>
      <c r="BW82" s="909">
        <v>0</v>
      </c>
      <c r="BX82" s="910">
        <v>0</v>
      </c>
      <c r="BY82" s="910">
        <v>0</v>
      </c>
      <c r="BZ82" s="910">
        <v>0</v>
      </c>
      <c r="CA82" s="562">
        <f>+BZ82</f>
        <v>0</v>
      </c>
      <c r="CB82" s="557"/>
      <c r="CC82" s="909">
        <v>0</v>
      </c>
      <c r="CD82" s="910">
        <v>0</v>
      </c>
      <c r="CE82" s="910">
        <v>0</v>
      </c>
      <c r="CF82" s="910">
        <v>0</v>
      </c>
      <c r="CG82" s="562">
        <f>+CF82</f>
        <v>0</v>
      </c>
      <c r="CH82" s="557"/>
      <c r="CI82" s="909">
        <v>0</v>
      </c>
      <c r="CJ82" s="910">
        <v>0</v>
      </c>
      <c r="CK82" s="910">
        <v>0</v>
      </c>
      <c r="CL82" s="910">
        <v>0</v>
      </c>
      <c r="CM82" s="562">
        <f>+CL82</f>
        <v>0</v>
      </c>
      <c r="CN82" s="557"/>
      <c r="CO82" s="909">
        <v>0</v>
      </c>
      <c r="CP82" s="910">
        <v>0</v>
      </c>
      <c r="CQ82" s="910">
        <v>0</v>
      </c>
      <c r="CR82" s="910">
        <v>0</v>
      </c>
      <c r="CS82" s="562">
        <f>+CR82</f>
        <v>0</v>
      </c>
      <c r="CT82" s="557"/>
      <c r="CU82" s="909">
        <v>0</v>
      </c>
      <c r="CV82" s="910">
        <v>0</v>
      </c>
      <c r="CW82" s="910">
        <v>0</v>
      </c>
      <c r="CX82" s="910">
        <v>0</v>
      </c>
      <c r="CY82" s="562">
        <f>+CX82</f>
        <v>0</v>
      </c>
      <c r="CZ82" s="48"/>
      <c r="DA82"/>
      <c r="DB82"/>
      <c r="DC82"/>
      <c r="DD82" s="48"/>
      <c r="DE82" s="48"/>
      <c r="DF82" s="48"/>
      <c r="DG82" s="48"/>
      <c r="DH82" s="48"/>
      <c r="DI82" s="48"/>
      <c r="DJ82" s="48"/>
      <c r="DK82" s="48"/>
    </row>
    <row r="83" spans="1:115" s="5" customFormat="1" outlineLevel="1" x14ac:dyDescent="0.2">
      <c r="A83" s="205" t="s">
        <v>637</v>
      </c>
      <c r="B83" s="961"/>
      <c r="C83" s="565"/>
      <c r="D83" s="566"/>
      <c r="E83" s="566"/>
      <c r="F83" s="566"/>
      <c r="G83" s="584"/>
      <c r="H83" s="592"/>
      <c r="I83" s="565"/>
      <c r="J83" s="566"/>
      <c r="K83" s="566"/>
      <c r="L83" s="566"/>
      <c r="M83" s="584"/>
      <c r="N83" s="592"/>
      <c r="O83" s="565"/>
      <c r="P83" s="566"/>
      <c r="Q83" s="566"/>
      <c r="R83" s="566"/>
      <c r="S83" s="584"/>
      <c r="T83" s="591"/>
      <c r="U83" s="565"/>
      <c r="V83" s="566"/>
      <c r="W83" s="566"/>
      <c r="X83" s="566"/>
      <c r="Y83" s="584"/>
      <c r="Z83" s="593"/>
      <c r="AA83" s="909">
        <v>0</v>
      </c>
      <c r="AB83" s="910">
        <v>0</v>
      </c>
      <c r="AC83" s="910">
        <v>0</v>
      </c>
      <c r="AD83" s="910">
        <v>0</v>
      </c>
      <c r="AE83" s="584"/>
      <c r="AF83" s="592"/>
      <c r="AG83" s="909">
        <v>0</v>
      </c>
      <c r="AH83" s="910">
        <v>0</v>
      </c>
      <c r="AI83" s="910">
        <v>0</v>
      </c>
      <c r="AJ83" s="910">
        <v>0</v>
      </c>
      <c r="AK83" s="584"/>
      <c r="AL83" s="592"/>
      <c r="AM83" s="909">
        <v>0</v>
      </c>
      <c r="AN83" s="910">
        <v>0</v>
      </c>
      <c r="AO83" s="910">
        <v>0</v>
      </c>
      <c r="AP83" s="910">
        <v>0</v>
      </c>
      <c r="AQ83" s="584"/>
      <c r="AR83" s="592"/>
      <c r="AS83" s="909">
        <v>0</v>
      </c>
      <c r="AT83" s="910">
        <v>0</v>
      </c>
      <c r="AU83" s="910">
        <v>0</v>
      </c>
      <c r="AV83" s="910">
        <v>0</v>
      </c>
      <c r="AW83" s="584"/>
      <c r="AX83" s="592"/>
      <c r="AY83" s="909">
        <v>0</v>
      </c>
      <c r="AZ83" s="910">
        <v>0</v>
      </c>
      <c r="BA83" s="910">
        <v>0</v>
      </c>
      <c r="BB83" s="910">
        <v>0</v>
      </c>
      <c r="BC83" s="562">
        <f>+BB83</f>
        <v>0</v>
      </c>
      <c r="BD83" s="557"/>
      <c r="BE83" s="909">
        <v>0</v>
      </c>
      <c r="BF83" s="910">
        <v>0</v>
      </c>
      <c r="BG83" s="910">
        <v>0</v>
      </c>
      <c r="BH83" s="910">
        <v>0</v>
      </c>
      <c r="BI83" s="562">
        <f>+BH83</f>
        <v>0</v>
      </c>
      <c r="BJ83" s="629"/>
      <c r="BK83" s="909">
        <v>0</v>
      </c>
      <c r="BL83" s="910">
        <v>0</v>
      </c>
      <c r="BM83" s="910">
        <v>0</v>
      </c>
      <c r="BN83" s="910">
        <v>0</v>
      </c>
      <c r="BO83" s="562">
        <f>+BN83</f>
        <v>0</v>
      </c>
      <c r="BP83" s="557"/>
      <c r="BQ83" s="909">
        <v>0</v>
      </c>
      <c r="BR83" s="910">
        <v>0</v>
      </c>
      <c r="BS83" s="910">
        <v>0</v>
      </c>
      <c r="BT83" s="910">
        <v>0</v>
      </c>
      <c r="BU83" s="562">
        <f>+BT83</f>
        <v>0</v>
      </c>
      <c r="BV83" s="557"/>
      <c r="BW83" s="909">
        <v>0</v>
      </c>
      <c r="BX83" s="910">
        <v>0</v>
      </c>
      <c r="BY83" s="910">
        <v>0</v>
      </c>
      <c r="BZ83" s="910">
        <v>0</v>
      </c>
      <c r="CA83" s="562">
        <f>+BZ83</f>
        <v>0</v>
      </c>
      <c r="CB83" s="557"/>
      <c r="CC83" s="909">
        <v>0</v>
      </c>
      <c r="CD83" s="910">
        <v>0</v>
      </c>
      <c r="CE83" s="910">
        <v>0</v>
      </c>
      <c r="CF83" s="910">
        <v>0</v>
      </c>
      <c r="CG83" s="562">
        <f>+CF83</f>
        <v>0</v>
      </c>
      <c r="CH83" s="557"/>
      <c r="CI83" s="909">
        <v>0</v>
      </c>
      <c r="CJ83" s="910">
        <v>0</v>
      </c>
      <c r="CK83" s="910">
        <v>0</v>
      </c>
      <c r="CL83" s="910">
        <v>0</v>
      </c>
      <c r="CM83" s="562">
        <f>+CL83</f>
        <v>0</v>
      </c>
      <c r="CN83" s="557"/>
      <c r="CO83" s="909">
        <v>0</v>
      </c>
      <c r="CP83" s="910">
        <v>0</v>
      </c>
      <c r="CQ83" s="910">
        <v>0</v>
      </c>
      <c r="CR83" s="910">
        <v>0</v>
      </c>
      <c r="CS83" s="562">
        <f>+CR83</f>
        <v>0</v>
      </c>
      <c r="CT83" s="557"/>
      <c r="CU83" s="909">
        <v>0</v>
      </c>
      <c r="CV83" s="910">
        <v>0</v>
      </c>
      <c r="CW83" s="910">
        <v>0</v>
      </c>
      <c r="CX83" s="910">
        <v>0</v>
      </c>
      <c r="CY83" s="562">
        <f>+CX83</f>
        <v>0</v>
      </c>
      <c r="CZ83" s="48"/>
      <c r="DA83"/>
      <c r="DB83"/>
      <c r="DC83"/>
      <c r="DD83" s="48"/>
      <c r="DE83" s="48"/>
      <c r="DF83" s="48"/>
      <c r="DG83" s="48"/>
      <c r="DH83" s="48"/>
      <c r="DI83" s="48"/>
      <c r="DJ83" s="48"/>
      <c r="DK83" s="48"/>
    </row>
    <row r="84" spans="1:115" s="5" customFormat="1" outlineLevel="1" x14ac:dyDescent="0.2">
      <c r="A84" s="205" t="s">
        <v>638</v>
      </c>
      <c r="B84" s="961"/>
      <c r="C84" s="565"/>
      <c r="D84" s="566"/>
      <c r="E84" s="566"/>
      <c r="F84" s="566"/>
      <c r="G84" s="584"/>
      <c r="H84" s="592"/>
      <c r="I84" s="565"/>
      <c r="J84" s="566"/>
      <c r="K84" s="566"/>
      <c r="L84" s="566"/>
      <c r="M84" s="584"/>
      <c r="N84" s="592"/>
      <c r="O84" s="565"/>
      <c r="P84" s="566"/>
      <c r="Q84" s="566"/>
      <c r="R84" s="566"/>
      <c r="S84" s="584"/>
      <c r="T84" s="591"/>
      <c r="U84" s="565"/>
      <c r="V84" s="566"/>
      <c r="W84" s="566"/>
      <c r="X84" s="566"/>
      <c r="Y84" s="584"/>
      <c r="Z84" s="593"/>
      <c r="AA84" s="909">
        <v>0</v>
      </c>
      <c r="AB84" s="910">
        <v>0</v>
      </c>
      <c r="AC84" s="910">
        <v>0</v>
      </c>
      <c r="AD84" s="910">
        <v>0</v>
      </c>
      <c r="AE84" s="584"/>
      <c r="AF84" s="592"/>
      <c r="AG84" s="909">
        <v>0</v>
      </c>
      <c r="AH84" s="910">
        <v>0</v>
      </c>
      <c r="AI84" s="910">
        <v>0</v>
      </c>
      <c r="AJ84" s="910">
        <v>0</v>
      </c>
      <c r="AK84" s="584"/>
      <c r="AL84" s="592"/>
      <c r="AM84" s="909">
        <v>0</v>
      </c>
      <c r="AN84" s="910">
        <v>0</v>
      </c>
      <c r="AO84" s="910">
        <v>0</v>
      </c>
      <c r="AP84" s="910">
        <v>0</v>
      </c>
      <c r="AQ84" s="584"/>
      <c r="AR84" s="592"/>
      <c r="AS84" s="909">
        <v>0</v>
      </c>
      <c r="AT84" s="910">
        <v>0</v>
      </c>
      <c r="AU84" s="910">
        <v>0</v>
      </c>
      <c r="AV84" s="910">
        <v>0</v>
      </c>
      <c r="AW84" s="584"/>
      <c r="AX84" s="592"/>
      <c r="AY84" s="909">
        <v>0</v>
      </c>
      <c r="AZ84" s="910">
        <v>0</v>
      </c>
      <c r="BA84" s="910">
        <v>0</v>
      </c>
      <c r="BB84" s="910">
        <v>0</v>
      </c>
      <c r="BC84" s="562">
        <f>+BB84</f>
        <v>0</v>
      </c>
      <c r="BD84" s="557"/>
      <c r="BE84" s="909">
        <v>0</v>
      </c>
      <c r="BF84" s="910">
        <v>0</v>
      </c>
      <c r="BG84" s="910">
        <v>0</v>
      </c>
      <c r="BH84" s="910">
        <v>0</v>
      </c>
      <c r="BI84" s="562">
        <f>+BH84</f>
        <v>0</v>
      </c>
      <c r="BJ84" s="629"/>
      <c r="BK84" s="909">
        <v>0</v>
      </c>
      <c r="BL84" s="910">
        <v>0</v>
      </c>
      <c r="BM84" s="910">
        <v>0</v>
      </c>
      <c r="BN84" s="910">
        <v>0</v>
      </c>
      <c r="BO84" s="562">
        <f>+BN84</f>
        <v>0</v>
      </c>
      <c r="BP84" s="557"/>
      <c r="BQ84" s="909">
        <v>0</v>
      </c>
      <c r="BR84" s="910">
        <v>0</v>
      </c>
      <c r="BS84" s="910">
        <v>0</v>
      </c>
      <c r="BT84" s="910">
        <v>0</v>
      </c>
      <c r="BU84" s="562">
        <f>+BT84</f>
        <v>0</v>
      </c>
      <c r="BV84" s="557"/>
      <c r="BW84" s="909">
        <v>0</v>
      </c>
      <c r="BX84" s="910">
        <v>0</v>
      </c>
      <c r="BY84" s="910">
        <v>0</v>
      </c>
      <c r="BZ84" s="910">
        <v>0</v>
      </c>
      <c r="CA84" s="562">
        <f>+BZ84</f>
        <v>0</v>
      </c>
      <c r="CB84" s="557"/>
      <c r="CC84" s="909">
        <v>0</v>
      </c>
      <c r="CD84" s="910">
        <v>0</v>
      </c>
      <c r="CE84" s="910">
        <v>0</v>
      </c>
      <c r="CF84" s="910">
        <v>0</v>
      </c>
      <c r="CG84" s="562">
        <f>+CF84</f>
        <v>0</v>
      </c>
      <c r="CH84" s="557"/>
      <c r="CI84" s="909">
        <v>0</v>
      </c>
      <c r="CJ84" s="910">
        <v>0</v>
      </c>
      <c r="CK84" s="910">
        <v>0</v>
      </c>
      <c r="CL84" s="910">
        <v>0</v>
      </c>
      <c r="CM84" s="562">
        <f>+CL84</f>
        <v>0</v>
      </c>
      <c r="CN84" s="557"/>
      <c r="CO84" s="909">
        <v>0</v>
      </c>
      <c r="CP84" s="910">
        <v>0</v>
      </c>
      <c r="CQ84" s="910">
        <v>0</v>
      </c>
      <c r="CR84" s="910">
        <v>0</v>
      </c>
      <c r="CS84" s="562">
        <f>+CR84</f>
        <v>0</v>
      </c>
      <c r="CT84" s="557"/>
      <c r="CU84" s="909">
        <v>0</v>
      </c>
      <c r="CV84" s="910">
        <v>0</v>
      </c>
      <c r="CW84" s="910">
        <v>0</v>
      </c>
      <c r="CX84" s="910">
        <v>0</v>
      </c>
      <c r="CY84" s="562">
        <f>+CX84</f>
        <v>0</v>
      </c>
      <c r="CZ84" s="48"/>
      <c r="DA84"/>
      <c r="DB84"/>
      <c r="DC84"/>
      <c r="DD84" s="48"/>
      <c r="DE84" s="48"/>
      <c r="DF84" s="48"/>
      <c r="DG84" s="48"/>
      <c r="DH84" s="48"/>
      <c r="DI84" s="48"/>
      <c r="DJ84" s="48"/>
      <c r="DK84" s="48"/>
    </row>
    <row r="85" spans="1:115" s="5" customFormat="1" x14ac:dyDescent="0.2">
      <c r="A85" s="354" t="s">
        <v>505</v>
      </c>
      <c r="B85" s="961"/>
      <c r="C85" s="566"/>
      <c r="D85" s="566"/>
      <c r="E85" s="566"/>
      <c r="F85" s="566"/>
      <c r="G85" s="584"/>
      <c r="H85" s="592"/>
      <c r="I85" s="565"/>
      <c r="J85" s="566"/>
      <c r="K85" s="566"/>
      <c r="L85" s="566"/>
      <c r="M85" s="584"/>
      <c r="N85" s="592"/>
      <c r="O85" s="565"/>
      <c r="P85" s="566"/>
      <c r="Q85" s="566"/>
      <c r="R85" s="566"/>
      <c r="S85" s="694"/>
      <c r="T85" s="591"/>
      <c r="U85" s="565"/>
      <c r="V85" s="566"/>
      <c r="W85" s="566"/>
      <c r="X85" s="566"/>
      <c r="Y85" s="694"/>
      <c r="Z85" s="593"/>
      <c r="AA85" s="909"/>
      <c r="AB85" s="910"/>
      <c r="AC85" s="910"/>
      <c r="AD85" s="910"/>
      <c r="AE85" s="584"/>
      <c r="AF85" s="592"/>
      <c r="AG85" s="909"/>
      <c r="AH85" s="910"/>
      <c r="AI85" s="910"/>
      <c r="AJ85" s="910"/>
      <c r="AK85" s="584"/>
      <c r="AL85" s="592"/>
      <c r="AM85" s="909"/>
      <c r="AN85" s="910"/>
      <c r="AO85" s="910"/>
      <c r="AP85" s="910"/>
      <c r="AQ85" s="584"/>
      <c r="AR85" s="592"/>
      <c r="AS85" s="909"/>
      <c r="AT85" s="910"/>
      <c r="AU85" s="910"/>
      <c r="AV85" s="910"/>
      <c r="AW85" s="584"/>
      <c r="AX85" s="592"/>
      <c r="AY85" s="909"/>
      <c r="AZ85" s="910"/>
      <c r="BA85" s="910"/>
      <c r="BB85" s="910"/>
      <c r="BC85" s="562"/>
      <c r="BD85" s="557"/>
      <c r="BE85" s="909"/>
      <c r="BF85" s="910"/>
      <c r="BG85" s="910"/>
      <c r="BH85" s="910"/>
      <c r="BI85" s="580">
        <f>+(BI93/BI88)</f>
        <v>4.8792907651537956</v>
      </c>
      <c r="BJ85" s="629"/>
      <c r="BK85" s="1211">
        <v>1.39</v>
      </c>
      <c r="BL85" s="1212">
        <v>1.39</v>
      </c>
      <c r="BM85" s="1212">
        <v>1.42</v>
      </c>
      <c r="BN85" s="1212">
        <v>1.42</v>
      </c>
      <c r="BO85" s="580">
        <f>+SUM(BK85:BN85)</f>
        <v>5.6199999999999992</v>
      </c>
      <c r="BP85" s="1279"/>
      <c r="BQ85" s="1214">
        <v>1.6</v>
      </c>
      <c r="BR85" s="1103">
        <v>1.6</v>
      </c>
      <c r="BS85" s="1103">
        <v>1.85</v>
      </c>
      <c r="BT85" s="1103">
        <v>1.72</v>
      </c>
      <c r="BU85" s="580">
        <f>+SUM(BQ85:BT85)</f>
        <v>6.7700000000000005</v>
      </c>
      <c r="BV85" s="1279"/>
      <c r="BW85" s="1214">
        <v>1.9194218750000001</v>
      </c>
      <c r="BX85" s="1103">
        <v>2.0499999999999998</v>
      </c>
      <c r="BY85" s="1103">
        <v>2.4500000000000002</v>
      </c>
      <c r="BZ85" s="1103">
        <v>2.3033062499999999</v>
      </c>
      <c r="CA85" s="580">
        <f>+SUM(BW85:BZ85)</f>
        <v>8.7227281249999997</v>
      </c>
      <c r="CB85" s="1279"/>
      <c r="CC85" s="1214">
        <v>2.2155729437500002</v>
      </c>
      <c r="CD85" s="1103">
        <v>2.7694661796875</v>
      </c>
      <c r="CE85" s="1103">
        <v>3.1571914448437499</v>
      </c>
      <c r="CF85" s="1103">
        <v>2.9356341504687493</v>
      </c>
      <c r="CG85" s="580">
        <f>+SUM(CC85:CF85)</f>
        <v>11.07786471875</v>
      </c>
      <c r="CH85" s="1279"/>
      <c r="CI85" s="1214">
        <v>2.7251547208125002</v>
      </c>
      <c r="CJ85" s="1103">
        <v>3.406443401015625</v>
      </c>
      <c r="CK85" s="1103">
        <v>4.0877320812187499</v>
      </c>
      <c r="CL85" s="1103">
        <v>3.406443401015625</v>
      </c>
      <c r="CM85" s="580">
        <f>+SUM(CI85:CL85)</f>
        <v>13.6257736040625</v>
      </c>
      <c r="CN85" s="1279"/>
      <c r="CO85" s="1214">
        <v>4.0877320812187499</v>
      </c>
      <c r="CP85" s="1103">
        <v>4.0877320812187499</v>
      </c>
      <c r="CQ85" s="1103">
        <v>4.0877320812187499</v>
      </c>
      <c r="CR85" s="1103">
        <v>4.0877320812187499</v>
      </c>
      <c r="CS85" s="580">
        <f>+SUM(CO85:CR85)</f>
        <v>16.350928324874999</v>
      </c>
      <c r="CT85" s="1279"/>
      <c r="CU85" s="1214">
        <v>4.7417692142137495</v>
      </c>
      <c r="CV85" s="1103">
        <v>4.7417692142137495</v>
      </c>
      <c r="CW85" s="1103">
        <v>4.7417692142137495</v>
      </c>
      <c r="CX85" s="1103">
        <v>4.7417692142137495</v>
      </c>
      <c r="CY85" s="580">
        <f>+SUM(CU85:CX85)</f>
        <v>18.967076856854998</v>
      </c>
      <c r="CZ85" s="48"/>
      <c r="DA85"/>
      <c r="DB85"/>
      <c r="DC85"/>
      <c r="DD85" s="48"/>
      <c r="DE85" s="48"/>
      <c r="DF85" s="48"/>
      <c r="DG85" s="48"/>
      <c r="DH85" s="48"/>
      <c r="DI85" s="48"/>
      <c r="DJ85" s="48"/>
      <c r="DK85" s="48"/>
    </row>
    <row r="86" spans="1:115" s="5" customFormat="1" x14ac:dyDescent="0.2">
      <c r="A86" s="205" t="s">
        <v>187</v>
      </c>
      <c r="B86" s="961"/>
      <c r="C86" s="566"/>
      <c r="D86" s="566"/>
      <c r="E86" s="566"/>
      <c r="F86" s="566"/>
      <c r="G86" s="584"/>
      <c r="H86" s="592"/>
      <c r="I86" s="565"/>
      <c r="J86" s="566"/>
      <c r="K86" s="566"/>
      <c r="L86" s="566"/>
      <c r="M86" s="584"/>
      <c r="N86" s="592"/>
      <c r="O86" s="565"/>
      <c r="P86" s="566"/>
      <c r="Q86" s="566"/>
      <c r="R86" s="566"/>
      <c r="S86" s="694"/>
      <c r="T86" s="591"/>
      <c r="U86" s="565"/>
      <c r="V86" s="566"/>
      <c r="W86" s="566"/>
      <c r="X86" s="566"/>
      <c r="Y86" s="694"/>
      <c r="Z86" s="593"/>
      <c r="AA86" s="909"/>
      <c r="AB86" s="910"/>
      <c r="AC86" s="910"/>
      <c r="AD86" s="910"/>
      <c r="AE86" s="584"/>
      <c r="AF86" s="592"/>
      <c r="AG86" s="909"/>
      <c r="AH86" s="910"/>
      <c r="AI86" s="910"/>
      <c r="AJ86" s="910"/>
      <c r="AK86" s="584"/>
      <c r="AL86" s="592"/>
      <c r="AM86" s="909"/>
      <c r="AN86" s="910"/>
      <c r="AO86" s="910"/>
      <c r="AP86" s="910"/>
      <c r="AQ86" s="584"/>
      <c r="AR86" s="592"/>
      <c r="AS86" s="909"/>
      <c r="AT86" s="910"/>
      <c r="AU86" s="910"/>
      <c r="AV86" s="910"/>
      <c r="AW86" s="584"/>
      <c r="AX86" s="592"/>
      <c r="AY86" s="909"/>
      <c r="AZ86" s="910"/>
      <c r="BA86" s="910"/>
      <c r="BB86" s="910"/>
      <c r="BC86" s="562"/>
      <c r="BD86" s="557"/>
      <c r="BE86" s="909"/>
      <c r="BF86" s="910"/>
      <c r="BG86" s="910"/>
      <c r="BH86" s="910"/>
      <c r="BI86" s="562"/>
      <c r="BJ86" s="629"/>
      <c r="BK86" s="909"/>
      <c r="BL86" s="910"/>
      <c r="BM86" s="910"/>
      <c r="BN86" s="910"/>
      <c r="BO86" s="562"/>
      <c r="BP86" s="557"/>
      <c r="BQ86" s="1115">
        <f>+BQ85/BK85-1</f>
        <v>0.15107913669064765</v>
      </c>
      <c r="BR86" s="1114">
        <f>+BR85/BL85-1</f>
        <v>0.15107913669064765</v>
      </c>
      <c r="BS86" s="1114">
        <f>+BS85/BM85-1</f>
        <v>0.30281690140845074</v>
      </c>
      <c r="BT86" s="1114">
        <f>+BT85/BN85-1</f>
        <v>0.21126760563380276</v>
      </c>
      <c r="BU86" s="707">
        <f>+BU85/BO85-1</f>
        <v>0.20462633451957313</v>
      </c>
      <c r="BV86" s="557"/>
      <c r="BW86" s="1115">
        <f>+BW85/BQ85-1</f>
        <v>0.19963867187500006</v>
      </c>
      <c r="BX86" s="1114">
        <f>+BX85/BR85-1</f>
        <v>0.28124999999999978</v>
      </c>
      <c r="BY86" s="1114">
        <f>+BY85/BS85-1</f>
        <v>0.32432432432432434</v>
      </c>
      <c r="BZ86" s="1114">
        <f>+BZ85/BT85-1</f>
        <v>0.33913154069767448</v>
      </c>
      <c r="CA86" s="707">
        <f>+CA85/BU85-1</f>
        <v>0.28843842319054636</v>
      </c>
      <c r="CB86" s="557"/>
      <c r="CC86" s="1115">
        <f>+CC85/BW85-1</f>
        <v>0.15429180661494768</v>
      </c>
      <c r="CD86" s="1114">
        <f>+CD85/BX85-1</f>
        <v>0.35095911204268293</v>
      </c>
      <c r="CE86" s="1114">
        <f>+CE85/BY85-1</f>
        <v>0.28864956932397945</v>
      </c>
      <c r="CF86" s="1114">
        <f>+CF85/BZ85-1</f>
        <v>0.27453053647067094</v>
      </c>
      <c r="CG86" s="707">
        <f>+CG85/CA85-1</f>
        <v>0.27</v>
      </c>
      <c r="CH86" s="557"/>
      <c r="CI86" s="1115">
        <f>+CI85/CC85-1</f>
        <v>0.22999999999999998</v>
      </c>
      <c r="CJ86" s="1114">
        <f>+CJ85/CD85-1</f>
        <v>0.22999999999999998</v>
      </c>
      <c r="CK86" s="1114">
        <f>+CK85/CE85-1</f>
        <v>0.29473684210526319</v>
      </c>
      <c r="CL86" s="1114">
        <f>+CL85/CF85-1</f>
        <v>0.16037735849056634</v>
      </c>
      <c r="CM86" s="707">
        <f>+CM85/CG85-1</f>
        <v>0.22999999999999998</v>
      </c>
      <c r="CN86" s="557"/>
      <c r="CO86" s="1115">
        <f>+CO85/CI85-1</f>
        <v>0.49999999999999978</v>
      </c>
      <c r="CP86" s="1114">
        <f>+CP85/CJ85-1</f>
        <v>0.19999999999999996</v>
      </c>
      <c r="CQ86" s="1114">
        <f>+CQ85/CK85-1</f>
        <v>0</v>
      </c>
      <c r="CR86" s="1114">
        <f>+CR85/CL85-1</f>
        <v>0.19999999999999996</v>
      </c>
      <c r="CS86" s="707">
        <f>+CS85/CM85-1</f>
        <v>0.19999999999999996</v>
      </c>
      <c r="CT86" s="557"/>
      <c r="CU86" s="1115">
        <f>+CU85/CO85-1</f>
        <v>0.15999999999999992</v>
      </c>
      <c r="CV86" s="1114">
        <f>+CV85/CP85-1</f>
        <v>0.15999999999999992</v>
      </c>
      <c r="CW86" s="1114">
        <f>+CW85/CQ85-1</f>
        <v>0.15999999999999992</v>
      </c>
      <c r="CX86" s="1114">
        <f>+CX85/CR85-1</f>
        <v>0.15999999999999992</v>
      </c>
      <c r="CY86" s="707">
        <f>+CY85/CS85-1</f>
        <v>0.15999999999999992</v>
      </c>
      <c r="CZ86" s="48"/>
      <c r="DA86"/>
      <c r="DB86"/>
      <c r="DC86"/>
      <c r="DD86" s="48"/>
      <c r="DE86" s="48"/>
      <c r="DF86" s="48"/>
      <c r="DG86" s="48"/>
      <c r="DH86" s="48"/>
      <c r="DI86" s="48"/>
      <c r="DJ86" s="48"/>
      <c r="DK86" s="48"/>
    </row>
    <row r="87" spans="1:115" s="5" customFormat="1" x14ac:dyDescent="0.2">
      <c r="A87" s="205" t="s">
        <v>506</v>
      </c>
      <c r="B87" s="961"/>
      <c r="C87" s="566"/>
      <c r="D87" s="566"/>
      <c r="E87" s="566"/>
      <c r="F87" s="566"/>
      <c r="G87" s="584"/>
      <c r="H87" s="592"/>
      <c r="I87" s="565"/>
      <c r="J87" s="566"/>
      <c r="K87" s="566"/>
      <c r="L87" s="566"/>
      <c r="M87" s="584"/>
      <c r="N87" s="592"/>
      <c r="O87" s="565"/>
      <c r="P87" s="566"/>
      <c r="Q87" s="566"/>
      <c r="R87" s="566"/>
      <c r="S87" s="694"/>
      <c r="T87" s="591"/>
      <c r="U87" s="565"/>
      <c r="V87" s="566"/>
      <c r="W87" s="566"/>
      <c r="X87" s="566"/>
      <c r="Y87" s="694"/>
      <c r="Z87" s="593"/>
      <c r="AA87" s="909"/>
      <c r="AB87" s="910"/>
      <c r="AC87" s="910"/>
      <c r="AD87" s="910"/>
      <c r="AE87" s="584"/>
      <c r="AF87" s="592"/>
      <c r="AG87" s="909"/>
      <c r="AH87" s="910"/>
      <c r="AI87" s="910"/>
      <c r="AJ87" s="910"/>
      <c r="AK87" s="584"/>
      <c r="AL87" s="592"/>
      <c r="AM87" s="909"/>
      <c r="AN87" s="910"/>
      <c r="AO87" s="910"/>
      <c r="AP87" s="910"/>
      <c r="AQ87" s="584"/>
      <c r="AR87" s="592"/>
      <c r="AS87" s="909"/>
      <c r="AT87" s="910"/>
      <c r="AU87" s="910"/>
      <c r="AV87" s="910"/>
      <c r="AW87" s="584"/>
      <c r="AX87" s="592"/>
      <c r="AY87" s="909"/>
      <c r="AZ87" s="910"/>
      <c r="BA87" s="910"/>
      <c r="BB87" s="910"/>
      <c r="BC87" s="562"/>
      <c r="BD87" s="557"/>
      <c r="BE87" s="909"/>
      <c r="BF87" s="910"/>
      <c r="BG87" s="910"/>
      <c r="BH87" s="910"/>
      <c r="BI87" s="1228">
        <v>9.9537531609137433E-2</v>
      </c>
      <c r="BJ87" s="629"/>
      <c r="BK87" s="1109">
        <v>0.11119999999999999</v>
      </c>
      <c r="BL87" s="1110">
        <v>0.11119999999999999</v>
      </c>
      <c r="BM87" s="1110">
        <v>0.11359999999999999</v>
      </c>
      <c r="BN87" s="1110">
        <v>0.11359999999999999</v>
      </c>
      <c r="BO87" s="1228">
        <v>0.11199999999999999</v>
      </c>
      <c r="BP87" s="557"/>
      <c r="BQ87" s="1109">
        <v>0.12549019607843137</v>
      </c>
      <c r="BR87" s="1110">
        <v>0.12549019607843137</v>
      </c>
      <c r="BS87" s="1110">
        <v>0.14509803921568629</v>
      </c>
      <c r="BT87" s="1110">
        <v>0.13490196078431371</v>
      </c>
      <c r="BU87" s="1228">
        <v>0.13274509803921569</v>
      </c>
      <c r="BV87" s="557"/>
      <c r="BW87" s="1109">
        <v>0.1475910707420223</v>
      </c>
      <c r="BX87" s="1110">
        <v>0.15763168012302958</v>
      </c>
      <c r="BY87" s="1110">
        <v>0.18838908112264513</v>
      </c>
      <c r="BZ87" s="1110">
        <v>0.17710928489042674</v>
      </c>
      <c r="CA87" s="1228">
        <v>0.16768027921953094</v>
      </c>
      <c r="CB87" s="557"/>
      <c r="CC87" s="1109">
        <v>0.16702270949710143</v>
      </c>
      <c r="CD87" s="1110">
        <v>0.20877838687137676</v>
      </c>
      <c r="CE87" s="1110">
        <v>0.2380073610333695</v>
      </c>
      <c r="CF87" s="1110">
        <v>0.22130509008365931</v>
      </c>
      <c r="CG87" s="1228">
        <v>0.20877838687137676</v>
      </c>
      <c r="CH87" s="557"/>
      <c r="CI87" s="1109">
        <v>0.20140973792297526</v>
      </c>
      <c r="CJ87" s="1110">
        <v>0.25176217240371906</v>
      </c>
      <c r="CK87" s="1110">
        <v>0.30211460688446284</v>
      </c>
      <c r="CL87" s="1110">
        <v>0.25176217240371906</v>
      </c>
      <c r="CM87" s="1228">
        <v>0.25176217240371906</v>
      </c>
      <c r="CN87" s="557"/>
      <c r="CO87" s="1109">
        <v>0.29619079106319884</v>
      </c>
      <c r="CP87" s="1110">
        <v>0.29619079106319884</v>
      </c>
      <c r="CQ87" s="1110">
        <v>0.29619079106319884</v>
      </c>
      <c r="CR87" s="1110">
        <v>0.29619079106319884</v>
      </c>
      <c r="CS87" s="1228">
        <v>0.29619079106319884</v>
      </c>
      <c r="CT87" s="557"/>
      <c r="CU87" s="1109">
        <v>0.33684442905226536</v>
      </c>
      <c r="CV87" s="1110">
        <v>0.33684442905226536</v>
      </c>
      <c r="CW87" s="1110">
        <v>0.33684442905226536</v>
      </c>
      <c r="CX87" s="1110">
        <v>0.33684442905226536</v>
      </c>
      <c r="CY87" s="1228">
        <v>0.33684442905226536</v>
      </c>
      <c r="CZ87" s="48"/>
      <c r="DA87"/>
      <c r="DB87"/>
      <c r="DC87"/>
      <c r="DD87" s="48"/>
      <c r="DE87" s="192"/>
      <c r="DF87" s="48"/>
      <c r="DG87" s="192"/>
      <c r="DH87" s="48"/>
      <c r="DI87" s="48"/>
      <c r="DJ87" s="48"/>
      <c r="DK87" s="48"/>
    </row>
    <row r="88" spans="1:115" s="5" customFormat="1" x14ac:dyDescent="0.2">
      <c r="A88" s="354" t="s">
        <v>507</v>
      </c>
      <c r="B88" s="961"/>
      <c r="C88" s="566"/>
      <c r="D88" s="566"/>
      <c r="E88" s="566"/>
      <c r="F88" s="566"/>
      <c r="G88" s="584"/>
      <c r="H88" s="592"/>
      <c r="I88" s="565"/>
      <c r="J88" s="566"/>
      <c r="K88" s="566"/>
      <c r="L88" s="566"/>
      <c r="M88" s="584"/>
      <c r="N88" s="592"/>
      <c r="O88" s="565"/>
      <c r="P88" s="566"/>
      <c r="Q88" s="566"/>
      <c r="R88" s="566"/>
      <c r="S88" s="694"/>
      <c r="T88" s="591"/>
      <c r="U88" s="565"/>
      <c r="V88" s="566"/>
      <c r="W88" s="566"/>
      <c r="X88" s="566"/>
      <c r="Y88" s="694"/>
      <c r="Z88" s="593"/>
      <c r="AA88" s="909"/>
      <c r="AB88" s="910"/>
      <c r="AC88" s="910"/>
      <c r="AD88" s="910"/>
      <c r="AE88" s="584"/>
      <c r="AF88" s="592"/>
      <c r="AG88" s="909"/>
      <c r="AH88" s="910"/>
      <c r="AI88" s="910"/>
      <c r="AJ88" s="910"/>
      <c r="AK88" s="584"/>
      <c r="AL88" s="592"/>
      <c r="AM88" s="909"/>
      <c r="AN88" s="910"/>
      <c r="AO88" s="910"/>
      <c r="AP88" s="910"/>
      <c r="AQ88" s="584"/>
      <c r="AR88" s="592"/>
      <c r="AS88" s="909"/>
      <c r="AT88" s="910"/>
      <c r="AU88" s="910"/>
      <c r="AV88" s="910"/>
      <c r="AW88" s="584"/>
      <c r="AX88" s="592"/>
      <c r="AY88" s="909"/>
      <c r="AZ88" s="910"/>
      <c r="BA88" s="910"/>
      <c r="BB88" s="910"/>
      <c r="BC88" s="562"/>
      <c r="BD88" s="557"/>
      <c r="BE88" s="909"/>
      <c r="BF88" s="910"/>
      <c r="BG88" s="910"/>
      <c r="BH88" s="910"/>
      <c r="BI88" s="580">
        <f>+BO88</f>
        <v>18.000000000000004</v>
      </c>
      <c r="BJ88" s="629"/>
      <c r="BK88" s="1214">
        <v>18</v>
      </c>
      <c r="BL88" s="1103">
        <v>18</v>
      </c>
      <c r="BM88" s="1103">
        <v>18</v>
      </c>
      <c r="BN88" s="1103">
        <v>18</v>
      </c>
      <c r="BO88" s="580">
        <f>+BO93/BO85</f>
        <v>18.000000000000004</v>
      </c>
      <c r="BP88" s="557"/>
      <c r="BQ88" s="1214">
        <v>16.582594360578877</v>
      </c>
      <c r="BR88" s="1103">
        <v>16.477799780821588</v>
      </c>
      <c r="BS88" s="1103">
        <v>16.398</v>
      </c>
      <c r="BT88" s="1103">
        <v>17.225999999999999</v>
      </c>
      <c r="BU88" s="580">
        <f>+BU93/BU85</f>
        <v>16.67084942780513</v>
      </c>
      <c r="BV88" s="557"/>
      <c r="BW88" s="1214">
        <v>16.248096394829695</v>
      </c>
      <c r="BX88" s="1103">
        <v>16.227618814120301</v>
      </c>
      <c r="BY88" s="1103">
        <v>16.261749140452888</v>
      </c>
      <c r="BZ88" s="1103">
        <v>16.703931098995696</v>
      </c>
      <c r="CA88" s="580">
        <f>+CA93/CA85</f>
        <v>16.367485317019106</v>
      </c>
      <c r="CB88" s="557"/>
      <c r="CC88" s="1214">
        <v>15.89502148483558</v>
      </c>
      <c r="CD88" s="1103">
        <v>15.861442148171554</v>
      </c>
      <c r="CE88" s="1103">
        <v>16.032881412208827</v>
      </c>
      <c r="CF88" s="1103">
        <v>16.261003360771465</v>
      </c>
      <c r="CG88" s="580">
        <f>+CG93/CG85</f>
        <v>16.022901927093958</v>
      </c>
      <c r="CH88" s="557"/>
      <c r="CI88" s="1214">
        <v>15.89502148483558</v>
      </c>
      <c r="CJ88" s="1103">
        <v>16.25797820187584</v>
      </c>
      <c r="CK88" s="1103">
        <v>16.113045819269868</v>
      </c>
      <c r="CL88" s="1103">
        <v>16.261003360771465</v>
      </c>
      <c r="CM88" s="580">
        <f>+CM93/CM85</f>
        <v>16.142663433409904</v>
      </c>
      <c r="CN88" s="557"/>
      <c r="CO88" s="1214">
        <v>15.89502148483558</v>
      </c>
      <c r="CP88" s="1103">
        <v>16.25797820187584</v>
      </c>
      <c r="CQ88" s="1103">
        <v>16.113045819269868</v>
      </c>
      <c r="CR88" s="1103">
        <v>16.261003360771465</v>
      </c>
      <c r="CS88" s="580">
        <f>+CS93/CS85</f>
        <v>16.131762216688191</v>
      </c>
      <c r="CT88" s="557"/>
      <c r="CU88" s="1214">
        <v>15.89502148483558</v>
      </c>
      <c r="CV88" s="1103">
        <v>16.25797820187584</v>
      </c>
      <c r="CW88" s="1103">
        <v>16.113045819269868</v>
      </c>
      <c r="CX88" s="1103">
        <v>16.261003360771465</v>
      </c>
      <c r="CY88" s="580">
        <f>+CY93/CY85</f>
        <v>16.131762216688188</v>
      </c>
      <c r="CZ88" s="48"/>
      <c r="DA88"/>
      <c r="DB88"/>
      <c r="DC88"/>
      <c r="DD88" s="48"/>
      <c r="DE88" s="48"/>
      <c r="DF88" s="48"/>
      <c r="DG88" s="48"/>
      <c r="DH88" s="48"/>
      <c r="DI88" s="48"/>
      <c r="DJ88" s="48"/>
      <c r="DK88" s="48"/>
    </row>
    <row r="89" spans="1:115" s="5" customFormat="1" x14ac:dyDescent="0.2">
      <c r="A89" s="205" t="s">
        <v>639</v>
      </c>
      <c r="B89" s="961"/>
      <c r="C89" s="566"/>
      <c r="D89" s="566"/>
      <c r="E89" s="566"/>
      <c r="F89" s="566"/>
      <c r="G89" s="584"/>
      <c r="H89" s="592"/>
      <c r="I89" s="565"/>
      <c r="J89" s="566"/>
      <c r="K89" s="566"/>
      <c r="L89" s="566"/>
      <c r="M89" s="584"/>
      <c r="N89" s="592"/>
      <c r="O89" s="565"/>
      <c r="P89" s="566"/>
      <c r="Q89" s="566"/>
      <c r="R89" s="566"/>
      <c r="S89" s="694"/>
      <c r="T89" s="591"/>
      <c r="U89" s="565"/>
      <c r="V89" s="566"/>
      <c r="W89" s="566"/>
      <c r="X89" s="566"/>
      <c r="Y89" s="694"/>
      <c r="Z89" s="593"/>
      <c r="AA89" s="909"/>
      <c r="AB89" s="910"/>
      <c r="AC89" s="910"/>
      <c r="AD89" s="910"/>
      <c r="AE89" s="584"/>
      <c r="AF89" s="592"/>
      <c r="AG89" s="909"/>
      <c r="AH89" s="910"/>
      <c r="AI89" s="910"/>
      <c r="AJ89" s="910"/>
      <c r="AK89" s="584"/>
      <c r="AL89" s="592"/>
      <c r="AM89" s="909"/>
      <c r="AN89" s="910"/>
      <c r="AO89" s="910"/>
      <c r="AP89" s="910"/>
      <c r="AQ89" s="584"/>
      <c r="AR89" s="592"/>
      <c r="AS89" s="909"/>
      <c r="AT89" s="910"/>
      <c r="AU89" s="910"/>
      <c r="AV89" s="910"/>
      <c r="AW89" s="584"/>
      <c r="AX89" s="592"/>
      <c r="AY89" s="909"/>
      <c r="AZ89" s="910"/>
      <c r="BA89" s="910"/>
      <c r="BB89" s="910"/>
      <c r="BC89" s="562"/>
      <c r="BD89" s="557"/>
      <c r="BE89" s="909"/>
      <c r="BF89" s="910"/>
      <c r="BG89" s="910"/>
      <c r="BH89" s="910"/>
      <c r="BI89" s="562"/>
      <c r="BJ89" s="629"/>
      <c r="BK89" s="909"/>
      <c r="BL89" s="910"/>
      <c r="BM89" s="910"/>
      <c r="BN89" s="910"/>
      <c r="BO89" s="562"/>
      <c r="BP89" s="557"/>
      <c r="BQ89" s="1109">
        <f>+BQ90+AVERAGE(RevBuild!BQ$47,RevBuild!BQ$34)</f>
        <v>-5.8579528278576307E-2</v>
      </c>
      <c r="BR89" s="1110">
        <f>+BR90+AVERAGE(RevBuild!BR$47,RevBuild!BR$34)</f>
        <v>-6.9642083241069533E-2</v>
      </c>
      <c r="BS89" s="1110">
        <f>+BS90+AVERAGE(RevBuild!BS$47,RevBuild!BS$34)</f>
        <v>-8.3274613289013907E-2</v>
      </c>
      <c r="BT89" s="1110">
        <f>+BT90+AVERAGE(RevBuild!BT$47,RevBuild!BT$34)</f>
        <v>-3.6226484237625742E-2</v>
      </c>
      <c r="BU89" s="1117">
        <f>+BU88/BO88-1</f>
        <v>-7.3841698455270666E-2</v>
      </c>
      <c r="BV89" s="557"/>
      <c r="BW89" s="1109">
        <f>+BW90+AVERAGE(RevBuild!BW$47,RevBuild!BW$34)</f>
        <v>-2.1200921236304369E-2</v>
      </c>
      <c r="BX89" s="1110">
        <f>+BX90+AVERAGE(RevBuild!BX$47,RevBuild!BX$34)</f>
        <v>-1.0472711427614016E-2</v>
      </c>
      <c r="BY89" s="1110">
        <f>+BY90+AVERAGE(RevBuild!BY$47,RevBuild!BY$34)</f>
        <v>2.6776504008924826E-3</v>
      </c>
      <c r="BZ89" s="1110">
        <f>+BZ90+AVERAGE(RevBuild!BZ$47,RevBuild!BZ$34)</f>
        <v>-4.5251599998150802E-2</v>
      </c>
      <c r="CA89" s="1117">
        <f>+CA88/BU88-1</f>
        <v>-1.8197279754686435E-2</v>
      </c>
      <c r="CB89" s="557"/>
      <c r="CC89" s="1109">
        <f>+CC90+AVERAGE(RevBuild!CC$34)</f>
        <v>-3.7630493991422459E-2</v>
      </c>
      <c r="CD89" s="1110">
        <f>+CD90+AVERAGE(RevBuild!CD$34)</f>
        <v>-4.7883584010004865E-2</v>
      </c>
      <c r="CE89" s="1110">
        <f>+CE90+AVERAGE(RevBuild!CE$34)</f>
        <v>-4.9136956168711513E-2</v>
      </c>
      <c r="CF89" s="1110">
        <f>+CF90+AVERAGE(RevBuild!CF$34)</f>
        <v>-3.6853918666357378E-2</v>
      </c>
      <c r="CG89" s="1117">
        <f>+CG88/CA88-1</f>
        <v>-2.1052921890624576E-2</v>
      </c>
      <c r="CH89" s="557"/>
      <c r="CI89" s="1109">
        <f>+CI90+AVERAGE(RevBuild!CI$34)</f>
        <v>0</v>
      </c>
      <c r="CJ89" s="1110">
        <f>+CJ90+AVERAGE(RevBuild!CJ$34)</f>
        <v>2.4999999999999998E-2</v>
      </c>
      <c r="CK89" s="1110">
        <f>+CK90+AVERAGE(RevBuild!CK$34)</f>
        <v>5.000000000000001E-3</v>
      </c>
      <c r="CL89" s="1110">
        <f>+CL90+AVERAGE(RevBuild!CL$34)</f>
        <v>0</v>
      </c>
      <c r="CM89" s="1117">
        <f t="shared" ref="CM89" si="26">+CM88/CG88-1</f>
        <v>7.4743955159231046E-3</v>
      </c>
      <c r="CN89" s="557"/>
      <c r="CO89" s="1109">
        <f>+CO90+AVERAGE(RevBuild!CO$34)</f>
        <v>0</v>
      </c>
      <c r="CP89" s="1110">
        <f>+CP90+AVERAGE(RevBuild!CP$34)</f>
        <v>0</v>
      </c>
      <c r="CQ89" s="1110">
        <f>+CQ90+AVERAGE(RevBuild!CQ$34)</f>
        <v>0</v>
      </c>
      <c r="CR89" s="1110">
        <f>+CR90+AVERAGE(RevBuild!CR$34)</f>
        <v>0</v>
      </c>
      <c r="CS89" s="1117">
        <f t="shared" ref="CS89" si="27">+CS88/CM88-1</f>
        <v>-6.7530471453369767E-4</v>
      </c>
      <c r="CT89" s="557"/>
      <c r="CU89" s="1109">
        <f>+CU90+AVERAGE(RevBuild!CU$34)</f>
        <v>0</v>
      </c>
      <c r="CV89" s="1110">
        <f>+CV90+AVERAGE(RevBuild!CV$34)</f>
        <v>0</v>
      </c>
      <c r="CW89" s="1110">
        <f>+CW90+AVERAGE(RevBuild!CW$34)</f>
        <v>0</v>
      </c>
      <c r="CX89" s="1110">
        <f>+CX90+AVERAGE(RevBuild!CX$34)</f>
        <v>0</v>
      </c>
      <c r="CY89" s="1117">
        <f t="shared" ref="CY89" si="28">+CY88/CS88-1</f>
        <v>0</v>
      </c>
      <c r="CZ89" s="48"/>
      <c r="DA89"/>
      <c r="DB89"/>
      <c r="DC89"/>
      <c r="DD89" s="48"/>
      <c r="DE89" s="48"/>
      <c r="DF89" s="48"/>
      <c r="DG89" s="48"/>
      <c r="DH89" s="48"/>
      <c r="DI89" s="48"/>
      <c r="DJ89" s="48"/>
      <c r="DK89" s="48"/>
    </row>
    <row r="90" spans="1:115" s="5" customFormat="1" x14ac:dyDescent="0.2">
      <c r="A90" s="205" t="s">
        <v>227</v>
      </c>
      <c r="B90" s="961"/>
      <c r="C90" s="566"/>
      <c r="D90" s="566"/>
      <c r="E90" s="566"/>
      <c r="F90" s="566"/>
      <c r="G90" s="584"/>
      <c r="H90" s="592"/>
      <c r="I90" s="565"/>
      <c r="J90" s="566"/>
      <c r="K90" s="566"/>
      <c r="L90" s="566"/>
      <c r="M90" s="584"/>
      <c r="N90" s="592"/>
      <c r="O90" s="565"/>
      <c r="P90" s="566"/>
      <c r="Q90" s="566"/>
      <c r="R90" s="566"/>
      <c r="S90" s="694"/>
      <c r="T90" s="591"/>
      <c r="U90" s="565"/>
      <c r="V90" s="566"/>
      <c r="W90" s="566"/>
      <c r="X90" s="566"/>
      <c r="Y90" s="694"/>
      <c r="Z90" s="593"/>
      <c r="AA90" s="909"/>
      <c r="AB90" s="910"/>
      <c r="AC90" s="910"/>
      <c r="AD90" s="910"/>
      <c r="AE90" s="584"/>
      <c r="AF90" s="592"/>
      <c r="AG90" s="909"/>
      <c r="AH90" s="910"/>
      <c r="AI90" s="910"/>
      <c r="AJ90" s="910"/>
      <c r="AK90" s="584"/>
      <c r="AL90" s="592"/>
      <c r="AM90" s="909"/>
      <c r="AN90" s="910"/>
      <c r="AO90" s="910"/>
      <c r="AP90" s="910"/>
      <c r="AQ90" s="584"/>
      <c r="AR90" s="592"/>
      <c r="AS90" s="909"/>
      <c r="AT90" s="910"/>
      <c r="AU90" s="910"/>
      <c r="AV90" s="910"/>
      <c r="AW90" s="584"/>
      <c r="AX90" s="592"/>
      <c r="AY90" s="909"/>
      <c r="AZ90" s="910"/>
      <c r="BA90" s="910"/>
      <c r="BB90" s="910"/>
      <c r="BC90" s="562"/>
      <c r="BD90" s="557"/>
      <c r="BE90" s="909"/>
      <c r="BF90" s="910"/>
      <c r="BG90" s="910"/>
      <c r="BH90" s="910"/>
      <c r="BI90" s="562"/>
      <c r="BJ90" s="629"/>
      <c r="BK90" s="909"/>
      <c r="BL90" s="910"/>
      <c r="BM90" s="910"/>
      <c r="BN90" s="910"/>
      <c r="BO90" s="562"/>
      <c r="BP90" s="557"/>
      <c r="BQ90" s="1109">
        <v>0</v>
      </c>
      <c r="BR90" s="1110">
        <v>0</v>
      </c>
      <c r="BS90" s="1110">
        <v>0</v>
      </c>
      <c r="BT90" s="1110">
        <v>0.02</v>
      </c>
      <c r="BU90" s="1228">
        <f>+BU89-AVERAGE(RevBuild!BU$47,RevBuild!BU$34)</f>
        <v>-6.9275490719013788E-3</v>
      </c>
      <c r="BV90" s="557"/>
      <c r="BW90" s="1109">
        <v>0</v>
      </c>
      <c r="BX90" s="1110">
        <v>0</v>
      </c>
      <c r="BY90" s="1110">
        <v>0</v>
      </c>
      <c r="BZ90" s="1110">
        <v>0</v>
      </c>
      <c r="CA90" s="1228">
        <f>+CA89-AVERAGE(RevBuild!CA$47,RevBuild!CA$34)</f>
        <v>7.667230692201682E-4</v>
      </c>
      <c r="CB90" s="557"/>
      <c r="CC90" s="1109">
        <v>0</v>
      </c>
      <c r="CD90" s="1110">
        <v>0</v>
      </c>
      <c r="CE90" s="1110">
        <v>-0.02</v>
      </c>
      <c r="CF90" s="1110">
        <v>-0.05</v>
      </c>
      <c r="CG90" s="1228">
        <f>+CG89-AVERAGE(RevBuild!CG$47,RevBuild!CG$34)</f>
        <v>9.2098625063600711E-3</v>
      </c>
      <c r="CH90" s="557"/>
      <c r="CI90" s="1109">
        <v>-0.05</v>
      </c>
      <c r="CJ90" s="1110">
        <v>-0.02</v>
      </c>
      <c r="CK90" s="1110">
        <v>-0.02</v>
      </c>
      <c r="CL90" s="1110">
        <v>-0.02</v>
      </c>
      <c r="CM90" s="1228">
        <f>+CM89-AVERAGE(RevBuild!CM$47,RevBuild!CM$34)</f>
        <v>-2.6666349717279381E-2</v>
      </c>
      <c r="CN90" s="557"/>
      <c r="CO90" s="1109">
        <v>0</v>
      </c>
      <c r="CP90" s="1110">
        <v>0</v>
      </c>
      <c r="CQ90" s="1110">
        <v>0</v>
      </c>
      <c r="CR90" s="1110">
        <v>0</v>
      </c>
      <c r="CS90" s="1228">
        <f>+CS89-AVERAGE(RevBuild!CS$47,RevBuild!CS$34)</f>
        <v>-6.7530471453372543E-4</v>
      </c>
      <c r="CT90" s="557"/>
      <c r="CU90" s="1109">
        <v>0</v>
      </c>
      <c r="CV90" s="1110">
        <v>0</v>
      </c>
      <c r="CW90" s="1110">
        <v>0</v>
      </c>
      <c r="CX90" s="1110">
        <v>0</v>
      </c>
      <c r="CY90" s="1228">
        <f>+CY89-AVERAGE(RevBuild!CY$47,RevBuild!CY$34)</f>
        <v>8.3266726846886741E-17</v>
      </c>
      <c r="CZ90" s="48"/>
      <c r="DA90"/>
      <c r="DB90"/>
      <c r="DC90"/>
      <c r="DD90" s="48"/>
      <c r="DE90" s="48"/>
      <c r="DF90" s="48"/>
      <c r="DG90" s="48"/>
      <c r="DH90" s="48"/>
      <c r="DI90" s="48"/>
      <c r="DJ90" s="48"/>
      <c r="DK90" s="48"/>
    </row>
    <row r="91" spans="1:115" outlineLevel="1" x14ac:dyDescent="0.2">
      <c r="A91" s="1247" t="s">
        <v>443</v>
      </c>
      <c r="B91" s="1181"/>
      <c r="C91" s="1182"/>
      <c r="D91" s="1182"/>
      <c r="E91" s="1182"/>
      <c r="F91" s="1182"/>
      <c r="G91" s="1183"/>
      <c r="H91" s="1184"/>
      <c r="I91" s="1189"/>
      <c r="J91" s="1190"/>
      <c r="K91" s="1190"/>
      <c r="L91" s="1191"/>
      <c r="M91" s="1192"/>
      <c r="N91" s="1183"/>
      <c r="O91" s="1189"/>
      <c r="P91" s="1190"/>
      <c r="Q91" s="1190"/>
      <c r="R91" s="1191"/>
      <c r="S91" s="1192"/>
      <c r="T91" s="1183"/>
      <c r="U91" s="1189"/>
      <c r="V91" s="1190"/>
      <c r="W91" s="1190"/>
      <c r="X91" s="1191"/>
      <c r="Y91" s="1192"/>
      <c r="Z91" s="1183"/>
      <c r="AA91" s="1189">
        <f>+AA93</f>
        <v>0</v>
      </c>
      <c r="AB91" s="1190">
        <f>+AB93</f>
        <v>0</v>
      </c>
      <c r="AC91" s="1190">
        <f>+AC93</f>
        <v>0</v>
      </c>
      <c r="AD91" s="1191">
        <f>+AD93</f>
        <v>0</v>
      </c>
      <c r="AE91" s="1192">
        <f>SUM(AA91:AD91)</f>
        <v>0</v>
      </c>
      <c r="AF91" s="1183"/>
      <c r="AG91" s="1189">
        <f>+AG93</f>
        <v>0</v>
      </c>
      <c r="AH91" s="1190">
        <f>+AH93</f>
        <v>0</v>
      </c>
      <c r="AI91" s="1190">
        <f>+AI93</f>
        <v>0</v>
      </c>
      <c r="AJ91" s="1191">
        <f>+AJ93</f>
        <v>0</v>
      </c>
      <c r="AK91" s="1192">
        <f>SUM(AG91:AJ91)</f>
        <v>0</v>
      </c>
      <c r="AL91" s="1183"/>
      <c r="AM91" s="1189">
        <f>+AM93</f>
        <v>0</v>
      </c>
      <c r="AN91" s="1190">
        <f>+AN93</f>
        <v>0</v>
      </c>
      <c r="AO91" s="1190">
        <f>+AO93</f>
        <v>0</v>
      </c>
      <c r="AP91" s="1191">
        <f>+AP93</f>
        <v>0</v>
      </c>
      <c r="AQ91" s="1192">
        <f>SUM(AM91:AP91)</f>
        <v>0</v>
      </c>
      <c r="AR91" s="1183"/>
      <c r="AS91" s="1189">
        <f>+AS93</f>
        <v>0</v>
      </c>
      <c r="AT91" s="1190">
        <f>+AT93</f>
        <v>0</v>
      </c>
      <c r="AU91" s="1190">
        <f>+AU93</f>
        <v>13.5</v>
      </c>
      <c r="AV91" s="1191">
        <f>+AV93</f>
        <v>14</v>
      </c>
      <c r="AW91" s="1192">
        <f>SUM(AS91:AV91)</f>
        <v>27.5</v>
      </c>
      <c r="AX91" s="1183"/>
      <c r="AY91" s="1189">
        <f>+AY93</f>
        <v>15</v>
      </c>
      <c r="AZ91" s="1190">
        <f>+AZ93</f>
        <v>17</v>
      </c>
      <c r="BA91" s="1190">
        <f>+BA93</f>
        <v>16.166405499211628</v>
      </c>
      <c r="BB91" s="1191">
        <f>+BB93</f>
        <v>18.125427533608853</v>
      </c>
      <c r="BC91" s="1192">
        <f>SUM(AY91:BB91)</f>
        <v>66.291833032820477</v>
      </c>
      <c r="BD91" s="1184"/>
      <c r="BE91" s="1189">
        <f>+BE93</f>
        <v>19.509193940295301</v>
      </c>
      <c r="BF91" s="1190">
        <f>+BF93</f>
        <v>22.621423512893877</v>
      </c>
      <c r="BG91" s="1190">
        <f>+BG93</f>
        <v>21.838770177140368</v>
      </c>
      <c r="BH91" s="1191">
        <f>+BH93</f>
        <v>23.857846142438792</v>
      </c>
      <c r="BI91" s="1192">
        <f>SUM(BE91:BH91)</f>
        <v>87.827233772768338</v>
      </c>
      <c r="BJ91" s="1183"/>
      <c r="BK91" s="1189">
        <f>+BK93</f>
        <v>25.02</v>
      </c>
      <c r="BL91" s="1190">
        <f>+BL93</f>
        <v>25.02</v>
      </c>
      <c r="BM91" s="1190">
        <f>+BM93</f>
        <v>25.56</v>
      </c>
      <c r="BN91" s="1191">
        <f>+BN93</f>
        <v>25.56</v>
      </c>
      <c r="BO91" s="1192">
        <f>SUM(BK91:BN91)</f>
        <v>101.16</v>
      </c>
      <c r="BP91" s="1184"/>
      <c r="BQ91" s="1189">
        <f>+BQ93</f>
        <v>26.532150976926204</v>
      </c>
      <c r="BR91" s="1190">
        <f>+BR93</f>
        <v>26.364479649314543</v>
      </c>
      <c r="BS91" s="1190">
        <f>+BS93</f>
        <v>30.336300000000001</v>
      </c>
      <c r="BT91" s="1191">
        <f>+BT93</f>
        <v>29.628719999999998</v>
      </c>
      <c r="BU91" s="1192">
        <f>SUM(BQ91:BT91)</f>
        <v>112.86165062624075</v>
      </c>
      <c r="BV91" s="1184"/>
      <c r="BW91" s="1189">
        <f>+BW93</f>
        <v>31.186951647344753</v>
      </c>
      <c r="BX91" s="1190">
        <f>+BX93</f>
        <v>33.266618568946612</v>
      </c>
      <c r="BY91" s="1190">
        <f>+BY93</f>
        <v>39.841285394109576</v>
      </c>
      <c r="BZ91" s="1191">
        <f>+BZ93</f>
        <v>38.474268899886155</v>
      </c>
      <c r="CA91" s="1192">
        <f>SUM(BW91:BZ91)</f>
        <v>142.7691245102871</v>
      </c>
      <c r="CB91" s="1184"/>
      <c r="CC91" s="1189">
        <f>+CC93</f>
        <v>35.216579542126667</v>
      </c>
      <c r="CD91" s="1190">
        <f>+CD93</f>
        <v>43.927727590430962</v>
      </c>
      <c r="CE91" s="1190">
        <f>+CE93</f>
        <v>50.61887603082009</v>
      </c>
      <c r="CF91" s="1191">
        <f>+CF93</f>
        <v>47.736356786767814</v>
      </c>
      <c r="CG91" s="1192">
        <f>SUM(CC91:CF91)</f>
        <v>177.49953995014556</v>
      </c>
      <c r="CH91" s="1184"/>
      <c r="CI91" s="1189">
        <f>+CI93</f>
        <v>43.316392836815794</v>
      </c>
      <c r="CJ91" s="1190">
        <f>+CJ93</f>
        <v>55.381882559635834</v>
      </c>
      <c r="CK91" s="1190">
        <f>+CK93</f>
        <v>65.865814321577091</v>
      </c>
      <c r="CL91" s="1191">
        <f>+CL93</f>
        <v>55.392187592192855</v>
      </c>
      <c r="CM91" s="1192">
        <f>SUM(CI91:CL91)</f>
        <v>219.95627731022159</v>
      </c>
      <c r="CN91" s="1184"/>
      <c r="CO91" s="1189">
        <f>+CO93</f>
        <v>64.974589255223691</v>
      </c>
      <c r="CP91" s="1190">
        <f>+CP93</f>
        <v>66.458259071562992</v>
      </c>
      <c r="CQ91" s="1190">
        <f>+CQ93</f>
        <v>65.865814321577091</v>
      </c>
      <c r="CR91" s="1191">
        <f>+CR93</f>
        <v>66.470625110631431</v>
      </c>
      <c r="CS91" s="1192">
        <f>SUM(CO91:CR91)</f>
        <v>263.76928775899523</v>
      </c>
      <c r="CT91" s="1184"/>
      <c r="CU91" s="1189">
        <f>+CU93</f>
        <v>75.370523536059466</v>
      </c>
      <c r="CV91" s="1190">
        <f>+CV93</f>
        <v>77.091580523013064</v>
      </c>
      <c r="CW91" s="1190">
        <f>+CW93</f>
        <v>76.404344613029423</v>
      </c>
      <c r="CX91" s="1191">
        <f>+CX93</f>
        <v>77.105925128332444</v>
      </c>
      <c r="CY91" s="1192">
        <f>SUM(CU91:CX91)</f>
        <v>305.97237380043441</v>
      </c>
      <c r="CZ91" s="48"/>
      <c r="DD91" s="48"/>
      <c r="DE91" s="48"/>
      <c r="DF91" s="48"/>
      <c r="DG91" s="48"/>
      <c r="DH91" s="48"/>
      <c r="DI91" s="48"/>
      <c r="DJ91" s="48"/>
      <c r="DK91" s="48"/>
    </row>
    <row r="92" spans="1:115" outlineLevel="1" x14ac:dyDescent="0.2">
      <c r="A92" s="1248" t="s">
        <v>444</v>
      </c>
      <c r="B92" s="1230"/>
      <c r="C92" s="1231"/>
      <c r="D92" s="1231"/>
      <c r="E92" s="1231"/>
      <c r="F92" s="1231"/>
      <c r="G92" s="1232"/>
      <c r="H92" s="1233"/>
      <c r="I92" s="1236"/>
      <c r="J92" s="1237"/>
      <c r="K92" s="1237"/>
      <c r="L92" s="1238"/>
      <c r="M92" s="1239"/>
      <c r="N92" s="1232"/>
      <c r="O92" s="1236"/>
      <c r="P92" s="1237"/>
      <c r="Q92" s="1237"/>
      <c r="R92" s="1238"/>
      <c r="S92" s="1239"/>
      <c r="T92" s="1232"/>
      <c r="U92" s="1236"/>
      <c r="V92" s="1237"/>
      <c r="W92" s="1237"/>
      <c r="X92" s="1238"/>
      <c r="Y92" s="1239"/>
      <c r="Z92" s="1232"/>
      <c r="AA92" s="1236">
        <f>+AA93-AA91</f>
        <v>0</v>
      </c>
      <c r="AB92" s="1237">
        <f>+AB93-AB91</f>
        <v>0</v>
      </c>
      <c r="AC92" s="1237">
        <f>+AC93-AC91</f>
        <v>0</v>
      </c>
      <c r="AD92" s="1238">
        <f>+AD93-AD91</f>
        <v>0</v>
      </c>
      <c r="AE92" s="1239">
        <v>0</v>
      </c>
      <c r="AF92" s="1232"/>
      <c r="AG92" s="1236">
        <f>+AG93-AG91</f>
        <v>0</v>
      </c>
      <c r="AH92" s="1237">
        <f>+AH93-AH91</f>
        <v>0</v>
      </c>
      <c r="AI92" s="1237">
        <f>+AI93-AI91</f>
        <v>0</v>
      </c>
      <c r="AJ92" s="1238">
        <f>+AJ93-AJ91</f>
        <v>0</v>
      </c>
      <c r="AK92" s="1239">
        <v>0</v>
      </c>
      <c r="AL92" s="1232"/>
      <c r="AM92" s="1236">
        <f>+AM93-AM91</f>
        <v>0</v>
      </c>
      <c r="AN92" s="1237">
        <f>+AN93-AN91</f>
        <v>0</v>
      </c>
      <c r="AO92" s="1237">
        <f>+AO93-AO91</f>
        <v>0</v>
      </c>
      <c r="AP92" s="1238">
        <f>+AP93-AP91</f>
        <v>0</v>
      </c>
      <c r="AQ92" s="1239">
        <v>0</v>
      </c>
      <c r="AR92" s="1232"/>
      <c r="AS92" s="1236">
        <f>+AS93-AS91</f>
        <v>0</v>
      </c>
      <c r="AT92" s="1237">
        <f>+AT93-AT91</f>
        <v>0</v>
      </c>
      <c r="AU92" s="1237">
        <f>+AU93-AU91</f>
        <v>0</v>
      </c>
      <c r="AV92" s="1238">
        <f>+AV93-AV91</f>
        <v>0</v>
      </c>
      <c r="AW92" s="1239">
        <f>+AW93-AW91</f>
        <v>0</v>
      </c>
      <c r="AX92" s="1232"/>
      <c r="AY92" s="1236">
        <f>+AY93-AY91</f>
        <v>0</v>
      </c>
      <c r="AZ92" s="1237">
        <f>+AZ93-AZ91</f>
        <v>0</v>
      </c>
      <c r="BA92" s="1237">
        <f>+BA93-BA91</f>
        <v>0</v>
      </c>
      <c r="BB92" s="1238">
        <f>+BB93-BB91</f>
        <v>0</v>
      </c>
      <c r="BC92" s="1239">
        <f>+BC93-BC91</f>
        <v>0</v>
      </c>
      <c r="BD92" s="1233"/>
      <c r="BE92" s="1236">
        <f>+BE93-BE91</f>
        <v>0</v>
      </c>
      <c r="BF92" s="1237">
        <f>+BF93-BF91</f>
        <v>0</v>
      </c>
      <c r="BG92" s="1237">
        <f>+BG93-BG91</f>
        <v>0</v>
      </c>
      <c r="BH92" s="1238">
        <f>+BH93-BH91</f>
        <v>0</v>
      </c>
      <c r="BI92" s="1239">
        <f>+BI93-BI91</f>
        <v>0</v>
      </c>
      <c r="BJ92" s="1233"/>
      <c r="BK92" s="1236">
        <f>+BK93-BK91</f>
        <v>0</v>
      </c>
      <c r="BL92" s="1237">
        <f>+BL93-BL91</f>
        <v>0</v>
      </c>
      <c r="BM92" s="1237">
        <f>+BM93-BM91</f>
        <v>0</v>
      </c>
      <c r="BN92" s="1238">
        <f>+BN93-BN91</f>
        <v>0</v>
      </c>
      <c r="BO92" s="1239">
        <f>+BO93-BO91</f>
        <v>0</v>
      </c>
      <c r="BP92" s="1233"/>
      <c r="BQ92" s="1236">
        <f>+BQ93-BQ91</f>
        <v>0</v>
      </c>
      <c r="BR92" s="1237">
        <f>+BR93-BR91</f>
        <v>0</v>
      </c>
      <c r="BS92" s="1237">
        <f>+BS93-BS91</f>
        <v>0</v>
      </c>
      <c r="BT92" s="1238">
        <f>+BT93-BT91</f>
        <v>0</v>
      </c>
      <c r="BU92" s="1239">
        <f>+BU93-BU91</f>
        <v>0</v>
      </c>
      <c r="BV92" s="1233"/>
      <c r="BW92" s="1236">
        <f>+BW93-BW91</f>
        <v>0</v>
      </c>
      <c r="BX92" s="1237">
        <f>+BX93-BX91</f>
        <v>0</v>
      </c>
      <c r="BY92" s="1237">
        <f>+BY93-BY91</f>
        <v>0</v>
      </c>
      <c r="BZ92" s="1238">
        <f>+BZ93-BZ91</f>
        <v>0</v>
      </c>
      <c r="CA92" s="1239">
        <f>+CA93-CA91</f>
        <v>0</v>
      </c>
      <c r="CB92" s="1233"/>
      <c r="CC92" s="1236">
        <f>+CC93-CC91</f>
        <v>0</v>
      </c>
      <c r="CD92" s="1237">
        <f>+CD93-CD91</f>
        <v>0</v>
      </c>
      <c r="CE92" s="1237">
        <f>+CE93-CE91</f>
        <v>0</v>
      </c>
      <c r="CF92" s="1238">
        <f>+CF93-CF91</f>
        <v>0</v>
      </c>
      <c r="CG92" s="1239">
        <f>+CG93-CG91</f>
        <v>0</v>
      </c>
      <c r="CH92" s="1233"/>
      <c r="CI92" s="1236">
        <f>+CI93-CI91</f>
        <v>0</v>
      </c>
      <c r="CJ92" s="1237">
        <f>+CJ93-CJ91</f>
        <v>0</v>
      </c>
      <c r="CK92" s="1237">
        <f>+CK93-CK91</f>
        <v>0</v>
      </c>
      <c r="CL92" s="1238">
        <f>+CL93-CL91</f>
        <v>0</v>
      </c>
      <c r="CM92" s="1239">
        <f>+CM93-CM91</f>
        <v>0</v>
      </c>
      <c r="CN92" s="1233"/>
      <c r="CO92" s="1236">
        <f>+CO93-CO91</f>
        <v>0</v>
      </c>
      <c r="CP92" s="1237">
        <f>+CP93-CP91</f>
        <v>0</v>
      </c>
      <c r="CQ92" s="1237">
        <f>+CQ93-CQ91</f>
        <v>0</v>
      </c>
      <c r="CR92" s="1238">
        <f>+CR93-CR91</f>
        <v>0</v>
      </c>
      <c r="CS92" s="1239">
        <f>+CS93-CS91</f>
        <v>0</v>
      </c>
      <c r="CT92" s="1233"/>
      <c r="CU92" s="1236">
        <f>+CU93-CU91</f>
        <v>0</v>
      </c>
      <c r="CV92" s="1237">
        <f>+CV93-CV91</f>
        <v>0</v>
      </c>
      <c r="CW92" s="1237">
        <f>+CW93-CW91</f>
        <v>0</v>
      </c>
      <c r="CX92" s="1238">
        <f>+CX93-CX91</f>
        <v>0</v>
      </c>
      <c r="CY92" s="1239">
        <f>+CY93-CY91</f>
        <v>0</v>
      </c>
      <c r="CZ92" s="48"/>
      <c r="DD92" s="48"/>
      <c r="DE92" s="48"/>
      <c r="DF92" s="48"/>
      <c r="DG92" s="48"/>
      <c r="DH92" s="48"/>
      <c r="DI92" s="48"/>
      <c r="DJ92" s="48"/>
      <c r="DK92" s="48"/>
    </row>
    <row r="93" spans="1:115" x14ac:dyDescent="0.2">
      <c r="A93" s="1240" t="s">
        <v>513</v>
      </c>
      <c r="B93" s="1241"/>
      <c r="C93" s="1193"/>
      <c r="D93" s="1193"/>
      <c r="E93" s="1193"/>
      <c r="F93" s="1193"/>
      <c r="G93" s="1195"/>
      <c r="H93" s="1193"/>
      <c r="I93" s="1251"/>
      <c r="J93" s="1252"/>
      <c r="K93" s="1252"/>
      <c r="L93" s="1253"/>
      <c r="M93" s="1255"/>
      <c r="N93" s="1242"/>
      <c r="O93" s="1251"/>
      <c r="P93" s="1252"/>
      <c r="Q93" s="1252"/>
      <c r="R93" s="1253"/>
      <c r="S93" s="1255">
        <v>5.3</v>
      </c>
      <c r="T93" s="1242"/>
      <c r="U93" s="1251"/>
      <c r="V93" s="1252"/>
      <c r="W93" s="1252"/>
      <c r="X93" s="1253"/>
      <c r="Y93" s="1255">
        <v>10.7</v>
      </c>
      <c r="Z93" s="1242"/>
      <c r="AA93" s="1251"/>
      <c r="AB93" s="1252"/>
      <c r="AC93" s="1252"/>
      <c r="AD93" s="1253"/>
      <c r="AE93" s="1255">
        <v>18.8</v>
      </c>
      <c r="AF93" s="1242"/>
      <c r="AG93" s="1251"/>
      <c r="AH93" s="1252"/>
      <c r="AI93" s="1252"/>
      <c r="AJ93" s="1253"/>
      <c r="AK93" s="1255">
        <v>34.5</v>
      </c>
      <c r="AL93" s="1242"/>
      <c r="AM93" s="1251"/>
      <c r="AN93" s="1252"/>
      <c r="AO93" s="1252"/>
      <c r="AP93" s="1253"/>
      <c r="AQ93" s="1255">
        <v>42</v>
      </c>
      <c r="AR93" s="1242"/>
      <c r="AS93" s="1251"/>
      <c r="AT93" s="1252"/>
      <c r="AU93" s="1252">
        <v>13.5</v>
      </c>
      <c r="AV93" s="1253">
        <v>14</v>
      </c>
      <c r="AW93" s="1246">
        <f>SUM(AS93:AV93)</f>
        <v>27.5</v>
      </c>
      <c r="AX93" s="1242"/>
      <c r="AY93" s="1251">
        <v>15</v>
      </c>
      <c r="AZ93" s="1252">
        <v>17</v>
      </c>
      <c r="BA93" s="1244">
        <f>+(BA94+1)*AU93</f>
        <v>16.166405499211628</v>
      </c>
      <c r="BB93" s="1245">
        <f>+(BB94+1)*AV93</f>
        <v>18.125427533608853</v>
      </c>
      <c r="BC93" s="1246">
        <f>+SUM(AY93:BB93)</f>
        <v>66.291833032820477</v>
      </c>
      <c r="BD93" s="1194"/>
      <c r="BE93" s="1243">
        <f>+(BE94+1)*AY93</f>
        <v>19.509193940295301</v>
      </c>
      <c r="BF93" s="1244">
        <f>+(BF94+1)*AZ93</f>
        <v>22.621423512893877</v>
      </c>
      <c r="BG93" s="1244">
        <f>+(BG94+1)*BA93</f>
        <v>21.838770177140368</v>
      </c>
      <c r="BH93" s="1245">
        <f>+(BH94+1)*BB93</f>
        <v>23.857846142438792</v>
      </c>
      <c r="BI93" s="1246">
        <f>+SUM(BE93:BH93)</f>
        <v>87.827233772768338</v>
      </c>
      <c r="BJ93" s="1194"/>
      <c r="BK93" s="1243">
        <f>+(BK88*BK85)</f>
        <v>25.02</v>
      </c>
      <c r="BL93" s="1244">
        <f>+(BL88*BL85)</f>
        <v>25.02</v>
      </c>
      <c r="BM93" s="1244">
        <f>+(BM88*BM85)</f>
        <v>25.56</v>
      </c>
      <c r="BN93" s="1245">
        <f>+(BN88*BN85)</f>
        <v>25.56</v>
      </c>
      <c r="BO93" s="1246">
        <f>+SUM(BK93:BN93)</f>
        <v>101.16</v>
      </c>
      <c r="BP93" s="1194"/>
      <c r="BQ93" s="1243">
        <f>+(BQ88*BQ85)</f>
        <v>26.532150976926204</v>
      </c>
      <c r="BR93" s="1244">
        <f>+(BR88*BR85)</f>
        <v>26.364479649314543</v>
      </c>
      <c r="BS93" s="1244">
        <f>+(BS88*BS85)</f>
        <v>30.336300000000001</v>
      </c>
      <c r="BT93" s="1245">
        <f>+(BT88*BT85)</f>
        <v>29.628719999999998</v>
      </c>
      <c r="BU93" s="1246">
        <f>+SUM(BQ93:BT93)</f>
        <v>112.86165062624075</v>
      </c>
      <c r="BV93" s="1194"/>
      <c r="BW93" s="1243">
        <f>+(BW88*BW85)</f>
        <v>31.186951647344753</v>
      </c>
      <c r="BX93" s="1244">
        <f>+(BX88*BX85)</f>
        <v>33.266618568946612</v>
      </c>
      <c r="BY93" s="1244">
        <f>+(BY88*BY85)</f>
        <v>39.841285394109576</v>
      </c>
      <c r="BZ93" s="1245">
        <f>+(BZ88*BZ85)</f>
        <v>38.474268899886155</v>
      </c>
      <c r="CA93" s="1246">
        <f>+SUM(BW93:BZ93)</f>
        <v>142.7691245102871</v>
      </c>
      <c r="CB93" s="1194"/>
      <c r="CC93" s="1243">
        <f>+(CC88*CC85)</f>
        <v>35.216579542126667</v>
      </c>
      <c r="CD93" s="1244">
        <f>+(CD88*CD85)</f>
        <v>43.927727590430962</v>
      </c>
      <c r="CE93" s="1244">
        <f>+(CE88*CE85)</f>
        <v>50.61887603082009</v>
      </c>
      <c r="CF93" s="1245">
        <f>+(CF88*CF85)</f>
        <v>47.736356786767814</v>
      </c>
      <c r="CG93" s="1246">
        <f>+SUM(CC93:CF93)</f>
        <v>177.49953995014556</v>
      </c>
      <c r="CH93" s="1194"/>
      <c r="CI93" s="1243">
        <f>+(CI88*CI85)</f>
        <v>43.316392836815794</v>
      </c>
      <c r="CJ93" s="1244">
        <f>+(CJ88*CJ85)</f>
        <v>55.381882559635834</v>
      </c>
      <c r="CK93" s="1244">
        <f>+(CK88*CK85)</f>
        <v>65.865814321577091</v>
      </c>
      <c r="CL93" s="1245">
        <f>+(CL88*CL85)</f>
        <v>55.392187592192855</v>
      </c>
      <c r="CM93" s="1246">
        <f>+SUM(CI93:CL93)</f>
        <v>219.95627731022159</v>
      </c>
      <c r="CN93" s="1194"/>
      <c r="CO93" s="1243">
        <f>+(CO88*CO85)</f>
        <v>64.974589255223691</v>
      </c>
      <c r="CP93" s="1244">
        <f>+(CP88*CP85)</f>
        <v>66.458259071562992</v>
      </c>
      <c r="CQ93" s="1244">
        <f>+(CQ88*CQ85)</f>
        <v>65.865814321577091</v>
      </c>
      <c r="CR93" s="1245">
        <f>+(CR88*CR85)</f>
        <v>66.470625110631431</v>
      </c>
      <c r="CS93" s="1246">
        <f>+SUM(CO93:CR93)</f>
        <v>263.76928775899523</v>
      </c>
      <c r="CT93" s="1194"/>
      <c r="CU93" s="1243">
        <f>+(CU88*CU85)</f>
        <v>75.370523536059466</v>
      </c>
      <c r="CV93" s="1244">
        <f>+(CV88*CV85)</f>
        <v>77.091580523013064</v>
      </c>
      <c r="CW93" s="1244">
        <f>+(CW88*CW85)</f>
        <v>76.404344613029423</v>
      </c>
      <c r="CX93" s="1245">
        <f>+(CX88*CX85)</f>
        <v>77.105925128332444</v>
      </c>
      <c r="CY93" s="1246">
        <f>+SUM(CU93:CX93)</f>
        <v>305.97237380043441</v>
      </c>
      <c r="CZ93" s="1279"/>
      <c r="DD93" s="48"/>
      <c r="DE93" s="48"/>
      <c r="DF93" s="48"/>
      <c r="DG93" s="48"/>
      <c r="DH93" s="48"/>
      <c r="DI93" s="48"/>
      <c r="DJ93" s="48"/>
      <c r="DK93" s="48"/>
    </row>
    <row r="94" spans="1:115" s="5" customFormat="1" x14ac:dyDescent="0.2">
      <c r="A94" s="205" t="s">
        <v>639</v>
      </c>
      <c r="B94" s="58"/>
      <c r="C94" s="591"/>
      <c r="D94" s="591"/>
      <c r="E94" s="591"/>
      <c r="F94" s="591"/>
      <c r="G94" s="594"/>
      <c r="H94" s="592"/>
      <c r="I94" s="680"/>
      <c r="J94" s="591"/>
      <c r="K94" s="591"/>
      <c r="L94" s="591"/>
      <c r="M94" s="594"/>
      <c r="N94" s="592"/>
      <c r="O94" s="680"/>
      <c r="P94" s="591"/>
      <c r="Q94" s="591"/>
      <c r="R94" s="591"/>
      <c r="S94" s="600"/>
      <c r="T94" s="854"/>
      <c r="U94" s="680"/>
      <c r="V94" s="591"/>
      <c r="W94" s="591"/>
      <c r="X94" s="591"/>
      <c r="Y94" s="1112">
        <f>Y93/S93-1</f>
        <v>1.0188679245283017</v>
      </c>
      <c r="Z94" s="1136"/>
      <c r="AA94" s="688"/>
      <c r="AB94" s="593"/>
      <c r="AC94" s="593"/>
      <c r="AD94" s="689"/>
      <c r="AE94" s="707">
        <f>AE93/Y93-1</f>
        <v>0.75700934579439272</v>
      </c>
      <c r="AF94" s="592"/>
      <c r="AG94" s="688"/>
      <c r="AH94" s="593"/>
      <c r="AI94" s="593"/>
      <c r="AJ94" s="689"/>
      <c r="AK94" s="707">
        <f>AK93/AE93-1</f>
        <v>0.83510638297872331</v>
      </c>
      <c r="AL94" s="592"/>
      <c r="AM94" s="688"/>
      <c r="AN94" s="597"/>
      <c r="AO94" s="597"/>
      <c r="AP94" s="597"/>
      <c r="AQ94" s="707">
        <f>AQ93/AK93-1</f>
        <v>0.21739130434782616</v>
      </c>
      <c r="AR94" s="592"/>
      <c r="AS94" s="695"/>
      <c r="AT94" s="599"/>
      <c r="AU94" s="599"/>
      <c r="AV94" s="599"/>
      <c r="AW94" s="707">
        <v>0.2</v>
      </c>
      <c r="AX94" s="592"/>
      <c r="AY94" s="1109"/>
      <c r="AZ94" s="1110"/>
      <c r="BA94" s="1110">
        <f>+BA95+AVERAGE(RevBuild!BA$47,RevBuild!BA$34)</f>
        <v>0.19751151846012069</v>
      </c>
      <c r="BB94" s="1110">
        <f>+BB95+AVERAGE(RevBuild!BB$47,RevBuild!BB$34)</f>
        <v>0.29467339525777508</v>
      </c>
      <c r="BC94" s="707">
        <f>Linking_Text_2/55-1</f>
        <v>0.20530605514219058</v>
      </c>
      <c r="BD94" s="592"/>
      <c r="BE94" s="1109">
        <f>+BE95+AVERAGE(RevBuild!BE$47,RevBuild!BE$34)</f>
        <v>0.30061292935301986</v>
      </c>
      <c r="BF94" s="1110">
        <f>+BF95+AVERAGE(RevBuild!BF$47,RevBuild!BF$34)</f>
        <v>0.33067197134669857</v>
      </c>
      <c r="BG94" s="1110">
        <f>+BG95+AVERAGE(RevBuild!BG$47,RevBuild!BG$34)</f>
        <v>0.35087358647569256</v>
      </c>
      <c r="BH94" s="1110">
        <f>+BH95+AVERAGE(RevBuild!BH$47,RevBuild!BH$34)</f>
        <v>0.31626391146915966</v>
      </c>
      <c r="BI94" s="707">
        <f>BI93/BC93-1</f>
        <v>0.32485752399222201</v>
      </c>
      <c r="BJ94" s="594"/>
      <c r="BK94" s="1115">
        <f>+BK93/BE93-1</f>
        <v>0.28247225777598084</v>
      </c>
      <c r="BL94" s="1114">
        <f>+BL93/BF93-1</f>
        <v>0.10603119143845974</v>
      </c>
      <c r="BM94" s="1114">
        <f>+BM93/BG93-1</f>
        <v>0.17039557597225929</v>
      </c>
      <c r="BN94" s="1114">
        <f>+BN93/BH93-1</f>
        <v>7.1345663284054117E-2</v>
      </c>
      <c r="BO94" s="707">
        <f>BO93/BI93-1</f>
        <v>0.15180674210606426</v>
      </c>
      <c r="BP94" s="592"/>
      <c r="BQ94" s="586">
        <f>+BQ93/BK93-1</f>
        <v>6.0437688925907507E-2</v>
      </c>
      <c r="BR94" s="587">
        <f>+BR93/BL93-1</f>
        <v>5.3736197014969678E-2</v>
      </c>
      <c r="BS94" s="587">
        <f>+BS93/BM93-1</f>
        <v>0.18686619718309871</v>
      </c>
      <c r="BT94" s="587">
        <f>+BT93/BN93-1</f>
        <v>0.15918309859154922</v>
      </c>
      <c r="BU94" s="707">
        <f>BU93/BO93-1</f>
        <v>0.11567467997470104</v>
      </c>
      <c r="BV94" s="592"/>
      <c r="BW94" s="586">
        <f>+BW93/BQ93-1</f>
        <v>0.17544000388308567</v>
      </c>
      <c r="BX94" s="587">
        <f>+BX93/BR93-1</f>
        <v>0.2617968953470895</v>
      </c>
      <c r="BY94" s="587">
        <f>+BY93/BS93-1</f>
        <v>0.3133205234029719</v>
      </c>
      <c r="BZ94" s="587">
        <f>+BZ93/BT93-1</f>
        <v>0.29854644074688874</v>
      </c>
      <c r="CA94" s="707">
        <f>CA93/BU93-1</f>
        <v>0.2649923487570609</v>
      </c>
      <c r="CB94" s="592"/>
      <c r="CC94" s="586">
        <f>+CC93/BW93-1</f>
        <v>0.12920877745116188</v>
      </c>
      <c r="CD94" s="587">
        <f>+CD93/BX93-1</f>
        <v>0.32047468243244226</v>
      </c>
      <c r="CE94" s="587">
        <f>+CE93/BY93-1</f>
        <v>0.27051312552039164</v>
      </c>
      <c r="CF94" s="587">
        <f>+CF93/BZ93-1</f>
        <v>0.24073460397603719</v>
      </c>
      <c r="CG94" s="707">
        <f>CG93/CA93-1</f>
        <v>0.24326278919890698</v>
      </c>
      <c r="CH94" s="592"/>
      <c r="CI94" s="586">
        <f>+CI93/CC93-1</f>
        <v>0.22999999999999976</v>
      </c>
      <c r="CJ94" s="587">
        <f>+CJ93/CD93-1</f>
        <v>0.26075000000000004</v>
      </c>
      <c r="CK94" s="587">
        <f>+CK93/CE93-1</f>
        <v>0.30121052631578915</v>
      </c>
      <c r="CL94" s="587">
        <f>+CL93/CF93-1</f>
        <v>0.16037735849056634</v>
      </c>
      <c r="CM94" s="707">
        <f>CM93/CG93-1</f>
        <v>0.23919350648458515</v>
      </c>
      <c r="CN94" s="592"/>
      <c r="CO94" s="586">
        <f>+CO93/CI93-1</f>
        <v>0.5</v>
      </c>
      <c r="CP94" s="587">
        <f>+CP93/CJ93-1</f>
        <v>0.19999999999999996</v>
      </c>
      <c r="CQ94" s="587">
        <f>+CQ93/CK93-1</f>
        <v>0</v>
      </c>
      <c r="CR94" s="587">
        <f>+CR93/CL93-1</f>
        <v>0.20000000000000018</v>
      </c>
      <c r="CS94" s="707">
        <f>CS93/CM93-1</f>
        <v>0.19918963434255943</v>
      </c>
      <c r="CT94" s="592"/>
      <c r="CU94" s="586">
        <f>+CU93/CO93-1</f>
        <v>0.1599999999999997</v>
      </c>
      <c r="CV94" s="587">
        <f>+CV93/CP93-1</f>
        <v>0.15999999999999992</v>
      </c>
      <c r="CW94" s="587">
        <f>+CW93/CQ93-1</f>
        <v>0.15999999999999992</v>
      </c>
      <c r="CX94" s="587">
        <f>+CX93/CR93-1</f>
        <v>0.1599999999999997</v>
      </c>
      <c r="CY94" s="707">
        <f>CY93/CS93-1</f>
        <v>0.1599999999999997</v>
      </c>
      <c r="CZ94" s="48"/>
      <c r="DA94"/>
      <c r="DB94"/>
      <c r="DC94"/>
      <c r="DD94" s="48"/>
      <c r="DE94" s="48"/>
      <c r="DF94" s="48"/>
      <c r="DG94" s="48"/>
      <c r="DH94" s="48"/>
      <c r="DI94" s="48"/>
      <c r="DJ94" s="48"/>
      <c r="DK94" s="48"/>
    </row>
    <row r="95" spans="1:115" s="5" customFormat="1" x14ac:dyDescent="0.2">
      <c r="A95" s="205" t="s">
        <v>227</v>
      </c>
      <c r="B95" s="961"/>
      <c r="C95" s="591"/>
      <c r="D95" s="591"/>
      <c r="E95" s="591"/>
      <c r="F95" s="591"/>
      <c r="G95" s="594"/>
      <c r="H95" s="592"/>
      <c r="I95" s="680"/>
      <c r="J95" s="591"/>
      <c r="K95" s="591"/>
      <c r="L95" s="591"/>
      <c r="M95" s="594"/>
      <c r="N95" s="592"/>
      <c r="O95" s="680"/>
      <c r="P95" s="591"/>
      <c r="Q95" s="591"/>
      <c r="R95" s="591"/>
      <c r="S95" s="594"/>
      <c r="T95" s="591"/>
      <c r="U95" s="680"/>
      <c r="V95" s="591"/>
      <c r="W95" s="591"/>
      <c r="X95" s="591"/>
      <c r="Y95" s="563"/>
      <c r="Z95" s="1136"/>
      <c r="AA95" s="688"/>
      <c r="AB95" s="593"/>
      <c r="AC95" s="593"/>
      <c r="AD95" s="689"/>
      <c r="AE95" s="598"/>
      <c r="AF95" s="592"/>
      <c r="AG95" s="688"/>
      <c r="AH95" s="593"/>
      <c r="AI95" s="593"/>
      <c r="AJ95" s="689"/>
      <c r="AK95" s="598"/>
      <c r="AL95" s="592"/>
      <c r="AM95" s="688"/>
      <c r="AN95" s="597"/>
      <c r="AO95" s="597"/>
      <c r="AP95" s="597"/>
      <c r="AQ95" s="598"/>
      <c r="AR95" s="592"/>
      <c r="AS95" s="695"/>
      <c r="AT95" s="599"/>
      <c r="AU95" s="599"/>
      <c r="AV95" s="599"/>
      <c r="AW95" s="853"/>
      <c r="AX95" s="592"/>
      <c r="AY95" s="909">
        <v>0.25</v>
      </c>
      <c r="AZ95" s="910">
        <v>0.25</v>
      </c>
      <c r="BA95" s="910">
        <v>0.25</v>
      </c>
      <c r="BB95" s="910">
        <v>0.3</v>
      </c>
      <c r="BC95" s="1259">
        <f>+BC94-+AVERAGE(RevBuild!BC$47,RevBuild!BC$34)</f>
        <v>0.2372127364980732</v>
      </c>
      <c r="BD95" s="592"/>
      <c r="BE95" s="909">
        <v>0.33</v>
      </c>
      <c r="BF95" s="910">
        <v>0.33</v>
      </c>
      <c r="BG95" s="910">
        <v>0.33</v>
      </c>
      <c r="BH95" s="910">
        <v>0.33</v>
      </c>
      <c r="BI95" s="1259">
        <f>+BI94-+AVERAGE(RevBuild!BI$47,RevBuild!BI$34)</f>
        <v>0.33385237388408168</v>
      </c>
      <c r="BJ95" s="594"/>
      <c r="BK95" s="1109">
        <f>+BK94-AVERAGE(RevBuild!BK$47,RevBuild!BK$34)</f>
        <v>0.26343825420960326</v>
      </c>
      <c r="BL95" s="1110">
        <f>+BL94-AVERAGE(RevBuild!BL$47,RevBuild!BL$34)</f>
        <v>0.10398470212860353</v>
      </c>
      <c r="BM95" s="1110">
        <f>+BM94-AVERAGE(RevBuild!BM$47,RevBuild!BM$34)</f>
        <v>0.17021958066732429</v>
      </c>
      <c r="BN95" s="1110">
        <f>+BN94-AVERAGE(RevBuild!BN$47,RevBuild!BN$34)</f>
        <v>9.6241067120395971E-2</v>
      </c>
      <c r="BO95" s="1259">
        <f>+BO94-+AVERAGE(RevBuild!BO$47,RevBuild!BO$34)</f>
        <v>0.15127821422239049</v>
      </c>
      <c r="BP95" s="592"/>
      <c r="BQ95" s="1109">
        <f>+BQ94-+AVERAGE(RevBuild!BQ$47,RevBuild!BQ$34)</f>
        <v>0.11901721720448381</v>
      </c>
      <c r="BR95" s="1110">
        <f>+BR94-+AVERAGE(RevBuild!BR$47,RevBuild!BR$34)</f>
        <v>0.12337828025603921</v>
      </c>
      <c r="BS95" s="1110">
        <f>+BS94-+AVERAGE(RevBuild!BS$47,RevBuild!BS$34)</f>
        <v>0.27014081047211264</v>
      </c>
      <c r="BT95" s="1110">
        <f>+BT94-+AVERAGE(RevBuild!BT$47,RevBuild!BT$34)</f>
        <v>0.21540958282917497</v>
      </c>
      <c r="BU95" s="1259">
        <f>+BU94-+AVERAGE(RevBuild!BU$47,RevBuild!BU$34)</f>
        <v>0.18258882935807033</v>
      </c>
      <c r="BV95" s="592"/>
      <c r="BW95" s="1109">
        <f>+BW94-+AVERAGE(RevBuild!BW$47,RevBuild!BW$34)</f>
        <v>0.19664092511939005</v>
      </c>
      <c r="BX95" s="1110">
        <f>+BX94-+AVERAGE(RevBuild!BX$47,RevBuild!BX$34)</f>
        <v>0.27226960677470352</v>
      </c>
      <c r="BY95" s="1110">
        <f>+BY94-+AVERAGE(RevBuild!BY$47,RevBuild!BY$34)</f>
        <v>0.31064287300207943</v>
      </c>
      <c r="BZ95" s="1110">
        <f>+BZ94-+AVERAGE(RevBuild!BZ$47,RevBuild!BZ$34)</f>
        <v>0.34379804074503956</v>
      </c>
      <c r="CA95" s="1259">
        <f>+CA94-+AVERAGE(RevBuild!CA$47,RevBuild!CA$34)</f>
        <v>0.28395635158096749</v>
      </c>
      <c r="CB95" s="592"/>
      <c r="CC95" s="1109">
        <f>+CC94-+AVERAGE(RevBuild!CC$34)</f>
        <v>0.16683927144258434</v>
      </c>
      <c r="CD95" s="1110">
        <f>+CD94-+AVERAGE(RevBuild!CD$34)</f>
        <v>0.36835826644244712</v>
      </c>
      <c r="CE95" s="1110">
        <f>+CE94-+AVERAGE(RevBuild!CE$34)</f>
        <v>0.29965008168910312</v>
      </c>
      <c r="CF95" s="1110">
        <f>+CF94-+AVERAGE(RevBuild!CF$34)</f>
        <v>0.22758852264239457</v>
      </c>
      <c r="CG95" s="1259">
        <f>+CG94-+AVERAGE(RevBuild!CG$34)</f>
        <v>0.26722460652362656</v>
      </c>
      <c r="CH95" s="592"/>
      <c r="CI95" s="1109">
        <f>+CI94-+AVERAGE(RevBuild!CI$34)</f>
        <v>0.17999999999999977</v>
      </c>
      <c r="CJ95" s="1110">
        <f>+CJ94-+AVERAGE(RevBuild!CJ$34)</f>
        <v>0.21575000000000005</v>
      </c>
      <c r="CK95" s="1110">
        <f>+CK94-+AVERAGE(RevBuild!CK$34)</f>
        <v>0.27621052631578913</v>
      </c>
      <c r="CL95" s="1110">
        <f>+CL94-+AVERAGE(RevBuild!CL$34)</f>
        <v>0.14037735849056635</v>
      </c>
      <c r="CM95" s="1259">
        <f>+CM94-+AVERAGE(RevBuild!CM$34)</f>
        <v>0.20548477366170137</v>
      </c>
      <c r="CN95" s="592"/>
      <c r="CO95" s="1109">
        <f>+CO94-+AVERAGE(RevBuild!CO$34)</f>
        <v>0.5</v>
      </c>
      <c r="CP95" s="1110">
        <f>+CP94-+AVERAGE(RevBuild!CP$34)</f>
        <v>0.19999999999999996</v>
      </c>
      <c r="CQ95" s="1110">
        <f>+CQ94-+AVERAGE(RevBuild!CQ$34)</f>
        <v>0</v>
      </c>
      <c r="CR95" s="1110">
        <f>+CR94-+AVERAGE(RevBuild!CR$34)</f>
        <v>0.20000000000000018</v>
      </c>
      <c r="CS95" s="1259">
        <f>+CS94-+AVERAGE(RevBuild!CS$34)</f>
        <v>0.19918963434255943</v>
      </c>
      <c r="CT95" s="592"/>
      <c r="CU95" s="1109">
        <f>+CU94-+AVERAGE(RevBuild!CU$34)</f>
        <v>0.1599999999999997</v>
      </c>
      <c r="CV95" s="1110">
        <f>+CV94-+AVERAGE(RevBuild!CV$34)</f>
        <v>0.15999999999999992</v>
      </c>
      <c r="CW95" s="1110">
        <f>+CW94-+AVERAGE(RevBuild!CW$34)</f>
        <v>0.15999999999999992</v>
      </c>
      <c r="CX95" s="1110">
        <f>+CX94-+AVERAGE(RevBuild!CX$34)</f>
        <v>0.1599999999999997</v>
      </c>
      <c r="CY95" s="1259">
        <f>+CY94-+AVERAGE(RevBuild!CY$34)</f>
        <v>0.1599999999999997</v>
      </c>
      <c r="CZ95" s="48"/>
      <c r="DA95"/>
      <c r="DB95"/>
      <c r="DC95"/>
      <c r="DD95" s="48"/>
      <c r="DE95" s="48"/>
      <c r="DF95" s="48"/>
      <c r="DG95" s="48"/>
      <c r="DH95" s="48"/>
      <c r="DI95" s="48"/>
      <c r="DJ95" s="48"/>
      <c r="DK95" s="48"/>
    </row>
    <row r="96" spans="1:115" x14ac:dyDescent="0.2">
      <c r="A96" s="1196" t="s">
        <v>425</v>
      </c>
      <c r="B96" s="1197"/>
      <c r="C96" s="1198"/>
      <c r="D96" s="1198"/>
      <c r="E96" s="1198"/>
      <c r="F96" s="1198"/>
      <c r="G96" s="1199"/>
      <c r="H96" s="1200"/>
      <c r="I96" s="1201"/>
      <c r="J96" s="1198"/>
      <c r="K96" s="1198"/>
      <c r="L96" s="1198"/>
      <c r="M96" s="1199"/>
      <c r="N96" s="1200"/>
      <c r="O96" s="1201"/>
      <c r="P96" s="1198"/>
      <c r="Q96" s="1198"/>
      <c r="R96" s="1198"/>
      <c r="S96" s="1199"/>
      <c r="T96" s="1198"/>
      <c r="U96" s="1201"/>
      <c r="V96" s="1198"/>
      <c r="W96" s="1198"/>
      <c r="X96" s="1198"/>
      <c r="Y96" s="1202"/>
      <c r="Z96" s="1203"/>
      <c r="AA96" s="1204"/>
      <c r="AB96" s="1205"/>
      <c r="AC96" s="1205"/>
      <c r="AD96" s="1206"/>
      <c r="AE96" s="1207"/>
      <c r="AF96" s="1200"/>
      <c r="AG96" s="1209">
        <f>AG93/AG$366</f>
        <v>0</v>
      </c>
      <c r="AH96" s="1210">
        <f>AH93/AH$366</f>
        <v>0</v>
      </c>
      <c r="AI96" s="1210">
        <f>AI93/AI$366</f>
        <v>0</v>
      </c>
      <c r="AJ96" s="1210">
        <f>AJ93/AJ$366</f>
        <v>0</v>
      </c>
      <c r="AK96" s="1208">
        <f>AK93/AK$366</f>
        <v>3.4164335404649318E-2</v>
      </c>
      <c r="AL96" s="1200"/>
      <c r="AM96" s="1209">
        <f>AM93/AM$366</f>
        <v>0</v>
      </c>
      <c r="AN96" s="1210">
        <f>AN93/AN$366</f>
        <v>0</v>
      </c>
      <c r="AO96" s="1210">
        <f>AO93/AO$366</f>
        <v>0</v>
      </c>
      <c r="AP96" s="1210">
        <f>AP93/AP$366</f>
        <v>0</v>
      </c>
      <c r="AQ96" s="1208">
        <f>AQ93/AQ$366</f>
        <v>3.8716677822908108E-2</v>
      </c>
      <c r="AR96" s="1200"/>
      <c r="AS96" s="1209">
        <f>AS93/AS$366</f>
        <v>0</v>
      </c>
      <c r="AT96" s="1210">
        <f>AT93/AT$366</f>
        <v>0</v>
      </c>
      <c r="AU96" s="1210">
        <f>AU93/AU$366</f>
        <v>4.6731398307284906E-2</v>
      </c>
      <c r="AV96" s="1210">
        <f>AV93/AV$366</f>
        <v>4.1863524908797314E-2</v>
      </c>
      <c r="AW96" s="1208">
        <f>AW93/AW$366</f>
        <v>2.3509357151589187E-2</v>
      </c>
      <c r="AX96" s="1200"/>
      <c r="AY96" s="1209">
        <f>AY93/AY$366</f>
        <v>5.0603531451781578E-2</v>
      </c>
      <c r="AZ96" s="1210">
        <f>AZ93/AZ$366</f>
        <v>5.5336199965496248E-2</v>
      </c>
      <c r="BA96" s="1210">
        <f>BA93/BA$366</f>
        <v>5.3128458469453806E-2</v>
      </c>
      <c r="BB96" s="1210">
        <f>BB93/BB$366</f>
        <v>5.230520567684617E-2</v>
      </c>
      <c r="BC96" s="1208">
        <f>BC93/BC$366</f>
        <v>5.2845084269851218E-2</v>
      </c>
      <c r="BD96" s="1200"/>
      <c r="BE96" s="1209">
        <f>BE93/BE$366</f>
        <v>6.4264612289164164E-2</v>
      </c>
      <c r="BF96" s="1210">
        <f>BF93/BF$366</f>
        <v>7.1493570132908607E-2</v>
      </c>
      <c r="BG96" s="1210">
        <f>BG93/BG$366</f>
        <v>6.7442953380646029E-2</v>
      </c>
      <c r="BH96" s="1210">
        <f>BH93/BH$366</f>
        <v>6.5799319173266382E-2</v>
      </c>
      <c r="BI96" s="1208">
        <f>BI93/BI$366</f>
        <v>6.7229263197320491E-2</v>
      </c>
      <c r="BJ96" s="2153"/>
      <c r="BK96" s="1209">
        <f>BK93/BK$366</f>
        <v>7.8834683479691095E-2</v>
      </c>
      <c r="BL96" s="1210">
        <f>BL93/BL$366</f>
        <v>7.5535039865715498E-2</v>
      </c>
      <c r="BM96" s="1210">
        <f>BM93/BM$366</f>
        <v>7.5900426717187761E-2</v>
      </c>
      <c r="BN96" s="1210">
        <f>BN93/BN$366</f>
        <v>7.0840608630581184E-2</v>
      </c>
      <c r="BO96" s="1208">
        <f>BO93/BO$366</f>
        <v>7.5146136057888377E-2</v>
      </c>
      <c r="BP96" s="1200"/>
      <c r="BQ96" s="1209">
        <f>BQ93/BQ$366</f>
        <v>8.8816790391713571E-2</v>
      </c>
      <c r="BR96" s="1210">
        <f>BR93/BR$366</f>
        <v>8.2529298711918206E-2</v>
      </c>
      <c r="BS96" s="1210">
        <f>BS93/BS$366</f>
        <v>9.6440118132889968E-2</v>
      </c>
      <c r="BT96" s="1210">
        <f>BT93/BT$366</f>
        <v>8.5017847919655665E-2</v>
      </c>
      <c r="BU96" s="1208">
        <f>BU93/BU$366</f>
        <v>8.8087416956806705E-2</v>
      </c>
      <c r="BV96" s="1200"/>
      <c r="BW96" s="1209">
        <f>BW93/BW$366</f>
        <v>0.10452126874661002</v>
      </c>
      <c r="BX96" s="1210">
        <f>BX93/BX$366</f>
        <v>9.9477945076572052E-2</v>
      </c>
      <c r="BY96" s="1210">
        <f>BY93/BY$366</f>
        <v>0.11763522268216654</v>
      </c>
      <c r="BZ96" s="1210">
        <f>BZ93/BZ$366</f>
        <v>0.10497324502376754</v>
      </c>
      <c r="CA96" s="1208">
        <f>CA93/CA$366</f>
        <v>0.10670409928787794</v>
      </c>
      <c r="CB96" s="1200"/>
      <c r="CC96" s="1209">
        <f>CC93/CC$366</f>
        <v>0.11422605963596771</v>
      </c>
      <c r="CD96" s="1210">
        <f>CD93/CD$366</f>
        <v>0.12564923825801319</v>
      </c>
      <c r="CE96" s="1210">
        <f>CE93/CE$366</f>
        <v>0.13891019766964899</v>
      </c>
      <c r="CF96" s="1210">
        <f>CF93/CF$366</f>
        <v>0.12020849679251955</v>
      </c>
      <c r="CG96" s="1208">
        <f>CG93/CG$366</f>
        <v>0.12505031259146879</v>
      </c>
      <c r="CH96" s="1200"/>
      <c r="CI96" s="1209">
        <f>CI93/CI$366</f>
        <v>0.12658321619555682</v>
      </c>
      <c r="CJ96" s="1210">
        <f>CJ93/CJ$366</f>
        <v>0.14200200396626561</v>
      </c>
      <c r="CK96" s="1210">
        <f>CK93/CK$366</f>
        <v>0.16344733211471876</v>
      </c>
      <c r="CL96" s="1210">
        <f>CL93/CL$366</f>
        <v>0.12895107556308066</v>
      </c>
      <c r="CM96" s="1208">
        <f>CM93/CM$366</f>
        <v>0.14057020208831822</v>
      </c>
      <c r="CN96" s="1200"/>
      <c r="CO96" s="1209">
        <f>CO93/CO$366</f>
        <v>0.17101766709549771</v>
      </c>
      <c r="CP96" s="1210">
        <f>CP93/CP$366</f>
        <v>0.15843330040012443</v>
      </c>
      <c r="CQ96" s="1210">
        <f>CQ93/CQ$366</f>
        <v>0.1542352715808363</v>
      </c>
      <c r="CR96" s="1210">
        <f>CR93/CR$366</f>
        <v>0.1421523089445898</v>
      </c>
      <c r="CS96" s="1208">
        <f>CS93/CS$366</f>
        <v>0.15570338860970201</v>
      </c>
      <c r="CT96" s="1200"/>
      <c r="CU96" s="1209">
        <f>CU93/CU$366</f>
        <v>0.17917942663161782</v>
      </c>
      <c r="CV96" s="1210">
        <f>CV93/CV$366</f>
        <v>0.1669714627582112</v>
      </c>
      <c r="CW96" s="1210">
        <f>CW93/CW$366</f>
        <v>0.1629068804398246</v>
      </c>
      <c r="CX96" s="1210">
        <f>CX93/CX$366</f>
        <v>0.15027666920406663</v>
      </c>
      <c r="CY96" s="1208">
        <f>CY93/CY$366</f>
        <v>0.16410889477289028</v>
      </c>
      <c r="CZ96" s="48"/>
      <c r="DD96" s="48"/>
      <c r="DE96" s="48"/>
      <c r="DF96" s="48"/>
      <c r="DG96" s="48"/>
      <c r="DH96" s="48"/>
      <c r="DI96" s="48"/>
      <c r="DJ96" s="48"/>
      <c r="DK96" s="48"/>
    </row>
    <row r="97" spans="1:115" s="5" customFormat="1" outlineLevel="1" x14ac:dyDescent="0.2">
      <c r="A97" s="354" t="s">
        <v>477</v>
      </c>
      <c r="B97" s="58"/>
      <c r="C97" s="556"/>
      <c r="D97" s="556"/>
      <c r="E97" s="556"/>
      <c r="F97" s="556"/>
      <c r="G97" s="629"/>
      <c r="H97" s="557"/>
      <c r="I97" s="677"/>
      <c r="J97" s="556"/>
      <c r="K97" s="556"/>
      <c r="L97" s="556"/>
      <c r="M97" s="629"/>
      <c r="N97" s="557"/>
      <c r="O97" s="677"/>
      <c r="P97" s="556"/>
      <c r="Q97" s="556"/>
      <c r="R97" s="556"/>
      <c r="S97" s="629"/>
      <c r="T97" s="556"/>
      <c r="U97" s="677"/>
      <c r="V97" s="556"/>
      <c r="W97" s="556"/>
      <c r="X97" s="556"/>
      <c r="Y97" s="629"/>
      <c r="Z97" s="578"/>
      <c r="AA97" s="581"/>
      <c r="AB97" s="550"/>
      <c r="AC97" s="601"/>
      <c r="AD97" s="852"/>
      <c r="AE97" s="580"/>
      <c r="AF97" s="557"/>
      <c r="AG97" s="581">
        <f>+AG$93*AG98</f>
        <v>0</v>
      </c>
      <c r="AH97" s="550">
        <f>+AH$93*AH98</f>
        <v>0</v>
      </c>
      <c r="AI97" s="550">
        <f>+AI$93*AI98</f>
        <v>0</v>
      </c>
      <c r="AJ97" s="582">
        <f>+AJ$93*AJ98</f>
        <v>0</v>
      </c>
      <c r="AK97" s="580">
        <f>SUM(AG97:AJ97)</f>
        <v>0</v>
      </c>
      <c r="AL97" s="557"/>
      <c r="AM97" s="581">
        <f>+AM98*AM47</f>
        <v>0</v>
      </c>
      <c r="AN97" s="550">
        <f>+AN98*AN47</f>
        <v>0</v>
      </c>
      <c r="AO97" s="550">
        <f>+AO98*AO47</f>
        <v>0</v>
      </c>
      <c r="AP97" s="582">
        <f>+AP98*AP47</f>
        <v>0</v>
      </c>
      <c r="AQ97" s="580">
        <f>SUM(AM97:AP97)</f>
        <v>0</v>
      </c>
      <c r="AR97" s="557"/>
      <c r="AS97" s="581">
        <f>+AS$93*AS98</f>
        <v>0</v>
      </c>
      <c r="AT97" s="550">
        <f>+AT$93*AT98</f>
        <v>0</v>
      </c>
      <c r="AU97" s="550">
        <f>+AU$93*AU98</f>
        <v>8.5050000000000008</v>
      </c>
      <c r="AV97" s="582">
        <f>+AV$93*AV98</f>
        <v>8.82</v>
      </c>
      <c r="AW97" s="580">
        <f>SUM(AS97:AV97)</f>
        <v>17.325000000000003</v>
      </c>
      <c r="AX97" s="557"/>
      <c r="AY97" s="581">
        <f>+AY$93*AY98</f>
        <v>9.75</v>
      </c>
      <c r="AZ97" s="550">
        <f>+AZ$93*AZ98</f>
        <v>11.05</v>
      </c>
      <c r="BA97" s="550">
        <f>+BA$93*BA98</f>
        <v>10.508163574487558</v>
      </c>
      <c r="BB97" s="582">
        <f>+BB$93*BB98</f>
        <v>11.781527896845756</v>
      </c>
      <c r="BC97" s="580">
        <f>SUM(AY97:BB97)</f>
        <v>43.08969147133331</v>
      </c>
      <c r="BD97" s="557"/>
      <c r="BE97" s="581">
        <f>+BE$93*BE98</f>
        <v>13.071159939997852</v>
      </c>
      <c r="BF97" s="550">
        <f>+BF$93*BF98</f>
        <v>15.156353753638898</v>
      </c>
      <c r="BG97" s="550">
        <f>+BG$93*BG98</f>
        <v>14.631976018684048</v>
      </c>
      <c r="BH97" s="582">
        <f>+BH$93*BH98</f>
        <v>15.984756915433991</v>
      </c>
      <c r="BI97" s="580">
        <f>SUM(BE97:BH97)</f>
        <v>58.844246627754792</v>
      </c>
      <c r="BJ97" s="2139"/>
      <c r="BK97" s="581">
        <f>+BK$93*BK98</f>
        <v>17.0136</v>
      </c>
      <c r="BL97" s="550">
        <f>+BL$93*BL98</f>
        <v>17.0136</v>
      </c>
      <c r="BM97" s="550">
        <f>+BM$93*BM98</f>
        <v>17.380800000000001</v>
      </c>
      <c r="BN97" s="582">
        <f>+BN$93*BN98</f>
        <v>17.380800000000001</v>
      </c>
      <c r="BO97" s="580">
        <f>SUM(BK97:BN97)</f>
        <v>68.788800000000009</v>
      </c>
      <c r="BP97" s="557"/>
      <c r="BQ97" s="581">
        <f>+BQ$93*BQ98</f>
        <v>18.041862664309821</v>
      </c>
      <c r="BR97" s="550">
        <f>+BR$93*BR98</f>
        <v>17.927846161533889</v>
      </c>
      <c r="BS97" s="550">
        <f>+BS$93*BS98</f>
        <v>20.628684000000003</v>
      </c>
      <c r="BT97" s="582">
        <f>+BT$93*BT98</f>
        <v>20.147529599999999</v>
      </c>
      <c r="BU97" s="580">
        <f>SUM(BQ97:BT97)</f>
        <v>76.745922425843716</v>
      </c>
      <c r="BV97" s="557"/>
      <c r="BW97" s="581">
        <f>+BW$93*BW98</f>
        <v>21.441029257549516</v>
      </c>
      <c r="BX97" s="550">
        <f>+BX$93*BX98</f>
        <v>23.120299905417895</v>
      </c>
      <c r="BY97" s="550">
        <f>+BY$93*BY98</f>
        <v>27.988502989361972</v>
      </c>
      <c r="BZ97" s="582">
        <f>+BZ$93*BZ98</f>
        <v>27.316730918919166</v>
      </c>
      <c r="CA97" s="580">
        <f>SUM(BW97:BZ97)</f>
        <v>99.866563071248549</v>
      </c>
      <c r="CB97" s="557"/>
      <c r="CC97" s="581">
        <f>+CC$93*CC98</f>
        <v>25.02137976468099</v>
      </c>
      <c r="CD97" s="550">
        <f>+CD$93*CD98</f>
        <v>31.232614316796404</v>
      </c>
      <c r="CE97" s="550">
        <f>+CE$93*CE98</f>
        <v>36.015330295928479</v>
      </c>
      <c r="CF97" s="582">
        <f>+CF$93*CF98</f>
        <v>33.988286032178664</v>
      </c>
      <c r="CG97" s="580">
        <f>SUM(CC97:CF97)</f>
        <v>126.25761040958453</v>
      </c>
      <c r="CH97" s="557"/>
      <c r="CI97" s="581">
        <f>+CI$93*CI98</f>
        <v>30.321474985771054</v>
      </c>
      <c r="CJ97" s="550">
        <f>+CJ$93*CJ98</f>
        <v>38.767317791745079</v>
      </c>
      <c r="CK97" s="550">
        <f>+CK$93*CK98</f>
        <v>46.106070025103961</v>
      </c>
      <c r="CL97" s="582">
        <f>+CL$93*CL98</f>
        <v>38.774531314534997</v>
      </c>
      <c r="CM97" s="580">
        <f>SUM(CI97:CL97)</f>
        <v>153.9693941171551</v>
      </c>
      <c r="CN97" s="557"/>
      <c r="CO97" s="581">
        <f>+CO$93*CO98</f>
        <v>45.482212478656578</v>
      </c>
      <c r="CP97" s="550">
        <f>+CP$93*CP98</f>
        <v>46.52078135009409</v>
      </c>
      <c r="CQ97" s="550">
        <f>+CQ$93*CQ98</f>
        <v>46.106070025103961</v>
      </c>
      <c r="CR97" s="582">
        <f>+CR$93*CR98</f>
        <v>46.529437577441996</v>
      </c>
      <c r="CS97" s="580">
        <f>SUM(CO97:CR97)</f>
        <v>184.63850143129665</v>
      </c>
      <c r="CT97" s="557"/>
      <c r="CU97" s="581">
        <f>+CU$93*CU98</f>
        <v>52.75936647524162</v>
      </c>
      <c r="CV97" s="550">
        <f>+CV$93*CV98</f>
        <v>53.964106366109142</v>
      </c>
      <c r="CW97" s="550">
        <f>+CW$93*CW98</f>
        <v>53.483041229120595</v>
      </c>
      <c r="CX97" s="582">
        <f>+CX$93*CX98</f>
        <v>53.974147589832711</v>
      </c>
      <c r="CY97" s="580">
        <f>SUM(CU97:CX97)</f>
        <v>214.18066166030408</v>
      </c>
      <c r="CZ97" s="48"/>
      <c r="DA97"/>
      <c r="DB97"/>
      <c r="DC97"/>
      <c r="DD97" s="48"/>
      <c r="DE97" s="48"/>
      <c r="DF97" s="48"/>
      <c r="DG97" s="48"/>
      <c r="DH97" s="48"/>
      <c r="DI97" s="48"/>
      <c r="DJ97" s="48"/>
      <c r="DK97" s="48"/>
    </row>
    <row r="98" spans="1:115" s="5" customFormat="1" outlineLevel="1" x14ac:dyDescent="0.2">
      <c r="A98" s="205" t="s">
        <v>471</v>
      </c>
      <c r="B98" s="58"/>
      <c r="C98" s="558"/>
      <c r="D98" s="558"/>
      <c r="E98" s="558"/>
      <c r="F98" s="558"/>
      <c r="G98" s="629"/>
      <c r="H98" s="557"/>
      <c r="I98" s="704"/>
      <c r="J98" s="558"/>
      <c r="K98" s="558"/>
      <c r="L98" s="558"/>
      <c r="M98" s="629"/>
      <c r="N98" s="557"/>
      <c r="O98" s="704"/>
      <c r="P98" s="558"/>
      <c r="Q98" s="558"/>
      <c r="R98" s="558"/>
      <c r="S98" s="707"/>
      <c r="T98" s="557"/>
      <c r="U98" s="704"/>
      <c r="V98" s="558"/>
      <c r="W98" s="558"/>
      <c r="X98" s="558"/>
      <c r="Y98" s="707"/>
      <c r="Z98" s="557"/>
      <c r="AA98" s="685"/>
      <c r="AB98" s="578"/>
      <c r="AC98" s="578"/>
      <c r="AD98" s="582"/>
      <c r="AE98" s="707"/>
      <c r="AF98" s="557"/>
      <c r="AG98" s="909">
        <v>0</v>
      </c>
      <c r="AH98" s="910">
        <v>0</v>
      </c>
      <c r="AI98" s="910">
        <v>0</v>
      </c>
      <c r="AJ98" s="910">
        <v>0</v>
      </c>
      <c r="AK98" s="707">
        <f>+AK97/AK$43</f>
        <v>0</v>
      </c>
      <c r="AL98" s="557"/>
      <c r="AM98" s="909">
        <v>0</v>
      </c>
      <c r="AN98" s="910">
        <v>0</v>
      </c>
      <c r="AO98" s="910">
        <v>0</v>
      </c>
      <c r="AP98" s="910">
        <v>0</v>
      </c>
      <c r="AQ98" s="707">
        <f>+AQ97/AQ$43</f>
        <v>0</v>
      </c>
      <c r="AR98" s="557"/>
      <c r="AS98" s="909">
        <v>0</v>
      </c>
      <c r="AT98" s="910">
        <v>0</v>
      </c>
      <c r="AU98" s="910">
        <v>0.63</v>
      </c>
      <c r="AV98" s="910">
        <v>0.63</v>
      </c>
      <c r="AW98" s="707">
        <f>+AW97/AW$93</f>
        <v>0.63000000000000012</v>
      </c>
      <c r="AX98" s="557"/>
      <c r="AY98" s="909">
        <f>+AV98+0.02</f>
        <v>0.65</v>
      </c>
      <c r="AZ98" s="910">
        <f>+AY98</f>
        <v>0.65</v>
      </c>
      <c r="BA98" s="910">
        <f>+AZ98</f>
        <v>0.65</v>
      </c>
      <c r="BB98" s="910">
        <f>+BA98</f>
        <v>0.65</v>
      </c>
      <c r="BC98" s="707">
        <f>+BC97/BC$93</f>
        <v>0.65</v>
      </c>
      <c r="BD98" s="557"/>
      <c r="BE98" s="909">
        <f>+BB98+0.02</f>
        <v>0.67</v>
      </c>
      <c r="BF98" s="910">
        <f>+BE98</f>
        <v>0.67</v>
      </c>
      <c r="BG98" s="910">
        <f>+BF98</f>
        <v>0.67</v>
      </c>
      <c r="BH98" s="910">
        <f>+BG98</f>
        <v>0.67</v>
      </c>
      <c r="BI98" s="707">
        <f>+BI97/BI$93</f>
        <v>0.67</v>
      </c>
      <c r="BJ98" s="629"/>
      <c r="BK98" s="909">
        <f>+BH98+0.01</f>
        <v>0.68</v>
      </c>
      <c r="BL98" s="910">
        <f>+BK98</f>
        <v>0.68</v>
      </c>
      <c r="BM98" s="910">
        <f>+BL98</f>
        <v>0.68</v>
      </c>
      <c r="BN98" s="910">
        <f>+BM98</f>
        <v>0.68</v>
      </c>
      <c r="BO98" s="707">
        <f>+BO97/BO$93</f>
        <v>0.68000000000000016</v>
      </c>
      <c r="BP98" s="557"/>
      <c r="BQ98" s="909">
        <f>+BN98</f>
        <v>0.68</v>
      </c>
      <c r="BR98" s="910">
        <f>+BQ98</f>
        <v>0.68</v>
      </c>
      <c r="BS98" s="910">
        <f>+BR98</f>
        <v>0.68</v>
      </c>
      <c r="BT98" s="910">
        <f>+BS98</f>
        <v>0.68</v>
      </c>
      <c r="BU98" s="707">
        <f>+BU97/BU$93</f>
        <v>0.68</v>
      </c>
      <c r="BV98" s="557"/>
      <c r="BW98" s="909">
        <f>+BT98+0.0075</f>
        <v>0.6875</v>
      </c>
      <c r="BX98" s="910">
        <f>+BW98+0.0075</f>
        <v>0.69499999999999995</v>
      </c>
      <c r="BY98" s="910">
        <f>+BX98+0.0075</f>
        <v>0.7024999999999999</v>
      </c>
      <c r="BZ98" s="910">
        <f>+BY98+0.0075</f>
        <v>0.70999999999999985</v>
      </c>
      <c r="CA98" s="707">
        <f>+CA97/CA$93</f>
        <v>0.69949692143732911</v>
      </c>
      <c r="CB98" s="557"/>
      <c r="CC98" s="909">
        <f>+BZ98+0.0005</f>
        <v>0.7104999999999998</v>
      </c>
      <c r="CD98" s="910">
        <f>+CC98+0.0005</f>
        <v>0.71099999999999974</v>
      </c>
      <c r="CE98" s="910">
        <f>+CD98+0.0005</f>
        <v>0.71149999999999969</v>
      </c>
      <c r="CF98" s="910">
        <f>+CE98+0.0005</f>
        <v>0.71199999999999963</v>
      </c>
      <c r="CG98" s="707">
        <f>+CG97/CG$93</f>
        <v>0.71131232478149864</v>
      </c>
      <c r="CH98" s="557"/>
      <c r="CI98" s="909">
        <v>0.7</v>
      </c>
      <c r="CJ98" s="910">
        <f>+CI98</f>
        <v>0.7</v>
      </c>
      <c r="CK98" s="910">
        <f>+CJ98</f>
        <v>0.7</v>
      </c>
      <c r="CL98" s="910">
        <f>+CK98</f>
        <v>0.7</v>
      </c>
      <c r="CM98" s="707">
        <f>+CM97/CM$93</f>
        <v>0.7</v>
      </c>
      <c r="CN98" s="557"/>
      <c r="CO98" s="909">
        <f>+CL98</f>
        <v>0.7</v>
      </c>
      <c r="CP98" s="910">
        <f>+CO98</f>
        <v>0.7</v>
      </c>
      <c r="CQ98" s="910">
        <f>+CP98</f>
        <v>0.7</v>
      </c>
      <c r="CR98" s="910">
        <f>+CQ98</f>
        <v>0.7</v>
      </c>
      <c r="CS98" s="707">
        <f>+CS97/CS$93</f>
        <v>0.7</v>
      </c>
      <c r="CT98" s="557"/>
      <c r="CU98" s="909">
        <f>+CR98</f>
        <v>0.7</v>
      </c>
      <c r="CV98" s="910">
        <f>+CU98</f>
        <v>0.7</v>
      </c>
      <c r="CW98" s="910">
        <f>+CV98</f>
        <v>0.7</v>
      </c>
      <c r="CX98" s="910">
        <f>+CW98</f>
        <v>0.7</v>
      </c>
      <c r="CY98" s="707">
        <f>+CY97/CY$93</f>
        <v>0.7</v>
      </c>
      <c r="CZ98" s="48"/>
      <c r="DA98"/>
      <c r="DB98"/>
      <c r="DC98"/>
      <c r="DD98" s="48"/>
      <c r="DE98" s="48"/>
      <c r="DF98" s="48"/>
      <c r="DG98" s="48"/>
      <c r="DH98" s="48"/>
      <c r="DI98" s="48"/>
      <c r="DJ98" s="48"/>
      <c r="DK98" s="48"/>
    </row>
    <row r="99" spans="1:115" s="5" customFormat="1" outlineLevel="1" x14ac:dyDescent="0.2">
      <c r="A99" s="354" t="s">
        <v>478</v>
      </c>
      <c r="B99" s="58"/>
      <c r="C99" s="558"/>
      <c r="D99" s="558"/>
      <c r="E99" s="558"/>
      <c r="F99" s="558"/>
      <c r="G99" s="629"/>
      <c r="H99" s="557"/>
      <c r="I99" s="704"/>
      <c r="J99" s="558"/>
      <c r="K99" s="558"/>
      <c r="L99" s="558"/>
      <c r="M99" s="629"/>
      <c r="N99" s="557"/>
      <c r="O99" s="704"/>
      <c r="P99" s="558"/>
      <c r="Q99" s="558"/>
      <c r="R99" s="558"/>
      <c r="S99" s="707"/>
      <c r="T99" s="557"/>
      <c r="U99" s="704"/>
      <c r="V99" s="558"/>
      <c r="W99" s="558"/>
      <c r="X99" s="558"/>
      <c r="Y99" s="707"/>
      <c r="Z99" s="557"/>
      <c r="AA99" s="685"/>
      <c r="AB99" s="578"/>
      <c r="AC99" s="578"/>
      <c r="AD99" s="582"/>
      <c r="AE99" s="707"/>
      <c r="AF99" s="557"/>
      <c r="AG99" s="581">
        <f>+AG$93*AG100</f>
        <v>0</v>
      </c>
      <c r="AH99" s="550">
        <f>+AH$93*AH100</f>
        <v>0</v>
      </c>
      <c r="AI99" s="550">
        <f>+AI$93*AI100</f>
        <v>0</v>
      </c>
      <c r="AJ99" s="582">
        <f>+AJ$93*AJ100</f>
        <v>0</v>
      </c>
      <c r="AK99" s="580">
        <f>SUM(AG99:AJ99)</f>
        <v>0</v>
      </c>
      <c r="AL99" s="557"/>
      <c r="AM99" s="581">
        <f>+AM$93*AM100</f>
        <v>0</v>
      </c>
      <c r="AN99" s="550">
        <f>+AN$93*AN100</f>
        <v>0</v>
      </c>
      <c r="AO99" s="550">
        <f>+AO$93*AO100</f>
        <v>0</v>
      </c>
      <c r="AP99" s="582">
        <f>+AP$93*AP100</f>
        <v>0</v>
      </c>
      <c r="AQ99" s="580">
        <f>SUM(AM99:AP99)</f>
        <v>0</v>
      </c>
      <c r="AR99" s="557"/>
      <c r="AS99" s="581">
        <f>+AS$93*AS100</f>
        <v>0</v>
      </c>
      <c r="AT99" s="550">
        <f>+AT$93*AT100</f>
        <v>0</v>
      </c>
      <c r="AU99" s="550">
        <f>+AU$93*AU100</f>
        <v>6.2569669071030223</v>
      </c>
      <c r="AV99" s="582">
        <f>+AV$93*AV100</f>
        <v>5.6688413060242926</v>
      </c>
      <c r="AW99" s="580">
        <f>SUM(AS99:AV99)</f>
        <v>11.925808213127315</v>
      </c>
      <c r="AX99" s="557"/>
      <c r="AY99" s="581">
        <f>+AY$93*AY100</f>
        <v>6.5699468059634238</v>
      </c>
      <c r="AZ99" s="550">
        <f>+AZ$93*AZ100</f>
        <v>7.3646400681119326</v>
      </c>
      <c r="BA99" s="550">
        <f>+BA$93*BA100</f>
        <v>7.19864951571435</v>
      </c>
      <c r="BB99" s="582">
        <f>+BB$93*BB100</f>
        <v>7.5409641057529733</v>
      </c>
      <c r="BC99" s="580">
        <f>SUM(AY99:BB99)</f>
        <v>28.674200495542681</v>
      </c>
      <c r="BD99" s="557"/>
      <c r="BE99" s="581">
        <f>+BE$93*BE100</f>
        <v>8.7858506378972603</v>
      </c>
      <c r="BF99" s="550">
        <f>+BF$93*BF100</f>
        <v>9.6567367239683541</v>
      </c>
      <c r="BG99" s="550">
        <f>+BG$93*BG100</f>
        <v>9.2282782378997492</v>
      </c>
      <c r="BH99" s="582">
        <f>+BH$93*BH100</f>
        <v>9.7824695156788355</v>
      </c>
      <c r="BI99" s="580">
        <f>SUM(BE99:BH99)</f>
        <v>37.453335115444197</v>
      </c>
      <c r="BJ99" s="557"/>
      <c r="BK99" s="581">
        <f>+BK$93*BK100</f>
        <v>11.424790361075479</v>
      </c>
      <c r="BL99" s="550">
        <f>+BL$93*BL100</f>
        <v>11.040923069230567</v>
      </c>
      <c r="BM99" s="550">
        <f>+BM$93*BM100</f>
        <v>11.245682515393019</v>
      </c>
      <c r="BN99" s="582">
        <f>+BN$93*BN100</f>
        <v>11.455309831793912</v>
      </c>
      <c r="BO99" s="580">
        <f>SUM(BK99:BN99)</f>
        <v>45.166705777492979</v>
      </c>
      <c r="BP99" s="557"/>
      <c r="BQ99" s="581">
        <f>+BQ$93*BQ100</f>
        <v>12.207455328043192</v>
      </c>
      <c r="BR99" s="550">
        <f>+BR$93*BR100</f>
        <v>11.004410093121168</v>
      </c>
      <c r="BS99" s="550">
        <f>+BS$93*BS100</f>
        <v>12.59080056264567</v>
      </c>
      <c r="BT99" s="582">
        <f>+BT$93*BT100</f>
        <v>11.785850950255652</v>
      </c>
      <c r="BU99" s="580">
        <f>SUM(BQ99:BT99)</f>
        <v>47.58851693406568</v>
      </c>
      <c r="BV99" s="557"/>
      <c r="BW99" s="581">
        <f>+BW$93*BW100</f>
        <v>14.866694294155362</v>
      </c>
      <c r="BX99" s="550">
        <f>+BX$93*BX100</f>
        <v>15.390131422986054</v>
      </c>
      <c r="BY99" s="550">
        <f>+BY$93*BY100</f>
        <v>16.966154109957358</v>
      </c>
      <c r="BZ99" s="582">
        <f>+BZ$93*BZ100</f>
        <v>14.380917834392628</v>
      </c>
      <c r="CA99" s="580">
        <f>SUM(BW99:BZ99)</f>
        <v>61.603897661491402</v>
      </c>
      <c r="CB99" s="557"/>
      <c r="CC99" s="581">
        <f>+CC$93*CC100</f>
        <v>16.51731608934185</v>
      </c>
      <c r="CD99" s="550">
        <f>+CD$93*CD100</f>
        <v>18.571515766670625</v>
      </c>
      <c r="CE99" s="550">
        <f>+CE$93*CE100</f>
        <v>20.826127188476981</v>
      </c>
      <c r="CF99" s="582">
        <f>+CF$93*CF100</f>
        <v>17.421457204138349</v>
      </c>
      <c r="CG99" s="580">
        <f>SUM(CC99:CF99)</f>
        <v>73.336416248627813</v>
      </c>
      <c r="CH99" s="557"/>
      <c r="CI99" s="581">
        <f>+CI$93*CI100</f>
        <v>20.772538180499446</v>
      </c>
      <c r="CJ99" s="550">
        <f>+CJ$93*CJ100</f>
        <v>24.211038510175186</v>
      </c>
      <c r="CK99" s="550">
        <f>+CK$93*CK100</f>
        <v>28.383894588827463</v>
      </c>
      <c r="CL99" s="582">
        <f>+CL$93*CL100</f>
        <v>21.329367955860302</v>
      </c>
      <c r="CM99" s="580">
        <f>SUM(CI99:CL99)</f>
        <v>94.696839235362404</v>
      </c>
      <c r="CN99" s="557"/>
      <c r="CO99" s="581">
        <f>+CO$93*CO100</f>
        <v>29.469467950113351</v>
      </c>
      <c r="CP99" s="550">
        <f>+CP$93*CP100</f>
        <v>28.65449665778084</v>
      </c>
      <c r="CQ99" s="550">
        <f>+CQ$93*CQ100</f>
        <v>27.330041559682229</v>
      </c>
      <c r="CR99" s="582">
        <f>+CR$93*CR100</f>
        <v>25.196417796368578</v>
      </c>
      <c r="CS99" s="580">
        <f>SUM(CO99:CR99)</f>
        <v>110.650423963945</v>
      </c>
      <c r="CT99" s="557"/>
      <c r="CU99" s="581">
        <f>+CU$93*CU100</f>
        <v>33.054024969090591</v>
      </c>
      <c r="CV99" s="550">
        <f>+CV$93*CV100</f>
        <v>32.082842415180579</v>
      </c>
      <c r="CW99" s="550">
        <f>+CW$93*CW100</f>
        <v>30.556783040035942</v>
      </c>
      <c r="CX99" s="582">
        <f>+CX$93*CX100</f>
        <v>28.071255766862556</v>
      </c>
      <c r="CY99" s="580">
        <f>SUM(CU99:CX99)</f>
        <v>123.76490619116967</v>
      </c>
      <c r="CZ99" s="48"/>
      <c r="DA99"/>
      <c r="DB99"/>
      <c r="DC99"/>
      <c r="DD99" s="48"/>
      <c r="DE99" s="48"/>
      <c r="DF99" s="48"/>
      <c r="DG99" s="48"/>
      <c r="DH99" s="48"/>
      <c r="DI99" s="48"/>
      <c r="DJ99" s="48"/>
      <c r="DK99" s="48"/>
    </row>
    <row r="100" spans="1:115" s="5" customFormat="1" outlineLevel="1" x14ac:dyDescent="0.2">
      <c r="A100" s="205" t="s">
        <v>508</v>
      </c>
      <c r="B100" s="58"/>
      <c r="C100" s="558"/>
      <c r="D100" s="558"/>
      <c r="E100" s="558"/>
      <c r="F100" s="558"/>
      <c r="G100" s="629"/>
      <c r="H100" s="557"/>
      <c r="I100" s="704"/>
      <c r="J100" s="558"/>
      <c r="K100" s="558"/>
      <c r="L100" s="558"/>
      <c r="M100" s="629"/>
      <c r="N100" s="557"/>
      <c r="O100" s="704"/>
      <c r="P100" s="558"/>
      <c r="Q100" s="558"/>
      <c r="R100" s="558"/>
      <c r="S100" s="707"/>
      <c r="T100" s="557"/>
      <c r="U100" s="704"/>
      <c r="V100" s="558"/>
      <c r="W100" s="558"/>
      <c r="X100" s="558"/>
      <c r="Y100" s="707"/>
      <c r="Z100" s="557"/>
      <c r="AA100" s="685"/>
      <c r="AB100" s="578"/>
      <c r="AC100" s="578"/>
      <c r="AD100" s="582"/>
      <c r="AE100" s="707"/>
      <c r="AF100" s="557"/>
      <c r="AG100" s="1688">
        <f>+AG$445</f>
        <v>0.45592555209045271</v>
      </c>
      <c r="AH100" s="1689">
        <f>+AH$445</f>
        <v>0.42214227418844424</v>
      </c>
      <c r="AI100" s="1689">
        <f>+AI$445</f>
        <v>0.41318036347671372</v>
      </c>
      <c r="AJ100" s="1690">
        <f>+AJ$445</f>
        <v>0.42863771535966699</v>
      </c>
      <c r="AK100" s="1117">
        <f>+AK99/AK93</f>
        <v>0</v>
      </c>
      <c r="AL100" s="592"/>
      <c r="AM100" s="1688">
        <f>+AM$445</f>
        <v>0.44228095623036295</v>
      </c>
      <c r="AN100" s="1689">
        <f>+AN$445</f>
        <v>0.44711437673742477</v>
      </c>
      <c r="AO100" s="1689">
        <f>+AO$445</f>
        <v>0.43339315647817084</v>
      </c>
      <c r="AP100" s="1690">
        <f>+AP$445</f>
        <v>0.43584451233085936</v>
      </c>
      <c r="AQ100" s="1117">
        <f>+AQ99/AQ93</f>
        <v>0</v>
      </c>
      <c r="AR100" s="592"/>
      <c r="AS100" s="1688">
        <f>+AS$445</f>
        <v>0.46201340768534516</v>
      </c>
      <c r="AT100" s="1689">
        <f>+AT$445</f>
        <v>0.45686016954647124</v>
      </c>
      <c r="AU100" s="1689">
        <f>+AU$445</f>
        <v>0.4634790301557794</v>
      </c>
      <c r="AV100" s="1690">
        <f>+AV$445</f>
        <v>0.4049172361445923</v>
      </c>
      <c r="AW100" s="1117">
        <f>+AW99/AW93</f>
        <v>0.43366575320462963</v>
      </c>
      <c r="AX100" s="592"/>
      <c r="AY100" s="1688">
        <f>+AY$445</f>
        <v>0.43799645373089491</v>
      </c>
      <c r="AZ100" s="1689">
        <f>+AZ$445</f>
        <v>0.43321412165364309</v>
      </c>
      <c r="BA100" s="1689">
        <f>+BA$445</f>
        <v>0.44528448306368412</v>
      </c>
      <c r="BB100" s="1690">
        <f>+BB$445</f>
        <v>0.41604337838488126</v>
      </c>
      <c r="BC100" s="1117">
        <f>+BC99/BC93</f>
        <v>0.43254499360948956</v>
      </c>
      <c r="BD100" s="592"/>
      <c r="BE100" s="1688">
        <f>+BE$445</f>
        <v>0.45034411287236775</v>
      </c>
      <c r="BF100" s="1689">
        <f>+BF$445</f>
        <v>0.42688457331008178</v>
      </c>
      <c r="BG100" s="1689">
        <f>+BG$445</f>
        <v>0.4225640071783624</v>
      </c>
      <c r="BH100" s="1690">
        <f>+BH$445</f>
        <v>0.41003154506380995</v>
      </c>
      <c r="BI100" s="1117">
        <f>+BI99/BI93</f>
        <v>0.42644329676083864</v>
      </c>
      <c r="BJ100" s="592"/>
      <c r="BK100" s="1688">
        <f>+BK$445</f>
        <v>0.45662631339230531</v>
      </c>
      <c r="BL100" s="1689">
        <f>+BL$445</f>
        <v>0.44128389565270054</v>
      </c>
      <c r="BM100" s="1689">
        <f>+BM$445</f>
        <v>0.43997192939722302</v>
      </c>
      <c r="BN100" s="1690">
        <f>+BN$445</f>
        <v>0.4481733111030482</v>
      </c>
      <c r="BO100" s="1117">
        <f>+BO99/BO93</f>
        <v>0.44648779930301485</v>
      </c>
      <c r="BP100" s="592"/>
      <c r="BQ100" s="1688">
        <f>+BQ$445</f>
        <v>0.46010047729109704</v>
      </c>
      <c r="BR100" s="1689">
        <f>+BR$445</f>
        <v>0.41739530760688748</v>
      </c>
      <c r="BS100" s="1689">
        <f>+BS$445</f>
        <v>0.415040745333006</v>
      </c>
      <c r="BT100" s="1690">
        <f>+BT$445</f>
        <v>0.39778468156085223</v>
      </c>
      <c r="BU100" s="1117">
        <f>+BU99/BU93</f>
        <v>0.42165356141797539</v>
      </c>
      <c r="BV100" s="592"/>
      <c r="BW100" s="1688">
        <f>+BW$445</f>
        <v>0.47669597408123432</v>
      </c>
      <c r="BX100" s="1689">
        <f>+BX$445</f>
        <v>0.46262986997278643</v>
      </c>
      <c r="BY100" s="1689">
        <f>+BY$445</f>
        <v>0.42584354249940332</v>
      </c>
      <c r="BZ100" s="1690">
        <f>+BZ$445</f>
        <v>0.37378014568160334</v>
      </c>
      <c r="CA100" s="1117">
        <f>+CA99/CA93</f>
        <v>0.43149313881974943</v>
      </c>
      <c r="CB100" s="592"/>
      <c r="CC100" s="1688">
        <f>+CC$445</f>
        <v>0.46902102089680681</v>
      </c>
      <c r="CD100" s="1689">
        <f>+CD$445</f>
        <v>0.42277433378357065</v>
      </c>
      <c r="CE100" s="1689">
        <f>+CE$445</f>
        <v>0.41143005972310942</v>
      </c>
      <c r="CF100" s="1690">
        <f>+CF$445</f>
        <v>0.36495154588268569</v>
      </c>
      <c r="CG100" s="1117">
        <f>+CG99/CG93</f>
        <v>0.41316397929383858</v>
      </c>
      <c r="CH100" s="592"/>
      <c r="CI100" s="1688">
        <f>+CI$445</f>
        <v>0.4795537398221279</v>
      </c>
      <c r="CJ100" s="1689">
        <f>+CJ$445</f>
        <v>0.43716532178378853</v>
      </c>
      <c r="CK100" s="1689">
        <f>+CK$445</f>
        <v>0.43093515021690298</v>
      </c>
      <c r="CL100" s="1690">
        <f>+CL$445</f>
        <v>0.38506094240023353</v>
      </c>
      <c r="CM100" s="1117">
        <f>+CM99/CM93</f>
        <v>0.43052574081258899</v>
      </c>
      <c r="CN100" s="592"/>
      <c r="CO100" s="1688">
        <f>+CO$445</f>
        <v>0.45355373982212788</v>
      </c>
      <c r="CP100" s="1689">
        <f>+CP$445</f>
        <v>0.43116532178378852</v>
      </c>
      <c r="CQ100" s="1689">
        <f>+CQ$445</f>
        <v>0.41493515021690297</v>
      </c>
      <c r="CR100" s="1690">
        <f>+CR$445</f>
        <v>0.37906094240023352</v>
      </c>
      <c r="CS100" s="1117">
        <f>+CS99/CS93</f>
        <v>0.41949699642456395</v>
      </c>
      <c r="CT100" s="592"/>
      <c r="CU100" s="1688">
        <f>+CU$445</f>
        <v>0.43855373982212792</v>
      </c>
      <c r="CV100" s="1689">
        <f>+CV$445</f>
        <v>0.41616532178378857</v>
      </c>
      <c r="CW100" s="1689">
        <f>+CW$445</f>
        <v>0.39993515021690296</v>
      </c>
      <c r="CX100" s="1690">
        <f>+CX$445</f>
        <v>0.36406094240023351</v>
      </c>
      <c r="CY100" s="1117">
        <f>+CY99/CY93</f>
        <v>0.40449699642456399</v>
      </c>
      <c r="CZ100" s="48"/>
      <c r="DA100"/>
      <c r="DB100"/>
      <c r="DC100"/>
      <c r="DD100" s="48"/>
      <c r="DE100" s="48"/>
      <c r="DF100" s="48"/>
      <c r="DG100" s="48"/>
      <c r="DH100" s="48"/>
      <c r="DI100" s="48"/>
      <c r="DJ100" s="48"/>
      <c r="DK100" s="48"/>
    </row>
    <row r="101" spans="1:115" s="5" customFormat="1" x14ac:dyDescent="0.2">
      <c r="A101" s="354" t="s">
        <v>479</v>
      </c>
      <c r="B101" s="58"/>
      <c r="C101" s="558"/>
      <c r="D101" s="558"/>
      <c r="E101" s="558"/>
      <c r="F101" s="558"/>
      <c r="G101" s="629"/>
      <c r="H101" s="557"/>
      <c r="I101" s="704"/>
      <c r="J101" s="558"/>
      <c r="K101" s="558"/>
      <c r="L101" s="558"/>
      <c r="M101" s="629"/>
      <c r="N101" s="557"/>
      <c r="O101" s="704"/>
      <c r="P101" s="558"/>
      <c r="Q101" s="558"/>
      <c r="R101" s="558"/>
      <c r="S101" s="707"/>
      <c r="T101" s="557"/>
      <c r="U101" s="704"/>
      <c r="V101" s="558"/>
      <c r="W101" s="558"/>
      <c r="X101" s="558"/>
      <c r="Y101" s="707"/>
      <c r="Z101" s="557"/>
      <c r="AA101" s="685"/>
      <c r="AB101" s="578"/>
      <c r="AC101" s="578"/>
      <c r="AD101" s="582"/>
      <c r="AE101" s="707"/>
      <c r="AF101" s="557"/>
      <c r="AG101" s="581">
        <f>+AG97-AG99</f>
        <v>0</v>
      </c>
      <c r="AH101" s="550">
        <f>+AH97-AH99</f>
        <v>0</v>
      </c>
      <c r="AI101" s="550">
        <f>+AI97-AI99</f>
        <v>0</v>
      </c>
      <c r="AJ101" s="550">
        <f>+AJ97-AJ99</f>
        <v>0</v>
      </c>
      <c r="AK101" s="580">
        <f>+AK97-AK99</f>
        <v>0</v>
      </c>
      <c r="AL101" s="557"/>
      <c r="AM101" s="581">
        <f>+AM97-AM99</f>
        <v>0</v>
      </c>
      <c r="AN101" s="550">
        <f>+AN97-AN99</f>
        <v>0</v>
      </c>
      <c r="AO101" s="550">
        <f>+AO97-AO99</f>
        <v>0</v>
      </c>
      <c r="AP101" s="550">
        <f>+AP97-AP99</f>
        <v>0</v>
      </c>
      <c r="AQ101" s="580">
        <f>+AQ97-AQ99</f>
        <v>0</v>
      </c>
      <c r="AR101" s="557"/>
      <c r="AS101" s="581">
        <f>+AS97-AS99</f>
        <v>0</v>
      </c>
      <c r="AT101" s="550">
        <f>+AT97-AT99</f>
        <v>0</v>
      </c>
      <c r="AU101" s="550">
        <f>+AU97-AU99</f>
        <v>2.2480330928969785</v>
      </c>
      <c r="AV101" s="550">
        <f>+AV97-AV99</f>
        <v>3.1511586939757077</v>
      </c>
      <c r="AW101" s="580">
        <f>+AW97-AW99</f>
        <v>5.399191786872688</v>
      </c>
      <c r="AX101" s="557"/>
      <c r="AY101" s="581">
        <f>+AY97-AY99</f>
        <v>3.1800531940365762</v>
      </c>
      <c r="AZ101" s="550">
        <f>+AZ97-AZ99</f>
        <v>3.6853599318880681</v>
      </c>
      <c r="BA101" s="550">
        <f>+BA97-BA99</f>
        <v>3.3095140587732077</v>
      </c>
      <c r="BB101" s="550">
        <f>+BB97-BB99</f>
        <v>4.2405637910927823</v>
      </c>
      <c r="BC101" s="580">
        <f>+BC97-BC99</f>
        <v>14.415490975790629</v>
      </c>
      <c r="BD101" s="557"/>
      <c r="BE101" s="581">
        <f>+BE97-BE99</f>
        <v>4.2853093021005915</v>
      </c>
      <c r="BF101" s="550">
        <f>+BF97-BF99</f>
        <v>5.499617029670544</v>
      </c>
      <c r="BG101" s="550">
        <f>+BG97-BG99</f>
        <v>5.4036977807842987</v>
      </c>
      <c r="BH101" s="550">
        <f>+BH97-BH99</f>
        <v>6.2022873997551553</v>
      </c>
      <c r="BI101" s="580">
        <f>+BI97-BI99</f>
        <v>21.390911512310595</v>
      </c>
      <c r="BJ101" s="557"/>
      <c r="BK101" s="581">
        <f>+BK97-BK99</f>
        <v>5.5888096389245216</v>
      </c>
      <c r="BL101" s="550">
        <f>+BL97-BL99</f>
        <v>5.972676930769433</v>
      </c>
      <c r="BM101" s="550">
        <f>+BM97-BM99</f>
        <v>6.1351174846069814</v>
      </c>
      <c r="BN101" s="550">
        <f>+BN97-BN99</f>
        <v>5.925490168206089</v>
      </c>
      <c r="BO101" s="580">
        <f>+BO97-BO99</f>
        <v>23.62209422250703</v>
      </c>
      <c r="BP101" s="557"/>
      <c r="BQ101" s="581">
        <f>+BQ97-BQ99</f>
        <v>5.8344073362666293</v>
      </c>
      <c r="BR101" s="550">
        <f>+BR97-BR99</f>
        <v>6.9234360684127214</v>
      </c>
      <c r="BS101" s="550">
        <f>+BS97-BS99</f>
        <v>8.0378834373543331</v>
      </c>
      <c r="BT101" s="550">
        <f>+BT97-BT99</f>
        <v>8.3616786497443467</v>
      </c>
      <c r="BU101" s="580">
        <f>+BU97-BU99</f>
        <v>29.157405491778036</v>
      </c>
      <c r="BV101" s="557"/>
      <c r="BW101" s="581">
        <f>+BW97-BW99</f>
        <v>6.5743349633941541</v>
      </c>
      <c r="BX101" s="550">
        <f>+BX97-BX99</f>
        <v>7.7301684824318411</v>
      </c>
      <c r="BY101" s="550">
        <f>+BY97-BY99</f>
        <v>11.022348879404614</v>
      </c>
      <c r="BZ101" s="550">
        <f>+BZ97-BZ99</f>
        <v>12.935813084526538</v>
      </c>
      <c r="CA101" s="580">
        <f>+CA97-CA99</f>
        <v>38.262665409757147</v>
      </c>
      <c r="CB101" s="557"/>
      <c r="CC101" s="581">
        <f>+CC97-CC99</f>
        <v>8.5040636753391396</v>
      </c>
      <c r="CD101" s="550">
        <f>+CD97-CD99</f>
        <v>12.661098550125779</v>
      </c>
      <c r="CE101" s="550">
        <f>+CE97-CE99</f>
        <v>15.189203107451497</v>
      </c>
      <c r="CF101" s="550">
        <f>+CF97-CF99</f>
        <v>16.566828828040315</v>
      </c>
      <c r="CG101" s="580">
        <f>+CG97-CG99</f>
        <v>52.921194160956716</v>
      </c>
      <c r="CH101" s="557"/>
      <c r="CI101" s="581">
        <f>+CI97-CI99</f>
        <v>9.5489368052716088</v>
      </c>
      <c r="CJ101" s="550">
        <f>+CJ97-CJ99</f>
        <v>14.556279281569893</v>
      </c>
      <c r="CK101" s="550">
        <f>+CK97-CK99</f>
        <v>17.722175436276498</v>
      </c>
      <c r="CL101" s="550">
        <f>+CL97-CL99</f>
        <v>17.445163358674694</v>
      </c>
      <c r="CM101" s="580">
        <f>+CM97-CM99</f>
        <v>59.272554881792701</v>
      </c>
      <c r="CN101" s="557"/>
      <c r="CO101" s="581">
        <f>+CO97-CO99</f>
        <v>16.012744528543227</v>
      </c>
      <c r="CP101" s="550">
        <f>+CP97-CP99</f>
        <v>17.866284692313251</v>
      </c>
      <c r="CQ101" s="550">
        <f>+CQ97-CQ99</f>
        <v>18.776028465421732</v>
      </c>
      <c r="CR101" s="550">
        <f>+CR97-CR99</f>
        <v>21.333019781073418</v>
      </c>
      <c r="CS101" s="580">
        <f>+CS97-CS99</f>
        <v>73.988077467351644</v>
      </c>
      <c r="CT101" s="557"/>
      <c r="CU101" s="581">
        <f>+CU97-CU99</f>
        <v>19.705341506151029</v>
      </c>
      <c r="CV101" s="550">
        <f>+CV97-CV99</f>
        <v>21.881263950928563</v>
      </c>
      <c r="CW101" s="550">
        <f>+CW97-CW99</f>
        <v>22.926258189084653</v>
      </c>
      <c r="CX101" s="550">
        <f>+CX97-CX99</f>
        <v>25.902891822970155</v>
      </c>
      <c r="CY101" s="580">
        <f>+CY97-CY99</f>
        <v>90.41575546913441</v>
      </c>
      <c r="CZ101" s="48"/>
      <c r="DA101"/>
      <c r="DB101"/>
      <c r="DC101"/>
      <c r="DD101" s="48"/>
      <c r="DE101" s="48"/>
      <c r="DF101" s="48"/>
      <c r="DG101" s="48"/>
      <c r="DH101" s="48"/>
      <c r="DI101" s="48"/>
      <c r="DJ101" s="48"/>
      <c r="DK101" s="48"/>
    </row>
    <row r="102" spans="1:115" s="5" customFormat="1" x14ac:dyDescent="0.2">
      <c r="A102" s="205" t="s">
        <v>476</v>
      </c>
      <c r="B102" s="961"/>
      <c r="C102" s="565"/>
      <c r="D102" s="566"/>
      <c r="E102" s="566"/>
      <c r="F102" s="566"/>
      <c r="G102" s="584"/>
      <c r="H102" s="592"/>
      <c r="I102" s="565"/>
      <c r="J102" s="566"/>
      <c r="K102" s="566"/>
      <c r="L102" s="566"/>
      <c r="M102" s="584"/>
      <c r="N102" s="592"/>
      <c r="O102" s="565"/>
      <c r="P102" s="566"/>
      <c r="Q102" s="566"/>
      <c r="R102" s="566"/>
      <c r="S102" s="584"/>
      <c r="T102" s="591"/>
      <c r="U102" s="565"/>
      <c r="V102" s="566"/>
      <c r="W102" s="566"/>
      <c r="X102" s="566"/>
      <c r="Y102" s="584"/>
      <c r="Z102" s="593"/>
      <c r="AA102" s="909">
        <v>0</v>
      </c>
      <c r="AB102" s="910">
        <v>0</v>
      </c>
      <c r="AC102" s="910">
        <v>0</v>
      </c>
      <c r="AD102" s="910">
        <v>0</v>
      </c>
      <c r="AE102" s="584"/>
      <c r="AF102" s="592"/>
      <c r="AG102" s="909">
        <v>0</v>
      </c>
      <c r="AH102" s="910">
        <v>0</v>
      </c>
      <c r="AI102" s="910">
        <v>0</v>
      </c>
      <c r="AJ102" s="910">
        <v>0</v>
      </c>
      <c r="AK102" s="1106">
        <v>0</v>
      </c>
      <c r="AL102" s="592"/>
      <c r="AM102" s="909">
        <v>0</v>
      </c>
      <c r="AN102" s="910">
        <v>0</v>
      </c>
      <c r="AO102" s="910">
        <v>0</v>
      </c>
      <c r="AP102" s="910">
        <v>0</v>
      </c>
      <c r="AQ102" s="1106">
        <v>0</v>
      </c>
      <c r="AR102" s="592"/>
      <c r="AS102" s="909">
        <v>0</v>
      </c>
      <c r="AT102" s="910">
        <v>0</v>
      </c>
      <c r="AU102" s="1132">
        <f>+AU101/AU$93</f>
        <v>0.16652096984422063</v>
      </c>
      <c r="AV102" s="1114">
        <f>+AV101/AV$93</f>
        <v>0.22508276385540768</v>
      </c>
      <c r="AW102" s="1117">
        <f>+AW101/AW$93</f>
        <v>0.19633424679537048</v>
      </c>
      <c r="AX102" s="592"/>
      <c r="AY102" s="1131">
        <f>+AY101/AY$93</f>
        <v>0.21200354626910509</v>
      </c>
      <c r="AZ102" s="1132">
        <f>+AZ101/AZ$93</f>
        <v>0.21678587834635696</v>
      </c>
      <c r="BA102" s="1132">
        <f>+BA101/BA$93</f>
        <v>0.20471551693631584</v>
      </c>
      <c r="BB102" s="1213">
        <f>+BB101/BB$93</f>
        <v>0.23395662161511879</v>
      </c>
      <c r="BC102" s="707">
        <f>+BC101/BC$93</f>
        <v>0.21745500639051046</v>
      </c>
      <c r="BD102" s="592"/>
      <c r="BE102" s="1131">
        <f>+BE101/BE$93</f>
        <v>0.21965588712763223</v>
      </c>
      <c r="BF102" s="1132">
        <f>+BF101/BF$93</f>
        <v>0.24311542668991823</v>
      </c>
      <c r="BG102" s="1132">
        <f>+BG101/BG$93</f>
        <v>0.24743599282163767</v>
      </c>
      <c r="BH102" s="1213">
        <f>+BH101/BH$93</f>
        <v>0.25996845493619009</v>
      </c>
      <c r="BI102" s="707">
        <f>+BI101/BI$93</f>
        <v>0.24355670323916143</v>
      </c>
      <c r="BJ102" s="592"/>
      <c r="BK102" s="1131">
        <f>+BK101/BK$93</f>
        <v>0.22337368660769472</v>
      </c>
      <c r="BL102" s="1132">
        <f>+BL101/BL$93</f>
        <v>0.23871610434729948</v>
      </c>
      <c r="BM102" s="1132">
        <f>+BM101/BM$93</f>
        <v>0.24002807060277706</v>
      </c>
      <c r="BN102" s="1213">
        <f>+BN101/BN$93</f>
        <v>0.23182668889695185</v>
      </c>
      <c r="BO102" s="707">
        <f>+BO101/BO$93</f>
        <v>0.23351220069698528</v>
      </c>
      <c r="BP102" s="592"/>
      <c r="BQ102" s="1131">
        <f>+BQ101/BQ$93</f>
        <v>0.21989952270890309</v>
      </c>
      <c r="BR102" s="1132">
        <f>+BR101/BR$93</f>
        <v>0.26260469239311257</v>
      </c>
      <c r="BS102" s="1132">
        <f>+BS101/BS$93</f>
        <v>0.2649592546669941</v>
      </c>
      <c r="BT102" s="1213">
        <f>+BT101/BT$93</f>
        <v>0.28221531843914782</v>
      </c>
      <c r="BU102" s="707">
        <f>+BU101/BU$93</f>
        <v>0.25834643858202472</v>
      </c>
      <c r="BV102" s="592"/>
      <c r="BW102" s="1131">
        <f>+BW101/BW$93</f>
        <v>0.21080402591876565</v>
      </c>
      <c r="BX102" s="1132">
        <f>+BX101/BX$93</f>
        <v>0.23237013002721355</v>
      </c>
      <c r="BY102" s="1132">
        <f>+BY101/BY$93</f>
        <v>0.27665645750059653</v>
      </c>
      <c r="BZ102" s="1213">
        <f>+BZ101/BZ$93</f>
        <v>0.33621985431839657</v>
      </c>
      <c r="CA102" s="707">
        <f>+CA101/CA$93</f>
        <v>0.26800378261757968</v>
      </c>
      <c r="CB102" s="592"/>
      <c r="CC102" s="1131">
        <f>+CC101/CC$93</f>
        <v>0.24147897910319302</v>
      </c>
      <c r="CD102" s="1132">
        <f>+CD101/CD$93</f>
        <v>0.28822566621642914</v>
      </c>
      <c r="CE102" s="1132">
        <f>+CE101/CE$93</f>
        <v>0.30006994027689027</v>
      </c>
      <c r="CF102" s="1213">
        <f>+CF101/CF$93</f>
        <v>0.34704845411731389</v>
      </c>
      <c r="CG102" s="707">
        <f>+CG101/CG$93</f>
        <v>0.29814834548766006</v>
      </c>
      <c r="CH102" s="592"/>
      <c r="CI102" s="1131">
        <f>+CI101/CI$93</f>
        <v>0.22044626017787208</v>
      </c>
      <c r="CJ102" s="1132">
        <f>+CJ101/CJ$93</f>
        <v>0.26283467821621137</v>
      </c>
      <c r="CK102" s="1132">
        <f>+CK101/CK$93</f>
        <v>0.26906484978309697</v>
      </c>
      <c r="CL102" s="1213">
        <f>+CL101/CL$93</f>
        <v>0.31493905759976648</v>
      </c>
      <c r="CM102" s="707">
        <f>+CM101/CM$93</f>
        <v>0.26947425918741097</v>
      </c>
      <c r="CN102" s="592"/>
      <c r="CO102" s="1131">
        <f>+CO101/CO$93</f>
        <v>0.24644626017787202</v>
      </c>
      <c r="CP102" s="1132">
        <f>+CP101/CP$93</f>
        <v>0.26883467821621143</v>
      </c>
      <c r="CQ102" s="1132">
        <f>+CQ101/CQ$93</f>
        <v>0.28506484978309699</v>
      </c>
      <c r="CR102" s="1213">
        <f>+CR101/CR$93</f>
        <v>0.32093905759976638</v>
      </c>
      <c r="CS102" s="707">
        <f>+CS101/CS$93</f>
        <v>0.28050300357543601</v>
      </c>
      <c r="CT102" s="592"/>
      <c r="CU102" s="1131">
        <f>+CU101/CU$93</f>
        <v>0.26144626017787204</v>
      </c>
      <c r="CV102" s="1132">
        <f>+CV101/CV$93</f>
        <v>0.28383467821621139</v>
      </c>
      <c r="CW102" s="1132">
        <f>+CW101/CW$93</f>
        <v>0.30006484978309705</v>
      </c>
      <c r="CX102" s="1213">
        <f>+CX101/CX$93</f>
        <v>0.3359390575997665</v>
      </c>
      <c r="CY102" s="707">
        <f>+CY101/CY$93</f>
        <v>0.29550300357543602</v>
      </c>
      <c r="CZ102" s="48"/>
      <c r="DA102"/>
      <c r="DB102"/>
      <c r="DC102"/>
      <c r="DD102" s="48"/>
      <c r="DE102" s="48"/>
      <c r="DF102" s="48"/>
      <c r="DG102" s="48"/>
      <c r="DH102" s="48"/>
      <c r="DI102" s="48"/>
      <c r="DJ102" s="48"/>
      <c r="DK102" s="48"/>
    </row>
    <row r="103" spans="1:115" x14ac:dyDescent="0.2">
      <c r="A103" s="1161" t="s">
        <v>445</v>
      </c>
      <c r="B103" s="1162"/>
      <c r="C103" s="1163"/>
      <c r="D103" s="1163"/>
      <c r="E103" s="1163"/>
      <c r="F103" s="1163"/>
      <c r="G103" s="1164"/>
      <c r="H103" s="1165"/>
      <c r="I103" s="1166"/>
      <c r="J103" s="1163"/>
      <c r="K103" s="1163"/>
      <c r="L103" s="1163"/>
      <c r="M103" s="1164"/>
      <c r="N103" s="1165"/>
      <c r="O103" s="1166"/>
      <c r="P103" s="1163"/>
      <c r="Q103" s="1163"/>
      <c r="R103" s="1163"/>
      <c r="S103" s="1164"/>
      <c r="T103" s="1163"/>
      <c r="U103" s="1166"/>
      <c r="V103" s="1163"/>
      <c r="W103" s="1163"/>
      <c r="X103" s="1163"/>
      <c r="Y103" s="1164"/>
      <c r="Z103" s="1167"/>
      <c r="AA103" s="1168"/>
      <c r="AB103" s="1169"/>
      <c r="AC103" s="1169"/>
      <c r="AD103" s="1170"/>
      <c r="AE103" s="1171"/>
      <c r="AF103" s="1165"/>
      <c r="AG103" s="1172"/>
      <c r="AH103" s="1173"/>
      <c r="AI103" s="1173"/>
      <c r="AJ103" s="1174"/>
      <c r="AK103" s="1171"/>
      <c r="AL103" s="1175"/>
      <c r="AM103" s="1176"/>
      <c r="AN103" s="1177"/>
      <c r="AO103" s="1177"/>
      <c r="AP103" s="1177"/>
      <c r="AQ103" s="1171"/>
      <c r="AR103" s="1178"/>
      <c r="AS103" s="1172"/>
      <c r="AT103" s="1173"/>
      <c r="AU103" s="1173"/>
      <c r="AV103" s="1173"/>
      <c r="AW103" s="1171"/>
      <c r="AX103" s="1173"/>
      <c r="AY103" s="1172"/>
      <c r="AZ103" s="1173"/>
      <c r="BA103" s="1173"/>
      <c r="BB103" s="1173"/>
      <c r="BC103" s="1171"/>
      <c r="BD103" s="1178"/>
      <c r="BE103" s="1172"/>
      <c r="BF103" s="1173"/>
      <c r="BG103" s="1173"/>
      <c r="BH103" s="1173"/>
      <c r="BI103" s="1171"/>
      <c r="BJ103" s="1179"/>
      <c r="BK103" s="1180"/>
      <c r="BL103" s="1173"/>
      <c r="BM103" s="1173"/>
      <c r="BN103" s="1173"/>
      <c r="BO103" s="1171"/>
      <c r="BP103" s="1178"/>
      <c r="BQ103" s="1172"/>
      <c r="BR103" s="1173"/>
      <c r="BS103" s="1173"/>
      <c r="BT103" s="1173"/>
      <c r="BU103" s="1171"/>
      <c r="BV103" s="1178"/>
      <c r="BW103" s="1172"/>
      <c r="BX103" s="1173"/>
      <c r="BY103" s="1173"/>
      <c r="BZ103" s="1173"/>
      <c r="CA103" s="1171"/>
      <c r="CB103" s="1178"/>
      <c r="CC103" s="1172"/>
      <c r="CD103" s="1173"/>
      <c r="CE103" s="1173"/>
      <c r="CF103" s="1173"/>
      <c r="CG103" s="1171"/>
      <c r="CH103" s="1178"/>
      <c r="CI103" s="1172"/>
      <c r="CJ103" s="1173"/>
      <c r="CK103" s="1173"/>
      <c r="CL103" s="1173"/>
      <c r="CM103" s="1171"/>
      <c r="CN103" s="1178"/>
      <c r="CO103" s="1172"/>
      <c r="CP103" s="1173"/>
      <c r="CQ103" s="1173"/>
      <c r="CR103" s="1173"/>
      <c r="CS103" s="1171"/>
      <c r="CT103" s="1178"/>
      <c r="CU103" s="1172"/>
      <c r="CV103" s="1173"/>
      <c r="CW103" s="1173"/>
      <c r="CX103" s="1173"/>
      <c r="CY103" s="1171"/>
      <c r="CZ103" s="48"/>
      <c r="DD103" s="48"/>
      <c r="DE103" s="48"/>
      <c r="DF103" s="48"/>
      <c r="DG103" s="48"/>
      <c r="DH103" s="48"/>
      <c r="DI103" s="48"/>
      <c r="DJ103" s="48"/>
      <c r="DK103" s="48"/>
    </row>
    <row r="104" spans="1:115" x14ac:dyDescent="0.2">
      <c r="A104" s="1141"/>
      <c r="B104" s="1142"/>
      <c r="C104" s="1143"/>
      <c r="D104" s="1143"/>
      <c r="E104" s="1143"/>
      <c r="F104" s="1143"/>
      <c r="G104" s="1144"/>
      <c r="H104" s="1145"/>
      <c r="I104" s="1146"/>
      <c r="J104" s="1143"/>
      <c r="K104" s="1143"/>
      <c r="L104" s="1143"/>
      <c r="M104" s="1144"/>
      <c r="N104" s="1145"/>
      <c r="O104" s="1146"/>
      <c r="P104" s="1143"/>
      <c r="Q104" s="1143"/>
      <c r="R104" s="1143"/>
      <c r="S104" s="1144"/>
      <c r="T104" s="1143"/>
      <c r="U104" s="1146"/>
      <c r="V104" s="1143"/>
      <c r="W104" s="1143"/>
      <c r="X104" s="1143"/>
      <c r="Y104" s="1144"/>
      <c r="Z104" s="1147"/>
      <c r="AA104" s="1148"/>
      <c r="AB104" s="1149"/>
      <c r="AC104" s="1149"/>
      <c r="AD104" s="1149"/>
      <c r="AE104" s="1151"/>
      <c r="AF104" s="1145"/>
      <c r="AG104" s="1152"/>
      <c r="AH104" s="1153"/>
      <c r="AI104" s="1153"/>
      <c r="AJ104" s="1153"/>
      <c r="AK104" s="1151"/>
      <c r="AL104" s="1155"/>
      <c r="AM104" s="1156"/>
      <c r="AN104" s="1157"/>
      <c r="AO104" s="1157"/>
      <c r="AP104" s="1157"/>
      <c r="AQ104" s="1151"/>
      <c r="AR104" s="1158"/>
      <c r="AS104" s="1152"/>
      <c r="AT104" s="1153"/>
      <c r="AU104" s="1153"/>
      <c r="AV104" s="1153"/>
      <c r="AW104" s="1151"/>
      <c r="AX104" s="1153"/>
      <c r="AY104" s="1152"/>
      <c r="AZ104" s="1153"/>
      <c r="BA104" s="1153"/>
      <c r="BB104" s="1153"/>
      <c r="BC104" s="1269">
        <f>+RevBuild!BC$6</f>
        <v>2012</v>
      </c>
      <c r="BD104" s="1158"/>
      <c r="BE104" s="1152"/>
      <c r="BF104" s="1153"/>
      <c r="BG104" s="1153"/>
      <c r="BH104" s="1153"/>
      <c r="BI104" s="1269">
        <f>+RevBuild!BI$6</f>
        <v>2013</v>
      </c>
      <c r="BJ104" s="1159"/>
      <c r="BK104" s="1160"/>
      <c r="BL104" s="1153"/>
      <c r="BM104" s="1153"/>
      <c r="BN104" s="1153"/>
      <c r="BO104" s="1269">
        <f>+RevBuild!BO$6</f>
        <v>2014</v>
      </c>
      <c r="BP104" s="1158"/>
      <c r="BQ104" s="1152"/>
      <c r="BR104" s="1153"/>
      <c r="BS104" s="1153"/>
      <c r="BT104" s="1153"/>
      <c r="BU104" s="1270">
        <f>+RevBuild!BU$6</f>
        <v>2015</v>
      </c>
      <c r="BV104" s="1158"/>
      <c r="BW104" s="1152"/>
      <c r="BX104" s="1153"/>
      <c r="BY104" s="1153"/>
      <c r="BZ104" s="1153"/>
      <c r="CA104" s="1270">
        <f>+RevBuild!CA$6</f>
        <v>2016</v>
      </c>
      <c r="CB104" s="1158"/>
      <c r="CC104" s="1152"/>
      <c r="CD104" s="1153"/>
      <c r="CE104" s="1153"/>
      <c r="CF104" s="1153"/>
      <c r="CG104" s="1270">
        <f>+RevBuild!CG$6</f>
        <v>2017</v>
      </c>
      <c r="CH104" s="1158"/>
      <c r="CI104" s="1152"/>
      <c r="CJ104" s="1153"/>
      <c r="CK104" s="1153"/>
      <c r="CL104" s="1153"/>
      <c r="CM104" s="1270">
        <f>+RevBuild!CM$6</f>
        <v>2018</v>
      </c>
      <c r="CN104" s="1158"/>
      <c r="CO104" s="1152"/>
      <c r="CP104" s="1153"/>
      <c r="CQ104" s="1153"/>
      <c r="CR104" s="1153"/>
      <c r="CS104" s="1270">
        <f>+RevBuild!CS$6</f>
        <v>2019</v>
      </c>
      <c r="CT104" s="1158"/>
      <c r="CU104" s="1152"/>
      <c r="CV104" s="1153"/>
      <c r="CW104" s="1153"/>
      <c r="CX104" s="1153"/>
      <c r="CY104" s="1270">
        <f>+RevBuild!CY$6</f>
        <v>2020</v>
      </c>
      <c r="CZ104" s="48"/>
      <c r="DD104" s="48"/>
      <c r="DE104" s="48"/>
      <c r="DF104" s="48"/>
      <c r="DG104" s="48"/>
      <c r="DH104" s="48"/>
      <c r="DI104" s="48"/>
      <c r="DJ104" s="48"/>
      <c r="DK104" s="48"/>
    </row>
    <row r="105" spans="1:115" s="5" customFormat="1" outlineLevel="1" x14ac:dyDescent="0.2">
      <c r="A105" s="205" t="s">
        <v>635</v>
      </c>
      <c r="B105" s="961"/>
      <c r="C105" s="565"/>
      <c r="D105" s="566"/>
      <c r="E105" s="566"/>
      <c r="F105" s="566"/>
      <c r="G105" s="584"/>
      <c r="H105" s="592"/>
      <c r="I105" s="565"/>
      <c r="J105" s="566"/>
      <c r="K105" s="566"/>
      <c r="L105" s="566"/>
      <c r="M105" s="584"/>
      <c r="N105" s="592"/>
      <c r="O105" s="565"/>
      <c r="P105" s="566"/>
      <c r="Q105" s="566"/>
      <c r="R105" s="566"/>
      <c r="S105" s="584"/>
      <c r="T105" s="591"/>
      <c r="U105" s="565"/>
      <c r="V105" s="566"/>
      <c r="W105" s="566"/>
      <c r="X105" s="566"/>
      <c r="Y105" s="584"/>
      <c r="Z105" s="593"/>
      <c r="AA105" s="565"/>
      <c r="AB105" s="566"/>
      <c r="AC105" s="566"/>
      <c r="AD105" s="566"/>
      <c r="AE105" s="584"/>
      <c r="AF105" s="592"/>
      <c r="AG105" s="909">
        <v>0</v>
      </c>
      <c r="AH105" s="910">
        <v>0</v>
      </c>
      <c r="AI105" s="910">
        <v>0</v>
      </c>
      <c r="AJ105" s="910">
        <v>0</v>
      </c>
      <c r="AK105" s="584"/>
      <c r="AL105" s="592"/>
      <c r="AM105" s="1115">
        <f>1-AM106</f>
        <v>6.6666666666666652E-2</v>
      </c>
      <c r="AN105" s="1114">
        <f>1-AN106</f>
        <v>0.13333333333333341</v>
      </c>
      <c r="AO105" s="1114">
        <f>1-AO106</f>
        <v>0.13333333333333341</v>
      </c>
      <c r="AP105" s="1114">
        <f>1-AP106</f>
        <v>0.13333333333333341</v>
      </c>
      <c r="AQ105" s="584"/>
      <c r="AR105" s="592"/>
      <c r="AS105" s="1115">
        <f>1-AS106</f>
        <v>0.20000000000000007</v>
      </c>
      <c r="AT105" s="1114">
        <f>1-AT106</f>
        <v>0.20000000000000007</v>
      </c>
      <c r="AU105" s="1114">
        <f>1-AU106</f>
        <v>0.23333333333333339</v>
      </c>
      <c r="AV105" s="1114">
        <f>1-AV106</f>
        <v>0.23333333333333339</v>
      </c>
      <c r="AW105" s="584"/>
      <c r="AX105" s="592"/>
      <c r="AY105" s="1115">
        <f>1-AY106</f>
        <v>0.20000000000000018</v>
      </c>
      <c r="AZ105" s="1114">
        <f>1-AZ106</f>
        <v>0.20000000000000018</v>
      </c>
      <c r="BA105" s="1114">
        <f>1-BA106</f>
        <v>0.2333333333333335</v>
      </c>
      <c r="BB105" s="1114">
        <f>1-BB106</f>
        <v>0.2333333333333335</v>
      </c>
      <c r="BC105" s="562">
        <f>+BB105</f>
        <v>0.2333333333333335</v>
      </c>
      <c r="BD105" s="557"/>
      <c r="BE105" s="1115">
        <f>1-BE106</f>
        <v>0.18000000000000016</v>
      </c>
      <c r="BF105" s="1114">
        <f>1-BF106</f>
        <v>0.22666666666666679</v>
      </c>
      <c r="BG105" s="1114">
        <f>1-BG106</f>
        <v>0.2366666666666668</v>
      </c>
      <c r="BH105" s="1114">
        <f>1-BH106</f>
        <v>0.2400000000000001</v>
      </c>
      <c r="BI105" s="562">
        <f>+BH105</f>
        <v>0.2400000000000001</v>
      </c>
      <c r="BJ105" s="629"/>
      <c r="BK105" s="1115">
        <f>1-BK106</f>
        <v>0.24666666666666681</v>
      </c>
      <c r="BL105" s="1114">
        <f>1-BL106</f>
        <v>0.24666666666666681</v>
      </c>
      <c r="BM105" s="1114">
        <f>1-BM106</f>
        <v>0.24666666666666681</v>
      </c>
      <c r="BN105" s="1114">
        <f>1-BN106</f>
        <v>0.24666666666666681</v>
      </c>
      <c r="BO105" s="562">
        <f>+BN105</f>
        <v>0.24666666666666681</v>
      </c>
      <c r="BP105" s="557"/>
      <c r="BQ105" s="1115">
        <f>1-BQ106</f>
        <v>0.31238481299176768</v>
      </c>
      <c r="BR105" s="1114">
        <f>1-BR106</f>
        <v>0.3103400154355096</v>
      </c>
      <c r="BS105" s="1114">
        <f>1-BS106</f>
        <v>0.27844478684538232</v>
      </c>
      <c r="BT105" s="1114">
        <f>1-BT106</f>
        <v>0.28233929188827234</v>
      </c>
      <c r="BU105" s="562">
        <f>+BT105</f>
        <v>0.28233929188827234</v>
      </c>
      <c r="BV105" s="557"/>
      <c r="BW105" s="1115">
        <f>1-BW106</f>
        <v>0.31055679381704859</v>
      </c>
      <c r="BX105" s="1114">
        <f>1-BX106</f>
        <v>0.34057304565911162</v>
      </c>
      <c r="BY105" s="1114">
        <f>1-BY106</f>
        <v>0.30147718329502438</v>
      </c>
      <c r="BZ105" s="1114">
        <f>1-BZ106</f>
        <v>0.30281601397015412</v>
      </c>
      <c r="CA105" s="562">
        <f>+BZ105</f>
        <v>0.30281601397015412</v>
      </c>
      <c r="CB105" s="557"/>
      <c r="CC105" s="1115">
        <f>1-CC106</f>
        <v>0.31871321598628422</v>
      </c>
      <c r="CD105" s="1114">
        <f>1-CD106</f>
        <v>0.34650703065211808</v>
      </c>
      <c r="CE105" s="1114">
        <f>1-CE106</f>
        <v>0.29260968217779471</v>
      </c>
      <c r="CF105" s="1114">
        <f>1-CF106</f>
        <v>0.29953203609075418</v>
      </c>
      <c r="CG105" s="562">
        <f>+CF105</f>
        <v>0.29953203609075418</v>
      </c>
      <c r="CH105" s="557"/>
      <c r="CI105" s="1115">
        <f>1-CI106</f>
        <v>0.31490813394987427</v>
      </c>
      <c r="CJ105" s="1114">
        <f>1-CJ106</f>
        <v>0.35108502394396424</v>
      </c>
      <c r="CK105" s="1114">
        <f>1-CK106</f>
        <v>0.64878246818968932</v>
      </c>
      <c r="CL105" s="1114">
        <f>1-CL106</f>
        <v>0.62008089285795276</v>
      </c>
      <c r="CM105" s="562">
        <f>+CL105</f>
        <v>0.62008089285795276</v>
      </c>
      <c r="CN105" s="557"/>
      <c r="CO105" s="1115">
        <f>1-CO106</f>
        <v>0.64556614903856135</v>
      </c>
      <c r="CP105" s="1114">
        <f>1-CP106</f>
        <v>0.62519397162921897</v>
      </c>
      <c r="CQ105" s="1114">
        <f>1-CQ106</f>
        <v>0.66676002833661752</v>
      </c>
      <c r="CR105" s="1114">
        <f>1-CR106</f>
        <v>0.6315203282872226</v>
      </c>
      <c r="CS105" s="562">
        <f>+CR105</f>
        <v>0.6315203282872226</v>
      </c>
      <c r="CT105" s="557"/>
      <c r="CU105" s="1115">
        <f>1-CU106</f>
        <v>0.67012146055921273</v>
      </c>
      <c r="CV105" s="1114">
        <f>1-CV106</f>
        <v>0.65250707532096852</v>
      </c>
      <c r="CW105" s="1114">
        <f>1-CW106</f>
        <v>0.68665127402648973</v>
      </c>
      <c r="CX105" s="1114">
        <f>1-CX106</f>
        <v>0.65478964627701708</v>
      </c>
      <c r="CY105" s="562">
        <f>+CX105</f>
        <v>0.65478964627701708</v>
      </c>
      <c r="CZ105" s="48"/>
      <c r="DA105"/>
      <c r="DB105"/>
      <c r="DC105"/>
      <c r="DD105" s="48"/>
      <c r="DE105" s="48"/>
      <c r="DF105" s="48"/>
      <c r="DG105" s="48"/>
      <c r="DH105" s="48"/>
      <c r="DI105" s="48"/>
      <c r="DJ105" s="48"/>
      <c r="DK105" s="48"/>
    </row>
    <row r="106" spans="1:115" s="5" customFormat="1" outlineLevel="1" x14ac:dyDescent="0.2">
      <c r="A106" s="205" t="s">
        <v>636</v>
      </c>
      <c r="B106" s="961"/>
      <c r="C106" s="565"/>
      <c r="D106" s="566"/>
      <c r="E106" s="566"/>
      <c r="F106" s="566"/>
      <c r="G106" s="584"/>
      <c r="H106" s="592"/>
      <c r="I106" s="565"/>
      <c r="J106" s="566"/>
      <c r="K106" s="566"/>
      <c r="L106" s="566"/>
      <c r="M106" s="584"/>
      <c r="N106" s="592"/>
      <c r="O106" s="565"/>
      <c r="P106" s="566"/>
      <c r="Q106" s="566"/>
      <c r="R106" s="566"/>
      <c r="S106" s="584"/>
      <c r="T106" s="591"/>
      <c r="U106" s="565"/>
      <c r="V106" s="566"/>
      <c r="W106" s="566"/>
      <c r="X106" s="566"/>
      <c r="Y106" s="584"/>
      <c r="Z106" s="593"/>
      <c r="AA106" s="565"/>
      <c r="AB106" s="566"/>
      <c r="AC106" s="566"/>
      <c r="AD106" s="566"/>
      <c r="AE106" s="584"/>
      <c r="AF106" s="592"/>
      <c r="AG106" s="909">
        <v>0</v>
      </c>
      <c r="AH106" s="910">
        <v>0</v>
      </c>
      <c r="AI106" s="910">
        <v>0</v>
      </c>
      <c r="AJ106" s="910">
        <v>1</v>
      </c>
      <c r="AK106" s="584"/>
      <c r="AL106" s="592"/>
      <c r="AM106" s="1115">
        <f>+AM124+(0.333333333333333)*AM122+AM123</f>
        <v>0.93333333333333335</v>
      </c>
      <c r="AN106" s="1114">
        <f>+AN124+(0.333333333333333)*AN122+AN123</f>
        <v>0.86666666666666659</v>
      </c>
      <c r="AO106" s="1114">
        <f>+AO124+(0.333333333333333)*AO122+AO123</f>
        <v>0.86666666666666659</v>
      </c>
      <c r="AP106" s="1114">
        <f>+AP124+(0.333333333333333)*AP122+AP123</f>
        <v>0.86666666666666659</v>
      </c>
      <c r="AQ106" s="584"/>
      <c r="AR106" s="592"/>
      <c r="AS106" s="1115">
        <f>+AS124+(0.333333333333333)*AS122+AS123</f>
        <v>0.79999999999999993</v>
      </c>
      <c r="AT106" s="1114">
        <f>+AT124+(0.333333333333333)*AT122+AT123</f>
        <v>0.79999999999999993</v>
      </c>
      <c r="AU106" s="1114">
        <f>+AU124+(0.333333333333333)*AU122+AU123</f>
        <v>0.76666666666666661</v>
      </c>
      <c r="AV106" s="1114">
        <f>+AV124+(0.333333333333333)*AV122+AV123</f>
        <v>0.76666666666666661</v>
      </c>
      <c r="AW106" s="584"/>
      <c r="AX106" s="592"/>
      <c r="AY106" s="1115">
        <f>+AY124+(0.333333333333333)*AY122+AY123</f>
        <v>0.79999999999999982</v>
      </c>
      <c r="AZ106" s="1114">
        <f>+AZ124+(0.333333333333333)*AZ122+AZ123</f>
        <v>0.79999999999999982</v>
      </c>
      <c r="BA106" s="1114">
        <f>+BA124+(0.333333333333333)*BA122+BA123</f>
        <v>0.7666666666666665</v>
      </c>
      <c r="BB106" s="1114">
        <f>+BB124+(0.333333333333333)*BB122+BB123</f>
        <v>0.7666666666666665</v>
      </c>
      <c r="BC106" s="562">
        <f>+BB106</f>
        <v>0.7666666666666665</v>
      </c>
      <c r="BD106" s="557"/>
      <c r="BE106" s="1115">
        <f>+BE124+(0.333333333333333)*BE122+BE123</f>
        <v>0.81999999999999984</v>
      </c>
      <c r="BF106" s="1114">
        <f>+BF124+(0.333333333333333)*BF122+BF123</f>
        <v>0.77333333333333321</v>
      </c>
      <c r="BG106" s="1114">
        <f>+BG124+(0.333333333333333)*BG122+BG123</f>
        <v>0.7633333333333332</v>
      </c>
      <c r="BH106" s="1114">
        <f>+BH124+(0.333333333333333)*BH122+BH123</f>
        <v>0.7599999999999999</v>
      </c>
      <c r="BI106" s="562">
        <f>+BH106</f>
        <v>0.7599999999999999</v>
      </c>
      <c r="BJ106" s="629"/>
      <c r="BK106" s="1115">
        <f>+BK124+(0.333333333333333)*BK122+BK123</f>
        <v>0.75333333333333319</v>
      </c>
      <c r="BL106" s="1114">
        <f>+BL124+(0.333333333333333)*BL122+BL123</f>
        <v>0.75333333333333319</v>
      </c>
      <c r="BM106" s="1114">
        <f>+BM124+(0.333333333333333)*BM122+BM123</f>
        <v>0.75333333333333319</v>
      </c>
      <c r="BN106" s="1114">
        <f>+BN124+(0.333333333333333)*BN122+BN123</f>
        <v>0.75333333333333319</v>
      </c>
      <c r="BO106" s="562">
        <f>+BN106</f>
        <v>0.75333333333333319</v>
      </c>
      <c r="BP106" s="557"/>
      <c r="BQ106" s="1115">
        <f>+BQ124+(0.333333333333333)*BQ122+BQ123</f>
        <v>0.68761518700823232</v>
      </c>
      <c r="BR106" s="1114">
        <f>+BR124+(0.333333333333333)*BR122+BR123</f>
        <v>0.6896599845644904</v>
      </c>
      <c r="BS106" s="1114">
        <f>+BS124+(0.333333333333333)*BS122+BS123</f>
        <v>0.72155521315461768</v>
      </c>
      <c r="BT106" s="1114">
        <f>+BT124+(0.333333333333333)*BT122+BT123</f>
        <v>0.71766070811172766</v>
      </c>
      <c r="BU106" s="562">
        <f>+BT106</f>
        <v>0.71766070811172766</v>
      </c>
      <c r="BV106" s="557"/>
      <c r="BW106" s="1115">
        <f>+BW124+(0.333333333333333)*BW122+BW123</f>
        <v>0.68944320618295141</v>
      </c>
      <c r="BX106" s="1114">
        <f>+BX124+(0.333333333333333)*BX122+BX123</f>
        <v>0.65942695434088838</v>
      </c>
      <c r="BY106" s="1114">
        <f>+BY124+(0.333333333333333)*BY122+BY123</f>
        <v>0.69852281670497562</v>
      </c>
      <c r="BZ106" s="1114">
        <f>+BZ124+(0.333333333333333)*BZ122+BZ123</f>
        <v>0.69718398602984588</v>
      </c>
      <c r="CA106" s="562">
        <f>+BZ106</f>
        <v>0.69718398602984588</v>
      </c>
      <c r="CB106" s="557"/>
      <c r="CC106" s="1115">
        <f>+CC124+(0.333333333333333)*CC122+CC123</f>
        <v>0.68128678401371578</v>
      </c>
      <c r="CD106" s="1114">
        <f>+CD124+(0.333333333333333)*CD122+CD123</f>
        <v>0.65349296934788192</v>
      </c>
      <c r="CE106" s="1114">
        <f>+CE124+(0.333333333333333)*CE122+CE123</f>
        <v>0.70739031782220529</v>
      </c>
      <c r="CF106" s="1114">
        <f>+CF124+(0.333333333333333)*CF122+CF123</f>
        <v>0.70046796390924582</v>
      </c>
      <c r="CG106" s="562">
        <f>+CF106</f>
        <v>0.70046796390924582</v>
      </c>
      <c r="CH106" s="557"/>
      <c r="CI106" s="1115">
        <f>+CI124+(0.333333333333333)*CI122+CI123</f>
        <v>0.68509186605012573</v>
      </c>
      <c r="CJ106" s="1114">
        <f>+CJ124+(0.333333333333333)*CJ122+CJ123</f>
        <v>0.64891497605603576</v>
      </c>
      <c r="CK106" s="1114">
        <f>+CK124+(0.333333333333333)*CK122</f>
        <v>0.35121753181031068</v>
      </c>
      <c r="CL106" s="1114">
        <f>+CL124+(0.333333333333333)*CL122</f>
        <v>0.37991910714204724</v>
      </c>
      <c r="CM106" s="562">
        <f>+CL106</f>
        <v>0.37991910714204724</v>
      </c>
      <c r="CN106" s="557"/>
      <c r="CO106" s="1115">
        <f>+CO124+(0.333333333333333)*CO122</f>
        <v>0.35443385096143859</v>
      </c>
      <c r="CP106" s="1114">
        <f>+CP124+(0.333333333333333)*CP122</f>
        <v>0.37480602837078103</v>
      </c>
      <c r="CQ106" s="1114">
        <f>+CQ124+(0.333333333333333)*CQ122</f>
        <v>0.33323997166338243</v>
      </c>
      <c r="CR106" s="1114">
        <f>+CR124+(0.333333333333333)*CR122</f>
        <v>0.36847967171277735</v>
      </c>
      <c r="CS106" s="562">
        <f>+CR106</f>
        <v>0.36847967171277735</v>
      </c>
      <c r="CT106" s="557"/>
      <c r="CU106" s="1115">
        <f>+CU124+(0.333333333333333)*CU122</f>
        <v>0.32987853944078721</v>
      </c>
      <c r="CV106" s="1114">
        <f>+CV124+(0.333333333333333)*CV122</f>
        <v>0.34749292467903148</v>
      </c>
      <c r="CW106" s="1114">
        <f>+CW124+(0.333333333333333)*CW122</f>
        <v>0.31334872597351027</v>
      </c>
      <c r="CX106" s="1114">
        <f>+CX124+(0.333333333333333)*CX122</f>
        <v>0.34521035372298298</v>
      </c>
      <c r="CY106" s="562">
        <f>+CX106</f>
        <v>0.34521035372298298</v>
      </c>
      <c r="CZ106" s="48"/>
      <c r="DA106"/>
      <c r="DB106"/>
      <c r="DC106"/>
      <c r="DD106" s="48"/>
      <c r="DE106" s="48"/>
      <c r="DF106" s="48"/>
      <c r="DG106" s="48"/>
      <c r="DH106" s="48"/>
      <c r="DI106" s="48"/>
      <c r="DJ106" s="48"/>
      <c r="DK106" s="48"/>
    </row>
    <row r="107" spans="1:115" s="5" customFormat="1" outlineLevel="1" x14ac:dyDescent="0.2">
      <c r="A107" s="205" t="s">
        <v>637</v>
      </c>
      <c r="B107" s="961"/>
      <c r="C107" s="565"/>
      <c r="D107" s="566"/>
      <c r="E107" s="566"/>
      <c r="F107" s="566"/>
      <c r="G107" s="584"/>
      <c r="H107" s="592"/>
      <c r="I107" s="565"/>
      <c r="J107" s="566"/>
      <c r="K107" s="566"/>
      <c r="L107" s="566"/>
      <c r="M107" s="584"/>
      <c r="N107" s="592"/>
      <c r="O107" s="565"/>
      <c r="P107" s="566"/>
      <c r="Q107" s="566"/>
      <c r="R107" s="566"/>
      <c r="S107" s="584"/>
      <c r="T107" s="591"/>
      <c r="U107" s="565"/>
      <c r="V107" s="566"/>
      <c r="W107" s="566"/>
      <c r="X107" s="566"/>
      <c r="Y107" s="584"/>
      <c r="Z107" s="593"/>
      <c r="AA107" s="565"/>
      <c r="AB107" s="566"/>
      <c r="AC107" s="566"/>
      <c r="AD107" s="566"/>
      <c r="AE107" s="584"/>
      <c r="AF107" s="592"/>
      <c r="AG107" s="909">
        <v>0</v>
      </c>
      <c r="AH107" s="910">
        <v>0</v>
      </c>
      <c r="AI107" s="910">
        <v>0</v>
      </c>
      <c r="AJ107" s="910">
        <v>0</v>
      </c>
      <c r="AK107" s="584"/>
      <c r="AL107" s="592"/>
      <c r="AM107" s="909">
        <v>0</v>
      </c>
      <c r="AN107" s="910">
        <v>0</v>
      </c>
      <c r="AO107" s="910">
        <v>0</v>
      </c>
      <c r="AP107" s="910">
        <v>0</v>
      </c>
      <c r="AQ107" s="584"/>
      <c r="AR107" s="592"/>
      <c r="AS107" s="909">
        <v>0</v>
      </c>
      <c r="AT107" s="910">
        <v>0</v>
      </c>
      <c r="AU107" s="910">
        <v>0</v>
      </c>
      <c r="AV107" s="910">
        <v>0</v>
      </c>
      <c r="AW107" s="584"/>
      <c r="AX107" s="592"/>
      <c r="AY107" s="909">
        <v>0</v>
      </c>
      <c r="AZ107" s="910">
        <v>0</v>
      </c>
      <c r="BA107" s="910">
        <v>0</v>
      </c>
      <c r="BB107" s="910">
        <v>0</v>
      </c>
      <c r="BC107" s="562">
        <f>+BB107</f>
        <v>0</v>
      </c>
      <c r="BD107" s="557"/>
      <c r="BE107" s="909">
        <v>0</v>
      </c>
      <c r="BF107" s="910">
        <v>0</v>
      </c>
      <c r="BG107" s="910">
        <v>0</v>
      </c>
      <c r="BH107" s="910">
        <v>0</v>
      </c>
      <c r="BI107" s="562">
        <f>+BH107</f>
        <v>0</v>
      </c>
      <c r="BJ107" s="629"/>
      <c r="BK107" s="909">
        <v>0</v>
      </c>
      <c r="BL107" s="910">
        <v>0</v>
      </c>
      <c r="BM107" s="910">
        <v>0</v>
      </c>
      <c r="BN107" s="910">
        <v>0</v>
      </c>
      <c r="BO107" s="562">
        <f>+BN107</f>
        <v>0</v>
      </c>
      <c r="BP107" s="557"/>
      <c r="BQ107" s="909">
        <v>0</v>
      </c>
      <c r="BR107" s="910">
        <v>0</v>
      </c>
      <c r="BS107" s="910">
        <v>0</v>
      </c>
      <c r="BT107" s="910">
        <v>0</v>
      </c>
      <c r="BU107" s="562">
        <f>+BT107</f>
        <v>0</v>
      </c>
      <c r="BV107" s="557"/>
      <c r="BW107" s="909">
        <v>0</v>
      </c>
      <c r="BX107" s="910">
        <v>0</v>
      </c>
      <c r="BY107" s="910">
        <v>0</v>
      </c>
      <c r="BZ107" s="910">
        <v>0</v>
      </c>
      <c r="CA107" s="562">
        <f>+BZ107</f>
        <v>0</v>
      </c>
      <c r="CB107" s="557"/>
      <c r="CC107" s="909">
        <v>0</v>
      </c>
      <c r="CD107" s="910">
        <v>0</v>
      </c>
      <c r="CE107" s="910">
        <v>0</v>
      </c>
      <c r="CF107" s="910">
        <v>0</v>
      </c>
      <c r="CG107" s="562">
        <f>+CF107</f>
        <v>0</v>
      </c>
      <c r="CH107" s="557"/>
      <c r="CI107" s="909">
        <v>0</v>
      </c>
      <c r="CJ107" s="910">
        <v>0</v>
      </c>
      <c r="CK107" s="910">
        <v>0</v>
      </c>
      <c r="CL107" s="910">
        <v>0</v>
      </c>
      <c r="CM107" s="562">
        <f>+CL107</f>
        <v>0</v>
      </c>
      <c r="CN107" s="557"/>
      <c r="CO107" s="909">
        <v>0</v>
      </c>
      <c r="CP107" s="910">
        <v>0</v>
      </c>
      <c r="CQ107" s="910">
        <v>0</v>
      </c>
      <c r="CR107" s="910">
        <v>0</v>
      </c>
      <c r="CS107" s="562">
        <f>+CR107</f>
        <v>0</v>
      </c>
      <c r="CT107" s="557"/>
      <c r="CU107" s="909">
        <v>0</v>
      </c>
      <c r="CV107" s="910">
        <v>0</v>
      </c>
      <c r="CW107" s="910">
        <v>0</v>
      </c>
      <c r="CX107" s="910">
        <v>0</v>
      </c>
      <c r="CY107" s="562">
        <f>+CX107</f>
        <v>0</v>
      </c>
      <c r="CZ107" s="48"/>
      <c r="DA107"/>
      <c r="DB107"/>
      <c r="DC107"/>
      <c r="DD107" s="48"/>
      <c r="DE107" s="48"/>
      <c r="DF107" s="48"/>
      <c r="DG107" s="48"/>
      <c r="DH107" s="48"/>
      <c r="DI107" s="48"/>
      <c r="DJ107" s="48"/>
      <c r="DK107" s="48"/>
    </row>
    <row r="108" spans="1:115" s="5" customFormat="1" outlineLevel="1" x14ac:dyDescent="0.2">
      <c r="A108" s="205" t="s">
        <v>638</v>
      </c>
      <c r="B108" s="961"/>
      <c r="C108" s="565"/>
      <c r="D108" s="566"/>
      <c r="E108" s="566"/>
      <c r="F108" s="566"/>
      <c r="G108" s="584"/>
      <c r="H108" s="592"/>
      <c r="I108" s="565"/>
      <c r="J108" s="566"/>
      <c r="K108" s="566"/>
      <c r="L108" s="566"/>
      <c r="M108" s="584"/>
      <c r="N108" s="592"/>
      <c r="O108" s="565"/>
      <c r="P108" s="566"/>
      <c r="Q108" s="566"/>
      <c r="R108" s="566"/>
      <c r="S108" s="584"/>
      <c r="T108" s="591"/>
      <c r="U108" s="565"/>
      <c r="V108" s="566"/>
      <c r="W108" s="566"/>
      <c r="X108" s="566"/>
      <c r="Y108" s="584"/>
      <c r="Z108" s="593"/>
      <c r="AA108" s="565"/>
      <c r="AB108" s="566"/>
      <c r="AC108" s="566"/>
      <c r="AD108" s="566"/>
      <c r="AE108" s="584"/>
      <c r="AF108" s="592"/>
      <c r="AG108" s="909">
        <v>0</v>
      </c>
      <c r="AH108" s="910">
        <v>0</v>
      </c>
      <c r="AI108" s="910">
        <v>0</v>
      </c>
      <c r="AJ108" s="910">
        <v>0</v>
      </c>
      <c r="AK108" s="584"/>
      <c r="AL108" s="592"/>
      <c r="AM108" s="909">
        <v>0</v>
      </c>
      <c r="AN108" s="910">
        <v>0</v>
      </c>
      <c r="AO108" s="910">
        <v>0</v>
      </c>
      <c r="AP108" s="910">
        <v>0</v>
      </c>
      <c r="AQ108" s="584"/>
      <c r="AR108" s="592"/>
      <c r="AS108" s="909">
        <v>0</v>
      </c>
      <c r="AT108" s="910">
        <v>0</v>
      </c>
      <c r="AU108" s="910">
        <v>0</v>
      </c>
      <c r="AV108" s="910">
        <v>0</v>
      </c>
      <c r="AW108" s="584"/>
      <c r="AX108" s="592"/>
      <c r="AY108" s="909">
        <v>0</v>
      </c>
      <c r="AZ108" s="910">
        <v>0</v>
      </c>
      <c r="BA108" s="910">
        <v>0</v>
      </c>
      <c r="BB108" s="910">
        <v>0</v>
      </c>
      <c r="BC108" s="562">
        <f>+BB108</f>
        <v>0</v>
      </c>
      <c r="BD108" s="557"/>
      <c r="BE108" s="909">
        <v>0</v>
      </c>
      <c r="BF108" s="910">
        <v>0</v>
      </c>
      <c r="BG108" s="910">
        <v>0</v>
      </c>
      <c r="BH108" s="910">
        <v>0</v>
      </c>
      <c r="BI108" s="562">
        <f>+BH108</f>
        <v>0</v>
      </c>
      <c r="BJ108" s="629"/>
      <c r="BK108" s="909">
        <v>0</v>
      </c>
      <c r="BL108" s="910">
        <v>0</v>
      </c>
      <c r="BM108" s="910">
        <v>0</v>
      </c>
      <c r="BN108" s="910">
        <v>0</v>
      </c>
      <c r="BO108" s="562">
        <f>+BN108</f>
        <v>0</v>
      </c>
      <c r="BP108" s="557"/>
      <c r="BQ108" s="909">
        <v>0</v>
      </c>
      <c r="BR108" s="910">
        <v>0</v>
      </c>
      <c r="BS108" s="910">
        <v>0</v>
      </c>
      <c r="BT108" s="910">
        <v>0</v>
      </c>
      <c r="BU108" s="562">
        <f>+BT108</f>
        <v>0</v>
      </c>
      <c r="BV108" s="557"/>
      <c r="BW108" s="909">
        <v>0</v>
      </c>
      <c r="BX108" s="910">
        <v>0</v>
      </c>
      <c r="BY108" s="910">
        <v>0</v>
      </c>
      <c r="BZ108" s="910">
        <v>0</v>
      </c>
      <c r="CA108" s="562">
        <f>+BZ108</f>
        <v>0</v>
      </c>
      <c r="CB108" s="557"/>
      <c r="CC108" s="909">
        <v>0</v>
      </c>
      <c r="CD108" s="910">
        <v>0</v>
      </c>
      <c r="CE108" s="910">
        <v>0</v>
      </c>
      <c r="CF108" s="910">
        <v>0</v>
      </c>
      <c r="CG108" s="562">
        <f>+CF108</f>
        <v>0</v>
      </c>
      <c r="CH108" s="557"/>
      <c r="CI108" s="909">
        <v>0</v>
      </c>
      <c r="CJ108" s="910">
        <v>0</v>
      </c>
      <c r="CK108" s="910">
        <v>0</v>
      </c>
      <c r="CL108" s="910">
        <v>0</v>
      </c>
      <c r="CM108" s="562">
        <f>+CL108</f>
        <v>0</v>
      </c>
      <c r="CN108" s="557"/>
      <c r="CO108" s="909">
        <v>0</v>
      </c>
      <c r="CP108" s="910">
        <v>0</v>
      </c>
      <c r="CQ108" s="910">
        <v>0</v>
      </c>
      <c r="CR108" s="910">
        <v>0</v>
      </c>
      <c r="CS108" s="562">
        <f>+CR108</f>
        <v>0</v>
      </c>
      <c r="CT108" s="557"/>
      <c r="CU108" s="909">
        <v>0</v>
      </c>
      <c r="CV108" s="910">
        <v>0</v>
      </c>
      <c r="CW108" s="910">
        <v>0</v>
      </c>
      <c r="CX108" s="910">
        <v>0</v>
      </c>
      <c r="CY108" s="562">
        <f>+CX108</f>
        <v>0</v>
      </c>
      <c r="CZ108" s="48"/>
      <c r="DA108"/>
      <c r="DB108"/>
      <c r="DC108"/>
      <c r="DD108" s="48"/>
      <c r="DE108" s="48"/>
      <c r="DF108" s="48"/>
      <c r="DG108" s="48"/>
      <c r="DH108" s="48"/>
      <c r="DI108" s="48"/>
      <c r="DJ108" s="48"/>
      <c r="DK108" s="48"/>
    </row>
    <row r="109" spans="1:115" s="5" customFormat="1" outlineLevel="1" x14ac:dyDescent="0.2">
      <c r="A109" s="354" t="s">
        <v>608</v>
      </c>
      <c r="B109" s="961"/>
      <c r="C109" s="565"/>
      <c r="D109" s="566"/>
      <c r="E109" s="566"/>
      <c r="F109" s="566"/>
      <c r="G109" s="584"/>
      <c r="H109" s="592"/>
      <c r="I109" s="565"/>
      <c r="J109" s="566"/>
      <c r="K109" s="566"/>
      <c r="L109" s="566"/>
      <c r="M109" s="584"/>
      <c r="N109" s="592"/>
      <c r="O109" s="565"/>
      <c r="P109" s="566"/>
      <c r="Q109" s="566"/>
      <c r="R109" s="566"/>
      <c r="S109" s="584"/>
      <c r="T109" s="591"/>
      <c r="U109" s="565"/>
      <c r="V109" s="566"/>
      <c r="W109" s="566"/>
      <c r="X109" s="566"/>
      <c r="Y109" s="584"/>
      <c r="Z109" s="593"/>
      <c r="AA109" s="565"/>
      <c r="AB109" s="566"/>
      <c r="AC109" s="566"/>
      <c r="AD109" s="566"/>
      <c r="AE109" s="584"/>
      <c r="AF109" s="592"/>
      <c r="AG109" s="656"/>
      <c r="AH109" s="654"/>
      <c r="AI109" s="654"/>
      <c r="AJ109" s="654">
        <f>+AJ$128*AJ122</f>
        <v>0</v>
      </c>
      <c r="AK109" s="655">
        <f>+SUM(AG109:AJ109)</f>
        <v>0</v>
      </c>
      <c r="AL109" s="592"/>
      <c r="AM109" s="656">
        <f>+AM$128*AM122</f>
        <v>1.1000000000000001</v>
      </c>
      <c r="AN109" s="654">
        <f>+AN$128*AN122</f>
        <v>2.4000000000000004</v>
      </c>
      <c r="AO109" s="654">
        <f>+AO$128*AO122</f>
        <v>2.74</v>
      </c>
      <c r="AP109" s="654">
        <f>+AP$128*AP122</f>
        <v>2.8603200000000006</v>
      </c>
      <c r="AQ109" s="655">
        <f>+SUM(AM109:AP109)</f>
        <v>9.10032</v>
      </c>
      <c r="AR109" s="592"/>
      <c r="AS109" s="656">
        <f>+AS$128*AS122</f>
        <v>5.0999999999999996</v>
      </c>
      <c r="AT109" s="654">
        <f>+AT$128*AT122</f>
        <v>5.3999999999999995</v>
      </c>
      <c r="AU109" s="654">
        <f>+AU$128*AU122</f>
        <v>6.6499999999999995</v>
      </c>
      <c r="AV109" s="654">
        <f>+AV$128*AV122</f>
        <v>7.35</v>
      </c>
      <c r="AW109" s="655">
        <f>+SUM(AS109:AV109)</f>
        <v>24.5</v>
      </c>
      <c r="AX109" s="592"/>
      <c r="AY109" s="656">
        <f>+AY$128*AY122+AY296-AY112</f>
        <v>7.5638484222222218</v>
      </c>
      <c r="AZ109" s="654">
        <f>+AZ$128*AZ122+AZ296-AZ112</f>
        <v>8.2238484222222219</v>
      </c>
      <c r="BA109" s="654">
        <f>+BA$128*BA122+BA296-BA112</f>
        <v>9.9113484222222237</v>
      </c>
      <c r="BB109" s="654">
        <f>+BB$128*BB122+BB296-BB112</f>
        <v>10.570708733333332</v>
      </c>
      <c r="BC109" s="655">
        <f>+SUM(AY109:BB109)</f>
        <v>36.269753999999999</v>
      </c>
      <c r="BD109" s="557"/>
      <c r="BE109" s="656">
        <f>+BE$128*BE122+BE296-BE112</f>
        <v>7.572486800000001</v>
      </c>
      <c r="BF109" s="654">
        <f>+BF$128*BF122+BF296-BF112</f>
        <v>10.1474768</v>
      </c>
      <c r="BG109" s="654">
        <f>+BG$128*BG122+BG296-BG112</f>
        <v>11.141346800000001</v>
      </c>
      <c r="BH109" s="654">
        <f>+BH$128*BH122+BH296-BH112</f>
        <v>12.3837624</v>
      </c>
      <c r="BI109" s="655">
        <f>+SUM(BE109:BH109)</f>
        <v>41.245072800000003</v>
      </c>
      <c r="BJ109" s="629"/>
      <c r="BK109" s="656">
        <f>+BK$128*BK122-BK112</f>
        <v>7.3998239000000003</v>
      </c>
      <c r="BL109" s="654">
        <f>+BL$128*BL122-BL112</f>
        <v>8.4653794999999992</v>
      </c>
      <c r="BM109" s="654">
        <f>+BM$128*BM122-BM112</f>
        <v>9.9336098000000028</v>
      </c>
      <c r="BN109" s="654">
        <f>+BN$128*BN122-BN112</f>
        <v>10.860760400000002</v>
      </c>
      <c r="BO109" s="655">
        <f>+SUM(BK109:BN109)</f>
        <v>36.659573600000002</v>
      </c>
      <c r="BP109" s="557"/>
      <c r="BQ109" s="656">
        <f>+BK109*(1+BQ110)</f>
        <v>7.779103666634267</v>
      </c>
      <c r="BR109" s="654">
        <f>+BL109*(1+BR110)</f>
        <v>8.384393933037309</v>
      </c>
      <c r="BS109" s="654">
        <f>+BM109*(1+BS110)</f>
        <v>9.3475268218000025</v>
      </c>
      <c r="BT109" s="654">
        <f>+BN109*(1+BT110)</f>
        <v>10.502355306800002</v>
      </c>
      <c r="BU109" s="655">
        <f>+SUM(BQ109:BT109)</f>
        <v>36.01337972827158</v>
      </c>
      <c r="BV109" s="557"/>
      <c r="BW109" s="656">
        <f>+BQ109*(1+BW110)</f>
        <v>6.8442760953851076</v>
      </c>
      <c r="BX109" s="654">
        <f>+BR109*(1+BX110)</f>
        <v>9.0955338198976463</v>
      </c>
      <c r="BY109" s="654">
        <f>+BS109*(1+BY110)</f>
        <v>10.671987314510792</v>
      </c>
      <c r="BZ109" s="654">
        <f>+BT109*(1+BZ110)</f>
        <v>11.234295638770041</v>
      </c>
      <c r="CA109" s="655">
        <f>+SUM(BW109:BZ109)</f>
        <v>37.846092868563588</v>
      </c>
      <c r="CB109" s="557"/>
      <c r="CC109" s="656">
        <f>+BW109*(1+CC110)</f>
        <v>6.9008766683887899</v>
      </c>
      <c r="CD109" s="654">
        <f>+BX109*(1+CD110)</f>
        <v>9.1631588630776157</v>
      </c>
      <c r="CE109" s="654">
        <f>+BY109*(1+CE110)</f>
        <v>11.055389215533987</v>
      </c>
      <c r="CF109" s="654">
        <f>+BZ109*(1+CF110)</f>
        <v>12.621547163528476</v>
      </c>
      <c r="CG109" s="655">
        <f>+SUM(CC109:CF109)</f>
        <v>39.74097191052887</v>
      </c>
      <c r="CH109" s="557"/>
      <c r="CI109" s="656">
        <f>+CC109*(1+CI110)</f>
        <v>7.936008168647108</v>
      </c>
      <c r="CJ109" s="654">
        <f>+CD109*(1+CJ110)</f>
        <v>10.949974841377751</v>
      </c>
      <c r="CK109" s="654">
        <f>+CE109*(1+CK110)</f>
        <v>13.542851789029134</v>
      </c>
      <c r="CL109" s="654">
        <f>+CF109*(1+CL110)</f>
        <v>15.398287539504739</v>
      </c>
      <c r="CM109" s="655">
        <f>+SUM(CI109:CL109)</f>
        <v>47.827122338558738</v>
      </c>
      <c r="CN109" s="557"/>
      <c r="CO109" s="656">
        <f>+CI109*(1+CO110)</f>
        <v>8.7296089855118186</v>
      </c>
      <c r="CP109" s="654">
        <f>+CJ109*(1+CP110)</f>
        <v>12.044972325515527</v>
      </c>
      <c r="CQ109" s="654">
        <f>+CK109*(1+CQ110)</f>
        <v>14.897136967932049</v>
      </c>
      <c r="CR109" s="654">
        <f>+CL109*(1+CR110)</f>
        <v>16.938116293455213</v>
      </c>
      <c r="CS109" s="655">
        <f>+SUM(CO109:CR109)</f>
        <v>52.609834572414613</v>
      </c>
      <c r="CT109" s="557"/>
      <c r="CU109" s="656">
        <f>+CO109*(1+CU110)</f>
        <v>9.6025698840630014</v>
      </c>
      <c r="CV109" s="654">
        <f>+CP109*(1+CV110)</f>
        <v>13.24946955806708</v>
      </c>
      <c r="CW109" s="654">
        <f>+CQ109*(1+CW110)</f>
        <v>16.386850664725255</v>
      </c>
      <c r="CX109" s="654">
        <f>+CR109*(1+CX110)</f>
        <v>18.631927922800735</v>
      </c>
      <c r="CY109" s="655">
        <f>+SUM(CU109:CX109)</f>
        <v>57.870818029656071</v>
      </c>
      <c r="CZ109" s="48"/>
      <c r="DA109"/>
      <c r="DB109"/>
      <c r="DC109"/>
      <c r="DD109" s="48"/>
      <c r="DE109" s="48"/>
      <c r="DF109" s="48"/>
      <c r="DG109" s="48"/>
      <c r="DH109" s="48"/>
      <c r="DI109" s="48"/>
      <c r="DJ109" s="48"/>
      <c r="DK109" s="48"/>
    </row>
    <row r="110" spans="1:115" s="5" customFormat="1" outlineLevel="1" x14ac:dyDescent="0.2">
      <c r="A110" s="205" t="s">
        <v>639</v>
      </c>
      <c r="B110" s="961"/>
      <c r="C110" s="565"/>
      <c r="D110" s="566"/>
      <c r="E110" s="566"/>
      <c r="F110" s="566"/>
      <c r="G110" s="584"/>
      <c r="H110" s="592"/>
      <c r="I110" s="565"/>
      <c r="J110" s="566"/>
      <c r="K110" s="566"/>
      <c r="L110" s="566"/>
      <c r="M110" s="584"/>
      <c r="N110" s="592"/>
      <c r="O110" s="565"/>
      <c r="P110" s="566"/>
      <c r="Q110" s="566"/>
      <c r="R110" s="566"/>
      <c r="S110" s="584"/>
      <c r="T110" s="591"/>
      <c r="U110" s="565"/>
      <c r="V110" s="566"/>
      <c r="W110" s="566"/>
      <c r="X110" s="566"/>
      <c r="Y110" s="584"/>
      <c r="Z110" s="593"/>
      <c r="AA110" s="565"/>
      <c r="AB110" s="566"/>
      <c r="AC110" s="566"/>
      <c r="AD110" s="566"/>
      <c r="AE110" s="584"/>
      <c r="AF110" s="592"/>
      <c r="AG110" s="656"/>
      <c r="AH110" s="654"/>
      <c r="AI110" s="654"/>
      <c r="AJ110" s="654"/>
      <c r="AK110" s="655"/>
      <c r="AL110" s="592"/>
      <c r="AM110" s="656"/>
      <c r="AN110" s="654"/>
      <c r="AO110" s="654"/>
      <c r="AP110" s="654"/>
      <c r="AQ110" s="655"/>
      <c r="AR110" s="592"/>
      <c r="AS110" s="586">
        <f>+AS109/AM109-1</f>
        <v>3.6363636363636358</v>
      </c>
      <c r="AT110" s="587">
        <f>+AT109/AN109-1</f>
        <v>1.2499999999999996</v>
      </c>
      <c r="AU110" s="587">
        <f>+AU109/AO109-1</f>
        <v>1.4270072992700724</v>
      </c>
      <c r="AV110" s="587">
        <f>+AV109/AP109-1</f>
        <v>1.5696425574760857</v>
      </c>
      <c r="AW110" s="707">
        <f>+AW109/AQ109-1</f>
        <v>1.6922130210805775</v>
      </c>
      <c r="AX110" s="592"/>
      <c r="AY110" s="586">
        <f>+AY109/AS109-1</f>
        <v>0.48310753376906312</v>
      </c>
      <c r="AZ110" s="587">
        <f>+AZ109/AT109-1</f>
        <v>0.52293489300411533</v>
      </c>
      <c r="BA110" s="587">
        <f>+BA109/AU109-1</f>
        <v>0.49042833416875564</v>
      </c>
      <c r="BB110" s="587">
        <f>+BB109/AV109-1</f>
        <v>0.43819166439909285</v>
      </c>
      <c r="BC110" s="707">
        <f>+BC109/AW109-1</f>
        <v>0.4803981224489795</v>
      </c>
      <c r="BD110" s="557"/>
      <c r="BE110" s="586">
        <f>+BE109/AY109-1</f>
        <v>1.1420611963084415E-3</v>
      </c>
      <c r="BF110" s="587">
        <f>+BF109/AZ109-1</f>
        <v>0.23390854001878369</v>
      </c>
      <c r="BG110" s="587">
        <f>+BG109/BA109-1</f>
        <v>0.12410000389250753</v>
      </c>
      <c r="BH110" s="587">
        <f>+BH109/BB109-1</f>
        <v>0.1715167556314785</v>
      </c>
      <c r="BI110" s="707">
        <f>+BI109/BC109-1</f>
        <v>0.13717542170261221</v>
      </c>
      <c r="BJ110" s="629"/>
      <c r="BK110" s="586">
        <f>+BK109/BE109-1</f>
        <v>-2.2801347108323822E-2</v>
      </c>
      <c r="BL110" s="587">
        <f>+BL109/BF109-1</f>
        <v>-0.1657650796501452</v>
      </c>
      <c r="BM110" s="587">
        <f>+BM109/BG109-1</f>
        <v>-0.10840134695385284</v>
      </c>
      <c r="BN110" s="587">
        <f>+BN109/BH109-1</f>
        <v>-0.12298378722124048</v>
      </c>
      <c r="BO110" s="707">
        <f>+BO109/BI109-1</f>
        <v>-0.11117689674680364</v>
      </c>
      <c r="BP110" s="557"/>
      <c r="BQ110" s="1109">
        <f>+BQ111+RevBuild!BQ$59</f>
        <v>5.1255242254382063E-2</v>
      </c>
      <c r="BR110" s="1110">
        <f>+BR111+RevBuild!BR$59</f>
        <v>-9.5666788432450384E-3</v>
      </c>
      <c r="BS110" s="1110">
        <f>+BS111+RevBuild!BS$59</f>
        <v>-5.8999999999999997E-2</v>
      </c>
      <c r="BT110" s="1110">
        <f>+BT111+RevBuild!BT$59</f>
        <v>-3.3000000000000002E-2</v>
      </c>
      <c r="BU110" s="707">
        <f>+BU109/BO109-1</f>
        <v>-1.7626879100645643E-2</v>
      </c>
      <c r="BV110" s="557"/>
      <c r="BW110" s="1109">
        <f>+BW111+RevBuild!BW$59</f>
        <v>-0.12017163047444325</v>
      </c>
      <c r="BX110" s="1110">
        <f>+BX111+RevBuild!BX$59</f>
        <v>8.4817089051387268E-2</v>
      </c>
      <c r="BY110" s="1110">
        <f>+BY111+RevBuild!BY$59</f>
        <v>0.1416910074675502</v>
      </c>
      <c r="BZ110" s="1110">
        <f>+BZ111+RevBuild!BZ$59</f>
        <v>6.969296987087524E-2</v>
      </c>
      <c r="CA110" s="707">
        <f>+CA109/BU109-1</f>
        <v>5.0889784688918693E-2</v>
      </c>
      <c r="CB110" s="557"/>
      <c r="CC110" s="1109">
        <f>+CC111+RevBuild!CC$59</f>
        <v>8.2697676445059529E-3</v>
      </c>
      <c r="CD110" s="1110">
        <f>+CD111+RevBuild!CD$59</f>
        <v>7.4349724292191166E-3</v>
      </c>
      <c r="CE110" s="1110">
        <f>+CE111+RevBuild!CE$59</f>
        <v>3.5926007942483268E-2</v>
      </c>
      <c r="CF110" s="1110">
        <f>+CF111+RevBuild!CF$59</f>
        <v>0.12348362277123723</v>
      </c>
      <c r="CG110" s="707">
        <f>+CG109/CA109-1</f>
        <v>5.0068022835171977E-2</v>
      </c>
      <c r="CH110" s="557"/>
      <c r="CI110" s="1109">
        <f>+CI111+RevBuild!CI$59</f>
        <v>0.15000000000000002</v>
      </c>
      <c r="CJ110" s="1110">
        <f>+CJ111+RevBuild!CJ$59</f>
        <v>0.19500000000000001</v>
      </c>
      <c r="CK110" s="1110">
        <f>+CK111+RevBuild!CK$59</f>
        <v>0.22500000000000001</v>
      </c>
      <c r="CL110" s="1110">
        <f>+CL111+RevBuild!CL$59</f>
        <v>0.22</v>
      </c>
      <c r="CM110" s="707">
        <f>+CM109/CG109-1</f>
        <v>0.20347138077636062</v>
      </c>
      <c r="CN110" s="557"/>
      <c r="CO110" s="1109">
        <f>+CO111+RevBuild!CO$59</f>
        <v>0.1</v>
      </c>
      <c r="CP110" s="1110">
        <f>+CP111+RevBuild!CP$59</f>
        <v>0.1</v>
      </c>
      <c r="CQ110" s="1110">
        <f>+CQ111+RevBuild!CQ$59</f>
        <v>0.1</v>
      </c>
      <c r="CR110" s="1110">
        <f>+CR111+RevBuild!CR$59</f>
        <v>0.1</v>
      </c>
      <c r="CS110" s="707">
        <f>+CS109/CM109-1</f>
        <v>0.10000000000000009</v>
      </c>
      <c r="CT110" s="557"/>
      <c r="CU110" s="1109">
        <f>+CU111+RevBuild!CU$59</f>
        <v>0.1</v>
      </c>
      <c r="CV110" s="1110">
        <f>+CV111+RevBuild!CV$59</f>
        <v>0.1</v>
      </c>
      <c r="CW110" s="1110">
        <f>+CW111+RevBuild!CW$59</f>
        <v>0.1</v>
      </c>
      <c r="CX110" s="1110">
        <f>+CX111+RevBuild!CX$59</f>
        <v>0.1</v>
      </c>
      <c r="CY110" s="707">
        <f>+CY109/CS109-1</f>
        <v>9.9999999999999867E-2</v>
      </c>
      <c r="CZ110" s="48"/>
      <c r="DA110"/>
      <c r="DB110"/>
      <c r="DC110"/>
      <c r="DD110" s="48"/>
      <c r="DE110" s="48"/>
      <c r="DF110" s="48"/>
      <c r="DG110" s="48"/>
      <c r="DH110" s="48"/>
      <c r="DI110" s="48"/>
      <c r="DJ110" s="48"/>
      <c r="DK110" s="48"/>
    </row>
    <row r="111" spans="1:115" s="5" customFormat="1" outlineLevel="1" x14ac:dyDescent="0.2">
      <c r="A111" s="205" t="s">
        <v>428</v>
      </c>
      <c r="B111" s="961"/>
      <c r="C111" s="565"/>
      <c r="D111" s="566"/>
      <c r="E111" s="566"/>
      <c r="F111" s="566"/>
      <c r="G111" s="584"/>
      <c r="H111" s="592"/>
      <c r="I111" s="565"/>
      <c r="J111" s="566"/>
      <c r="K111" s="566"/>
      <c r="L111" s="566"/>
      <c r="M111" s="584"/>
      <c r="N111" s="592"/>
      <c r="O111" s="565"/>
      <c r="P111" s="566"/>
      <c r="Q111" s="566"/>
      <c r="R111" s="566"/>
      <c r="S111" s="584"/>
      <c r="T111" s="591"/>
      <c r="U111" s="565"/>
      <c r="V111" s="566"/>
      <c r="W111" s="566"/>
      <c r="X111" s="566"/>
      <c r="Y111" s="584"/>
      <c r="Z111" s="593"/>
      <c r="AA111" s="565"/>
      <c r="AB111" s="566"/>
      <c r="AC111" s="566"/>
      <c r="AD111" s="566"/>
      <c r="AE111" s="584"/>
      <c r="AF111" s="592"/>
      <c r="AG111" s="656"/>
      <c r="AH111" s="654"/>
      <c r="AI111" s="654"/>
      <c r="AJ111" s="654"/>
      <c r="AK111" s="655"/>
      <c r="AL111" s="592"/>
      <c r="AM111" s="656"/>
      <c r="AN111" s="654"/>
      <c r="AO111" s="654"/>
      <c r="AP111" s="654"/>
      <c r="AQ111" s="655"/>
      <c r="AR111" s="592"/>
      <c r="AS111" s="1109">
        <f>+AS110-RevBuild!AS$59</f>
        <v>3.6167381200300959</v>
      </c>
      <c r="AT111" s="1110">
        <f>+AT110-RevBuild!AT$59</f>
        <v>1.1859319879109915</v>
      </c>
      <c r="AU111" s="1110">
        <f>+AU110-RevBuild!AU$59</f>
        <v>1.3839008567236755</v>
      </c>
      <c r="AV111" s="1110">
        <f>+AV110-RevBuild!AV$59</f>
        <v>1.5704726743860817</v>
      </c>
      <c r="AW111" s="1228">
        <f>+AW110-RevBuild!AW$59</f>
        <v>1.6565153446303016</v>
      </c>
      <c r="AX111" s="1137"/>
      <c r="AY111" s="1109">
        <f>+AY110-RevBuild!AY$59</f>
        <v>0.49142286118661727</v>
      </c>
      <c r="AZ111" s="1110">
        <f>+AZ110-RevBuild!AZ$59</f>
        <v>0.57421043991261611</v>
      </c>
      <c r="BA111" s="1110">
        <f>+BA110-RevBuild!BA$59</f>
        <v>0.53710607790761367</v>
      </c>
      <c r="BB111" s="1110">
        <f>+BB110-RevBuild!BB$59</f>
        <v>0.4419737348494252</v>
      </c>
      <c r="BC111" s="1228">
        <f>+BC110-RevBuild!BC$59</f>
        <v>0.50798160845065354</v>
      </c>
      <c r="BD111" s="614"/>
      <c r="BE111" s="1109">
        <f>+BE110-RevBuild!BE$59</f>
        <v>7.007550262572132E-3</v>
      </c>
      <c r="BF111" s="1110">
        <f>+BF110-RevBuild!BF$59</f>
        <v>0.23396514569627788</v>
      </c>
      <c r="BG111" s="1110">
        <f>+BG110-RevBuild!BG$59</f>
        <v>0.12994388914632887</v>
      </c>
      <c r="BH111" s="1110">
        <f>+BH110-RevBuild!BH$59</f>
        <v>0.17519202948786078</v>
      </c>
      <c r="BI111" s="1228">
        <f>+BI110-RevBuild!BI$59</f>
        <v>0.14578058601287885</v>
      </c>
      <c r="BJ111" s="614"/>
      <c r="BK111" s="1109">
        <f>+BK110-RevBuild!BK$59</f>
        <v>-1.8249603887515661E-2</v>
      </c>
      <c r="BL111" s="1110">
        <f>+BL110-RevBuild!BL$59</f>
        <v>-0.17261854917721756</v>
      </c>
      <c r="BM111" s="1110">
        <f>+BM110-RevBuild!BM$59</f>
        <v>-0.10838145880922526</v>
      </c>
      <c r="BN111" s="1110">
        <f>+BN110-RevBuild!BN$59</f>
        <v>-7.508838338489858E-2</v>
      </c>
      <c r="BO111" s="1228">
        <f>+BO110-RevBuild!BO$59</f>
        <v>-0.10163731267351442</v>
      </c>
      <c r="BP111" s="557"/>
      <c r="BQ111" s="909">
        <v>0.13</v>
      </c>
      <c r="BR111" s="910">
        <v>7.4999999999999997E-2</v>
      </c>
      <c r="BS111" s="910">
        <v>0.03</v>
      </c>
      <c r="BT111" s="910">
        <v>0.03</v>
      </c>
      <c r="BU111" s="1228">
        <f>+BU110-RevBuild!BU$59</f>
        <v>6.2623120899354248E-2</v>
      </c>
      <c r="BV111" s="557"/>
      <c r="BW111" s="909">
        <v>-0.1</v>
      </c>
      <c r="BX111" s="910">
        <v>0.1</v>
      </c>
      <c r="BY111" s="910">
        <v>0.15</v>
      </c>
      <c r="BZ111" s="910">
        <v>0.1</v>
      </c>
      <c r="CA111" s="1228">
        <f>+CA110-RevBuild!CA$59</f>
        <v>6.9600865933269918E-2</v>
      </c>
      <c r="CB111" s="557"/>
      <c r="CC111" s="909">
        <v>0.03</v>
      </c>
      <c r="CD111" s="910">
        <v>0.03</v>
      </c>
      <c r="CE111" s="910">
        <v>0.03</v>
      </c>
      <c r="CF111" s="910">
        <v>0.1</v>
      </c>
      <c r="CG111" s="1228">
        <f>+CG110-RevBuild!CG$59</f>
        <v>5.3789430138310584E-2</v>
      </c>
      <c r="CH111" s="557"/>
      <c r="CI111" s="909">
        <v>0.1</v>
      </c>
      <c r="CJ111" s="910">
        <v>0.15</v>
      </c>
      <c r="CK111" s="910">
        <v>0.2</v>
      </c>
      <c r="CL111" s="910">
        <v>0.2</v>
      </c>
      <c r="CM111" s="1228">
        <f>+CM110-RevBuild!CM$59</f>
        <v>0.16847138077636062</v>
      </c>
      <c r="CN111" s="557"/>
      <c r="CO111" s="909">
        <v>0.1</v>
      </c>
      <c r="CP111" s="910">
        <v>0.1</v>
      </c>
      <c r="CQ111" s="910">
        <v>0.1</v>
      </c>
      <c r="CR111" s="910">
        <v>0.1</v>
      </c>
      <c r="CS111" s="1228">
        <f>+CS110-RevBuild!CS$59</f>
        <v>0.10000000000000009</v>
      </c>
      <c r="CT111" s="557"/>
      <c r="CU111" s="909">
        <v>0.1</v>
      </c>
      <c r="CV111" s="910">
        <v>0.1</v>
      </c>
      <c r="CW111" s="910">
        <v>0.1</v>
      </c>
      <c r="CX111" s="910">
        <v>0.1</v>
      </c>
      <c r="CY111" s="1228">
        <f>+CY110-RevBuild!CY$59</f>
        <v>9.9999999999999867E-2</v>
      </c>
      <c r="CZ111" s="48"/>
      <c r="DA111"/>
      <c r="DB111"/>
      <c r="DC111"/>
      <c r="DD111" s="48"/>
      <c r="DE111" s="48"/>
      <c r="DF111" s="48"/>
      <c r="DG111" s="48"/>
      <c r="DH111" s="48"/>
      <c r="DI111" s="48"/>
      <c r="DJ111" s="48"/>
      <c r="DK111" s="48"/>
    </row>
    <row r="112" spans="1:115" s="5" customFormat="1" outlineLevel="1" x14ac:dyDescent="0.2">
      <c r="A112" s="354" t="s">
        <v>609</v>
      </c>
      <c r="B112" s="961"/>
      <c r="C112" s="565"/>
      <c r="D112" s="566"/>
      <c r="E112" s="566"/>
      <c r="F112" s="566"/>
      <c r="G112" s="584"/>
      <c r="H112" s="592"/>
      <c r="I112" s="565"/>
      <c r="J112" s="566"/>
      <c r="K112" s="566"/>
      <c r="L112" s="566"/>
      <c r="M112" s="584"/>
      <c r="N112" s="592"/>
      <c r="O112" s="565"/>
      <c r="P112" s="566"/>
      <c r="Q112" s="566"/>
      <c r="R112" s="566"/>
      <c r="S112" s="584"/>
      <c r="T112" s="591"/>
      <c r="U112" s="565"/>
      <c r="V112" s="566"/>
      <c r="W112" s="566"/>
      <c r="X112" s="566"/>
      <c r="Y112" s="584"/>
      <c r="Z112" s="593"/>
      <c r="AA112" s="565"/>
      <c r="AB112" s="566"/>
      <c r="AC112" s="566"/>
      <c r="AD112" s="566"/>
      <c r="AE112" s="584"/>
      <c r="AF112" s="592"/>
      <c r="AG112" s="656"/>
      <c r="AH112" s="654"/>
      <c r="AI112" s="654"/>
      <c r="AJ112" s="654"/>
      <c r="AK112" s="655"/>
      <c r="AL112" s="592"/>
      <c r="AM112" s="656"/>
      <c r="AN112" s="654"/>
      <c r="AO112" s="654"/>
      <c r="AP112" s="654"/>
      <c r="AQ112" s="655"/>
      <c r="AR112" s="592"/>
      <c r="AS112" s="1109"/>
      <c r="AT112" s="1110"/>
      <c r="AU112" s="1110"/>
      <c r="AV112" s="1110"/>
      <c r="AW112" s="1228"/>
      <c r="AX112" s="1137"/>
      <c r="AY112" s="656">
        <f>+AY296*AY283</f>
        <v>0.76405780000000012</v>
      </c>
      <c r="AZ112" s="654">
        <f>+AZ296*AZ283</f>
        <v>0.76405780000000012</v>
      </c>
      <c r="BA112" s="654">
        <f>+BA296*BA283</f>
        <v>0.76405780000000012</v>
      </c>
      <c r="BB112" s="654">
        <f>+BB296*BB283</f>
        <v>0.53035259999999995</v>
      </c>
      <c r="BC112" s="655">
        <f>+SUM(AY112:BB112)</f>
        <v>2.8225260000000003</v>
      </c>
      <c r="BD112" s="614"/>
      <c r="BE112" s="656">
        <f>+BE296*BE283</f>
        <v>0.87142453333333325</v>
      </c>
      <c r="BF112" s="654">
        <f>+BF296*BF283</f>
        <v>0.87142453333333325</v>
      </c>
      <c r="BG112" s="654">
        <f>+BG296*BG283</f>
        <v>0.87142453333333325</v>
      </c>
      <c r="BH112" s="654">
        <f>+BH296*BH283</f>
        <v>1.0436016000000004</v>
      </c>
      <c r="BI112" s="655">
        <f>+SUM(BE112:BH112)</f>
        <v>3.6578752000000003</v>
      </c>
      <c r="BJ112" s="614"/>
      <c r="BK112" s="656">
        <f>+BK296*BK283</f>
        <v>1.4436016000000003</v>
      </c>
      <c r="BL112" s="654">
        <f>+BL296*BL283</f>
        <v>1.4436016000000003</v>
      </c>
      <c r="BM112" s="654">
        <f>+BM296*BM283</f>
        <v>1.4436016000000003</v>
      </c>
      <c r="BN112" s="654">
        <f>+BN296*BN283</f>
        <v>1.5923739999999995</v>
      </c>
      <c r="BO112" s="655">
        <f>+SUM(BK112:BN112)</f>
        <v>5.9231788000000005</v>
      </c>
      <c r="BP112" s="557"/>
      <c r="BQ112" s="656">
        <f>+BQ296*BQ283</f>
        <v>1.7923739999999997</v>
      </c>
      <c r="BR112" s="654">
        <f>+BR296*BR283</f>
        <v>2.3000832</v>
      </c>
      <c r="BS112" s="654">
        <f>+BS296*BS283</f>
        <v>2.3000832</v>
      </c>
      <c r="BT112" s="654">
        <f>+BT296*BT283</f>
        <v>2.279531770910598</v>
      </c>
      <c r="BU112" s="655">
        <f>+SUM(BQ112:BT112)</f>
        <v>8.6720721709105977</v>
      </c>
      <c r="BV112" s="557"/>
      <c r="BW112" s="656">
        <f>+BW296*BW283</f>
        <v>2.1277439216353091</v>
      </c>
      <c r="BX112" s="654">
        <f>+BX296*BX283</f>
        <v>2.5023944830038825</v>
      </c>
      <c r="BY112" s="654">
        <f>+BY296*BY283</f>
        <v>2.8037494059584023</v>
      </c>
      <c r="BZ112" s="654">
        <f>+BZ296*BZ283</f>
        <v>3.0221740534697199</v>
      </c>
      <c r="CA112" s="655">
        <f>+SUM(BW112:BZ112)</f>
        <v>10.456061864067316</v>
      </c>
      <c r="CB112" s="557"/>
      <c r="CC112" s="656">
        <f>+CC296*CC283</f>
        <v>2.6086233529536207</v>
      </c>
      <c r="CD112" s="654">
        <f>+CD296*CD283</f>
        <v>2.9928730636075409</v>
      </c>
      <c r="CE112" s="654">
        <f>+CE296*CE283</f>
        <v>2.775151687207881</v>
      </c>
      <c r="CF112" s="654">
        <f>+CF296*CF283</f>
        <v>2.9107744372517574</v>
      </c>
      <c r="CG112" s="655">
        <f>+SUM(CC112:CF112)</f>
        <v>11.287422541020799</v>
      </c>
      <c r="CH112" s="557"/>
      <c r="CI112" s="656">
        <f>+CI296*CI283</f>
        <v>2.7024777401724833</v>
      </c>
      <c r="CJ112" s="654">
        <f>+CJ296*CJ283</f>
        <v>3.2108004882757584</v>
      </c>
      <c r="CK112" s="654">
        <f>+CK296*CK283</f>
        <v>3.3458008293096348</v>
      </c>
      <c r="CL112" s="654">
        <f>+CL296*CL283</f>
        <v>3.5743263242204537</v>
      </c>
      <c r="CM112" s="655">
        <f>+SUM(CI112:CL112)</f>
        <v>12.833405381978331</v>
      </c>
      <c r="CN112" s="557"/>
      <c r="CO112" s="656">
        <f>+CO296*CO283</f>
        <v>5.0206009892971277</v>
      </c>
      <c r="CP112" s="654">
        <f>+CP296*CP283</f>
        <v>4.7000418199069225</v>
      </c>
      <c r="CQ112" s="654">
        <f>+CQ296*CQ283</f>
        <v>4.822960154977272</v>
      </c>
      <c r="CR112" s="654">
        <f>+CR296*CR283</f>
        <v>4.1212221752107743</v>
      </c>
      <c r="CS112" s="655">
        <f>+SUM(CO112:CR112)</f>
        <v>18.664825139392097</v>
      </c>
      <c r="CT112" s="557"/>
      <c r="CU112" s="656">
        <f>+CU296*CU283</f>
        <v>6.7886986046536215</v>
      </c>
      <c r="CV112" s="654">
        <f>+CV296*CV283</f>
        <v>6.8447546918502882</v>
      </c>
      <c r="CW112" s="654">
        <f>+CW296*CW283</f>
        <v>6.963852226221225</v>
      </c>
      <c r="CX112" s="654">
        <f>+CX296*CX283</f>
        <v>6.4865491968351909</v>
      </c>
      <c r="CY112" s="655">
        <f>+SUM(CU112:CX112)</f>
        <v>27.083854719560325</v>
      </c>
      <c r="CZ112" s="48"/>
      <c r="DA112"/>
      <c r="DB112"/>
      <c r="DC112"/>
      <c r="DD112" s="48"/>
      <c r="DE112" s="48"/>
      <c r="DF112" s="48"/>
      <c r="DG112" s="48"/>
      <c r="DH112" s="48"/>
      <c r="DI112" s="48"/>
      <c r="DJ112" s="48"/>
      <c r="DK112" s="48"/>
    </row>
    <row r="113" spans="1:115" s="5" customFormat="1" outlineLevel="1" x14ac:dyDescent="0.2">
      <c r="A113" s="205" t="s">
        <v>639</v>
      </c>
      <c r="B113" s="961"/>
      <c r="C113" s="565"/>
      <c r="D113" s="566"/>
      <c r="E113" s="566"/>
      <c r="F113" s="566"/>
      <c r="G113" s="584"/>
      <c r="H113" s="592"/>
      <c r="I113" s="565"/>
      <c r="J113" s="566"/>
      <c r="K113" s="566"/>
      <c r="L113" s="566"/>
      <c r="M113" s="584"/>
      <c r="N113" s="592"/>
      <c r="O113" s="565"/>
      <c r="P113" s="566"/>
      <c r="Q113" s="566"/>
      <c r="R113" s="566"/>
      <c r="S113" s="584"/>
      <c r="T113" s="591"/>
      <c r="U113" s="565"/>
      <c r="V113" s="566"/>
      <c r="W113" s="566"/>
      <c r="X113" s="566"/>
      <c r="Y113" s="584"/>
      <c r="Z113" s="593"/>
      <c r="AA113" s="565"/>
      <c r="AB113" s="566"/>
      <c r="AC113" s="566"/>
      <c r="AD113" s="566"/>
      <c r="AE113" s="584"/>
      <c r="AF113" s="592"/>
      <c r="AG113" s="656"/>
      <c r="AH113" s="654"/>
      <c r="AI113" s="654"/>
      <c r="AJ113" s="654"/>
      <c r="AK113" s="655"/>
      <c r="AL113" s="592"/>
      <c r="AM113" s="656"/>
      <c r="AN113" s="654"/>
      <c r="AO113" s="654"/>
      <c r="AP113" s="654"/>
      <c r="AQ113" s="655"/>
      <c r="AR113" s="592"/>
      <c r="AS113" s="586"/>
      <c r="AT113" s="587"/>
      <c r="AU113" s="587"/>
      <c r="AV113" s="587"/>
      <c r="AW113" s="707"/>
      <c r="AX113" s="592"/>
      <c r="AY113" s="586"/>
      <c r="AZ113" s="587"/>
      <c r="BA113" s="587"/>
      <c r="BB113" s="587"/>
      <c r="BC113" s="707"/>
      <c r="BD113" s="557"/>
      <c r="BE113" s="586">
        <f>+BE112/AY112-1</f>
        <v>0.14052174237777959</v>
      </c>
      <c r="BF113" s="587">
        <f>+BF112/AZ112-1</f>
        <v>0.14052174237777959</v>
      </c>
      <c r="BG113" s="587">
        <f>+BG112/BA112-1</f>
        <v>0.14052174237777959</v>
      </c>
      <c r="BH113" s="587">
        <f>+BH112/BB112-1</f>
        <v>0.96775051164074699</v>
      </c>
      <c r="BI113" s="707">
        <f>+BI112/BC112-1</f>
        <v>0.29595801774722363</v>
      </c>
      <c r="BJ113" s="629"/>
      <c r="BK113" s="586">
        <f>+BK112/BE112-1</f>
        <v>0.65659967648374717</v>
      </c>
      <c r="BL113" s="587">
        <f>+BL112/BF112-1</f>
        <v>0.65659967648374717</v>
      </c>
      <c r="BM113" s="587">
        <f>+BM112/BG112-1</f>
        <v>0.65659967648374717</v>
      </c>
      <c r="BN113" s="587">
        <f>+BN112/BH112-1</f>
        <v>0.52584472848642516</v>
      </c>
      <c r="BO113" s="707">
        <f>+BO112/BI112-1</f>
        <v>0.6192949393134024</v>
      </c>
      <c r="BP113" s="557"/>
      <c r="BQ113" s="586">
        <f>+BQ112/BK112-1</f>
        <v>0.24159879013711216</v>
      </c>
      <c r="BR113" s="587">
        <f>+BR112/BL112-1</f>
        <v>0.59329499219175119</v>
      </c>
      <c r="BS113" s="587">
        <f>+BS112/BM112-1</f>
        <v>0.59329499219175119</v>
      </c>
      <c r="BT113" s="587">
        <f>+BT112/BN112-1</f>
        <v>0.43153038853347181</v>
      </c>
      <c r="BU113" s="707">
        <f>+BU112/BO112-1</f>
        <v>0.46409089843963458</v>
      </c>
      <c r="BV113" s="557"/>
      <c r="BW113" s="586">
        <f>+BW112/BQ112-1</f>
        <v>0.18710934304743843</v>
      </c>
      <c r="BX113" s="587">
        <f>+BX112/BR112-1</f>
        <v>8.7958245599064622E-2</v>
      </c>
      <c r="BY113" s="587">
        <f>+BY112/BS112-1</f>
        <v>0.21897738566952807</v>
      </c>
      <c r="BZ113" s="587">
        <f>+BZ112/BT112-1</f>
        <v>0.32578720421275853</v>
      </c>
      <c r="CA113" s="707">
        <f>+CA112/BU112-1</f>
        <v>0.20571665664186845</v>
      </c>
      <c r="CB113" s="557"/>
      <c r="CC113" s="586">
        <f>+CC112/BW112-1</f>
        <v>0.22600437319013689</v>
      </c>
      <c r="CD113" s="587">
        <f>+CD112/BX112-1</f>
        <v>0.19600370122894706</v>
      </c>
      <c r="CE113" s="587">
        <f>+CE112/BY112-1</f>
        <v>-1.0199812682883391E-2</v>
      </c>
      <c r="CF113" s="587">
        <f>+CF112/BZ112-1</f>
        <v>-3.6860754624660319E-2</v>
      </c>
      <c r="CG113" s="707">
        <f>+CG112/CA112-1</f>
        <v>7.9509923311613884E-2</v>
      </c>
      <c r="CH113" s="557"/>
      <c r="CI113" s="586">
        <f>+CI112/CC112-1</f>
        <v>3.597851223427706E-2</v>
      </c>
      <c r="CJ113" s="587">
        <f>+CJ112/CD112-1</f>
        <v>7.2815458603357142E-2</v>
      </c>
      <c r="CK113" s="587">
        <f>+CK112/CE112-1</f>
        <v>0.20562809043274033</v>
      </c>
      <c r="CL113" s="587">
        <f>+CL112/CF112-1</f>
        <v>0.22796403543903487</v>
      </c>
      <c r="CM113" s="707">
        <f>+CM112/CG112-1</f>
        <v>0.13696508971282984</v>
      </c>
      <c r="CN113" s="557"/>
      <c r="CO113" s="586">
        <f>+CO112/CI112-1</f>
        <v>0.85777700021932168</v>
      </c>
      <c r="CP113" s="587">
        <f>+CP112/CJ112-1</f>
        <v>0.4638224446112833</v>
      </c>
      <c r="CQ113" s="587">
        <f>+CQ112/CK112-1</f>
        <v>0.44149649098282717</v>
      </c>
      <c r="CR113" s="587">
        <f>+CR112/CL112-1</f>
        <v>0.15300669311708592</v>
      </c>
      <c r="CS113" s="707">
        <f>+CS112/CM112-1</f>
        <v>0.45439379368493271</v>
      </c>
      <c r="CT113" s="557"/>
      <c r="CU113" s="586">
        <f>+CU112/CO112-1</f>
        <v>0.35216851909277569</v>
      </c>
      <c r="CV113" s="587">
        <f>+CV112/CP112-1</f>
        <v>0.45631782739878646</v>
      </c>
      <c r="CW113" s="587">
        <f>+CW112/CQ112-1</f>
        <v>0.44389586528815972</v>
      </c>
      <c r="CX113" s="587">
        <f>+CX112/CR112-1</f>
        <v>0.57393824478862143</v>
      </c>
      <c r="CY113" s="707">
        <f>+CY112/CS112-1</f>
        <v>0.45106394071701605</v>
      </c>
      <c r="CZ113" s="48"/>
      <c r="DA113"/>
      <c r="DB113"/>
      <c r="DC113"/>
      <c r="DD113" s="48"/>
      <c r="DE113" s="48"/>
      <c r="DF113" s="48"/>
      <c r="DG113" s="48"/>
      <c r="DH113" s="48"/>
      <c r="DI113" s="48"/>
      <c r="DJ113" s="48"/>
      <c r="DK113" s="48"/>
    </row>
    <row r="114" spans="1:115" s="5" customFormat="1" outlineLevel="1" x14ac:dyDescent="0.2">
      <c r="A114" s="205" t="s">
        <v>428</v>
      </c>
      <c r="B114" s="961"/>
      <c r="C114" s="565"/>
      <c r="D114" s="566"/>
      <c r="E114" s="566"/>
      <c r="F114" s="566"/>
      <c r="G114" s="584"/>
      <c r="H114" s="592"/>
      <c r="I114" s="565"/>
      <c r="J114" s="566"/>
      <c r="K114" s="566"/>
      <c r="L114" s="566"/>
      <c r="M114" s="584"/>
      <c r="N114" s="592"/>
      <c r="O114" s="565"/>
      <c r="P114" s="566"/>
      <c r="Q114" s="566"/>
      <c r="R114" s="566"/>
      <c r="S114" s="584"/>
      <c r="T114" s="591"/>
      <c r="U114" s="565"/>
      <c r="V114" s="566"/>
      <c r="W114" s="566"/>
      <c r="X114" s="566"/>
      <c r="Y114" s="584"/>
      <c r="Z114" s="593"/>
      <c r="AA114" s="565"/>
      <c r="AB114" s="566"/>
      <c r="AC114" s="566"/>
      <c r="AD114" s="566"/>
      <c r="AE114" s="584"/>
      <c r="AF114" s="592"/>
      <c r="AG114" s="656"/>
      <c r="AH114" s="654"/>
      <c r="AI114" s="654"/>
      <c r="AJ114" s="654"/>
      <c r="AK114" s="655"/>
      <c r="AL114" s="592"/>
      <c r="AM114" s="656"/>
      <c r="AN114" s="654"/>
      <c r="AO114" s="654"/>
      <c r="AP114" s="654"/>
      <c r="AQ114" s="655"/>
      <c r="AR114" s="592"/>
      <c r="AS114" s="1109"/>
      <c r="AT114" s="1110"/>
      <c r="AU114" s="1110"/>
      <c r="AV114" s="1110"/>
      <c r="AW114" s="1228"/>
      <c r="AX114" s="1137"/>
      <c r="AY114" s="1109"/>
      <c r="AZ114" s="1110"/>
      <c r="BA114" s="1110"/>
      <c r="BB114" s="1110"/>
      <c r="BC114" s="1228"/>
      <c r="BD114" s="614"/>
      <c r="BE114" s="1109">
        <f>+BE113-RevBuild!BE$59</f>
        <v>0.14638723144404328</v>
      </c>
      <c r="BF114" s="1110">
        <f>+BF113-RevBuild!BF$59</f>
        <v>0.14057834805527378</v>
      </c>
      <c r="BG114" s="1110">
        <f>+BG113-RevBuild!BG$59</f>
        <v>0.14636562763160094</v>
      </c>
      <c r="BH114" s="1110">
        <f>+BH113-RevBuild!BH$59</f>
        <v>0.97142578549712932</v>
      </c>
      <c r="BI114" s="1228">
        <f>+BI113-RevBuild!BI$59</f>
        <v>0.30456318205749028</v>
      </c>
      <c r="BJ114" s="614"/>
      <c r="BK114" s="1109">
        <f>+BK113-RevBuild!BK$59</f>
        <v>0.66115141970455538</v>
      </c>
      <c r="BL114" s="1110">
        <f>+BL113-RevBuild!BL$59</f>
        <v>0.64974620695667484</v>
      </c>
      <c r="BM114" s="1110">
        <f>+BM113-RevBuild!BM$59</f>
        <v>0.65661956462837479</v>
      </c>
      <c r="BN114" s="1110">
        <f>+BN113-RevBuild!BN$59</f>
        <v>0.5737401323227671</v>
      </c>
      <c r="BO114" s="1228">
        <f>+BO113-RevBuild!BO$59</f>
        <v>0.62883452338669166</v>
      </c>
      <c r="BP114" s="557"/>
      <c r="BQ114" s="1109">
        <f>+BQ113-RevBuild!BQ$59</f>
        <v>0.32034354788273012</v>
      </c>
      <c r="BR114" s="1110">
        <f>+BR113-RevBuild!BR$59</f>
        <v>0.67786167103499628</v>
      </c>
      <c r="BS114" s="1110">
        <f>+BS113-RevBuild!BS$59</f>
        <v>0.68229499219175116</v>
      </c>
      <c r="BT114" s="1110">
        <f>+BT113-RevBuild!BT$59</f>
        <v>0.49453038853347181</v>
      </c>
      <c r="BU114" s="1228">
        <f>+BU113-RevBuild!BU$59</f>
        <v>0.54434089843963451</v>
      </c>
      <c r="BV114" s="557"/>
      <c r="BW114" s="1109">
        <f>+BW113-RevBuild!BW$59</f>
        <v>0.20728097352188166</v>
      </c>
      <c r="BX114" s="1110">
        <f>+BX113-RevBuild!BX$59</f>
        <v>0.10314115654767736</v>
      </c>
      <c r="BY114" s="1110">
        <f>+BY113-RevBuild!BY$59</f>
        <v>0.22728637820197789</v>
      </c>
      <c r="BZ114" s="1110">
        <f>+BZ113-RevBuild!BZ$59</f>
        <v>0.35609423434188331</v>
      </c>
      <c r="CA114" s="1228">
        <f>+CA113-RevBuild!CA$59</f>
        <v>0.22442773788621967</v>
      </c>
      <c r="CB114" s="557"/>
      <c r="CC114" s="1109">
        <f>+CC113-RevBuild!CC$59</f>
        <v>0.24773460554563093</v>
      </c>
      <c r="CD114" s="1110">
        <f>+CD113-RevBuild!CD$59</f>
        <v>0.21856872879972794</v>
      </c>
      <c r="CE114" s="1110">
        <f>+CE113-RevBuild!CE$59</f>
        <v>-1.612582062536666E-2</v>
      </c>
      <c r="CF114" s="1110">
        <f>+CF113-RevBuild!CF$59</f>
        <v>-6.0344377395897542E-2</v>
      </c>
      <c r="CG114" s="1228">
        <f>+CG113-RevBuild!CG$59</f>
        <v>8.3231330614752491E-2</v>
      </c>
      <c r="CH114" s="557"/>
      <c r="CI114" s="1109">
        <f>+CI113-RevBuild!CI$59</f>
        <v>-1.4021487765722943E-2</v>
      </c>
      <c r="CJ114" s="1110">
        <f>+CJ113-RevBuild!CJ$59</f>
        <v>2.7815458603357143E-2</v>
      </c>
      <c r="CK114" s="1110">
        <f>+CK113-RevBuild!CK$59</f>
        <v>0.18062809043274033</v>
      </c>
      <c r="CL114" s="1110">
        <f>+CL113-RevBuild!CL$59</f>
        <v>0.20796403543903488</v>
      </c>
      <c r="CM114" s="1228">
        <f>+CM113-RevBuild!CM$59</f>
        <v>0.10196508971282983</v>
      </c>
      <c r="CN114" s="557"/>
      <c r="CO114" s="1109">
        <f>+CO113-RevBuild!CO$59</f>
        <v>0.85777700021932168</v>
      </c>
      <c r="CP114" s="1110">
        <f>+CP113-RevBuild!CP$59</f>
        <v>0.4638224446112833</v>
      </c>
      <c r="CQ114" s="1110">
        <f>+CQ113-RevBuild!CQ$59</f>
        <v>0.44149649098282717</v>
      </c>
      <c r="CR114" s="1110">
        <f>+CR113-RevBuild!CR$59</f>
        <v>0.15300669311708592</v>
      </c>
      <c r="CS114" s="1228">
        <f>+CS113-RevBuild!CS$59</f>
        <v>0.45439379368493271</v>
      </c>
      <c r="CT114" s="557"/>
      <c r="CU114" s="1109">
        <f>+CU113-RevBuild!CU$59</f>
        <v>0.35216851909277569</v>
      </c>
      <c r="CV114" s="1110">
        <f>+CV113-RevBuild!CV$59</f>
        <v>0.45631782739878646</v>
      </c>
      <c r="CW114" s="1110">
        <f>+CW113-RevBuild!CW$59</f>
        <v>0.44389586528815972</v>
      </c>
      <c r="CX114" s="1110">
        <f>+CX113-RevBuild!CX$59</f>
        <v>0.57393824478862143</v>
      </c>
      <c r="CY114" s="1228">
        <f>+CY113-RevBuild!CY$59</f>
        <v>0.45106394071701605</v>
      </c>
      <c r="CZ114" s="48"/>
      <c r="DA114"/>
      <c r="DB114"/>
      <c r="DC114"/>
      <c r="DD114" s="48"/>
      <c r="DE114" s="48"/>
      <c r="DF114" s="48"/>
      <c r="DG114" s="48"/>
      <c r="DH114" s="48"/>
      <c r="DI114" s="48"/>
      <c r="DJ114" s="48"/>
      <c r="DK114" s="48"/>
    </row>
    <row r="115" spans="1:115" s="5" customFormat="1" x14ac:dyDescent="0.2">
      <c r="A115" s="354" t="s">
        <v>610</v>
      </c>
      <c r="B115" s="961"/>
      <c r="C115" s="565"/>
      <c r="D115" s="566"/>
      <c r="E115" s="566"/>
      <c r="F115" s="566"/>
      <c r="G115" s="584"/>
      <c r="H115" s="592"/>
      <c r="I115" s="565"/>
      <c r="J115" s="566"/>
      <c r="K115" s="566"/>
      <c r="L115" s="566"/>
      <c r="M115" s="584"/>
      <c r="N115" s="592"/>
      <c r="O115" s="565"/>
      <c r="P115" s="566"/>
      <c r="Q115" s="566"/>
      <c r="R115" s="566"/>
      <c r="S115" s="584"/>
      <c r="T115" s="591"/>
      <c r="U115" s="565"/>
      <c r="V115" s="566"/>
      <c r="W115" s="566"/>
      <c r="X115" s="566"/>
      <c r="Y115" s="584"/>
      <c r="Z115" s="593"/>
      <c r="AA115" s="565"/>
      <c r="AB115" s="566"/>
      <c r="AC115" s="566"/>
      <c r="AD115" s="566"/>
      <c r="AE115" s="584"/>
      <c r="AF115" s="592"/>
      <c r="AG115" s="656"/>
      <c r="AH115" s="654"/>
      <c r="AI115" s="654"/>
      <c r="AJ115" s="654">
        <f>+AJ$128*AJ123</f>
        <v>2.5</v>
      </c>
      <c r="AK115" s="655">
        <f>+SUM(AG115:AJ115)</f>
        <v>2.5</v>
      </c>
      <c r="AL115" s="592"/>
      <c r="AM115" s="656">
        <f>+AM$128*AM123</f>
        <v>4.95</v>
      </c>
      <c r="AN115" s="654">
        <f>+AN$128*AN123</f>
        <v>4.8000000000000007</v>
      </c>
      <c r="AO115" s="654">
        <f>+AO$128*AO123</f>
        <v>5.48</v>
      </c>
      <c r="AP115" s="654">
        <f>+AP$128*AP123</f>
        <v>5.7206400000000013</v>
      </c>
      <c r="AQ115" s="655">
        <f>+SUM(AM115:AP115)</f>
        <v>20.95064</v>
      </c>
      <c r="AR115" s="592"/>
      <c r="AS115" s="656">
        <f>+AS$128*AS123</f>
        <v>5.9499999999999993</v>
      </c>
      <c r="AT115" s="654">
        <f>+AT$128*AT123</f>
        <v>6.3</v>
      </c>
      <c r="AU115" s="654">
        <f>+AU$128*AU123</f>
        <v>6.6499999999999995</v>
      </c>
      <c r="AV115" s="654">
        <f>+AV$128*AV123</f>
        <v>7.35</v>
      </c>
      <c r="AW115" s="655">
        <f>+SUM(AS115:AV115)</f>
        <v>26.25</v>
      </c>
      <c r="AX115" s="592"/>
      <c r="AY115" s="656">
        <f>+AY$128*AY123</f>
        <v>7.293000000000001</v>
      </c>
      <c r="AZ115" s="654">
        <f>+AZ$128*AZ123</f>
        <v>8.0190000000000001</v>
      </c>
      <c r="BA115" s="654">
        <f>+BA$128*BA123</f>
        <v>8.464500000000001</v>
      </c>
      <c r="BB115" s="654">
        <f>+BB$128*BB123</f>
        <v>9.355500000000001</v>
      </c>
      <c r="BC115" s="655">
        <f>+SUM(AY115:BB115)</f>
        <v>33.132000000000005</v>
      </c>
      <c r="BD115" s="557"/>
      <c r="BE115" s="656">
        <f>+BE$128*BE123</f>
        <v>7.8897000000000013</v>
      </c>
      <c r="BF115" s="654">
        <f>+BF$128*BF123</f>
        <v>7.1502750000000006</v>
      </c>
      <c r="BG115" s="654">
        <f>+BG$128*BG123</f>
        <v>8.3106000000000009</v>
      </c>
      <c r="BH115" s="654">
        <f>+BH$128*BH123</f>
        <v>7.5127500000000005</v>
      </c>
      <c r="BI115" s="655">
        <f>+SUM(BE115:BH115)</f>
        <v>30.863325000000003</v>
      </c>
      <c r="BJ115" s="629"/>
      <c r="BK115" s="656">
        <f>+BK$128*BK123</f>
        <v>7.8873795000000007</v>
      </c>
      <c r="BL115" s="654">
        <f>+BL$128*BL123</f>
        <v>8.8377399000000008</v>
      </c>
      <c r="BM115" s="654">
        <f>+BM$128*BM123</f>
        <v>10.762227000000003</v>
      </c>
      <c r="BN115" s="654">
        <f>+BN$128*BN123</f>
        <v>11.106849600000002</v>
      </c>
      <c r="BO115" s="655">
        <f>+SUM(BK115:BN115)</f>
        <v>38.594196000000004</v>
      </c>
      <c r="BP115" s="557"/>
      <c r="BQ115" s="656">
        <f>+BK115*(1+BQ116)</f>
        <v>6.1620565820247473</v>
      </c>
      <c r="BR115" s="654">
        <f>+BL115*(1+BR116)</f>
        <v>7.3833423961765678</v>
      </c>
      <c r="BS115" s="654">
        <f>+BM115*(1+BS116)</f>
        <v>11.149667172000003</v>
      </c>
      <c r="BT115" s="654">
        <f>+BN115*(1+BT116)</f>
        <v>10.629255067200001</v>
      </c>
      <c r="BU115" s="655">
        <f>+SUM(BQ115:BT115)</f>
        <v>35.324321217401319</v>
      </c>
      <c r="BV115" s="557"/>
      <c r="BW115" s="656">
        <f>+BQ115*(1+BW116)</f>
        <v>6.0993784195097804</v>
      </c>
      <c r="BX115" s="654">
        <f>+BR115*(1+BX116)</f>
        <v>6.1637404066458172</v>
      </c>
      <c r="BY115" s="654">
        <f>+BS115*(1+BY116)</f>
        <v>11.057024670728554</v>
      </c>
      <c r="BZ115" s="654">
        <f>+BT115*(1+BZ116)</f>
        <v>10.572845290308218</v>
      </c>
      <c r="CA115" s="655">
        <f>+SUM(BW115:BZ115)</f>
        <v>33.892988787192365</v>
      </c>
      <c r="CB115" s="557"/>
      <c r="CC115" s="656">
        <f>+BW115*(1+CC116)</f>
        <v>6.4547877827905289</v>
      </c>
      <c r="CD115" s="654">
        <f>+BX115*(1+CD116)</f>
        <v>6.517754666962384</v>
      </c>
      <c r="CE115" s="654">
        <f>+BY115*(1+CE116)</f>
        <v>12.007110660405809</v>
      </c>
      <c r="CF115" s="654">
        <f>+BZ115*(1+CF116)</f>
        <v>11.666961623949126</v>
      </c>
      <c r="CG115" s="655">
        <f>+SUM(CC115:CF115)</f>
        <v>36.64661473410785</v>
      </c>
      <c r="CH115" s="557"/>
      <c r="CI115" s="656">
        <f>+CC115*(1+CI116)</f>
        <v>7.4230059502091077</v>
      </c>
      <c r="CJ115" s="654">
        <f>+CD115*(1+CJ116)</f>
        <v>7.4628290936719299</v>
      </c>
      <c r="CK115" s="654">
        <f>+CE115*(1+CK116)</f>
        <v>13.507999492956536</v>
      </c>
      <c r="CL115" s="654">
        <f>+CF115*(1+CL116)</f>
        <v>13.066997018823022</v>
      </c>
      <c r="CM115" s="655">
        <f>+SUM(CI115:CL115)</f>
        <v>41.460831555660597</v>
      </c>
      <c r="CN115" s="557"/>
      <c r="CO115" s="656">
        <f>+CI115*(1+CO116)</f>
        <v>7.7941562477195632</v>
      </c>
      <c r="CP115" s="654">
        <f>+CJ115*(1+CP116)</f>
        <v>7.8359705483555269</v>
      </c>
      <c r="CQ115" s="654">
        <f>+CK115*(1+CQ116)</f>
        <v>14.183399467604364</v>
      </c>
      <c r="CR115" s="654">
        <f>+CL115*(1+CR116)</f>
        <v>13.720346869764173</v>
      </c>
      <c r="CS115" s="655">
        <f>+SUM(CO115:CR115)</f>
        <v>43.533873133443628</v>
      </c>
      <c r="CT115" s="557"/>
      <c r="CU115" s="656">
        <f>+CO115*(1+CU116)</f>
        <v>8.1838640601055417</v>
      </c>
      <c r="CV115" s="654">
        <f>+CP115*(1+CV116)</f>
        <v>8.2277690757733044</v>
      </c>
      <c r="CW115" s="654">
        <f>+CQ115*(1+CW116)</f>
        <v>14.892569440984582</v>
      </c>
      <c r="CX115" s="654">
        <f>+CR115*(1+CX116)</f>
        <v>14.406364213252383</v>
      </c>
      <c r="CY115" s="655">
        <f>+SUM(CU115:CX115)</f>
        <v>45.710566790115806</v>
      </c>
      <c r="CZ115" s="48"/>
      <c r="DA115"/>
      <c r="DB115"/>
      <c r="DC115"/>
      <c r="DD115" s="48"/>
      <c r="DE115" s="48"/>
      <c r="DF115" s="48"/>
      <c r="DG115" s="48"/>
      <c r="DH115" s="48"/>
      <c r="DI115" s="48"/>
      <c r="DJ115" s="48"/>
      <c r="DK115" s="48"/>
    </row>
    <row r="116" spans="1:115" s="5" customFormat="1" x14ac:dyDescent="0.2">
      <c r="A116" s="205" t="s">
        <v>639</v>
      </c>
      <c r="B116" s="961"/>
      <c r="C116" s="565"/>
      <c r="D116" s="566"/>
      <c r="E116" s="566"/>
      <c r="F116" s="566"/>
      <c r="G116" s="584"/>
      <c r="H116" s="592"/>
      <c r="I116" s="565"/>
      <c r="J116" s="566"/>
      <c r="K116" s="566"/>
      <c r="L116" s="566"/>
      <c r="M116" s="584"/>
      <c r="N116" s="592"/>
      <c r="O116" s="565"/>
      <c r="P116" s="566"/>
      <c r="Q116" s="566"/>
      <c r="R116" s="566"/>
      <c r="S116" s="584"/>
      <c r="T116" s="591"/>
      <c r="U116" s="565"/>
      <c r="V116" s="566"/>
      <c r="W116" s="566"/>
      <c r="X116" s="566"/>
      <c r="Y116" s="584"/>
      <c r="Z116" s="593"/>
      <c r="AA116" s="565"/>
      <c r="AB116" s="566"/>
      <c r="AC116" s="566"/>
      <c r="AD116" s="566"/>
      <c r="AE116" s="584"/>
      <c r="AF116" s="592"/>
      <c r="AG116" s="656"/>
      <c r="AH116" s="654"/>
      <c r="AI116" s="654"/>
      <c r="AJ116" s="654"/>
      <c r="AK116" s="655"/>
      <c r="AL116" s="592"/>
      <c r="AM116" s="656"/>
      <c r="AN116" s="654"/>
      <c r="AO116" s="654"/>
      <c r="AP116" s="1104">
        <f>+AP115/AJ115-1</f>
        <v>1.2882560000000005</v>
      </c>
      <c r="AQ116" s="707">
        <f>(+AQ115/AK115-1)</f>
        <v>7.3802559999999993</v>
      </c>
      <c r="AR116" s="1137"/>
      <c r="AS116" s="586">
        <f>(+AS115/AM115-1)</f>
        <v>0.20202020202020177</v>
      </c>
      <c r="AT116" s="587">
        <f>(+AT115/AN115-1)</f>
        <v>0.31249999999999978</v>
      </c>
      <c r="AU116" s="587">
        <f>(+AU115/AO115-1)</f>
        <v>0.21350364963503621</v>
      </c>
      <c r="AV116" s="587">
        <f>(+AV115/AP115-1)</f>
        <v>0.28482127873804286</v>
      </c>
      <c r="AW116" s="707">
        <f>(+AW115/AQ115-1)</f>
        <v>0.25294501743144848</v>
      </c>
      <c r="AX116" s="592"/>
      <c r="AY116" s="586">
        <f>(+AY115/AS115-1)</f>
        <v>0.22571428571428598</v>
      </c>
      <c r="AZ116" s="587">
        <f>(+AZ115/AT115-1)</f>
        <v>0.27285714285714291</v>
      </c>
      <c r="BA116" s="587">
        <f>(+BA115/AU115-1)</f>
        <v>0.27285714285714313</v>
      </c>
      <c r="BB116" s="587">
        <f>(+BB115/AV115-1)</f>
        <v>0.27285714285714313</v>
      </c>
      <c r="BC116" s="707">
        <f>(+BC115/AW115-1)</f>
        <v>0.26217142857142872</v>
      </c>
      <c r="BD116" s="557"/>
      <c r="BE116" s="586">
        <f>(+BE115/AY115-1)</f>
        <v>8.181818181818179E-2</v>
      </c>
      <c r="BF116" s="587">
        <f>(+BF115/AZ115-1)</f>
        <v>-0.10833333333333328</v>
      </c>
      <c r="BG116" s="587">
        <f>(+BG115/BA115-1)</f>
        <v>-1.8181818181818188E-2</v>
      </c>
      <c r="BH116" s="587">
        <f>(+BH115/BB115-1)</f>
        <v>-0.19696969696969702</v>
      </c>
      <c r="BI116" s="707">
        <f>(+BI115/BC115-1)</f>
        <v>-6.8473831944947494E-2</v>
      </c>
      <c r="BJ116" s="629"/>
      <c r="BK116" s="586">
        <f>(+BK115/BE115-1)</f>
        <v>-2.941176470588891E-4</v>
      </c>
      <c r="BL116" s="587">
        <f>(+BL115/BF115-1)</f>
        <v>0.23599999999999999</v>
      </c>
      <c r="BM116" s="587">
        <f>(+BM115/BG115-1)</f>
        <v>0.29500000000000015</v>
      </c>
      <c r="BN116" s="587">
        <f>(+BN115/BH115-1)</f>
        <v>0.47840000000000016</v>
      </c>
      <c r="BO116" s="707">
        <f>(+BO115/BI115-1)</f>
        <v>0.25048730167601829</v>
      </c>
      <c r="BP116" s="557"/>
      <c r="BQ116" s="1109">
        <f>+BQ117+RevBuild!BQ$59</f>
        <v>-0.21874475774561797</v>
      </c>
      <c r="BR116" s="1110">
        <f>+BR117+RevBuild!BR$59</f>
        <v>-0.16456667884324505</v>
      </c>
      <c r="BS116" s="1110">
        <f>+BS117+RevBuild!BS$59</f>
        <v>3.6000000000000004E-2</v>
      </c>
      <c r="BT116" s="1110">
        <f>+BT117+RevBuild!BT$59</f>
        <v>-4.2999999999999997E-2</v>
      </c>
      <c r="BU116" s="707">
        <f>(+BU115/BO115-1)</f>
        <v>-8.4724521339910375E-2</v>
      </c>
      <c r="BV116" s="557"/>
      <c r="BW116" s="1109">
        <f>+BW117+RevBuild!BW$59</f>
        <v>-1.0171630474443241E-2</v>
      </c>
      <c r="BX116" s="1110">
        <f>+BX117+RevBuild!BX$59</f>
        <v>-0.16518291094861273</v>
      </c>
      <c r="BY116" s="1110">
        <f>+BY117+RevBuild!BY$59</f>
        <v>-8.3089925324498076E-3</v>
      </c>
      <c r="BZ116" s="1110">
        <f>+BZ117+RevBuild!BZ$59</f>
        <v>-5.3070301291247637E-3</v>
      </c>
      <c r="CA116" s="707">
        <f>+CA115/BU115-1</f>
        <v>-4.0519743363217287E-2</v>
      </c>
      <c r="CB116" s="557"/>
      <c r="CC116" s="1109">
        <f>+CC117+RevBuild!CC$59</f>
        <v>5.8269767644505956E-2</v>
      </c>
      <c r="CD116" s="1110">
        <f>+CD117+RevBuild!CD$59</f>
        <v>5.7434972429219119E-2</v>
      </c>
      <c r="CE116" s="1110">
        <f>+CE117+RevBuild!CE$59</f>
        <v>8.5926007942483271E-2</v>
      </c>
      <c r="CF116" s="1110">
        <f>+CF117+RevBuild!CF$59</f>
        <v>0.10348362277123722</v>
      </c>
      <c r="CG116" s="707">
        <f>+CG115/CA115-1</f>
        <v>8.1244707104616287E-2</v>
      </c>
      <c r="CH116" s="557"/>
      <c r="CI116" s="1109">
        <f>+CI117+RevBuild!CI$59</f>
        <v>0.15000000000000002</v>
      </c>
      <c r="CJ116" s="1110">
        <f>+CJ117+RevBuild!CJ$59</f>
        <v>0.14500000000000002</v>
      </c>
      <c r="CK116" s="1110">
        <f>+CK117+RevBuild!CK$59</f>
        <v>0.125</v>
      </c>
      <c r="CL116" s="1110">
        <f>+CL117+RevBuild!CL$59</f>
        <v>0.12000000000000001</v>
      </c>
      <c r="CM116" s="707">
        <f>+CM115/CG115-1</f>
        <v>0.13136866410397374</v>
      </c>
      <c r="CN116" s="557"/>
      <c r="CO116" s="1109">
        <f>+CO117+RevBuild!CO$59</f>
        <v>0.05</v>
      </c>
      <c r="CP116" s="1110">
        <f>+CP117+RevBuild!CP$59</f>
        <v>0.05</v>
      </c>
      <c r="CQ116" s="1110">
        <f>+CQ117+RevBuild!CQ$59</f>
        <v>0.05</v>
      </c>
      <c r="CR116" s="1110">
        <f>+CR117+RevBuild!CR$59</f>
        <v>0.05</v>
      </c>
      <c r="CS116" s="707">
        <f>+CS115/CM115-1</f>
        <v>5.0000000000000044E-2</v>
      </c>
      <c r="CT116" s="557"/>
      <c r="CU116" s="1109">
        <f>+CU117+RevBuild!CU$59</f>
        <v>0.05</v>
      </c>
      <c r="CV116" s="1110">
        <f>+CV117+RevBuild!CV$59</f>
        <v>0.05</v>
      </c>
      <c r="CW116" s="1110">
        <f>+CW117+RevBuild!CW$59</f>
        <v>0.05</v>
      </c>
      <c r="CX116" s="1110">
        <f>+CX117+RevBuild!CX$59</f>
        <v>0.05</v>
      </c>
      <c r="CY116" s="707">
        <f>+CY115/CS115-1</f>
        <v>4.9999999999999822E-2</v>
      </c>
      <c r="CZ116" s="48"/>
      <c r="DA116"/>
      <c r="DB116"/>
      <c r="DC116"/>
      <c r="DD116" s="48"/>
      <c r="DE116" s="48"/>
      <c r="DF116" s="48"/>
      <c r="DG116" s="48"/>
      <c r="DH116" s="48"/>
      <c r="DI116" s="48"/>
      <c r="DJ116" s="48"/>
      <c r="DK116" s="48"/>
    </row>
    <row r="117" spans="1:115" s="5" customFormat="1" x14ac:dyDescent="0.2">
      <c r="A117" s="205" t="s">
        <v>428</v>
      </c>
      <c r="B117" s="961"/>
      <c r="C117" s="565"/>
      <c r="D117" s="566"/>
      <c r="E117" s="566"/>
      <c r="F117" s="566"/>
      <c r="G117" s="584"/>
      <c r="H117" s="592"/>
      <c r="I117" s="565"/>
      <c r="J117" s="566"/>
      <c r="K117" s="566"/>
      <c r="L117" s="566"/>
      <c r="M117" s="584"/>
      <c r="N117" s="592"/>
      <c r="O117" s="565"/>
      <c r="P117" s="566"/>
      <c r="Q117" s="566"/>
      <c r="R117" s="566"/>
      <c r="S117" s="584"/>
      <c r="T117" s="591"/>
      <c r="U117" s="565"/>
      <c r="V117" s="566"/>
      <c r="W117" s="566"/>
      <c r="X117" s="566"/>
      <c r="Y117" s="584"/>
      <c r="Z117" s="593"/>
      <c r="AA117" s="565"/>
      <c r="AB117" s="566"/>
      <c r="AC117" s="566"/>
      <c r="AD117" s="566"/>
      <c r="AE117" s="584"/>
      <c r="AF117" s="592"/>
      <c r="AG117" s="656"/>
      <c r="AH117" s="654"/>
      <c r="AI117" s="654"/>
      <c r="AJ117" s="654"/>
      <c r="AK117" s="655"/>
      <c r="AL117" s="592"/>
      <c r="AM117" s="656"/>
      <c r="AN117" s="654"/>
      <c r="AO117" s="654"/>
      <c r="AP117" s="1138">
        <f>+AP116-RevBuild!AP$59</f>
        <v>1.298789525669632</v>
      </c>
      <c r="AQ117" s="1228">
        <f>+AQ116-RevBuild!AQ$59</f>
        <v>7.3834050604807757</v>
      </c>
      <c r="AR117" s="1137"/>
      <c r="AS117" s="1109">
        <f>+AS116-RevBuild!AS$59</f>
        <v>0.18239468568666165</v>
      </c>
      <c r="AT117" s="1110">
        <f>+AT116-RevBuild!AT$59</f>
        <v>0.24843198791099175</v>
      </c>
      <c r="AU117" s="1110">
        <f>+AU116-RevBuild!AU$59</f>
        <v>0.17039720708863926</v>
      </c>
      <c r="AV117" s="1110">
        <f>+AV116-RevBuild!AV$59</f>
        <v>0.28565139564803899</v>
      </c>
      <c r="AW117" s="1228">
        <f>+AW116-RevBuild!AW$59</f>
        <v>0.21724734098117257</v>
      </c>
      <c r="AX117" s="1137"/>
      <c r="AY117" s="1109">
        <f>+AY116-RevBuild!AY$59</f>
        <v>0.23402961313184012</v>
      </c>
      <c r="AZ117" s="1110">
        <f>+AZ116-RevBuild!AZ$59</f>
        <v>0.32413268976564369</v>
      </c>
      <c r="BA117" s="1110">
        <f>+BA116-RevBuild!BA$59</f>
        <v>0.31953488659600116</v>
      </c>
      <c r="BB117" s="1110">
        <f>+BB116-RevBuild!BB$59</f>
        <v>0.27663921330747548</v>
      </c>
      <c r="BC117" s="1228">
        <f>+BC116-RevBuild!BC$59</f>
        <v>0.28975491457310276</v>
      </c>
      <c r="BD117" s="614"/>
      <c r="BE117" s="1109">
        <f>+BE116-RevBuild!BE$59</f>
        <v>8.768367088444548E-2</v>
      </c>
      <c r="BF117" s="1110">
        <f>+BF116-RevBuild!BF$59</f>
        <v>-0.10827672765583909</v>
      </c>
      <c r="BG117" s="1110">
        <f>+BG116-RevBuild!BG$59</f>
        <v>-1.2337932927996856E-2</v>
      </c>
      <c r="BH117" s="1110">
        <f>+BH116-RevBuild!BH$59</f>
        <v>-0.19329442311331474</v>
      </c>
      <c r="BI117" s="1228">
        <f>+BI116-RevBuild!BI$59</f>
        <v>-5.9868667634680836E-2</v>
      </c>
      <c r="BJ117" s="614"/>
      <c r="BK117" s="1109">
        <f>+BK116-RevBuild!BK$59</f>
        <v>4.2576255737492713E-3</v>
      </c>
      <c r="BL117" s="1110">
        <f>+BL116-RevBuild!BL$59</f>
        <v>0.22914653047292763</v>
      </c>
      <c r="BM117" s="1110">
        <f>+BM116-RevBuild!BM$59</f>
        <v>0.29501988814462771</v>
      </c>
      <c r="BN117" s="1110">
        <f>+BN116-RevBuild!BN$59</f>
        <v>0.5262954038363421</v>
      </c>
      <c r="BO117" s="1228">
        <f>+BO116-RevBuild!BO$59</f>
        <v>0.26002688574930749</v>
      </c>
      <c r="BP117" s="557"/>
      <c r="BQ117" s="909">
        <v>-0.14000000000000001</v>
      </c>
      <c r="BR117" s="910">
        <v>-0.08</v>
      </c>
      <c r="BS117" s="910">
        <v>0.125</v>
      </c>
      <c r="BT117" s="910">
        <v>0.02</v>
      </c>
      <c r="BU117" s="1228">
        <f>+BU116-RevBuild!BU$59</f>
        <v>-4.4745213399104838E-3</v>
      </c>
      <c r="BV117" s="557"/>
      <c r="BW117" s="909">
        <v>0.01</v>
      </c>
      <c r="BX117" s="910">
        <v>-0.15</v>
      </c>
      <c r="BY117" s="910">
        <v>0</v>
      </c>
      <c r="BZ117" s="910">
        <v>2.5000000000000001E-2</v>
      </c>
      <c r="CA117" s="1228">
        <f>+CA116-RevBuild!CA$59</f>
        <v>-2.1808662118866062E-2</v>
      </c>
      <c r="CB117" s="557"/>
      <c r="CC117" s="909">
        <v>0.08</v>
      </c>
      <c r="CD117" s="910">
        <v>0.08</v>
      </c>
      <c r="CE117" s="910">
        <v>0.08</v>
      </c>
      <c r="CF117" s="910">
        <v>0.08</v>
      </c>
      <c r="CG117" s="1228">
        <f>+CG116-RevBuild!CG$59</f>
        <v>8.4966114407754895E-2</v>
      </c>
      <c r="CH117" s="557"/>
      <c r="CI117" s="909">
        <v>0.1</v>
      </c>
      <c r="CJ117" s="910">
        <v>0.1</v>
      </c>
      <c r="CK117" s="910">
        <v>0.1</v>
      </c>
      <c r="CL117" s="910">
        <v>0.1</v>
      </c>
      <c r="CM117" s="1228">
        <f>+CM116-RevBuild!CM$59</f>
        <v>9.6368664103973739E-2</v>
      </c>
      <c r="CN117" s="557"/>
      <c r="CO117" s="909">
        <v>0.05</v>
      </c>
      <c r="CP117" s="910">
        <v>0.05</v>
      </c>
      <c r="CQ117" s="910">
        <v>0.05</v>
      </c>
      <c r="CR117" s="910">
        <v>0.05</v>
      </c>
      <c r="CS117" s="1228">
        <f>+CS116-RevBuild!CS$59</f>
        <v>5.0000000000000044E-2</v>
      </c>
      <c r="CT117" s="557"/>
      <c r="CU117" s="909">
        <v>0.05</v>
      </c>
      <c r="CV117" s="910">
        <v>0.05</v>
      </c>
      <c r="CW117" s="910">
        <v>0.05</v>
      </c>
      <c r="CX117" s="910">
        <v>0.05</v>
      </c>
      <c r="CY117" s="1228">
        <f>+CY116-RevBuild!CY$59</f>
        <v>4.9999999999999822E-2</v>
      </c>
      <c r="CZ117" s="48"/>
      <c r="DA117"/>
      <c r="DB117"/>
      <c r="DC117"/>
      <c r="DD117" s="48"/>
      <c r="DE117" s="48"/>
      <c r="DF117" s="48"/>
      <c r="DG117" s="48"/>
      <c r="DH117" s="48"/>
      <c r="DI117" s="48"/>
      <c r="DJ117" s="48"/>
      <c r="DK117" s="48"/>
    </row>
    <row r="118" spans="1:115" x14ac:dyDescent="0.2">
      <c r="A118" s="1196" t="s">
        <v>425</v>
      </c>
      <c r="B118" s="1197"/>
      <c r="C118" s="1198"/>
      <c r="D118" s="1198"/>
      <c r="E118" s="1198"/>
      <c r="F118" s="1198"/>
      <c r="G118" s="1199"/>
      <c r="H118" s="1200"/>
      <c r="I118" s="1201"/>
      <c r="J118" s="1198"/>
      <c r="K118" s="1198"/>
      <c r="L118" s="1198"/>
      <c r="M118" s="1199"/>
      <c r="N118" s="1200"/>
      <c r="O118" s="1201"/>
      <c r="P118" s="1198"/>
      <c r="Q118" s="1198"/>
      <c r="R118" s="1198"/>
      <c r="S118" s="1199"/>
      <c r="T118" s="1198"/>
      <c r="U118" s="1201"/>
      <c r="V118" s="1198"/>
      <c r="W118" s="1198"/>
      <c r="X118" s="1198"/>
      <c r="Y118" s="1202"/>
      <c r="Z118" s="1203"/>
      <c r="AA118" s="1204"/>
      <c r="AB118" s="1205"/>
      <c r="AC118" s="1205"/>
      <c r="AD118" s="1206"/>
      <c r="AE118" s="1207"/>
      <c r="AF118" s="1200"/>
      <c r="AG118" s="1209">
        <f>AG115/AG$366</f>
        <v>0</v>
      </c>
      <c r="AH118" s="1210">
        <f>AH115/AH$366</f>
        <v>0</v>
      </c>
      <c r="AI118" s="1210">
        <f>AI115/AI$366</f>
        <v>0</v>
      </c>
      <c r="AJ118" s="1210">
        <f>AJ115/AJ$366</f>
        <v>8.6482148354936547E-3</v>
      </c>
      <c r="AK118" s="1208">
        <f>AK115/AK$366</f>
        <v>2.4756764785977769E-3</v>
      </c>
      <c r="AL118" s="1200"/>
      <c r="AM118" s="1209">
        <f>AM115/AM$366</f>
        <v>1.8724183322994057E-2</v>
      </c>
      <c r="AN118" s="1210">
        <f>AN115/AN$366</f>
        <v>1.8455091955956002E-2</v>
      </c>
      <c r="AO118" s="1210">
        <f>AO115/AO$366</f>
        <v>1.9976888052873138E-2</v>
      </c>
      <c r="AP118" s="1210">
        <f>AP115/AP$366</f>
        <v>0.02</v>
      </c>
      <c r="AQ118" s="1208">
        <f>AQ115/AQ$366</f>
        <v>1.9312837596755512E-2</v>
      </c>
      <c r="AR118" s="1200"/>
      <c r="AS118" s="1209">
        <f>AS115/AS$366</f>
        <v>2.2515278224509487E-2</v>
      </c>
      <c r="AT118" s="1210">
        <f>AT115/AT$366</f>
        <v>2.2326412145568204E-2</v>
      </c>
      <c r="AU118" s="1210">
        <f>AU115/AU$366</f>
        <v>2.3019540647662564E-2</v>
      </c>
      <c r="AV118" s="1210">
        <f>AV115/AV$366</f>
        <v>2.1978350577118586E-2</v>
      </c>
      <c r="AW118" s="1208">
        <f>AW115/AW$366</f>
        <v>2.2440750008335134E-2</v>
      </c>
      <c r="AX118" s="1200"/>
      <c r="AY118" s="1209">
        <f>AY115/AY$366</f>
        <v>2.4603436991856208E-2</v>
      </c>
      <c r="AZ118" s="1210">
        <f>AZ115/AZ$366</f>
        <v>2.6102411030783201E-2</v>
      </c>
      <c r="BA118" s="1210">
        <f>BA115/BA$366</f>
        <v>2.7817305259145095E-2</v>
      </c>
      <c r="BB118" s="1210">
        <f>BB115/BB$366</f>
        <v>2.6997506723765781E-2</v>
      </c>
      <c r="BC118" s="1208">
        <f>BC115/BC$366</f>
        <v>2.64114484684995E-2</v>
      </c>
      <c r="BD118" s="1200"/>
      <c r="BE118" s="1209">
        <f>BE115/BE$366</f>
        <v>2.5989208633093529E-2</v>
      </c>
      <c r="BF118" s="1210">
        <f>BF115/BF$366</f>
        <v>2.259798933036674E-2</v>
      </c>
      <c r="BG118" s="1210">
        <f>BG115/BG$366</f>
        <v>2.5664971233219383E-2</v>
      </c>
      <c r="BH118" s="1210">
        <f>BH115/BH$366</f>
        <v>2.0719969110691287E-2</v>
      </c>
      <c r="BI118" s="1208">
        <f>BI115/BI$366</f>
        <v>2.3625002296415145E-2</v>
      </c>
      <c r="BJ118" s="1200"/>
      <c r="BK118" s="1209">
        <f>BK115/BK$366</f>
        <v>2.485208098987627E-2</v>
      </c>
      <c r="BL118" s="1210">
        <f>BL115/BL$366</f>
        <v>2.6681016613482194E-2</v>
      </c>
      <c r="BM118" s="1210">
        <f>BM115/BM$366</f>
        <v>3.1958435904821586E-2</v>
      </c>
      <c r="BN118" s="1210">
        <f>BN115/BN$366</f>
        <v>3.078309802943378E-2</v>
      </c>
      <c r="BO118" s="1208">
        <f>BO115/BO$366</f>
        <v>2.8669481056354407E-2</v>
      </c>
      <c r="BP118" s="1200"/>
      <c r="BQ118" s="1209">
        <f>BQ115/BQ$366</f>
        <v>2.0627580790699086E-2</v>
      </c>
      <c r="BR118" s="1210">
        <f>BR115/BR$366</f>
        <v>2.311223578889289E-2</v>
      </c>
      <c r="BS118" s="1210">
        <f>BS115/BS$366</f>
        <v>3.5445166985099877E-2</v>
      </c>
      <c r="BT118" s="1210">
        <f>BT115/BT$366</f>
        <v>3.0500014540028698E-2</v>
      </c>
      <c r="BU118" s="1208">
        <f>BU115/BU$366</f>
        <v>2.7570287998870884E-2</v>
      </c>
      <c r="BV118" s="1200"/>
      <c r="BW118" s="1209">
        <f>BW115/BW$366</f>
        <v>2.0441714797320789E-2</v>
      </c>
      <c r="BX118" s="1210">
        <f>BX115/BX$366</f>
        <v>1.843157663793709E-2</v>
      </c>
      <c r="BY118" s="1210">
        <f>BY115/BY$366</f>
        <v>3.2646927589732505E-2</v>
      </c>
      <c r="BZ118" s="1210">
        <f>BZ115/BZ$366</f>
        <v>2.8846964763538239E-2</v>
      </c>
      <c r="CA118" s="1208">
        <f>CA115/CA$366</f>
        <v>2.5331253190187652E-2</v>
      </c>
      <c r="CB118" s="1200"/>
      <c r="CC118" s="1209">
        <f>CC115/CC$366</f>
        <v>2.093630283805871E-2</v>
      </c>
      <c r="CD118" s="1210">
        <f>CD115/CD$366</f>
        <v>1.8643143043776091E-2</v>
      </c>
      <c r="CE118" s="1210">
        <f>CE115/CE$366</f>
        <v>3.29503585631334E-2</v>
      </c>
      <c r="CF118" s="1210">
        <f>CF115/CF$366</f>
        <v>2.9379450241994409E-2</v>
      </c>
      <c r="CG118" s="1208">
        <f>CG115/CG$366</f>
        <v>2.5817929608191945E-2</v>
      </c>
      <c r="CH118" s="1200"/>
      <c r="CI118" s="1209">
        <f>CI115/CI$366</f>
        <v>2.1692202546875244E-2</v>
      </c>
      <c r="CJ118" s="1210">
        <f>CJ115/CJ$366</f>
        <v>1.9135078794369754E-2</v>
      </c>
      <c r="CK118" s="1210">
        <f>CK115/CK$366</f>
        <v>3.3520370196158757E-2</v>
      </c>
      <c r="CL118" s="1210">
        <f>CL115/CL$366</f>
        <v>3.0419512086471322E-2</v>
      </c>
      <c r="CM118" s="1208">
        <f>CM115/CM$366</f>
        <v>2.6496890844851968E-2</v>
      </c>
      <c r="CN118" s="1200"/>
      <c r="CO118" s="1209">
        <f>CO115/CO$366</f>
        <v>2.0514764829477318E-2</v>
      </c>
      <c r="CP118" s="1210">
        <f>CP115/CP$366</f>
        <v>1.8680577751477072E-2</v>
      </c>
      <c r="CQ118" s="1210">
        <f>CQ115/CQ$366</f>
        <v>3.321268386882776E-2</v>
      </c>
      <c r="CR118" s="1210">
        <f>CR115/CR$366</f>
        <v>2.9341968483243667E-2</v>
      </c>
      <c r="CS118" s="1208">
        <f>CS115/CS$366</f>
        <v>2.5698107705304212E-2</v>
      </c>
      <c r="CT118" s="1200"/>
      <c r="CU118" s="1209">
        <f>CU115/CU$366</f>
        <v>1.9455617410157111E-2</v>
      </c>
      <c r="CV118" s="1210">
        <f>CV115/CV$366</f>
        <v>1.7820397876114918E-2</v>
      </c>
      <c r="CW118" s="1210">
        <f>CW115/CW$366</f>
        <v>3.1753456451356452E-2</v>
      </c>
      <c r="CX118" s="1210">
        <f>CX115/CX$366</f>
        <v>2.8077484651211692E-2</v>
      </c>
      <c r="CY118" s="1208">
        <f>CY115/CY$366</f>
        <v>2.4516953939969194E-2</v>
      </c>
      <c r="CZ118" s="48"/>
      <c r="DD118" s="48"/>
      <c r="DE118" s="48"/>
      <c r="DF118" s="48"/>
      <c r="DG118" s="48"/>
      <c r="DH118" s="48"/>
      <c r="DI118" s="48"/>
      <c r="DJ118" s="48"/>
      <c r="DK118" s="48"/>
    </row>
    <row r="119" spans="1:115" s="5" customFormat="1" outlineLevel="1" x14ac:dyDescent="0.2">
      <c r="A119" s="1256" t="s">
        <v>611</v>
      </c>
      <c r="B119" s="961"/>
      <c r="C119" s="565"/>
      <c r="D119" s="566"/>
      <c r="E119" s="566"/>
      <c r="F119" s="566"/>
      <c r="G119" s="584"/>
      <c r="H119" s="592"/>
      <c r="I119" s="565"/>
      <c r="J119" s="566"/>
      <c r="K119" s="566"/>
      <c r="L119" s="566"/>
      <c r="M119" s="584"/>
      <c r="N119" s="592"/>
      <c r="O119" s="565"/>
      <c r="P119" s="566"/>
      <c r="Q119" s="566"/>
      <c r="R119" s="566"/>
      <c r="S119" s="584"/>
      <c r="T119" s="591"/>
      <c r="U119" s="565"/>
      <c r="V119" s="566"/>
      <c r="W119" s="566"/>
      <c r="X119" s="566"/>
      <c r="Y119" s="584"/>
      <c r="Z119" s="593"/>
      <c r="AA119" s="565"/>
      <c r="AB119" s="566"/>
      <c r="AC119" s="566"/>
      <c r="AD119" s="566"/>
      <c r="AE119" s="584"/>
      <c r="AF119" s="592"/>
      <c r="AG119" s="656"/>
      <c r="AH119" s="654"/>
      <c r="AI119" s="654"/>
      <c r="AJ119" s="654">
        <f>+AJ$128*AJ124</f>
        <v>2.5</v>
      </c>
      <c r="AK119" s="655">
        <f>+SUM(AG119:AJ119)</f>
        <v>2.5</v>
      </c>
      <c r="AL119" s="592"/>
      <c r="AM119" s="656">
        <f>+AM128-AM126</f>
        <v>4.9499999999999993</v>
      </c>
      <c r="AN119" s="654">
        <f>+AN128-AN126</f>
        <v>4.7999999999999989</v>
      </c>
      <c r="AO119" s="654">
        <f>+AO128-AO126</f>
        <v>5.4799999999999986</v>
      </c>
      <c r="AP119" s="654">
        <f>+AP128-AP126</f>
        <v>5.7206400000000013</v>
      </c>
      <c r="AQ119" s="655">
        <f>+SUM(AM119:AP119)</f>
        <v>20.95064</v>
      </c>
      <c r="AR119" s="592"/>
      <c r="AS119" s="656">
        <f>+AS128-AS126</f>
        <v>5.9500000000000011</v>
      </c>
      <c r="AT119" s="654">
        <f>+AT128-AT126</f>
        <v>6.3000000000000007</v>
      </c>
      <c r="AU119" s="654">
        <f>+AU128-AU126</f>
        <v>5.7000000000000011</v>
      </c>
      <c r="AV119" s="654">
        <f>+AV128-AV126</f>
        <v>6.3000000000000007</v>
      </c>
      <c r="AW119" s="655">
        <f>+SUM(AS119:AV119)</f>
        <v>24.250000000000004</v>
      </c>
      <c r="AX119" s="592"/>
      <c r="AY119" s="656">
        <f>+AY128-AY126</f>
        <v>6.4790937777777788</v>
      </c>
      <c r="AZ119" s="654">
        <f>+AZ128-AZ126</f>
        <v>7.2930937777777807</v>
      </c>
      <c r="BA119" s="654">
        <f>+BA128-BA126</f>
        <v>6.5100937777777794</v>
      </c>
      <c r="BB119" s="654">
        <f>+BB128-BB126</f>
        <v>7.8934386666666683</v>
      </c>
      <c r="BC119" s="655">
        <f>+SUM(AY119:BB119)</f>
        <v>28.175720000000005</v>
      </c>
      <c r="BD119" s="557"/>
      <c r="BE119" s="656">
        <f>+BE128-BE126</f>
        <v>6.8713886666666681</v>
      </c>
      <c r="BF119" s="654">
        <f>+BF128-BF126</f>
        <v>7.8318236666666685</v>
      </c>
      <c r="BG119" s="654">
        <f>+BG128-BG126</f>
        <v>7.3786286666666712</v>
      </c>
      <c r="BH119" s="654">
        <f>+BH128-BH126</f>
        <v>9.1108860000000007</v>
      </c>
      <c r="BI119" s="655">
        <f>+SUM(BE119:BH119)</f>
        <v>31.192727000000009</v>
      </c>
      <c r="BJ119" s="629"/>
      <c r="BK119" s="656">
        <f>+BK128-BK126</f>
        <v>7.1703450000000011</v>
      </c>
      <c r="BL119" s="654">
        <f>+BL128-BL126</f>
        <v>8.0343090000000004</v>
      </c>
      <c r="BM119" s="654">
        <f>+BM128-BM126</f>
        <v>8.6097816000000016</v>
      </c>
      <c r="BN119" s="654">
        <f>+BN128-BN126</f>
        <v>10.097136000000003</v>
      </c>
      <c r="BO119" s="655">
        <f>+SUM(BK119:BN119)</f>
        <v>33.911571600000002</v>
      </c>
      <c r="BP119" s="557"/>
      <c r="BQ119" s="656">
        <f>+BK119*(1+BQ120)</f>
        <v>6.6057179200224976</v>
      </c>
      <c r="BR119" s="654">
        <f>+BL119*(1+BR120)</f>
        <v>7.3548741710696071</v>
      </c>
      <c r="BS119" s="654">
        <f>+BM119*(1+BS120)</f>
        <v>7.8435110376000017</v>
      </c>
      <c r="BT119" s="654">
        <f>+BN119*(1+BT120)</f>
        <v>9.4610164320000028</v>
      </c>
      <c r="BU119" s="655">
        <f>+SUM(BQ119:BT119)</f>
        <v>31.265119560692106</v>
      </c>
      <c r="BV119" s="557"/>
      <c r="BW119" s="656">
        <f>+BQ119*(1+BW120)</f>
        <v>6.4724698191213959</v>
      </c>
      <c r="BX119" s="654">
        <f>+BR119*(1+BX120)</f>
        <v>7.3903032549133973</v>
      </c>
      <c r="BY119" s="654">
        <f>+BS119*(1+BY120)</f>
        <v>8.366602690780395</v>
      </c>
      <c r="BZ119" s="654">
        <f>+BT119*(1+BZ120)</f>
        <v>9.8838573543432329</v>
      </c>
      <c r="CA119" s="655">
        <f>+SUM(BW119:BZ119)</f>
        <v>32.113233119158423</v>
      </c>
      <c r="CB119" s="557"/>
      <c r="CC119" s="656">
        <f>+BW119*(1+CC120)</f>
        <v>6.6554450369940357</v>
      </c>
      <c r="CD119" s="654">
        <f>+BX119*(1+CD120)</f>
        <v>7.5930560209555145</v>
      </c>
      <c r="CE119" s="654">
        <f>+BY119*(1+CE120)</f>
        <v>8.8345133793165811</v>
      </c>
      <c r="CF119" s="654">
        <f>+BZ119*(1+CF120)</f>
        <v>10.61015899969451</v>
      </c>
      <c r="CG119" s="655">
        <f>+SUM(CC119:CF119)</f>
        <v>33.693173436960642</v>
      </c>
      <c r="CH119" s="557"/>
      <c r="CI119" s="656">
        <f>+CC119*(1+CI120)</f>
        <v>7.3209895406934402</v>
      </c>
      <c r="CJ119" s="654">
        <f>+CD119*(1+CJ120)</f>
        <v>8.3143963429462886</v>
      </c>
      <c r="CK119" s="654">
        <f>+CE119*(1+CK120)</f>
        <v>9.4971018827653246</v>
      </c>
      <c r="CL119" s="654">
        <f>+CF119*(1+CL120)</f>
        <v>11.352870129673127</v>
      </c>
      <c r="CM119" s="655">
        <f>+SUM(CI119:CL119)</f>
        <v>36.485357896078177</v>
      </c>
      <c r="CN119" s="557"/>
      <c r="CO119" s="656">
        <f>+CI119*(1+CO120)</f>
        <v>7.3209895406934402</v>
      </c>
      <c r="CP119" s="654">
        <f>+CJ119*(1+CP120)</f>
        <v>8.3143963429462886</v>
      </c>
      <c r="CQ119" s="654">
        <f>+CK119*(1+CQ120)</f>
        <v>9.4971018827653246</v>
      </c>
      <c r="CR119" s="654">
        <f>+CL119*(1+CR120)</f>
        <v>11.352870129673127</v>
      </c>
      <c r="CS119" s="655">
        <f>+SUM(CO119:CR119)</f>
        <v>36.485357896078177</v>
      </c>
      <c r="CT119" s="557"/>
      <c r="CU119" s="656">
        <f>+CO119*(1+CU120)</f>
        <v>7.3209895406934402</v>
      </c>
      <c r="CV119" s="654">
        <f>+CP119*(1+CV120)</f>
        <v>8.3143963429462886</v>
      </c>
      <c r="CW119" s="654">
        <f>+CQ119*(1+CW120)</f>
        <v>9.4971018827653246</v>
      </c>
      <c r="CX119" s="654">
        <f>+CR119*(1+CX120)</f>
        <v>11.352870129673127</v>
      </c>
      <c r="CY119" s="655">
        <f>+SUM(CU119:CX119)</f>
        <v>36.485357896078177</v>
      </c>
      <c r="CZ119" s="48"/>
      <c r="DA119"/>
      <c r="DB119"/>
      <c r="DC119"/>
      <c r="DD119" s="48"/>
      <c r="DE119" s="48"/>
      <c r="DF119" s="48"/>
      <c r="DG119" s="48"/>
      <c r="DH119" s="48"/>
      <c r="DI119" s="48"/>
      <c r="DJ119" s="48"/>
      <c r="DK119" s="48"/>
    </row>
    <row r="120" spans="1:115" s="5" customFormat="1" outlineLevel="1" x14ac:dyDescent="0.2">
      <c r="A120" s="205" t="s">
        <v>639</v>
      </c>
      <c r="B120" s="961"/>
      <c r="C120" s="565"/>
      <c r="D120" s="566"/>
      <c r="E120" s="566"/>
      <c r="F120" s="566"/>
      <c r="G120" s="584"/>
      <c r="H120" s="592"/>
      <c r="I120" s="565"/>
      <c r="J120" s="566"/>
      <c r="K120" s="566"/>
      <c r="L120" s="566"/>
      <c r="M120" s="584"/>
      <c r="N120" s="592"/>
      <c r="O120" s="565"/>
      <c r="P120" s="566"/>
      <c r="Q120" s="566"/>
      <c r="R120" s="566"/>
      <c r="S120" s="584"/>
      <c r="T120" s="591"/>
      <c r="U120" s="565"/>
      <c r="V120" s="566"/>
      <c r="W120" s="566"/>
      <c r="X120" s="566"/>
      <c r="Y120" s="584"/>
      <c r="Z120" s="593"/>
      <c r="AA120" s="565"/>
      <c r="AB120" s="566"/>
      <c r="AC120" s="566"/>
      <c r="AD120" s="566"/>
      <c r="AE120" s="584"/>
      <c r="AF120" s="592"/>
      <c r="AG120" s="656"/>
      <c r="AH120" s="654"/>
      <c r="AI120" s="654"/>
      <c r="AJ120" s="654"/>
      <c r="AK120" s="655"/>
      <c r="AL120" s="592"/>
      <c r="AM120" s="656"/>
      <c r="AN120" s="654"/>
      <c r="AO120" s="654"/>
      <c r="AP120" s="1104">
        <f>+AP119/AJ119-1</f>
        <v>1.2882560000000005</v>
      </c>
      <c r="AQ120" s="707">
        <f>(+AQ119/AK119-1)</f>
        <v>7.3802559999999993</v>
      </c>
      <c r="AR120" s="1137"/>
      <c r="AS120" s="586">
        <f>(+AS119/AM119-1)</f>
        <v>0.20202020202020243</v>
      </c>
      <c r="AT120" s="587">
        <f>(+AT119/AN119-1)</f>
        <v>0.31250000000000044</v>
      </c>
      <c r="AU120" s="587">
        <f>(+AU119/AO119-1)</f>
        <v>4.0145985401460305E-2</v>
      </c>
      <c r="AV120" s="587">
        <f>(+AV119/AP119-1)</f>
        <v>0.10127538177546547</v>
      </c>
      <c r="AW120" s="707">
        <f>(+AW119/AQ119-1)</f>
        <v>0.1574825399128621</v>
      </c>
      <c r="AX120" s="592"/>
      <c r="AY120" s="586">
        <f>(+AY119/AS119-1)</f>
        <v>8.8923323996265236E-2</v>
      </c>
      <c r="AZ120" s="587">
        <f>(+AZ119/AT119-1)</f>
        <v>0.15763393298060002</v>
      </c>
      <c r="BA120" s="587">
        <f>(+BA119/AU119-1)</f>
        <v>0.14212171539961016</v>
      </c>
      <c r="BB120" s="587">
        <f>(+BB119/AV119-1)</f>
        <v>0.25292677248677253</v>
      </c>
      <c r="BC120" s="707">
        <f>(+BC119/AW119-1)</f>
        <v>0.16188536082474236</v>
      </c>
      <c r="BD120" s="557"/>
      <c r="BE120" s="586">
        <f>(+BE119/AY119-1)</f>
        <v>6.0547802261235351E-2</v>
      </c>
      <c r="BF120" s="587">
        <f>(+BF119/AZ119-1)</f>
        <v>7.3868498788594916E-2</v>
      </c>
      <c r="BG120" s="587">
        <f>(+BG119/BA119-1)</f>
        <v>0.13341357567745615</v>
      </c>
      <c r="BH120" s="587">
        <f>(+BH119/BB119-1)</f>
        <v>0.1542353573322246</v>
      </c>
      <c r="BI120" s="707">
        <f>(+BI119/BC119-1)</f>
        <v>0.10707825745003152</v>
      </c>
      <c r="BJ120" s="629"/>
      <c r="BK120" s="586">
        <f>(+BK119/BE119-1)</f>
        <v>4.3507411359741566E-2</v>
      </c>
      <c r="BL120" s="587">
        <f>(+BL119/BF119-1)</f>
        <v>2.5854174193826296E-2</v>
      </c>
      <c r="BM120" s="587">
        <f>(+BM119/BG119-1)</f>
        <v>0.16685389507336579</v>
      </c>
      <c r="BN120" s="587">
        <f>(+BN119/BH119-1)</f>
        <v>0.10824962577733954</v>
      </c>
      <c r="BO120" s="707">
        <f>(+BO119/BI119-1)</f>
        <v>8.7162773552950101E-2</v>
      </c>
      <c r="BP120" s="557"/>
      <c r="BQ120" s="1109">
        <f>+BQ121+RevBuild!BQ$59</f>
        <v>-7.8744757745617941E-2</v>
      </c>
      <c r="BR120" s="1110">
        <f>+BR121+RevBuild!BR$59</f>
        <v>-8.4566678843245036E-2</v>
      </c>
      <c r="BS120" s="1110">
        <f>+BS121+RevBuild!BS$59</f>
        <v>-8.8999999999999996E-2</v>
      </c>
      <c r="BT120" s="1110">
        <f>+BT121+RevBuild!BT$59</f>
        <v>-6.3E-2</v>
      </c>
      <c r="BU120" s="707">
        <f>(+BU119/BO119-1)</f>
        <v>-7.8039793334376051E-2</v>
      </c>
      <c r="BV120" s="557"/>
      <c r="BW120" s="1109">
        <f>+BW121+RevBuild!BW$59</f>
        <v>-2.0171630474443241E-2</v>
      </c>
      <c r="BX120" s="1110">
        <f>+BX121+RevBuild!BX$59</f>
        <v>4.8170890513872626E-3</v>
      </c>
      <c r="BY120" s="1110">
        <f>+BY121+RevBuild!BY$59</f>
        <v>6.669100746755019E-2</v>
      </c>
      <c r="BZ120" s="1110">
        <f>+BZ121+RevBuild!BZ$59</f>
        <v>4.4692969870875232E-2</v>
      </c>
      <c r="CA120" s="707">
        <f>+CA119/BU119-1</f>
        <v>2.7126509361972806E-2</v>
      </c>
      <c r="CB120" s="557"/>
      <c r="CC120" s="1109">
        <f>+CC121+RevBuild!CC$59</f>
        <v>2.8269767644505957E-2</v>
      </c>
      <c r="CD120" s="1110">
        <f>+CD121+RevBuild!CD$59</f>
        <v>2.743497242921912E-2</v>
      </c>
      <c r="CE120" s="1110">
        <f>+CE121+RevBuild!CE$59</f>
        <v>5.5926007942483272E-2</v>
      </c>
      <c r="CF120" s="1110">
        <f>+CF121+RevBuild!CF$59</f>
        <v>7.3483622771237225E-2</v>
      </c>
      <c r="CG120" s="707">
        <f>+CG119/CA119-1</f>
        <v>4.9199042399117543E-2</v>
      </c>
      <c r="CH120" s="557"/>
      <c r="CI120" s="1109">
        <f>+CI121+RevBuild!CI$59</f>
        <v>0.1</v>
      </c>
      <c r="CJ120" s="1110">
        <f>+CJ121+RevBuild!CJ$59</f>
        <v>9.5000000000000001E-2</v>
      </c>
      <c r="CK120" s="1110">
        <f>+CK121+RevBuild!CK$59</f>
        <v>7.5000000000000011E-2</v>
      </c>
      <c r="CL120" s="1110">
        <f>+CL121+RevBuild!CL$59</f>
        <v>7.0000000000000007E-2</v>
      </c>
      <c r="CM120" s="707">
        <f>+CM119/CG119-1</f>
        <v>8.2870925303063725E-2</v>
      </c>
      <c r="CN120" s="557"/>
      <c r="CO120" s="1109">
        <f>+CO121+RevBuild!CO$59</f>
        <v>0</v>
      </c>
      <c r="CP120" s="1110">
        <f>+CP121+RevBuild!CP$59</f>
        <v>0</v>
      </c>
      <c r="CQ120" s="1110">
        <f>+CQ121+RevBuild!CQ$59</f>
        <v>0</v>
      </c>
      <c r="CR120" s="1110">
        <f>+CR121+RevBuild!CR$59</f>
        <v>0</v>
      </c>
      <c r="CS120" s="707">
        <f>+CS119/CM119-1</f>
        <v>0</v>
      </c>
      <c r="CT120" s="557"/>
      <c r="CU120" s="1109">
        <f>+CU121+RevBuild!CU$59</f>
        <v>0</v>
      </c>
      <c r="CV120" s="1110">
        <f>+CV121+RevBuild!CV$59</f>
        <v>0</v>
      </c>
      <c r="CW120" s="1110">
        <f>+CW121+RevBuild!CW$59</f>
        <v>0</v>
      </c>
      <c r="CX120" s="1110">
        <f>+CX121+RevBuild!CX$59</f>
        <v>0</v>
      </c>
      <c r="CY120" s="707">
        <f>+CY119/CS119-1</f>
        <v>0</v>
      </c>
      <c r="CZ120" s="48"/>
      <c r="DA120"/>
      <c r="DB120"/>
      <c r="DC120"/>
      <c r="DD120" s="48"/>
      <c r="DE120" s="48"/>
      <c r="DF120" s="48"/>
      <c r="DG120" s="48"/>
      <c r="DH120" s="48"/>
      <c r="DI120" s="48"/>
      <c r="DJ120" s="48"/>
      <c r="DK120" s="48"/>
    </row>
    <row r="121" spans="1:115" s="5" customFormat="1" outlineLevel="1" x14ac:dyDescent="0.2">
      <c r="A121" s="205" t="s">
        <v>428</v>
      </c>
      <c r="B121" s="961"/>
      <c r="C121" s="565"/>
      <c r="D121" s="566"/>
      <c r="E121" s="566"/>
      <c r="F121" s="566"/>
      <c r="G121" s="584"/>
      <c r="H121" s="592"/>
      <c r="I121" s="565"/>
      <c r="J121" s="566"/>
      <c r="K121" s="566"/>
      <c r="L121" s="566"/>
      <c r="M121" s="584"/>
      <c r="N121" s="592"/>
      <c r="O121" s="565"/>
      <c r="P121" s="566"/>
      <c r="Q121" s="566"/>
      <c r="R121" s="566"/>
      <c r="S121" s="584"/>
      <c r="T121" s="591"/>
      <c r="U121" s="565"/>
      <c r="V121" s="566"/>
      <c r="W121" s="566"/>
      <c r="X121" s="566"/>
      <c r="Y121" s="584"/>
      <c r="Z121" s="593"/>
      <c r="AA121" s="565"/>
      <c r="AB121" s="566"/>
      <c r="AC121" s="566"/>
      <c r="AD121" s="566"/>
      <c r="AE121" s="584"/>
      <c r="AF121" s="592"/>
      <c r="AG121" s="656"/>
      <c r="AH121" s="654"/>
      <c r="AI121" s="654"/>
      <c r="AJ121" s="654"/>
      <c r="AK121" s="655"/>
      <c r="AL121" s="592"/>
      <c r="AM121" s="656"/>
      <c r="AN121" s="654"/>
      <c r="AO121" s="654"/>
      <c r="AP121" s="1138">
        <f>+AP120-RevBuild!AP$59</f>
        <v>1.298789525669632</v>
      </c>
      <c r="AQ121" s="1228">
        <f>+AQ120-RevBuild!AQ$59</f>
        <v>7.3834050604807757</v>
      </c>
      <c r="AR121" s="1137"/>
      <c r="AS121" s="1109">
        <f>+AS120-RevBuild!AS$59</f>
        <v>0.18239468568666231</v>
      </c>
      <c r="AT121" s="1110">
        <f>+AT120-RevBuild!AT$59</f>
        <v>0.24843198791099241</v>
      </c>
      <c r="AU121" s="1110">
        <f>+AU120-RevBuild!AU$59</f>
        <v>-2.9604571449366526E-3</v>
      </c>
      <c r="AV121" s="1110">
        <f>+AV120-RevBuild!AV$59</f>
        <v>0.10210549868546157</v>
      </c>
      <c r="AW121" s="1228">
        <f>+AW120-RevBuild!AW$59</f>
        <v>0.12178486346258618</v>
      </c>
      <c r="AX121" s="1137"/>
      <c r="AY121" s="1109">
        <f>+AY120-RevBuild!AY$59</f>
        <v>9.7238651413819377E-2</v>
      </c>
      <c r="AZ121" s="1110">
        <f>+AZ120-RevBuild!AZ$59</f>
        <v>0.2089094798891008</v>
      </c>
      <c r="BA121" s="1110">
        <f>+BA120-RevBuild!BA$59</f>
        <v>0.18879945913846821</v>
      </c>
      <c r="BB121" s="1110">
        <f>+BB120-RevBuild!BB$59</f>
        <v>0.25670884293710489</v>
      </c>
      <c r="BC121" s="1228">
        <f>+BC120-RevBuild!BC$59</f>
        <v>0.18946884682641643</v>
      </c>
      <c r="BD121" s="614"/>
      <c r="BE121" s="1109">
        <f>+BE120-RevBuild!BE$59</f>
        <v>6.6413291327499041E-2</v>
      </c>
      <c r="BF121" s="1110">
        <f>+BF120-RevBuild!BF$59</f>
        <v>7.3925104466089103E-2</v>
      </c>
      <c r="BG121" s="1110">
        <f>+BG120-RevBuild!BG$59</f>
        <v>0.1392574609312775</v>
      </c>
      <c r="BH121" s="1110">
        <f>+BH120-RevBuild!BH$59</f>
        <v>0.15791063118860688</v>
      </c>
      <c r="BI121" s="1228">
        <f>+BI120-RevBuild!BI$59</f>
        <v>0.11568342176029818</v>
      </c>
      <c r="BJ121" s="614"/>
      <c r="BK121" s="1109">
        <f>+BK120-RevBuild!BK$59</f>
        <v>4.8059154580549726E-2</v>
      </c>
      <c r="BL121" s="1110">
        <f>+BL120-RevBuild!BL$59</f>
        <v>1.900070466675393E-2</v>
      </c>
      <c r="BM121" s="1110">
        <f>+BM120-RevBuild!BM$59</f>
        <v>0.16687378321799337</v>
      </c>
      <c r="BN121" s="1110">
        <f>+BN120-RevBuild!BN$59</f>
        <v>0.15614502961368143</v>
      </c>
      <c r="BO121" s="1228">
        <f>+BO120-RevBuild!BO$59</f>
        <v>9.6702357626239327E-2</v>
      </c>
      <c r="BP121" s="557"/>
      <c r="BQ121" s="909">
        <v>0</v>
      </c>
      <c r="BR121" s="910">
        <v>0</v>
      </c>
      <c r="BS121" s="910">
        <v>0</v>
      </c>
      <c r="BT121" s="910">
        <v>0</v>
      </c>
      <c r="BU121" s="1228">
        <f>+BU120-RevBuild!BU$59</f>
        <v>2.21020666562384E-3</v>
      </c>
      <c r="BV121" s="557"/>
      <c r="BW121" s="909">
        <v>0</v>
      </c>
      <c r="BX121" s="910">
        <v>0.02</v>
      </c>
      <c r="BY121" s="910">
        <v>7.4999999999999997E-2</v>
      </c>
      <c r="BZ121" s="910">
        <v>7.4999999999999997E-2</v>
      </c>
      <c r="CA121" s="1228">
        <f>+CA120-RevBuild!CA$59</f>
        <v>4.583759060632403E-2</v>
      </c>
      <c r="CB121" s="557"/>
      <c r="CC121" s="909">
        <v>0.05</v>
      </c>
      <c r="CD121" s="910">
        <v>0.05</v>
      </c>
      <c r="CE121" s="910">
        <v>0.05</v>
      </c>
      <c r="CF121" s="910">
        <v>0.05</v>
      </c>
      <c r="CG121" s="1228">
        <f>+CG120-RevBuild!CG$59</f>
        <v>5.292044970225615E-2</v>
      </c>
      <c r="CH121" s="557"/>
      <c r="CI121" s="909">
        <v>0.05</v>
      </c>
      <c r="CJ121" s="910">
        <v>0.05</v>
      </c>
      <c r="CK121" s="910">
        <v>0.05</v>
      </c>
      <c r="CL121" s="910">
        <v>0.05</v>
      </c>
      <c r="CM121" s="1228">
        <f>+CM120-RevBuild!CM$59</f>
        <v>4.7870925303063729E-2</v>
      </c>
      <c r="CN121" s="557"/>
      <c r="CO121" s="909">
        <v>0</v>
      </c>
      <c r="CP121" s="910">
        <v>0</v>
      </c>
      <c r="CQ121" s="910">
        <v>0</v>
      </c>
      <c r="CR121" s="910">
        <v>0</v>
      </c>
      <c r="CS121" s="1228">
        <f>+CS120-RevBuild!CS$59</f>
        <v>0</v>
      </c>
      <c r="CT121" s="557"/>
      <c r="CU121" s="909">
        <v>0</v>
      </c>
      <c r="CV121" s="910">
        <v>0</v>
      </c>
      <c r="CW121" s="910">
        <v>0</v>
      </c>
      <c r="CX121" s="910">
        <v>0</v>
      </c>
      <c r="CY121" s="1228">
        <f>+CY120-RevBuild!CY$59</f>
        <v>0</v>
      </c>
      <c r="CZ121" s="48"/>
      <c r="DA121"/>
      <c r="DB121"/>
      <c r="DC121"/>
      <c r="DD121" s="48"/>
      <c r="DE121" s="48"/>
      <c r="DF121" s="48"/>
      <c r="DG121" s="48"/>
      <c r="DH121" s="48"/>
      <c r="DI121" s="48"/>
      <c r="DJ121" s="48"/>
      <c r="DK121" s="48"/>
    </row>
    <row r="122" spans="1:115" s="5" customFormat="1" outlineLevel="1" x14ac:dyDescent="0.2">
      <c r="A122" s="205" t="s">
        <v>562</v>
      </c>
      <c r="B122" s="961"/>
      <c r="C122" s="565"/>
      <c r="D122" s="566"/>
      <c r="E122" s="566"/>
      <c r="F122" s="566"/>
      <c r="G122" s="584"/>
      <c r="H122" s="592"/>
      <c r="I122" s="565"/>
      <c r="J122" s="566"/>
      <c r="K122" s="566"/>
      <c r="L122" s="566"/>
      <c r="M122" s="584"/>
      <c r="N122" s="592"/>
      <c r="O122" s="565"/>
      <c r="P122" s="566"/>
      <c r="Q122" s="566"/>
      <c r="R122" s="566"/>
      <c r="S122" s="584"/>
      <c r="T122" s="591"/>
      <c r="U122" s="565"/>
      <c r="V122" s="566"/>
      <c r="W122" s="566"/>
      <c r="X122" s="566"/>
      <c r="Y122" s="584"/>
      <c r="Z122" s="593"/>
      <c r="AA122" s="565"/>
      <c r="AB122" s="566"/>
      <c r="AC122" s="566"/>
      <c r="AD122" s="566"/>
      <c r="AE122" s="584"/>
      <c r="AF122" s="592"/>
      <c r="AG122" s="909"/>
      <c r="AH122" s="910"/>
      <c r="AI122" s="910"/>
      <c r="AJ122" s="910">
        <v>0</v>
      </c>
      <c r="AK122" s="707">
        <f>+AK109/AK$128</f>
        <v>0</v>
      </c>
      <c r="AL122" s="592"/>
      <c r="AM122" s="909">
        <v>0.1</v>
      </c>
      <c r="AN122" s="1118">
        <v>0.2</v>
      </c>
      <c r="AO122" s="1118">
        <v>0.2</v>
      </c>
      <c r="AP122" s="910">
        <v>0.2</v>
      </c>
      <c r="AQ122" s="707">
        <f>+(AQ109+AQ112)/AQ$128</f>
        <v>0.17843204919061362</v>
      </c>
      <c r="AR122" s="592"/>
      <c r="AS122" s="909">
        <v>0.3</v>
      </c>
      <c r="AT122" s="1118">
        <v>0.3</v>
      </c>
      <c r="AU122" s="1118">
        <v>0.35</v>
      </c>
      <c r="AV122" s="910">
        <v>0.35</v>
      </c>
      <c r="AW122" s="707">
        <f>+(AW109+AW112)/AW$128</f>
        <v>0.32666666666666666</v>
      </c>
      <c r="AX122" s="592"/>
      <c r="AY122" s="909">
        <v>0.3</v>
      </c>
      <c r="AZ122" s="1118">
        <v>0.3</v>
      </c>
      <c r="BA122" s="1118">
        <v>0.35</v>
      </c>
      <c r="BB122" s="910">
        <v>0.35</v>
      </c>
      <c r="BC122" s="707">
        <f>+(BC109+BC112)/BC$128</f>
        <v>0.38936533864541834</v>
      </c>
      <c r="BD122" s="557"/>
      <c r="BE122" s="1308">
        <v>0.27</v>
      </c>
      <c r="BF122" s="1118">
        <v>0.34</v>
      </c>
      <c r="BG122" s="1118">
        <v>0.35499999999999998</v>
      </c>
      <c r="BH122" s="910">
        <v>0.36</v>
      </c>
      <c r="BI122" s="707">
        <f>+(BI109+BI112)/BI$128</f>
        <v>0.41981458315803249</v>
      </c>
      <c r="BJ122" s="629"/>
      <c r="BK122" s="909">
        <v>0.37</v>
      </c>
      <c r="BL122" s="1118">
        <v>0.37</v>
      </c>
      <c r="BM122" s="1118">
        <v>0.37</v>
      </c>
      <c r="BN122" s="910">
        <v>0.37</v>
      </c>
      <c r="BO122" s="707">
        <f>+(BO109+BO112)/BO$128</f>
        <v>0.37</v>
      </c>
      <c r="BP122" s="557"/>
      <c r="BQ122" s="1115">
        <f>+BQ109/BQ128</f>
        <v>0.3482257869643538</v>
      </c>
      <c r="BR122" s="1114">
        <f>+BR109/BR128</f>
        <v>0.32979958897682882</v>
      </c>
      <c r="BS122" s="1114">
        <f>+BS109/BS128</f>
        <v>0.30506809260934298</v>
      </c>
      <c r="BT122" s="1114">
        <f>+BT109/BT128</f>
        <v>0.31949089325021851</v>
      </c>
      <c r="BU122" s="707">
        <f>+BU109/BU$128</f>
        <v>0.32364335621261109</v>
      </c>
      <c r="BV122" s="557"/>
      <c r="BW122" s="1115">
        <f>+BW109/BW128</f>
        <v>0.31769021301871592</v>
      </c>
      <c r="BX122" s="1114">
        <f>+BX109/BX128</f>
        <v>0.36162308994099795</v>
      </c>
      <c r="BY122" s="1114">
        <f>+BY109/BY128</f>
        <v>0.32438278405377363</v>
      </c>
      <c r="BZ122" s="1114">
        <f>+BZ109/BZ128</f>
        <v>0.32363206478915962</v>
      </c>
      <c r="CA122" s="707">
        <f>+CA109/CA$128</f>
        <v>0.33108765937681273</v>
      </c>
      <c r="CB122" s="557"/>
      <c r="CC122" s="1115">
        <f>+CC109/CC128</f>
        <v>0.30508214738246969</v>
      </c>
      <c r="CD122" s="1114">
        <f>+CD109/CD128</f>
        <v>0.34884888897850846</v>
      </c>
      <c r="CE122" s="1114">
        <f>+CE109/CE128</f>
        <v>0.31885488644506449</v>
      </c>
      <c r="CF122" s="1114">
        <f>+CF109/CF128</f>
        <v>0.33381997778785794</v>
      </c>
      <c r="CG122" s="707">
        <f>+CG109/CG$128</f>
        <v>0.32744143524089275</v>
      </c>
      <c r="CH122" s="557"/>
      <c r="CI122" s="1115">
        <f>+CI109/CI128</f>
        <v>0.31265690866354712</v>
      </c>
      <c r="CJ122" s="1114">
        <f>+CJ109/CJ128</f>
        <v>0.36575504579831652</v>
      </c>
      <c r="CK122" s="1114">
        <f>+CK109/CK128</f>
        <v>0.33947298594775988</v>
      </c>
      <c r="CL122" s="1114">
        <f>+CL109/CL128</f>
        <v>0.35486073117524364</v>
      </c>
      <c r="CM122" s="707">
        <f>+CM109/CM$128</f>
        <v>0.34505630978269164</v>
      </c>
      <c r="CN122" s="557"/>
      <c r="CO122" s="1115">
        <f>+CO109/CO128</f>
        <v>0.30242513056549353</v>
      </c>
      <c r="CP122" s="1114">
        <f>+CP109/CP128</f>
        <v>0.36615998799553562</v>
      </c>
      <c r="CQ122" s="1114">
        <f>+CQ109/CQ128</f>
        <v>0.34324727059014992</v>
      </c>
      <c r="CR122" s="1114">
        <f>+CR109/CR128</f>
        <v>0.36716189080759831</v>
      </c>
      <c r="CS122" s="707">
        <f>+CS109/CS$128</f>
        <v>0.34773270959343056</v>
      </c>
      <c r="CT122" s="557"/>
      <c r="CU122" s="1115">
        <f>+CU109/CU128</f>
        <v>0.30105759744440558</v>
      </c>
      <c r="CV122" s="1114">
        <f>+CV109/CV128</f>
        <v>0.36164779548159065</v>
      </c>
      <c r="CW122" s="1114">
        <f>+CW109/CW128</f>
        <v>0.34324931327582109</v>
      </c>
      <c r="CX122" s="1114">
        <f>+CX109/CX128</f>
        <v>0.36621002374509537</v>
      </c>
      <c r="CY122" s="707">
        <f>+CY109/CY$128</f>
        <v>0.34621963018719243</v>
      </c>
      <c r="CZ122" s="48"/>
      <c r="DA122"/>
      <c r="DB122"/>
      <c r="DC122"/>
      <c r="DD122" s="48"/>
      <c r="DE122" s="48"/>
      <c r="DF122" s="48"/>
      <c r="DG122" s="48"/>
      <c r="DH122" s="48"/>
      <c r="DI122" s="48"/>
      <c r="DJ122" s="48"/>
      <c r="DK122" s="48"/>
    </row>
    <row r="123" spans="1:115" s="5" customFormat="1" outlineLevel="1" x14ac:dyDescent="0.2">
      <c r="A123" s="205" t="s">
        <v>598</v>
      </c>
      <c r="B123" s="961"/>
      <c r="C123" s="565"/>
      <c r="D123" s="566"/>
      <c r="E123" s="566"/>
      <c r="F123" s="566"/>
      <c r="G123" s="584"/>
      <c r="H123" s="592"/>
      <c r="I123" s="565"/>
      <c r="J123" s="566"/>
      <c r="K123" s="566"/>
      <c r="L123" s="566"/>
      <c r="M123" s="584"/>
      <c r="N123" s="592"/>
      <c r="O123" s="565"/>
      <c r="P123" s="566"/>
      <c r="Q123" s="566"/>
      <c r="R123" s="566"/>
      <c r="S123" s="584"/>
      <c r="T123" s="591"/>
      <c r="U123" s="565"/>
      <c r="V123" s="566"/>
      <c r="W123" s="566"/>
      <c r="X123" s="566"/>
      <c r="Y123" s="584"/>
      <c r="Z123" s="593"/>
      <c r="AA123" s="565"/>
      <c r="AB123" s="566"/>
      <c r="AC123" s="566"/>
      <c r="AD123" s="566"/>
      <c r="AE123" s="584"/>
      <c r="AF123" s="592"/>
      <c r="AG123" s="909"/>
      <c r="AH123" s="910"/>
      <c r="AI123" s="910"/>
      <c r="AJ123" s="910">
        <v>0.5</v>
      </c>
      <c r="AK123" s="707">
        <f>+AK115/AK$128</f>
        <v>0.5</v>
      </c>
      <c r="AL123" s="592"/>
      <c r="AM123" s="909">
        <v>0.45</v>
      </c>
      <c r="AN123" s="910">
        <v>0.4</v>
      </c>
      <c r="AO123" s="910">
        <v>0.4</v>
      </c>
      <c r="AP123" s="1118">
        <v>0.4</v>
      </c>
      <c r="AQ123" s="707">
        <f>+AQ115/AQ$128</f>
        <v>0.41078397540469314</v>
      </c>
      <c r="AR123" s="592"/>
      <c r="AS123" s="909">
        <v>0.35</v>
      </c>
      <c r="AT123" s="910">
        <v>0.35</v>
      </c>
      <c r="AU123" s="910">
        <v>0.35</v>
      </c>
      <c r="AV123" s="1118">
        <v>0.35</v>
      </c>
      <c r="AW123" s="707">
        <f>+AW115/AW$128</f>
        <v>0.35</v>
      </c>
      <c r="AX123" s="592"/>
      <c r="AY123" s="909">
        <v>0.33</v>
      </c>
      <c r="AZ123" s="910">
        <v>0.33</v>
      </c>
      <c r="BA123" s="910">
        <v>0.33</v>
      </c>
      <c r="BB123" s="1118">
        <v>0.33</v>
      </c>
      <c r="BC123" s="707">
        <f>+BC115/BC$128</f>
        <v>0.33</v>
      </c>
      <c r="BD123" s="557"/>
      <c r="BE123" s="909">
        <v>0.34</v>
      </c>
      <c r="BF123" s="910">
        <v>0.27500000000000002</v>
      </c>
      <c r="BG123" s="910">
        <v>0.3</v>
      </c>
      <c r="BH123" s="1118">
        <v>0.25</v>
      </c>
      <c r="BI123" s="707">
        <f>+BI115/BI$128</f>
        <v>0.28855285670210079</v>
      </c>
      <c r="BJ123" s="629"/>
      <c r="BK123" s="909">
        <v>0.33</v>
      </c>
      <c r="BL123" s="910">
        <v>0.33</v>
      </c>
      <c r="BM123" s="910">
        <v>0.35</v>
      </c>
      <c r="BN123" s="1118">
        <v>0.33</v>
      </c>
      <c r="BO123" s="707">
        <f>+BO115/BO$128</f>
        <v>0.33534357727425812</v>
      </c>
      <c r="BP123" s="557"/>
      <c r="BQ123" s="1115">
        <f>+BQ115/BQ128</f>
        <v>0.27583987751674316</v>
      </c>
      <c r="BR123" s="1114">
        <f>+BR115/BR128</f>
        <v>0.2904232920091484</v>
      </c>
      <c r="BS123" s="1114">
        <f>+BS115/BS128</f>
        <v>0.36388317062202952</v>
      </c>
      <c r="BT123" s="1114">
        <f>+BT115/BT128</f>
        <v>0.3233512956665397</v>
      </c>
      <c r="BU123" s="707">
        <f>+BU115/BU$128</f>
        <v>0.3174509574217293</v>
      </c>
      <c r="BV123" s="557"/>
      <c r="BW123" s="1115">
        <f>+BW115/BW128</f>
        <v>0.28311435751143404</v>
      </c>
      <c r="BX123" s="1114">
        <f>+BX115/BX128</f>
        <v>0.24505992672682148</v>
      </c>
      <c r="BY123" s="1114">
        <f>+BY115/BY128</f>
        <v>0.33608627337527941</v>
      </c>
      <c r="BZ123" s="1114">
        <f>+BZ115/BZ128</f>
        <v>0.30457732838989166</v>
      </c>
      <c r="CA123" s="707">
        <f>+CA115/CA$128</f>
        <v>0.29650485628219575</v>
      </c>
      <c r="CB123" s="557"/>
      <c r="CC123" s="1115">
        <f>+CC115/CC128</f>
        <v>0.28536092040196415</v>
      </c>
      <c r="CD123" s="1114">
        <f>+CD115/CD128</f>
        <v>0.24813620588486102</v>
      </c>
      <c r="CE123" s="1114">
        <f>+CE115/CE128</f>
        <v>0.34630403611457977</v>
      </c>
      <c r="CF123" s="1114">
        <f>+CF115/CF128</f>
        <v>0.30857269871102688</v>
      </c>
      <c r="CG123" s="707">
        <f>+CG115/CG$128</f>
        <v>0.30194581431656364</v>
      </c>
      <c r="CH123" s="557"/>
      <c r="CI123" s="1115">
        <f>+CI115/CI128</f>
        <v>0.29244603131238256</v>
      </c>
      <c r="CJ123" s="1114">
        <f>+CJ115/CJ128</f>
        <v>0.24927613409909399</v>
      </c>
      <c r="CK123" s="1114">
        <f>+CK115/CK128</f>
        <v>0.33859935805909874</v>
      </c>
      <c r="CL123" s="1114">
        <f>+CL115/CL128</f>
        <v>0.30113505183404354</v>
      </c>
      <c r="CM123" s="707">
        <f>+CM115/CM$128</f>
        <v>0.29912570185273535</v>
      </c>
      <c r="CN123" s="557"/>
      <c r="CO123" s="1115">
        <f>+CO115/CO128</f>
        <v>0.27001767487828043</v>
      </c>
      <c r="CP123" s="1114">
        <f>+CP115/CP128</f>
        <v>0.23820883970328485</v>
      </c>
      <c r="CQ123" s="1114">
        <f>+CQ115/CQ128</f>
        <v>0.3268019328428578</v>
      </c>
      <c r="CR123" s="1114">
        <f>+CR115/CR128</f>
        <v>0.29741137750867969</v>
      </c>
      <c r="CS123" s="707">
        <f>+CS115/CS$128</f>
        <v>0.28774376096834425</v>
      </c>
      <c r="CT123" s="557"/>
      <c r="CU123" s="1115">
        <f>+CU115/CU128</f>
        <v>0.25657865357856824</v>
      </c>
      <c r="CV123" s="1114">
        <f>+CV115/CV128</f>
        <v>0.22457914522120037</v>
      </c>
      <c r="CW123" s="1114">
        <f>+CW115/CW128</f>
        <v>0.31194915594943229</v>
      </c>
      <c r="CX123" s="1114">
        <f>+CX115/CX128</f>
        <v>0.28315668686971823</v>
      </c>
      <c r="CY123" s="707">
        <f>+CY115/CY$128</f>
        <v>0.273469359317002</v>
      </c>
      <c r="CZ123" s="48"/>
      <c r="DA123"/>
      <c r="DB123"/>
      <c r="DC123"/>
      <c r="DD123" s="48"/>
      <c r="DE123" s="48"/>
      <c r="DF123" s="48"/>
      <c r="DG123" s="48"/>
      <c r="DH123" s="48"/>
      <c r="DI123" s="48"/>
      <c r="DJ123" s="48"/>
      <c r="DK123" s="48"/>
    </row>
    <row r="124" spans="1:115" s="5" customFormat="1" outlineLevel="1" x14ac:dyDescent="0.2">
      <c r="A124" s="205" t="s">
        <v>599</v>
      </c>
      <c r="B124" s="961"/>
      <c r="C124" s="565"/>
      <c r="D124" s="566"/>
      <c r="E124" s="566"/>
      <c r="F124" s="566"/>
      <c r="G124" s="584"/>
      <c r="H124" s="592"/>
      <c r="I124" s="565"/>
      <c r="J124" s="566"/>
      <c r="K124" s="566"/>
      <c r="L124" s="566"/>
      <c r="M124" s="584"/>
      <c r="N124" s="592"/>
      <c r="O124" s="565"/>
      <c r="P124" s="566"/>
      <c r="Q124" s="566"/>
      <c r="R124" s="566"/>
      <c r="S124" s="584"/>
      <c r="T124" s="591"/>
      <c r="U124" s="565"/>
      <c r="V124" s="566"/>
      <c r="W124" s="566"/>
      <c r="X124" s="566"/>
      <c r="Y124" s="584"/>
      <c r="Z124" s="593"/>
      <c r="AA124" s="565"/>
      <c r="AB124" s="566"/>
      <c r="AC124" s="566"/>
      <c r="AD124" s="566"/>
      <c r="AE124" s="584"/>
      <c r="AF124" s="592"/>
      <c r="AG124" s="909"/>
      <c r="AH124" s="910"/>
      <c r="AI124" s="910"/>
      <c r="AJ124" s="910">
        <v>0.5</v>
      </c>
      <c r="AK124" s="707">
        <f>+AK119/AK$128</f>
        <v>0.5</v>
      </c>
      <c r="AL124" s="592"/>
      <c r="AM124" s="1115">
        <f>1-AM123-AM122</f>
        <v>0.45000000000000007</v>
      </c>
      <c r="AN124" s="1114">
        <f>1-AN123-AN122</f>
        <v>0.39999999999999997</v>
      </c>
      <c r="AO124" s="1114">
        <f>1-AO123-AO122</f>
        <v>0.39999999999999997</v>
      </c>
      <c r="AP124" s="1114">
        <f>1-AP123-AP122</f>
        <v>0.39999999999999997</v>
      </c>
      <c r="AQ124" s="707">
        <f>+AQ119/AQ$128</f>
        <v>0.41078397540469314</v>
      </c>
      <c r="AR124" s="592"/>
      <c r="AS124" s="1115">
        <f>1-AS123-AS122</f>
        <v>0.35000000000000003</v>
      </c>
      <c r="AT124" s="1114">
        <f>1-AT123-AT122</f>
        <v>0.35000000000000003</v>
      </c>
      <c r="AU124" s="1114">
        <f>1-AU123-AU122</f>
        <v>0.30000000000000004</v>
      </c>
      <c r="AV124" s="1114">
        <f>1-AV123-AV122</f>
        <v>0.30000000000000004</v>
      </c>
      <c r="AW124" s="707">
        <f>+AW119/AW$128</f>
        <v>0.32333333333333336</v>
      </c>
      <c r="AX124" s="592"/>
      <c r="AY124" s="1115">
        <f>1-AY123-AY122</f>
        <v>0.36999999999999994</v>
      </c>
      <c r="AZ124" s="1114">
        <f>1-AZ123-AZ122</f>
        <v>0.36999999999999994</v>
      </c>
      <c r="BA124" s="1114">
        <f>1-BA123-BA122</f>
        <v>0.31999999999999995</v>
      </c>
      <c r="BB124" s="1114">
        <f>1-BB123-BB122</f>
        <v>0.31999999999999995</v>
      </c>
      <c r="BC124" s="707">
        <f>+BC119/BC$128</f>
        <v>0.2806346613545817</v>
      </c>
      <c r="BD124" s="592"/>
      <c r="BE124" s="1115">
        <f>1-BE123-BE122</f>
        <v>0.3899999999999999</v>
      </c>
      <c r="BF124" s="1114">
        <f>1-BF123-BF122</f>
        <v>0.38499999999999995</v>
      </c>
      <c r="BG124" s="1114">
        <f>1-BG123-BG122</f>
        <v>0.34499999999999997</v>
      </c>
      <c r="BH124" s="1114">
        <f>1-BH123-BH122</f>
        <v>0.39</v>
      </c>
      <c r="BI124" s="707">
        <f>+BI119/BI$128</f>
        <v>0.29163256013986671</v>
      </c>
      <c r="BJ124" s="629"/>
      <c r="BK124" s="1115">
        <f>1-BK123-BK122</f>
        <v>0.29999999999999993</v>
      </c>
      <c r="BL124" s="1114">
        <f>1-BL123-BL122</f>
        <v>0.29999999999999993</v>
      </c>
      <c r="BM124" s="1114">
        <f>1-BM123-BM122</f>
        <v>0.28000000000000003</v>
      </c>
      <c r="BN124" s="1114">
        <f>1-BN123-BN122</f>
        <v>0.29999999999999993</v>
      </c>
      <c r="BO124" s="707">
        <f>+BO119/BO$128</f>
        <v>0.29465642272574188</v>
      </c>
      <c r="BP124" s="557"/>
      <c r="BQ124" s="1115">
        <f>+BQ119/BQ128</f>
        <v>0.29570004717003806</v>
      </c>
      <c r="BR124" s="1114">
        <f>+BR119/BR128</f>
        <v>0.2893034962297325</v>
      </c>
      <c r="BS124" s="1114">
        <f>+BS119/BS128</f>
        <v>0.25598267832947402</v>
      </c>
      <c r="BT124" s="1114">
        <f>+BT119/BT128</f>
        <v>0.28781244802844852</v>
      </c>
      <c r="BU124" s="707">
        <f>+BU119/BU$128</f>
        <v>0.28097191386531906</v>
      </c>
      <c r="BV124" s="557"/>
      <c r="BW124" s="1447">
        <f>+BW119/BW128</f>
        <v>0.30043211099861211</v>
      </c>
      <c r="BX124" s="1114">
        <f>+BX119/BX128</f>
        <v>0.29382599763373446</v>
      </c>
      <c r="BY124" s="1114">
        <f>+BY119/BY128</f>
        <v>0.25430894864510512</v>
      </c>
      <c r="BZ124" s="1114">
        <f>+BZ119/BZ128</f>
        <v>0.28472930271023439</v>
      </c>
      <c r="CA124" s="707">
        <f>+CA119/CA$128</f>
        <v>0.28093508160457159</v>
      </c>
      <c r="CB124" s="557"/>
      <c r="CC124" s="1447">
        <f>+CC119/CC128</f>
        <v>0.29423181448426178</v>
      </c>
      <c r="CD124" s="1114">
        <f>+CD119/CD128</f>
        <v>0.28907380047018494</v>
      </c>
      <c r="CE124" s="1114">
        <f>+CE119/CE128</f>
        <v>0.25480131955927082</v>
      </c>
      <c r="CF124" s="1114">
        <f>+CF119/CF128</f>
        <v>0.28062193926893308</v>
      </c>
      <c r="CG124" s="707">
        <f>+CG119/CG$128</f>
        <v>0.27761125452233298</v>
      </c>
      <c r="CH124" s="557"/>
      <c r="CI124" s="1447">
        <f>+CI119/CI128</f>
        <v>0.28842686518322763</v>
      </c>
      <c r="CJ124" s="1114">
        <f>+CJ119/CJ128</f>
        <v>0.27772049335750304</v>
      </c>
      <c r="CK124" s="1114">
        <f>+CK119/CK128</f>
        <v>0.23805986982772415</v>
      </c>
      <c r="CL124" s="1114">
        <f>+CL119/CL128</f>
        <v>0.26163219675029947</v>
      </c>
      <c r="CM124" s="707">
        <f>+CM119/CM$128</f>
        <v>0.26322936319695184</v>
      </c>
      <c r="CN124" s="557"/>
      <c r="CO124" s="1447">
        <f>+CO119/CO128</f>
        <v>0.25362547410627417</v>
      </c>
      <c r="CP124" s="1114">
        <f>+CP119/CP128</f>
        <v>0.25275269903893594</v>
      </c>
      <c r="CQ124" s="1114">
        <f>+CQ119/CQ128</f>
        <v>0.21882421479999922</v>
      </c>
      <c r="CR124" s="1114">
        <f>+CR119/CR128</f>
        <v>0.24609237477691137</v>
      </c>
      <c r="CS124" s="707">
        <f>+CS119/CS$128</f>
        <v>0.24115552661976439</v>
      </c>
      <c r="CT124" s="557"/>
      <c r="CU124" s="1447">
        <f>+CU119/CU128</f>
        <v>0.2295260069593188</v>
      </c>
      <c r="CV124" s="1114">
        <f>+CV119/CV128</f>
        <v>0.2269436595185014</v>
      </c>
      <c r="CW124" s="1114">
        <f>+CW119/CW128</f>
        <v>0.19893228821490339</v>
      </c>
      <c r="CX124" s="1114">
        <f>+CX119/CX128</f>
        <v>0.22314034580795131</v>
      </c>
      <c r="CY124" s="707">
        <f>+CY119/CY$128</f>
        <v>0.21827835769582987</v>
      </c>
      <c r="CZ124" s="48"/>
      <c r="DA124"/>
      <c r="DB124"/>
      <c r="DC124"/>
      <c r="DD124" s="48"/>
      <c r="DE124" s="48"/>
      <c r="DF124" s="48"/>
      <c r="DG124" s="48"/>
      <c r="DH124" s="48"/>
      <c r="DI124" s="48"/>
      <c r="DJ124" s="48"/>
      <c r="DK124" s="48"/>
    </row>
    <row r="125" spans="1:115" outlineLevel="1" x14ac:dyDescent="0.2">
      <c r="A125" s="1247" t="s">
        <v>613</v>
      </c>
      <c r="B125" s="1181"/>
      <c r="C125" s="1182"/>
      <c r="D125" s="1182"/>
      <c r="E125" s="1182"/>
      <c r="F125" s="1182"/>
      <c r="G125" s="1183"/>
      <c r="H125" s="1184"/>
      <c r="I125" s="1185"/>
      <c r="J125" s="1182"/>
      <c r="K125" s="1182"/>
      <c r="L125" s="1182"/>
      <c r="M125" s="1183"/>
      <c r="N125" s="1184"/>
      <c r="O125" s="1185"/>
      <c r="P125" s="1182"/>
      <c r="Q125" s="1182"/>
      <c r="R125" s="1182"/>
      <c r="S125" s="1186"/>
      <c r="T125" s="1187"/>
      <c r="U125" s="1185"/>
      <c r="V125" s="1182"/>
      <c r="W125" s="1182"/>
      <c r="X125" s="1182"/>
      <c r="Y125" s="1186"/>
      <c r="Z125" s="1188"/>
      <c r="AA125" s="1189">
        <f>+AA119</f>
        <v>0</v>
      </c>
      <c r="AB125" s="1190">
        <f>+AB119</f>
        <v>0</v>
      </c>
      <c r="AC125" s="1190">
        <f>+AC119</f>
        <v>0</v>
      </c>
      <c r="AD125" s="1191">
        <f>+AD119</f>
        <v>0</v>
      </c>
      <c r="AE125" s="1192">
        <f>SUM(AA125:AD125)</f>
        <v>0</v>
      </c>
      <c r="AF125" s="1184"/>
      <c r="AG125" s="1189">
        <f>+AG115+AG109</f>
        <v>0</v>
      </c>
      <c r="AH125" s="1190">
        <f>+AH115+AH109</f>
        <v>0</v>
      </c>
      <c r="AI125" s="1190">
        <f>+AI115+AI109</f>
        <v>0</v>
      </c>
      <c r="AJ125" s="1191">
        <f>+AJ115+AJ109</f>
        <v>2.5</v>
      </c>
      <c r="AK125" s="1192">
        <f>+AK115+AK109</f>
        <v>2.5</v>
      </c>
      <c r="AL125" s="1184"/>
      <c r="AM125" s="1189">
        <f>+AM115+AM109</f>
        <v>6.0500000000000007</v>
      </c>
      <c r="AN125" s="1190">
        <f>+AN115+AN109</f>
        <v>7.2000000000000011</v>
      </c>
      <c r="AO125" s="1190">
        <f>+AO115+AO109</f>
        <v>8.2200000000000006</v>
      </c>
      <c r="AP125" s="1191">
        <f>+AP115+AP109</f>
        <v>8.580960000000001</v>
      </c>
      <c r="AQ125" s="1192">
        <f>+AQ115+AQ109</f>
        <v>30.05096</v>
      </c>
      <c r="AR125" s="1184"/>
      <c r="AS125" s="1189">
        <f>+AS115+AS109</f>
        <v>11.049999999999999</v>
      </c>
      <c r="AT125" s="1190">
        <f>+AT115+AT109</f>
        <v>11.7</v>
      </c>
      <c r="AU125" s="1190">
        <f>+AU115+AU109</f>
        <v>13.299999999999999</v>
      </c>
      <c r="AV125" s="1191">
        <f>+AV115+AV109</f>
        <v>14.7</v>
      </c>
      <c r="AW125" s="1192">
        <f>+AW115+AW109</f>
        <v>50.75</v>
      </c>
      <c r="AX125" s="1184"/>
      <c r="AY125" s="1189">
        <f>+AY115+AY109</f>
        <v>14.856848422222223</v>
      </c>
      <c r="AZ125" s="1190">
        <f>+AZ115+AZ109</f>
        <v>16.242848422222224</v>
      </c>
      <c r="BA125" s="1190">
        <f>+BA115+BA109</f>
        <v>18.375848422222226</v>
      </c>
      <c r="BB125" s="1191">
        <f>+BB115+BB109</f>
        <v>19.926208733333333</v>
      </c>
      <c r="BC125" s="1192">
        <f>+BC115+BC109</f>
        <v>69.401754000000011</v>
      </c>
      <c r="BD125" s="1184"/>
      <c r="BE125" s="1189">
        <f>+BE115+BE109</f>
        <v>15.462186800000001</v>
      </c>
      <c r="BF125" s="1190">
        <f>+BF115+BF109</f>
        <v>17.2977518</v>
      </c>
      <c r="BG125" s="1190">
        <f>+BG115+BG109</f>
        <v>19.451946800000002</v>
      </c>
      <c r="BH125" s="1191">
        <f>+BH115+BH109</f>
        <v>19.896512399999999</v>
      </c>
      <c r="BI125" s="1192">
        <f>+BI115+BI109</f>
        <v>72.108397800000006</v>
      </c>
      <c r="BJ125" s="1184"/>
      <c r="BK125" s="1189">
        <f>+BK115+BK109</f>
        <v>15.287203400000001</v>
      </c>
      <c r="BL125" s="1190">
        <f>+BL115+BL109</f>
        <v>17.3031194</v>
      </c>
      <c r="BM125" s="1190">
        <f>+BM115+BM109</f>
        <v>20.695836800000006</v>
      </c>
      <c r="BN125" s="1191">
        <f>+BN115+BN109</f>
        <v>21.967610000000004</v>
      </c>
      <c r="BO125" s="1192">
        <f>+BO115+BO109</f>
        <v>75.253769599999998</v>
      </c>
      <c r="BP125" s="1184"/>
      <c r="BQ125" s="1189">
        <f>+BQ115+BQ109</f>
        <v>13.941160248659013</v>
      </c>
      <c r="BR125" s="1190">
        <f>+BR115+BR109</f>
        <v>15.767736329213877</v>
      </c>
      <c r="BS125" s="1190">
        <f>+BS115+BS109</f>
        <v>20.497193993800003</v>
      </c>
      <c r="BT125" s="1191">
        <f>+BT115+BT109</f>
        <v>21.131610374000005</v>
      </c>
      <c r="BU125" s="1192">
        <f>+BU115+BU109</f>
        <v>71.337700945672907</v>
      </c>
      <c r="BV125" s="1184"/>
      <c r="BW125" s="1189">
        <f>+BW115+BW109</f>
        <v>12.943654514894888</v>
      </c>
      <c r="BX125" s="1190">
        <f>+BX115+BX109</f>
        <v>15.259274226543464</v>
      </c>
      <c r="BY125" s="1190">
        <f>+BY115+BY109</f>
        <v>21.729011985239346</v>
      </c>
      <c r="BZ125" s="1191">
        <f>+BZ115+BZ109</f>
        <v>21.807140929078258</v>
      </c>
      <c r="CA125" s="1192">
        <f>+CA115+CA109</f>
        <v>71.739081655755953</v>
      </c>
      <c r="CB125" s="1184"/>
      <c r="CC125" s="1189">
        <f>+CC115+CC109</f>
        <v>13.355664451179319</v>
      </c>
      <c r="CD125" s="1190">
        <f>+CD115+CD109</f>
        <v>15.68091353004</v>
      </c>
      <c r="CE125" s="1190">
        <f>+CE115+CE109</f>
        <v>23.062499875939796</v>
      </c>
      <c r="CF125" s="1191">
        <f>+CF115+CF109</f>
        <v>24.288508787477603</v>
      </c>
      <c r="CG125" s="1192">
        <f>+CG115+CG109</f>
        <v>76.387586644636713</v>
      </c>
      <c r="CH125" s="1184"/>
      <c r="CI125" s="1189">
        <f>+CI115+CI109</f>
        <v>15.359014118856216</v>
      </c>
      <c r="CJ125" s="1190">
        <f>+CJ115+CJ109</f>
        <v>18.412803935049681</v>
      </c>
      <c r="CK125" s="1190">
        <f>+CK115+CK109</f>
        <v>27.050851281985672</v>
      </c>
      <c r="CL125" s="1191">
        <f>+CL115+CL109</f>
        <v>28.46528455832776</v>
      </c>
      <c r="CM125" s="1192">
        <f>+CM115+CM109</f>
        <v>89.287953894219328</v>
      </c>
      <c r="CN125" s="1184"/>
      <c r="CO125" s="1189">
        <f>+CO115+CO109</f>
        <v>16.52376523323138</v>
      </c>
      <c r="CP125" s="1190">
        <f>+CP115+CP109</f>
        <v>19.880942873871053</v>
      </c>
      <c r="CQ125" s="1190">
        <f>+CQ115+CQ109</f>
        <v>29.080536435536413</v>
      </c>
      <c r="CR125" s="1191">
        <f>+CR115+CR109</f>
        <v>30.658463163219388</v>
      </c>
      <c r="CS125" s="1192">
        <f>+CS115+CS109</f>
        <v>96.143707705858247</v>
      </c>
      <c r="CT125" s="1184"/>
      <c r="CU125" s="1189">
        <f>+CU115+CU109</f>
        <v>17.786433944168543</v>
      </c>
      <c r="CV125" s="1190">
        <f>+CV115+CV109</f>
        <v>21.477238633840386</v>
      </c>
      <c r="CW125" s="1190">
        <f>+CW115+CW109</f>
        <v>31.279420105709839</v>
      </c>
      <c r="CX125" s="1191">
        <f>+CX115+CX109</f>
        <v>33.038292136053116</v>
      </c>
      <c r="CY125" s="1192">
        <f>+CY115+CY109</f>
        <v>103.58138481977187</v>
      </c>
      <c r="CZ125" s="48"/>
      <c r="DD125" s="48"/>
      <c r="DE125" s="48"/>
      <c r="DF125" s="48"/>
      <c r="DG125" s="48"/>
      <c r="DH125" s="48"/>
      <c r="DI125" s="48"/>
      <c r="DJ125" s="48"/>
      <c r="DK125" s="48"/>
    </row>
    <row r="126" spans="1:115" x14ac:dyDescent="0.2">
      <c r="A126" s="1248" t="s">
        <v>614</v>
      </c>
      <c r="B126" s="1230"/>
      <c r="C126" s="1231"/>
      <c r="D126" s="1231"/>
      <c r="E126" s="1231"/>
      <c r="F126" s="1231"/>
      <c r="G126" s="1232"/>
      <c r="H126" s="1233"/>
      <c r="I126" s="1234"/>
      <c r="J126" s="1231"/>
      <c r="K126" s="1231"/>
      <c r="L126" s="1231"/>
      <c r="M126" s="1232"/>
      <c r="N126" s="1233"/>
      <c r="O126" s="1234"/>
      <c r="P126" s="1231"/>
      <c r="Q126" s="1231"/>
      <c r="R126" s="1231"/>
      <c r="S126" s="1235"/>
      <c r="T126" s="1249"/>
      <c r="U126" s="1234"/>
      <c r="V126" s="1231"/>
      <c r="W126" s="1231"/>
      <c r="X126" s="1231"/>
      <c r="Y126" s="1235"/>
      <c r="Z126" s="1250"/>
      <c r="AA126" s="1236"/>
      <c r="AB126" s="1237"/>
      <c r="AC126" s="1237"/>
      <c r="AD126" s="1238"/>
      <c r="AE126" s="1239"/>
      <c r="AF126" s="1233"/>
      <c r="AG126" s="1236"/>
      <c r="AH126" s="1237"/>
      <c r="AI126" s="1237"/>
      <c r="AJ126" s="1238"/>
      <c r="AK126" s="1239"/>
      <c r="AL126" s="1233"/>
      <c r="AM126" s="1236">
        <f>+AM115+AM112+AM109</f>
        <v>6.0500000000000007</v>
      </c>
      <c r="AN126" s="1237">
        <f>+AN115+AN112+AN109</f>
        <v>7.2000000000000011</v>
      </c>
      <c r="AO126" s="1237">
        <f>+AO115+AO112+AO109</f>
        <v>8.2200000000000006</v>
      </c>
      <c r="AP126" s="1238">
        <f>+AP115+AP112+AP109</f>
        <v>8.580960000000001</v>
      </c>
      <c r="AQ126" s="1239">
        <f>+AQ115+AQ112+AQ109</f>
        <v>30.05096</v>
      </c>
      <c r="AR126" s="1233"/>
      <c r="AS126" s="1236">
        <f>+AS115+AS112+AS109</f>
        <v>11.049999999999999</v>
      </c>
      <c r="AT126" s="1237">
        <f>+AT115+AT112+AT109</f>
        <v>11.7</v>
      </c>
      <c r="AU126" s="1237">
        <f>+AU115+AU112+AU109</f>
        <v>13.299999999999999</v>
      </c>
      <c r="AV126" s="1238">
        <f>+AV115+AV112+AV109</f>
        <v>14.7</v>
      </c>
      <c r="AW126" s="1239">
        <f>+AW115+AW112+AW109</f>
        <v>50.75</v>
      </c>
      <c r="AX126" s="1233"/>
      <c r="AY126" s="1236">
        <f>+AY115+AY112+AY109</f>
        <v>15.620906222222223</v>
      </c>
      <c r="AZ126" s="1237">
        <f>+AZ115+AZ112+AZ109</f>
        <v>17.00690622222222</v>
      </c>
      <c r="BA126" s="1237">
        <f>+BA115+BA112+BA109</f>
        <v>19.139906222222223</v>
      </c>
      <c r="BB126" s="1238">
        <f>+BB115+BB112+BB109</f>
        <v>20.456561333333333</v>
      </c>
      <c r="BC126" s="1239">
        <f>+BC115+BC112+BC109</f>
        <v>72.224280000000007</v>
      </c>
      <c r="BD126" s="1233"/>
      <c r="BE126" s="1236">
        <f>+BE115+BE112+BE109</f>
        <v>16.333611333333334</v>
      </c>
      <c r="BF126" s="1237">
        <f>+BF115+BF112+BF109</f>
        <v>18.169176333333333</v>
      </c>
      <c r="BG126" s="1237">
        <f>+BG115+BG112+BG109</f>
        <v>20.323371333333334</v>
      </c>
      <c r="BH126" s="1238">
        <f>+BH115+BH112+BH109</f>
        <v>20.940114000000001</v>
      </c>
      <c r="BI126" s="1239">
        <f>+BI115+BI112+BI109</f>
        <v>75.766273000000012</v>
      </c>
      <c r="BJ126" s="1233"/>
      <c r="BK126" s="1236">
        <f>+BK115+BK112+BK109</f>
        <v>16.730805</v>
      </c>
      <c r="BL126" s="1237">
        <f>+BL115+BL112+BL109</f>
        <v>18.746721000000001</v>
      </c>
      <c r="BM126" s="1237">
        <f>+BM115+BM112+BM109</f>
        <v>22.139438400000007</v>
      </c>
      <c r="BN126" s="1238">
        <f>+BN115+BN112+BN109</f>
        <v>23.559984000000004</v>
      </c>
      <c r="BO126" s="1239">
        <f>+BO115+BO112+BO109</f>
        <v>81.176948400000015</v>
      </c>
      <c r="BP126" s="1233"/>
      <c r="BQ126" s="1236">
        <f>+BQ115+BQ112+BQ109</f>
        <v>15.733534248659014</v>
      </c>
      <c r="BR126" s="1237">
        <f>+BR115+BR112+BR109</f>
        <v>18.067819529213878</v>
      </c>
      <c r="BS126" s="1237">
        <f>+BS115+BS112+BS109</f>
        <v>22.797277193800007</v>
      </c>
      <c r="BT126" s="1238">
        <f>+BT115+BT112+BT109</f>
        <v>23.411142144910599</v>
      </c>
      <c r="BU126" s="1239">
        <f>+BU115+BU112+BU109</f>
        <v>80.009773116583489</v>
      </c>
      <c r="BV126" s="1233"/>
      <c r="BW126" s="1236">
        <f>+BW115+BW112+BW109</f>
        <v>15.071398436530199</v>
      </c>
      <c r="BX126" s="1237">
        <f>+BX115+BX112+BX109</f>
        <v>17.761668709547344</v>
      </c>
      <c r="BY126" s="1237">
        <f>+BY115+BY112+BY109</f>
        <v>24.532761391197749</v>
      </c>
      <c r="BZ126" s="1238">
        <f>+BZ115+BZ112+BZ109</f>
        <v>24.829314982547977</v>
      </c>
      <c r="CA126" s="1239">
        <f>+CA115+CA112+CA109</f>
        <v>82.195143519823262</v>
      </c>
      <c r="CB126" s="1233"/>
      <c r="CC126" s="1236">
        <f>+CC115+CC112+CC109</f>
        <v>15.96428780413294</v>
      </c>
      <c r="CD126" s="1237">
        <f>+CD115+CD112+CD109</f>
        <v>18.673786593647542</v>
      </c>
      <c r="CE126" s="1237">
        <f>+CE115+CE112+CE109</f>
        <v>25.837651563147677</v>
      </c>
      <c r="CF126" s="1238">
        <f>+CF115+CF112+CF109</f>
        <v>27.19928322472936</v>
      </c>
      <c r="CG126" s="1239">
        <f>+CG115+CG112+CG109</f>
        <v>87.675009185657515</v>
      </c>
      <c r="CH126" s="1233"/>
      <c r="CI126" s="1236">
        <f>+CI115+CI112+CI109</f>
        <v>18.061491859028699</v>
      </c>
      <c r="CJ126" s="1237">
        <f>+CJ115+CJ112+CJ109</f>
        <v>21.623604423325439</v>
      </c>
      <c r="CK126" s="1237">
        <f>+CK115+CK112+CK109</f>
        <v>30.396652111295303</v>
      </c>
      <c r="CL126" s="1238">
        <f>+CL115+CL112+CL109</f>
        <v>32.039610882548217</v>
      </c>
      <c r="CM126" s="1239">
        <f>+CM115+CM112+CM109</f>
        <v>102.12135927619767</v>
      </c>
      <c r="CN126" s="1233"/>
      <c r="CO126" s="1236">
        <f>+CO115+CO112+CO109</f>
        <v>21.54436622252851</v>
      </c>
      <c r="CP126" s="1237">
        <f>+CP115+CP112+CP109</f>
        <v>24.580984693777978</v>
      </c>
      <c r="CQ126" s="1237">
        <f>+CQ115+CQ112+CQ109</f>
        <v>33.903496590513683</v>
      </c>
      <c r="CR126" s="1238">
        <f>+CR115+CR112+CR109</f>
        <v>34.779685338430156</v>
      </c>
      <c r="CS126" s="1239">
        <f>+CS115+CS112+CS109</f>
        <v>114.80853284525034</v>
      </c>
      <c r="CT126" s="1233"/>
      <c r="CU126" s="1236">
        <f>+CU115+CU112+CU109</f>
        <v>24.575132548822165</v>
      </c>
      <c r="CV126" s="1237">
        <f>+CV115+CV112+CV109</f>
        <v>28.321993325690674</v>
      </c>
      <c r="CW126" s="1237">
        <f>+CW115+CW112+CW109</f>
        <v>38.243272331931067</v>
      </c>
      <c r="CX126" s="1238">
        <f>+CX115+CX112+CX109</f>
        <v>39.524841332888307</v>
      </c>
      <c r="CY126" s="1239">
        <f>+CY115+CY112+CY109</f>
        <v>130.66523953933219</v>
      </c>
      <c r="CZ126" s="48"/>
      <c r="DD126" s="48"/>
      <c r="DE126" s="48"/>
      <c r="DF126" s="48"/>
      <c r="DG126" s="48"/>
      <c r="DH126" s="48"/>
      <c r="DI126" s="48"/>
      <c r="DJ126" s="48"/>
      <c r="DK126" s="48"/>
    </row>
    <row r="127" spans="1:115" x14ac:dyDescent="0.2">
      <c r="A127" s="1248" t="s">
        <v>446</v>
      </c>
      <c r="B127" s="1230"/>
      <c r="C127" s="1231"/>
      <c r="D127" s="1231"/>
      <c r="E127" s="1231"/>
      <c r="F127" s="1231"/>
      <c r="G127" s="1232"/>
      <c r="H127" s="1233"/>
      <c r="I127" s="1234"/>
      <c r="J127" s="1231"/>
      <c r="K127" s="1231"/>
      <c r="L127" s="1231"/>
      <c r="M127" s="1232"/>
      <c r="N127" s="1233"/>
      <c r="O127" s="1234"/>
      <c r="P127" s="1231"/>
      <c r="Q127" s="1231"/>
      <c r="R127" s="1231"/>
      <c r="S127" s="1235"/>
      <c r="T127" s="1249"/>
      <c r="U127" s="1234"/>
      <c r="V127" s="1231"/>
      <c r="W127" s="1231"/>
      <c r="X127" s="1231"/>
      <c r="Y127" s="1235"/>
      <c r="Z127" s="1250"/>
      <c r="AA127" s="1236">
        <f>+AA119-AA125</f>
        <v>0</v>
      </c>
      <c r="AB127" s="1237">
        <f>+AB119-AB125</f>
        <v>0</v>
      </c>
      <c r="AC127" s="1237">
        <f>+AC119-AC125</f>
        <v>0</v>
      </c>
      <c r="AD127" s="1238">
        <f>+AD119-AD125</f>
        <v>0</v>
      </c>
      <c r="AE127" s="1239">
        <v>0</v>
      </c>
      <c r="AF127" s="1233"/>
      <c r="AG127" s="1236">
        <f>+AG119</f>
        <v>0</v>
      </c>
      <c r="AH127" s="1237">
        <f>+AH119</f>
        <v>0</v>
      </c>
      <c r="AI127" s="1237">
        <f>+AI119</f>
        <v>0</v>
      </c>
      <c r="AJ127" s="1238">
        <f>+AJ119</f>
        <v>2.5</v>
      </c>
      <c r="AK127" s="1239">
        <f>+AK119</f>
        <v>2.5</v>
      </c>
      <c r="AL127" s="1233"/>
      <c r="AM127" s="1236">
        <f>+AM119</f>
        <v>4.9499999999999993</v>
      </c>
      <c r="AN127" s="1237">
        <f>+AN119</f>
        <v>4.7999999999999989</v>
      </c>
      <c r="AO127" s="1237">
        <f>+AO119</f>
        <v>5.4799999999999986</v>
      </c>
      <c r="AP127" s="1238">
        <f>+AP119</f>
        <v>5.7206400000000013</v>
      </c>
      <c r="AQ127" s="1239">
        <f>+AQ119</f>
        <v>20.95064</v>
      </c>
      <c r="AR127" s="1233"/>
      <c r="AS127" s="1236">
        <f>+AS119</f>
        <v>5.9500000000000011</v>
      </c>
      <c r="AT127" s="1237">
        <f>+AT119</f>
        <v>6.3000000000000007</v>
      </c>
      <c r="AU127" s="1237">
        <f>+AU119</f>
        <v>5.7000000000000011</v>
      </c>
      <c r="AV127" s="1238">
        <f>+AV119</f>
        <v>6.3000000000000007</v>
      </c>
      <c r="AW127" s="1239">
        <f>+AW119</f>
        <v>24.250000000000004</v>
      </c>
      <c r="AX127" s="1233"/>
      <c r="AY127" s="1236">
        <f>+AY119</f>
        <v>6.4790937777777788</v>
      </c>
      <c r="AZ127" s="1237">
        <f>+AZ119</f>
        <v>7.2930937777777807</v>
      </c>
      <c r="BA127" s="1237">
        <f>+BA119</f>
        <v>6.5100937777777794</v>
      </c>
      <c r="BB127" s="1238">
        <f>+BB119</f>
        <v>7.8934386666666683</v>
      </c>
      <c r="BC127" s="1239">
        <f>+BC119</f>
        <v>28.175720000000005</v>
      </c>
      <c r="BD127" s="1233"/>
      <c r="BE127" s="1236">
        <f>+BE119</f>
        <v>6.8713886666666681</v>
      </c>
      <c r="BF127" s="1237">
        <f>+BF119</f>
        <v>7.8318236666666685</v>
      </c>
      <c r="BG127" s="1237">
        <f>+BG119</f>
        <v>7.3786286666666712</v>
      </c>
      <c r="BH127" s="1238">
        <f>+BH119</f>
        <v>9.1108860000000007</v>
      </c>
      <c r="BI127" s="1239">
        <f>+BI119</f>
        <v>31.192727000000009</v>
      </c>
      <c r="BJ127" s="1233"/>
      <c r="BK127" s="1236">
        <f>+BK119</f>
        <v>7.1703450000000011</v>
      </c>
      <c r="BL127" s="1237">
        <f>+BL119</f>
        <v>8.0343090000000004</v>
      </c>
      <c r="BM127" s="1237">
        <f>+BM119</f>
        <v>8.6097816000000016</v>
      </c>
      <c r="BN127" s="1238">
        <f>+BN119</f>
        <v>10.097136000000003</v>
      </c>
      <c r="BO127" s="1239">
        <f>+BO119</f>
        <v>33.911571600000002</v>
      </c>
      <c r="BP127" s="1233"/>
      <c r="BQ127" s="1236">
        <f>+BQ119</f>
        <v>6.6057179200224976</v>
      </c>
      <c r="BR127" s="1237">
        <f>+BR119</f>
        <v>7.3548741710696071</v>
      </c>
      <c r="BS127" s="1237">
        <f>+BS119</f>
        <v>7.8435110376000017</v>
      </c>
      <c r="BT127" s="1238">
        <f>+BT119</f>
        <v>9.4610164320000028</v>
      </c>
      <c r="BU127" s="1239">
        <f>+BU119</f>
        <v>31.265119560692106</v>
      </c>
      <c r="BV127" s="1233"/>
      <c r="BW127" s="1236">
        <f>+BW119</f>
        <v>6.4724698191213959</v>
      </c>
      <c r="BX127" s="1237">
        <f>+BX119</f>
        <v>7.3903032549133973</v>
      </c>
      <c r="BY127" s="1237">
        <f>+BY119</f>
        <v>8.366602690780395</v>
      </c>
      <c r="BZ127" s="1238">
        <f>+BZ119</f>
        <v>9.8838573543432329</v>
      </c>
      <c r="CA127" s="1239">
        <f>+CA119</f>
        <v>32.113233119158423</v>
      </c>
      <c r="CB127" s="1233"/>
      <c r="CC127" s="1236">
        <f>+CC119</f>
        <v>6.6554450369940357</v>
      </c>
      <c r="CD127" s="1237">
        <f>+CD119</f>
        <v>7.5930560209555145</v>
      </c>
      <c r="CE127" s="1237">
        <f>+CE119</f>
        <v>8.8345133793165811</v>
      </c>
      <c r="CF127" s="1238">
        <f>+CF119</f>
        <v>10.61015899969451</v>
      </c>
      <c r="CG127" s="1239">
        <f>+CG119</f>
        <v>33.693173436960642</v>
      </c>
      <c r="CH127" s="1233"/>
      <c r="CI127" s="1236">
        <f>+CI119</f>
        <v>7.3209895406934402</v>
      </c>
      <c r="CJ127" s="1237">
        <f>+CJ119</f>
        <v>8.3143963429462886</v>
      </c>
      <c r="CK127" s="1237">
        <f>+CK119</f>
        <v>9.4971018827653246</v>
      </c>
      <c r="CL127" s="1238">
        <f>+CL119</f>
        <v>11.352870129673127</v>
      </c>
      <c r="CM127" s="1239">
        <f>+CM119</f>
        <v>36.485357896078177</v>
      </c>
      <c r="CN127" s="1233"/>
      <c r="CO127" s="1236">
        <f>+CO119</f>
        <v>7.3209895406934402</v>
      </c>
      <c r="CP127" s="1237">
        <f>+CP119</f>
        <v>8.3143963429462886</v>
      </c>
      <c r="CQ127" s="1237">
        <f>+CQ119</f>
        <v>9.4971018827653246</v>
      </c>
      <c r="CR127" s="1238">
        <f>+CR119</f>
        <v>11.352870129673127</v>
      </c>
      <c r="CS127" s="1239">
        <f>+CS119</f>
        <v>36.485357896078177</v>
      </c>
      <c r="CT127" s="1233"/>
      <c r="CU127" s="1236">
        <f>+CU119</f>
        <v>7.3209895406934402</v>
      </c>
      <c r="CV127" s="1237">
        <f>+CV119</f>
        <v>8.3143963429462886</v>
      </c>
      <c r="CW127" s="1237">
        <f>+CW119</f>
        <v>9.4971018827653246</v>
      </c>
      <c r="CX127" s="1238">
        <f>+CX119</f>
        <v>11.352870129673127</v>
      </c>
      <c r="CY127" s="1239">
        <f>+CY119</f>
        <v>36.485357896078177</v>
      </c>
      <c r="CZ127" s="48"/>
      <c r="DD127" s="48"/>
      <c r="DE127" s="48"/>
      <c r="DF127" s="48"/>
      <c r="DG127" s="48"/>
      <c r="DH127" s="48"/>
      <c r="DI127" s="48"/>
      <c r="DJ127" s="48"/>
      <c r="DK127" s="48"/>
    </row>
    <row r="128" spans="1:115" x14ac:dyDescent="0.2">
      <c r="A128" s="1240" t="s">
        <v>514</v>
      </c>
      <c r="B128" s="1241"/>
      <c r="C128" s="1193"/>
      <c r="D128" s="1193"/>
      <c r="E128" s="1193"/>
      <c r="F128" s="1193"/>
      <c r="G128" s="1195"/>
      <c r="H128" s="1193"/>
      <c r="I128" s="1194"/>
      <c r="J128" s="1193"/>
      <c r="K128" s="1193"/>
      <c r="L128" s="1193"/>
      <c r="M128" s="1195"/>
      <c r="N128" s="1193"/>
      <c r="O128" s="1194"/>
      <c r="P128" s="1193"/>
      <c r="Q128" s="1193"/>
      <c r="R128" s="1193"/>
      <c r="S128" s="1194"/>
      <c r="T128" s="1195"/>
      <c r="U128" s="1194"/>
      <c r="V128" s="1193"/>
      <c r="W128" s="1193"/>
      <c r="X128" s="1193"/>
      <c r="Y128" s="1194"/>
      <c r="Z128" s="1242"/>
      <c r="AA128" s="1251">
        <v>0</v>
      </c>
      <c r="AB128" s="1252">
        <v>0</v>
      </c>
      <c r="AC128" s="1252">
        <v>0</v>
      </c>
      <c r="AD128" s="1253">
        <v>0</v>
      </c>
      <c r="AE128" s="1246">
        <f>SUM(AA128:AD128)</f>
        <v>0</v>
      </c>
      <c r="AF128" s="1193"/>
      <c r="AG128" s="1251">
        <v>0</v>
      </c>
      <c r="AH128" s="1252">
        <v>0</v>
      </c>
      <c r="AI128" s="1252">
        <v>0</v>
      </c>
      <c r="AJ128" s="1253">
        <v>5</v>
      </c>
      <c r="AK128" s="1246">
        <f>SUM(AG128:AJ128)</f>
        <v>5</v>
      </c>
      <c r="AL128" s="1193"/>
      <c r="AM128" s="1251">
        <v>11</v>
      </c>
      <c r="AN128" s="1252">
        <v>12</v>
      </c>
      <c r="AO128" s="1252">
        <v>13.7</v>
      </c>
      <c r="AP128" s="1253">
        <f>0.05*RevBuild!AP29</f>
        <v>14.301600000000002</v>
      </c>
      <c r="AQ128" s="1246">
        <f>SUM(AM128:AP128)</f>
        <v>51.001600000000003</v>
      </c>
      <c r="AR128" s="1193"/>
      <c r="AS128" s="1251">
        <v>17</v>
      </c>
      <c r="AT128" s="1252">
        <v>18</v>
      </c>
      <c r="AU128" s="1252">
        <v>19</v>
      </c>
      <c r="AV128" s="1253">
        <v>21</v>
      </c>
      <c r="AW128" s="1246">
        <f>SUM(AS128:AV128)</f>
        <v>75</v>
      </c>
      <c r="AX128" s="1193"/>
      <c r="AY128" s="1243">
        <f>AS128*(1+AY129)</f>
        <v>22.1</v>
      </c>
      <c r="AZ128" s="1244">
        <f>AT128*(1+AZ129)</f>
        <v>24.3</v>
      </c>
      <c r="BA128" s="1244">
        <f>AU128*(1+BA129)</f>
        <v>25.650000000000002</v>
      </c>
      <c r="BB128" s="1245">
        <f>AV128*(1+BB129)</f>
        <v>28.35</v>
      </c>
      <c r="BC128" s="1246">
        <f>SUM(AY128:BB128)</f>
        <v>100.4</v>
      </c>
      <c r="BD128" s="1193"/>
      <c r="BE128" s="1243">
        <f>AY128*(1+BE129)</f>
        <v>23.205000000000002</v>
      </c>
      <c r="BF128" s="1244">
        <f>AZ128*(1+BF129)</f>
        <v>26.001000000000001</v>
      </c>
      <c r="BG128" s="1244">
        <f>BA128*(1+BG129)</f>
        <v>27.702000000000005</v>
      </c>
      <c r="BH128" s="1245">
        <f>BB128*(1+BH129)</f>
        <v>30.051000000000002</v>
      </c>
      <c r="BI128" s="1246">
        <f>SUM(BE128:BH128)</f>
        <v>106.95900000000002</v>
      </c>
      <c r="BJ128" s="1193"/>
      <c r="BK128" s="1243">
        <f>BE128*(1+BK129)</f>
        <v>23.901150000000001</v>
      </c>
      <c r="BL128" s="1244">
        <f>BF128*(1+BL129)</f>
        <v>26.781030000000001</v>
      </c>
      <c r="BM128" s="1244">
        <f>BG128*(1+BM129)</f>
        <v>30.749220000000008</v>
      </c>
      <c r="BN128" s="1245">
        <f>BH128*(1+BN129)</f>
        <v>33.657120000000006</v>
      </c>
      <c r="BO128" s="1246">
        <f>SUM(BK128:BN128)</f>
        <v>115.08852000000002</v>
      </c>
      <c r="BP128" s="1193"/>
      <c r="BQ128" s="1243">
        <f>+BQ119+BQ115+BQ109+BQ112</f>
        <v>22.339252168681512</v>
      </c>
      <c r="BR128" s="1244">
        <f>+BR119+BR115+BR109+BR112</f>
        <v>25.422693700283485</v>
      </c>
      <c r="BS128" s="1244">
        <f>+BS119+BS115+BS109+BS112</f>
        <v>30.640788231400006</v>
      </c>
      <c r="BT128" s="1245">
        <f>+BT119+BT115+BT109+BT112</f>
        <v>32.872158576910607</v>
      </c>
      <c r="BU128" s="1246">
        <f>SUM(BQ128:BT128)</f>
        <v>111.27489267727562</v>
      </c>
      <c r="BV128" s="1193"/>
      <c r="BW128" s="1243">
        <f>+BW119+BW115+BW109+BW112</f>
        <v>21.543868255651596</v>
      </c>
      <c r="BX128" s="1244">
        <f>+BX119+BX115+BX109+BX112</f>
        <v>25.151971964460742</v>
      </c>
      <c r="BY128" s="1244">
        <f>+BY119+BY115+BY109+BY112</f>
        <v>32.899364081978142</v>
      </c>
      <c r="BZ128" s="1245">
        <f>+BZ119+BZ115+BZ109+BZ112</f>
        <v>34.713172336891212</v>
      </c>
      <c r="CA128" s="1246">
        <f>SUM(BW128:BZ128)</f>
        <v>114.30837663898168</v>
      </c>
      <c r="CB128" s="1193"/>
      <c r="CC128" s="1243">
        <f>+CC119+CC115+CC109+CC112</f>
        <v>22.619732841126975</v>
      </c>
      <c r="CD128" s="1244">
        <f>+CD119+CD115+CD109+CD112</f>
        <v>26.266842614603053</v>
      </c>
      <c r="CE128" s="1244">
        <f>+CE119+CE115+CE109+CE112</f>
        <v>34.672164942464256</v>
      </c>
      <c r="CF128" s="1245">
        <f>+CF119+CF115+CF109+CF112</f>
        <v>37.809442224423876</v>
      </c>
      <c r="CG128" s="1246">
        <f>SUM(CC128:CF128)</f>
        <v>121.36818262261816</v>
      </c>
      <c r="CH128" s="1193"/>
      <c r="CI128" s="1243">
        <f>+CI119+CI115+CI109+CI112</f>
        <v>25.382481399722138</v>
      </c>
      <c r="CJ128" s="1244">
        <f>+CJ119+CJ115+CJ109+CJ112</f>
        <v>29.938000766271728</v>
      </c>
      <c r="CK128" s="1244">
        <f>+CK119+CK115+CK109+CK112</f>
        <v>39.893753994060631</v>
      </c>
      <c r="CL128" s="1245">
        <f>+CL119+CL115+CL109+CL112</f>
        <v>43.392481012221339</v>
      </c>
      <c r="CM128" s="1246">
        <f>SUM(CI128:CL128)</f>
        <v>138.60671717227584</v>
      </c>
      <c r="CN128" s="1193"/>
      <c r="CO128" s="1243">
        <f>+CO119+CO115+CO109+CO112</f>
        <v>28.865355763221949</v>
      </c>
      <c r="CP128" s="1244">
        <f>+CP119+CP115+CP109+CP112</f>
        <v>32.895381036724267</v>
      </c>
      <c r="CQ128" s="1244">
        <f>+CQ119+CQ115+CQ109+CQ112</f>
        <v>43.400598473279011</v>
      </c>
      <c r="CR128" s="1245">
        <f>+CR119+CR115+CR109+CR112</f>
        <v>46.132555468103291</v>
      </c>
      <c r="CS128" s="1246">
        <f>SUM(CO128:CR128)</f>
        <v>151.29389074132854</v>
      </c>
      <c r="CT128" s="1193"/>
      <c r="CU128" s="1243">
        <f>+CU119+CU115+CU109+CU112</f>
        <v>31.896122089515604</v>
      </c>
      <c r="CV128" s="1244">
        <f>+CV119+CV115+CV109+CV112</f>
        <v>36.636389668636959</v>
      </c>
      <c r="CW128" s="1244">
        <f>+CW119+CW115+CW109+CW112</f>
        <v>47.740374214696395</v>
      </c>
      <c r="CX128" s="1245">
        <f>+CX119+CX115+CX109+CX112</f>
        <v>50.877711462561436</v>
      </c>
      <c r="CY128" s="1246">
        <f>SUM(CU128:CX128)</f>
        <v>167.15059743541042</v>
      </c>
      <c r="CZ128" s="48"/>
      <c r="DD128" s="48"/>
      <c r="DE128" s="48"/>
      <c r="DF128" s="48"/>
      <c r="DG128" s="48"/>
      <c r="DH128" s="48"/>
      <c r="DI128" s="48"/>
      <c r="DJ128" s="48"/>
      <c r="DK128" s="48"/>
    </row>
    <row r="129" spans="1:115" s="5" customFormat="1" x14ac:dyDescent="0.2">
      <c r="A129" s="205" t="s">
        <v>228</v>
      </c>
      <c r="B129" s="961"/>
      <c r="C129" s="591"/>
      <c r="D129" s="591"/>
      <c r="E129" s="591"/>
      <c r="F129" s="591"/>
      <c r="G129" s="594"/>
      <c r="H129" s="592"/>
      <c r="I129" s="680"/>
      <c r="J129" s="591"/>
      <c r="K129" s="591"/>
      <c r="L129" s="591"/>
      <c r="M129" s="594"/>
      <c r="N129" s="592"/>
      <c r="O129" s="680"/>
      <c r="P129" s="591"/>
      <c r="Q129" s="591"/>
      <c r="R129" s="591"/>
      <c r="S129" s="594"/>
      <c r="T129" s="591"/>
      <c r="U129" s="680"/>
      <c r="V129" s="591"/>
      <c r="W129" s="591"/>
      <c r="X129" s="591"/>
      <c r="Y129" s="594"/>
      <c r="Z129" s="593"/>
      <c r="AA129" s="600"/>
      <c r="AB129" s="592"/>
      <c r="AC129" s="592"/>
      <c r="AD129" s="681"/>
      <c r="AE129" s="594"/>
      <c r="AF129" s="592"/>
      <c r="AG129" s="600"/>
      <c r="AH129" s="592"/>
      <c r="AI129" s="592"/>
      <c r="AJ129" s="681"/>
      <c r="AK129" s="595"/>
      <c r="AL129" s="592"/>
      <c r="AM129" s="694"/>
      <c r="AN129" s="583"/>
      <c r="AO129" s="596"/>
      <c r="AP129" s="1104">
        <f>AP128/AJ128-1</f>
        <v>1.8603200000000006</v>
      </c>
      <c r="AQ129" s="707">
        <f>AQ128/AK128-1</f>
        <v>9.2003200000000014</v>
      </c>
      <c r="AR129" s="1137"/>
      <c r="AS129" s="586">
        <f>AS128/AM128-1</f>
        <v>0.54545454545454541</v>
      </c>
      <c r="AT129" s="587">
        <f>AT128/AN128-1</f>
        <v>0.5</v>
      </c>
      <c r="AU129" s="587">
        <f>AU128/AO128-1</f>
        <v>0.38686131386861322</v>
      </c>
      <c r="AV129" s="587">
        <f>AV128/AP128-1</f>
        <v>0.4683671757006207</v>
      </c>
      <c r="AW129" s="707">
        <f>AW128/AQ128-1</f>
        <v>0.47054210063997992</v>
      </c>
      <c r="AX129" s="1137"/>
      <c r="AY129" s="1107">
        <v>0.3</v>
      </c>
      <c r="AZ129" s="1105">
        <v>0.35</v>
      </c>
      <c r="BA129" s="1105">
        <v>0.35</v>
      </c>
      <c r="BB129" s="910">
        <v>0.35</v>
      </c>
      <c r="BC129" s="708">
        <f>BC128/AW128-1</f>
        <v>0.33866666666666667</v>
      </c>
      <c r="BD129" s="1137"/>
      <c r="BE129" s="1107">
        <v>0.05</v>
      </c>
      <c r="BF129" s="910">
        <v>7.0000000000000007E-2</v>
      </c>
      <c r="BG129" s="910">
        <v>0.08</v>
      </c>
      <c r="BH129" s="910">
        <v>0.06</v>
      </c>
      <c r="BI129" s="708">
        <f>BI128/BC128-1</f>
        <v>6.5328685258964292E-2</v>
      </c>
      <c r="BJ129" s="614"/>
      <c r="BK129" s="1454">
        <v>0.03</v>
      </c>
      <c r="BL129" s="910">
        <v>0.03</v>
      </c>
      <c r="BM129" s="910">
        <v>0.11</v>
      </c>
      <c r="BN129" s="910">
        <v>0.12</v>
      </c>
      <c r="BO129" s="708">
        <f>BO128/BI128-1</f>
        <v>7.6005946203685504E-2</v>
      </c>
      <c r="BP129" s="614"/>
      <c r="BQ129" s="1115">
        <f>BQ128/BK128-1</f>
        <v>-6.5348229324467266E-2</v>
      </c>
      <c r="BR129" s="1114">
        <f>BR128/BL128-1</f>
        <v>-5.0720091785734778E-2</v>
      </c>
      <c r="BS129" s="1114">
        <f>BS128/BM128-1</f>
        <v>-3.5263258255007202E-3</v>
      </c>
      <c r="BT129" s="1114">
        <f>BT128/BN128-1</f>
        <v>-2.3322299207103825E-2</v>
      </c>
      <c r="BU129" s="708">
        <f>BU128/BO128-1</f>
        <v>-3.3136470281522445E-2</v>
      </c>
      <c r="BV129" s="614"/>
      <c r="BW129" s="1115">
        <f>BW128/BQ128-1</f>
        <v>-3.5604768996922997E-2</v>
      </c>
      <c r="BX129" s="1114">
        <f>BX128/BR128-1</f>
        <v>-1.064882183667748E-2</v>
      </c>
      <c r="BY129" s="1114">
        <f>BY128/BS128-1</f>
        <v>7.3711414782195339E-2</v>
      </c>
      <c r="BZ129" s="1114">
        <f>BZ128/BT128-1</f>
        <v>5.6005259151850506E-2</v>
      </c>
      <c r="CA129" s="708">
        <f>CA128/BU128-1</f>
        <v>2.7261171758699465E-2</v>
      </c>
      <c r="CB129" s="614"/>
      <c r="CC129" s="1115">
        <f>CC128/BW128-1</f>
        <v>4.9938319929762276E-2</v>
      </c>
      <c r="CD129" s="1114">
        <f>CD128/BX128-1</f>
        <v>4.4325377418422685E-2</v>
      </c>
      <c r="CE129" s="1114">
        <f>CE128/BY128-1</f>
        <v>5.3885566178989874E-2</v>
      </c>
      <c r="CF129" s="1114">
        <f>CF128/BZ128-1</f>
        <v>8.9195820465020503E-2</v>
      </c>
      <c r="CG129" s="708">
        <f>CG128/CA128-1</f>
        <v>6.1761055411829968E-2</v>
      </c>
      <c r="CH129" s="614"/>
      <c r="CI129" s="1115">
        <f>CI128/CC128-1</f>
        <v>0.12213886777530636</v>
      </c>
      <c r="CJ129" s="1114">
        <f>CJ128/CD128-1</f>
        <v>0.13976396803884206</v>
      </c>
      <c r="CK129" s="1114">
        <f>CK128/CE128-1</f>
        <v>0.15059887550319373</v>
      </c>
      <c r="CL129" s="1114">
        <f>CL128/CF128-1</f>
        <v>0.14766255356686986</v>
      </c>
      <c r="CM129" s="708">
        <f>CM128/CG128-1</f>
        <v>0.1420350389793601</v>
      </c>
      <c r="CN129" s="614"/>
      <c r="CO129" s="1115">
        <f>CO128/CI128-1</f>
        <v>0.13721567677531854</v>
      </c>
      <c r="CP129" s="1114">
        <f>CP128/CJ128-1</f>
        <v>9.878349237616213E-2</v>
      </c>
      <c r="CQ129" s="1114">
        <f>CQ128/CK128-1</f>
        <v>8.7904599796260863E-2</v>
      </c>
      <c r="CR129" s="1114">
        <f>CR128/CL128-1</f>
        <v>6.3146296131586066E-2</v>
      </c>
      <c r="CS129" s="708">
        <f>CS128/CM128-1</f>
        <v>9.1533612712893841E-2</v>
      </c>
      <c r="CT129" s="614"/>
      <c r="CU129" s="1115">
        <f>CU128/CO128-1</f>
        <v>0.10499667321458173</v>
      </c>
      <c r="CV129" s="1114">
        <f>CV128/CP128-1</f>
        <v>0.11372443528580023</v>
      </c>
      <c r="CW129" s="1114">
        <f>CW128/CQ128-1</f>
        <v>9.9993453871132898E-2</v>
      </c>
      <c r="CX129" s="1114">
        <f>CX128/CR128-1</f>
        <v>0.102859161958609</v>
      </c>
      <c r="CY129" s="708">
        <f>CY128/CS128-1</f>
        <v>0.10480731651744324</v>
      </c>
      <c r="CZ129" s="48"/>
      <c r="DA129"/>
      <c r="DB129"/>
      <c r="DC129"/>
      <c r="DD129" s="48"/>
      <c r="DE129" s="48"/>
      <c r="DF129" s="48"/>
      <c r="DG129" s="48"/>
      <c r="DH129" s="48"/>
      <c r="DI129" s="48"/>
      <c r="DJ129" s="48"/>
      <c r="DK129" s="48"/>
    </row>
    <row r="130" spans="1:115" s="5" customFormat="1" x14ac:dyDescent="0.2">
      <c r="A130" s="205" t="s">
        <v>428</v>
      </c>
      <c r="B130" s="961"/>
      <c r="C130" s="591"/>
      <c r="D130" s="591"/>
      <c r="E130" s="591"/>
      <c r="F130" s="591"/>
      <c r="G130" s="594"/>
      <c r="H130" s="592"/>
      <c r="I130" s="680"/>
      <c r="J130" s="591"/>
      <c r="K130" s="591"/>
      <c r="L130" s="591"/>
      <c r="M130" s="594"/>
      <c r="N130" s="592"/>
      <c r="O130" s="680"/>
      <c r="P130" s="591"/>
      <c r="Q130" s="591"/>
      <c r="R130" s="591"/>
      <c r="S130" s="594"/>
      <c r="T130" s="591"/>
      <c r="U130" s="680"/>
      <c r="V130" s="591"/>
      <c r="W130" s="591"/>
      <c r="X130" s="591"/>
      <c r="Y130" s="594"/>
      <c r="Z130" s="593"/>
      <c r="AA130" s="600"/>
      <c r="AB130" s="592"/>
      <c r="AC130" s="592"/>
      <c r="AD130" s="681"/>
      <c r="AE130" s="594"/>
      <c r="AF130" s="592"/>
      <c r="AG130" s="600"/>
      <c r="AH130" s="592"/>
      <c r="AI130" s="592"/>
      <c r="AJ130" s="681"/>
      <c r="AK130" s="595"/>
      <c r="AL130" s="592"/>
      <c r="AM130" s="694"/>
      <c r="AN130" s="583"/>
      <c r="AO130" s="596"/>
      <c r="AP130" s="1138">
        <f>+AP129-RevBuild!AP$59</f>
        <v>1.8708535256696321</v>
      </c>
      <c r="AQ130" s="1228">
        <f>+AQ129-RevBuild!AQ$59</f>
        <v>9.2034690604807778</v>
      </c>
      <c r="AR130" s="1137"/>
      <c r="AS130" s="1109">
        <f>+AS129-RevBuild!AS$59</f>
        <v>0.52582902912100526</v>
      </c>
      <c r="AT130" s="1110">
        <f>+AT129-RevBuild!AT$59</f>
        <v>0.43593198791099197</v>
      </c>
      <c r="AU130" s="1110">
        <f>+AU129-RevBuild!AU$59</f>
        <v>0.34375487132221627</v>
      </c>
      <c r="AV130" s="1110">
        <f>+AV129-RevBuild!AV$59</f>
        <v>0.46919729261061682</v>
      </c>
      <c r="AW130" s="1228">
        <f>+AW129-RevBuild!AW$59</f>
        <v>0.43484442418970398</v>
      </c>
      <c r="AX130" s="1137"/>
      <c r="AY130" s="1109">
        <f>+AY129-RevBuild!AY$59</f>
        <v>0.30831532741755413</v>
      </c>
      <c r="AZ130" s="1110">
        <f>+AZ129-RevBuild!AZ$59</f>
        <v>0.40127554690850076</v>
      </c>
      <c r="BA130" s="1110">
        <f>+BA129-RevBuild!BA$59</f>
        <v>0.396677743738858</v>
      </c>
      <c r="BB130" s="1110">
        <f>+BB129-RevBuild!BB$59</f>
        <v>0.35378207045033233</v>
      </c>
      <c r="BC130" s="1228">
        <f>+BC129-RevBuild!BC$59</f>
        <v>0.36625015266834071</v>
      </c>
      <c r="BD130" s="614"/>
      <c r="BE130" s="1109">
        <f>+BE129-RevBuild!BE$59</f>
        <v>5.5865489066263693E-2</v>
      </c>
      <c r="BF130" s="1110">
        <f>+BF129-RevBuild!BF$59</f>
        <v>7.0056605677494194E-2</v>
      </c>
      <c r="BG130" s="1110">
        <f>+BG129-RevBuild!BG$59</f>
        <v>8.5843885253821334E-2</v>
      </c>
      <c r="BH130" s="1110">
        <f>+BH129-RevBuild!BH$59</f>
        <v>6.3675273856382289E-2</v>
      </c>
      <c r="BI130" s="1228">
        <f>+BI129-RevBuild!BI$59</f>
        <v>7.393384956923095E-2</v>
      </c>
      <c r="BJ130" s="614"/>
      <c r="BK130" s="1109">
        <f>+BK129-RevBuild!BK$59</f>
        <v>3.4551743220808159E-2</v>
      </c>
      <c r="BL130" s="1110">
        <f>+BL129-RevBuild!BL$59</f>
        <v>2.3146530472927633E-2</v>
      </c>
      <c r="BM130" s="1110">
        <f>+BM129-RevBuild!BM$59</f>
        <v>0.11001988814462757</v>
      </c>
      <c r="BN130" s="1110">
        <f>+BN129-RevBuild!BN$59</f>
        <v>0.16789540383634188</v>
      </c>
      <c r="BO130" s="1228">
        <f>+BO129-RevBuild!BO$59</f>
        <v>8.5545530276974729E-2</v>
      </c>
      <c r="BP130" s="614"/>
      <c r="BQ130" s="1109">
        <f>+BQ129-RevBuild!BQ$59</f>
        <v>1.3396528421150675E-2</v>
      </c>
      <c r="BR130" s="1110">
        <f>+BR129-RevBuild!BR$59</f>
        <v>3.3846587057510258E-2</v>
      </c>
      <c r="BS130" s="1110">
        <f>+BS129-RevBuild!BS$59</f>
        <v>8.5473674174499276E-2</v>
      </c>
      <c r="BT130" s="1110">
        <f>+BT129-RevBuild!BT$59</f>
        <v>3.9677700792896176E-2</v>
      </c>
      <c r="BU130" s="1228">
        <f>+BU129-RevBuild!BU$59</f>
        <v>4.7113529718477445E-2</v>
      </c>
      <c r="BV130" s="614"/>
      <c r="BW130" s="1109">
        <f>+BW129-RevBuild!BW$59</f>
        <v>-1.5433138522479756E-2</v>
      </c>
      <c r="BX130" s="1110">
        <f>+BX129-RevBuild!BX$59</f>
        <v>4.5340891119352578E-3</v>
      </c>
      <c r="BY130" s="1110">
        <f>+BY129-RevBuild!BY$59</f>
        <v>8.2020407314645147E-2</v>
      </c>
      <c r="BZ130" s="1110">
        <f>+BZ129-RevBuild!BZ$59</f>
        <v>8.6312289280975271E-2</v>
      </c>
      <c r="CA130" s="1228">
        <f>+CA129-RevBuild!CA$59</f>
        <v>4.5972253003050689E-2</v>
      </c>
      <c r="CB130" s="614"/>
      <c r="CC130" s="1109">
        <f>+CC129-RevBuild!CC$59</f>
        <v>7.1668552285256315E-2</v>
      </c>
      <c r="CD130" s="1110">
        <f>+CD129-RevBuild!CD$59</f>
        <v>6.6890404989203567E-2</v>
      </c>
      <c r="CE130" s="1110">
        <f>+CE129-RevBuild!CE$59</f>
        <v>4.7959558236506605E-2</v>
      </c>
      <c r="CF130" s="1110">
        <f>+CF129-RevBuild!CF$59</f>
        <v>6.5712197693783281E-2</v>
      </c>
      <c r="CG130" s="1228">
        <f>+CG129-RevBuild!CG$59</f>
        <v>6.5482462714968576E-2</v>
      </c>
      <c r="CH130" s="614"/>
      <c r="CI130" s="1109">
        <f>+CI129-RevBuild!CI$59</f>
        <v>7.2138867775306356E-2</v>
      </c>
      <c r="CJ130" s="1110">
        <f>+CJ129-RevBuild!CJ$59</f>
        <v>9.4763968038842059E-2</v>
      </c>
      <c r="CK130" s="1110">
        <f>+CK129-RevBuild!CK$59</f>
        <v>0.12559887550319374</v>
      </c>
      <c r="CL130" s="1110">
        <f>+CL129-RevBuild!CL$59</f>
        <v>0.12766255356686987</v>
      </c>
      <c r="CM130" s="1228">
        <f>+CM129-RevBuild!CM$59</f>
        <v>0.10703503897936009</v>
      </c>
      <c r="CN130" s="614"/>
      <c r="CO130" s="1109">
        <f>+CO129-RevBuild!CO$59</f>
        <v>0.13721567677531854</v>
      </c>
      <c r="CP130" s="1110">
        <f>+CP129-RevBuild!CP$59</f>
        <v>9.878349237616213E-2</v>
      </c>
      <c r="CQ130" s="1110">
        <f>+CQ129-RevBuild!CQ$59</f>
        <v>8.7904599796260863E-2</v>
      </c>
      <c r="CR130" s="1110">
        <f>+CR129-RevBuild!CR$59</f>
        <v>6.3146296131586066E-2</v>
      </c>
      <c r="CS130" s="1228">
        <f>+CS129-RevBuild!CS$59</f>
        <v>9.1533612712893841E-2</v>
      </c>
      <c r="CT130" s="614"/>
      <c r="CU130" s="1109">
        <f>+CU129-RevBuild!CU$59</f>
        <v>0.10499667321458173</v>
      </c>
      <c r="CV130" s="1110">
        <f>+CV129-RevBuild!CV$59</f>
        <v>0.11372443528580023</v>
      </c>
      <c r="CW130" s="1110">
        <f>+CW129-RevBuild!CW$59</f>
        <v>9.9993453871132898E-2</v>
      </c>
      <c r="CX130" s="1110">
        <f>+CX129-RevBuild!CX$59</f>
        <v>0.102859161958609</v>
      </c>
      <c r="CY130" s="1228">
        <f>+CY129-RevBuild!CY$59</f>
        <v>0.10480731651744324</v>
      </c>
      <c r="CZ130" s="48"/>
      <c r="DA130"/>
      <c r="DB130"/>
      <c r="DC130"/>
      <c r="DD130" s="48"/>
      <c r="DE130" s="48"/>
      <c r="DF130" s="48"/>
      <c r="DG130" s="48"/>
      <c r="DH130" s="48"/>
      <c r="DI130" s="48"/>
      <c r="DJ130" s="48"/>
      <c r="DK130" s="48"/>
    </row>
    <row r="131" spans="1:115" x14ac:dyDescent="0.2">
      <c r="A131" s="1196" t="s">
        <v>425</v>
      </c>
      <c r="B131" s="1197"/>
      <c r="C131" s="1198"/>
      <c r="D131" s="1198"/>
      <c r="E131" s="1198"/>
      <c r="F131" s="1198"/>
      <c r="G131" s="1199"/>
      <c r="H131" s="1200"/>
      <c r="I131" s="1201"/>
      <c r="J131" s="1198"/>
      <c r="K131" s="1198"/>
      <c r="L131" s="1198"/>
      <c r="M131" s="1199"/>
      <c r="N131" s="1200"/>
      <c r="O131" s="1201"/>
      <c r="P131" s="1198"/>
      <c r="Q131" s="1198"/>
      <c r="R131" s="1198"/>
      <c r="S131" s="1199"/>
      <c r="T131" s="1198"/>
      <c r="U131" s="1201"/>
      <c r="V131" s="1198"/>
      <c r="W131" s="1198"/>
      <c r="X131" s="1198"/>
      <c r="Y131" s="1202"/>
      <c r="Z131" s="1203"/>
      <c r="AA131" s="1204"/>
      <c r="AB131" s="1205"/>
      <c r="AC131" s="1205"/>
      <c r="AD131" s="1206"/>
      <c r="AE131" s="1207"/>
      <c r="AF131" s="1200"/>
      <c r="AG131" s="1209">
        <f>AG128/AG$366</f>
        <v>0</v>
      </c>
      <c r="AH131" s="1210">
        <f>AH128/AH$366</f>
        <v>0</v>
      </c>
      <c r="AI131" s="1210">
        <f>AI128/AI$366</f>
        <v>0</v>
      </c>
      <c r="AJ131" s="1210">
        <f>AJ128/AJ$366</f>
        <v>1.7296429670987309E-2</v>
      </c>
      <c r="AK131" s="1208">
        <f>AK128/AK$366</f>
        <v>4.9513529571955537E-3</v>
      </c>
      <c r="AL131" s="1200"/>
      <c r="AM131" s="1209">
        <f>AM128/AM$366</f>
        <v>4.160929627332012E-2</v>
      </c>
      <c r="AN131" s="1210">
        <f>AN128/AN$366</f>
        <v>4.6137729889889997E-2</v>
      </c>
      <c r="AO131" s="1210">
        <f>AO128/AO$366</f>
        <v>4.9942220132182837E-2</v>
      </c>
      <c r="AP131" s="1210">
        <f>AP128/AP$366</f>
        <v>0.05</v>
      </c>
      <c r="AQ131" s="1208">
        <f>AQ128/AQ$366</f>
        <v>4.7014583706019769E-2</v>
      </c>
      <c r="AR131" s="1200"/>
      <c r="AS131" s="1209">
        <f>AS128/AS$366</f>
        <v>6.4329366355741394E-2</v>
      </c>
      <c r="AT131" s="1210">
        <f>AT128/AT$366</f>
        <v>6.3789748987337733E-2</v>
      </c>
      <c r="AU131" s="1210">
        <f>AU128/AU$366</f>
        <v>6.5770116136178752E-2</v>
      </c>
      <c r="AV131" s="1210">
        <f>AV128/AV$366</f>
        <v>6.2795287363195965E-2</v>
      </c>
      <c r="AW131" s="1208">
        <f>AW128/AW$366</f>
        <v>6.4116428595243247E-2</v>
      </c>
      <c r="AX131" s="1200"/>
      <c r="AY131" s="1209">
        <f>AY128/AY$366</f>
        <v>7.4555869672291525E-2</v>
      </c>
      <c r="AZ131" s="1210">
        <f>AZ128/AZ$366</f>
        <v>7.9098215244797584E-2</v>
      </c>
      <c r="BA131" s="1210">
        <f>BA128/BA$366</f>
        <v>8.4294864421651794E-2</v>
      </c>
      <c r="BB131" s="1210">
        <f>BB128/BB$366</f>
        <v>8.1810626435653871E-2</v>
      </c>
      <c r="BC131" s="1208">
        <f>BC128/BC$366</f>
        <v>8.003469232878635E-2</v>
      </c>
      <c r="BD131" s="1200"/>
      <c r="BE131" s="1209">
        <f>BE128/BE$366</f>
        <v>7.6438848920863306E-2</v>
      </c>
      <c r="BF131" s="1210">
        <f>BF128/BF$366</f>
        <v>8.2174506655879054E-2</v>
      </c>
      <c r="BG131" s="1210">
        <f>BG128/BG$366</f>
        <v>8.5549904110731281E-2</v>
      </c>
      <c r="BH131" s="1210">
        <f>BH128/BH$366</f>
        <v>8.2879876442765149E-2</v>
      </c>
      <c r="BI131" s="1208">
        <f>BI128/BI$366</f>
        <v>8.1874089088660007E-2</v>
      </c>
      <c r="BJ131" s="1200"/>
      <c r="BK131" s="1209">
        <f>BK128/BK$366</f>
        <v>7.5309336332958388E-2</v>
      </c>
      <c r="BL131" s="1210">
        <f>BL128/BL$366</f>
        <v>8.0851565495400582E-2</v>
      </c>
      <c r="BM131" s="1210">
        <f>BM128/BM$366</f>
        <v>9.1309816870918811E-2</v>
      </c>
      <c r="BN131" s="1210">
        <f>BN128/BN$366</f>
        <v>9.3282115240708424E-2</v>
      </c>
      <c r="BO131" s="1208">
        <f>BO128/BO$366</f>
        <v>8.5492858665688107E-2</v>
      </c>
      <c r="BP131" s="1200"/>
      <c r="BQ131" s="1209">
        <f>BQ128/BQ$366</f>
        <v>7.47809960488654E-2</v>
      </c>
      <c r="BR131" s="1210">
        <f>BR128/BR$366</f>
        <v>7.9581205863353585E-2</v>
      </c>
      <c r="BS131" s="1210">
        <f>BS128/BS$366</f>
        <v>9.7408096462689289E-2</v>
      </c>
      <c r="BT131" s="1210">
        <f>BT128/BT$366</f>
        <v>9.4324701798882665E-2</v>
      </c>
      <c r="BU131" s="1208">
        <f>BU128/BU$366</f>
        <v>8.6848967861968454E-2</v>
      </c>
      <c r="BV131" s="1200"/>
      <c r="BW131" s="1209">
        <f>BW128/BW$366</f>
        <v>7.2203031230923073E-2</v>
      </c>
      <c r="BX131" s="1210">
        <f>BX128/BX$366</f>
        <v>7.5212528152281452E-2</v>
      </c>
      <c r="BY131" s="1210">
        <f>BY128/BY$366</f>
        <v>9.7138533097061108E-2</v>
      </c>
      <c r="BZ131" s="1210">
        <f>BZ128/BZ$366</f>
        <v>9.4711464297208059E-2</v>
      </c>
      <c r="CA131" s="1208">
        <f>CA128/CA$366</f>
        <v>8.543284419624772E-2</v>
      </c>
      <c r="CB131" s="1200"/>
      <c r="CC131" s="1209">
        <f>CC128/CC$366</f>
        <v>7.3367799657246283E-2</v>
      </c>
      <c r="CD131" s="1210">
        <f>CD128/CD$366</f>
        <v>7.5132699709395873E-2</v>
      </c>
      <c r="CE131" s="1210">
        <f>CE128/CE$366</f>
        <v>9.5148641444742749E-2</v>
      </c>
      <c r="CF131" s="1210">
        <f>CF128/CF$366</f>
        <v>9.5210789433798126E-2</v>
      </c>
      <c r="CG131" s="1208">
        <f>CG128/CG$366</f>
        <v>8.5505174716958038E-2</v>
      </c>
      <c r="CH131" s="1200"/>
      <c r="CI131" s="1209">
        <f>CI128/CI$366</f>
        <v>7.4175062145754506E-2</v>
      </c>
      <c r="CJ131" s="1210">
        <f>CJ128/CJ$366</f>
        <v>7.67625784294418E-2</v>
      </c>
      <c r="CK131" s="1210">
        <f>CK128/CK$366</f>
        <v>9.8997146327454502E-2</v>
      </c>
      <c r="CL131" s="1210">
        <f>CL128/CL$366</f>
        <v>0.10101617829343763</v>
      </c>
      <c r="CM131" s="1208">
        <f>CM128/CM$366</f>
        <v>8.858112385774472E-2</v>
      </c>
      <c r="CN131" s="1200"/>
      <c r="CO131" s="1209">
        <f>CO128/CO$366</f>
        <v>7.5975636923490422E-2</v>
      </c>
      <c r="CP131" s="1210">
        <f>CP128/CP$366</f>
        <v>7.8421009794371083E-2</v>
      </c>
      <c r="CQ131" s="1210">
        <f>CQ128/CQ$366</f>
        <v>0.10162939851643421</v>
      </c>
      <c r="CR131" s="1210">
        <f>CR128/CR$366</f>
        <v>9.8657854749982954E-2</v>
      </c>
      <c r="CS131" s="1208">
        <f>CS128/CS$366</f>
        <v>8.9309000545563025E-2</v>
      </c>
      <c r="CT131" s="1200"/>
      <c r="CU131" s="1209">
        <f>CU128/CU$366</f>
        <v>7.5827108525220746E-2</v>
      </c>
      <c r="CV131" s="1210">
        <f>CV128/CV$366</f>
        <v>7.9350190145939983E-2</v>
      </c>
      <c r="CW131" s="1210">
        <f>CW128/CW$366</f>
        <v>0.10179048683338565</v>
      </c>
      <c r="CX131" s="1210">
        <f>CX128/CX$366</f>
        <v>9.9158826025289235E-2</v>
      </c>
      <c r="CY131" s="1208">
        <f>CY128/CY$366</f>
        <v>8.9651557312311073E-2</v>
      </c>
      <c r="CZ131" s="48"/>
      <c r="DD131" s="48"/>
      <c r="DE131" s="48"/>
      <c r="DF131" s="48"/>
      <c r="DG131" s="48"/>
      <c r="DH131" s="48"/>
      <c r="DI131" s="48"/>
      <c r="DJ131" s="48"/>
      <c r="DK131" s="48"/>
    </row>
    <row r="132" spans="1:115" s="5" customFormat="1" outlineLevel="1" x14ac:dyDescent="0.2">
      <c r="A132" s="1257" t="s">
        <v>516</v>
      </c>
      <c r="B132" s="58"/>
      <c r="C132" s="556"/>
      <c r="D132" s="556"/>
      <c r="E132" s="556"/>
      <c r="F132" s="556"/>
      <c r="G132" s="629"/>
      <c r="H132" s="557"/>
      <c r="I132" s="677"/>
      <c r="J132" s="556"/>
      <c r="K132" s="556"/>
      <c r="L132" s="556"/>
      <c r="M132" s="629"/>
      <c r="N132" s="557"/>
      <c r="O132" s="677"/>
      <c r="P132" s="556"/>
      <c r="Q132" s="556"/>
      <c r="R132" s="556"/>
      <c r="S132" s="629"/>
      <c r="T132" s="556"/>
      <c r="U132" s="677"/>
      <c r="V132" s="556"/>
      <c r="W132" s="556"/>
      <c r="X132" s="556"/>
      <c r="Y132" s="629"/>
      <c r="Z132" s="578"/>
      <c r="AA132" s="581"/>
      <c r="AB132" s="550"/>
      <c r="AC132" s="601"/>
      <c r="AD132" s="852"/>
      <c r="AE132" s="580"/>
      <c r="AF132" s="557"/>
      <c r="AG132" s="581">
        <f>+AG115*AG133</f>
        <v>0</v>
      </c>
      <c r="AH132" s="550">
        <f>+AH115*AH133</f>
        <v>0</v>
      </c>
      <c r="AI132" s="550">
        <f>+AI115*AI133</f>
        <v>0</v>
      </c>
      <c r="AJ132" s="582">
        <f>+AJ115*AJ133</f>
        <v>1.125</v>
      </c>
      <c r="AK132" s="580">
        <f>SUM(AG132:AJ132)</f>
        <v>1.125</v>
      </c>
      <c r="AL132" s="557"/>
      <c r="AM132" s="581">
        <f>+AM115*AM133</f>
        <v>1.7324999999999999</v>
      </c>
      <c r="AN132" s="550">
        <f>+AN115*AN133</f>
        <v>1.6800000000000002</v>
      </c>
      <c r="AO132" s="550">
        <f>+AO115*AO133</f>
        <v>1.9179999999999999</v>
      </c>
      <c r="AP132" s="582">
        <f>+AP115*AP133</f>
        <v>2.0022240000000004</v>
      </c>
      <c r="AQ132" s="580">
        <f>SUM(AM132:AP132)</f>
        <v>7.3327240000000007</v>
      </c>
      <c r="AR132" s="557"/>
      <c r="AS132" s="581">
        <f>+AS115*AS133</f>
        <v>2.0824999999999996</v>
      </c>
      <c r="AT132" s="550">
        <f>+AT115*AT133</f>
        <v>2.2049999999999996</v>
      </c>
      <c r="AU132" s="550">
        <f>+AU115*AU133</f>
        <v>2.3274999999999997</v>
      </c>
      <c r="AV132" s="582">
        <f>+AV115*AV133</f>
        <v>2.5724999999999998</v>
      </c>
      <c r="AW132" s="580">
        <f>SUM(AS132:AV132)</f>
        <v>9.1875</v>
      </c>
      <c r="AX132" s="557"/>
      <c r="AY132" s="581">
        <f>+AY115*AY133</f>
        <v>2.5525500000000001</v>
      </c>
      <c r="AZ132" s="550">
        <f>+AZ115*AZ133</f>
        <v>2.8066499999999999</v>
      </c>
      <c r="BA132" s="550">
        <f>+BA115*BA133</f>
        <v>2.9625750000000002</v>
      </c>
      <c r="BB132" s="582">
        <f>+BB115*BB133</f>
        <v>3.2744250000000004</v>
      </c>
      <c r="BC132" s="580">
        <f>SUM(AY132:BB132)</f>
        <v>11.5962</v>
      </c>
      <c r="BD132" s="557"/>
      <c r="BE132" s="581">
        <f>+BE115*BE133</f>
        <v>2.7613950000000003</v>
      </c>
      <c r="BF132" s="550">
        <f>+BF115*BF133</f>
        <v>2.5025962499999999</v>
      </c>
      <c r="BG132" s="550">
        <f>+BG115*BG133</f>
        <v>2.9087100000000001</v>
      </c>
      <c r="BH132" s="582">
        <f>+BH115*BH133</f>
        <v>2.6294624999999998</v>
      </c>
      <c r="BI132" s="580">
        <f>SUM(BE132:BH132)</f>
        <v>10.802163749999998</v>
      </c>
      <c r="BJ132" s="557"/>
      <c r="BK132" s="581">
        <f>+BK115*BK133</f>
        <v>2.7605828250000002</v>
      </c>
      <c r="BL132" s="550">
        <f>+BL115*BL133</f>
        <v>3.0932089650000001</v>
      </c>
      <c r="BM132" s="550">
        <f>+BM115*BM133</f>
        <v>3.7667794500000009</v>
      </c>
      <c r="BN132" s="582">
        <f>+BN115*BN133</f>
        <v>3.8873973600000005</v>
      </c>
      <c r="BO132" s="580">
        <f>SUM(BK132:BN132)</f>
        <v>13.507968600000002</v>
      </c>
      <c r="BP132" s="557"/>
      <c r="BQ132" s="581">
        <f>+BQ115*BQ133</f>
        <v>2.1567198037086612</v>
      </c>
      <c r="BR132" s="550">
        <f>+BR115*BR133</f>
        <v>2.5841698386617984</v>
      </c>
      <c r="BS132" s="550">
        <f>+BS115*BS133</f>
        <v>3.9023835102000008</v>
      </c>
      <c r="BT132" s="582">
        <f>+BT115*BT133</f>
        <v>3.7202392735199998</v>
      </c>
      <c r="BU132" s="580">
        <f>SUM(BQ132:BT132)</f>
        <v>12.363512426090463</v>
      </c>
      <c r="BV132" s="557"/>
      <c r="BW132" s="581">
        <f>+BW115*BW133</f>
        <v>2.1347824468284231</v>
      </c>
      <c r="BX132" s="550">
        <f>+BX115*BX133</f>
        <v>2.157309142326036</v>
      </c>
      <c r="BY132" s="550">
        <f>+BY115*BY133</f>
        <v>3.8699586347549935</v>
      </c>
      <c r="BZ132" s="582">
        <f>+BZ115*BZ133</f>
        <v>3.7004958516078759</v>
      </c>
      <c r="CA132" s="580">
        <f>SUM(BW132:BZ132)</f>
        <v>11.862546075517329</v>
      </c>
      <c r="CB132" s="557"/>
      <c r="CC132" s="581">
        <f>+CC115*CC133</f>
        <v>2.2591757239766848</v>
      </c>
      <c r="CD132" s="550">
        <f>+CD115*CD133</f>
        <v>2.2812141334368343</v>
      </c>
      <c r="CE132" s="550">
        <f>+CE115*CE133</f>
        <v>4.2024887311420329</v>
      </c>
      <c r="CF132" s="582">
        <f>+CF115*CF133</f>
        <v>4.0834365683821936</v>
      </c>
      <c r="CG132" s="580">
        <f>SUM(CC132:CF132)</f>
        <v>12.826315156937746</v>
      </c>
      <c r="CH132" s="557"/>
      <c r="CI132" s="581">
        <f>+CI115*CI133</f>
        <v>2.5980520825731874</v>
      </c>
      <c r="CJ132" s="550">
        <f>+CJ115*CJ133</f>
        <v>2.6119901827851755</v>
      </c>
      <c r="CK132" s="550">
        <f>+CK115*CK133</f>
        <v>4.727799822534787</v>
      </c>
      <c r="CL132" s="582">
        <f>+CL115*CL133</f>
        <v>4.5734489565880576</v>
      </c>
      <c r="CM132" s="580">
        <f>SUM(CI132:CL132)</f>
        <v>14.511291044481206</v>
      </c>
      <c r="CN132" s="557"/>
      <c r="CO132" s="581">
        <f>+CO115*CO133</f>
        <v>2.7279546867018469</v>
      </c>
      <c r="CP132" s="550">
        <f>+CP115*CP133</f>
        <v>2.7425896919244344</v>
      </c>
      <c r="CQ132" s="550">
        <f>+CQ115*CQ133</f>
        <v>4.9641898136615268</v>
      </c>
      <c r="CR132" s="582">
        <f>+CR115*CR133</f>
        <v>4.80212140441746</v>
      </c>
      <c r="CS132" s="580">
        <f>SUM(CO132:CR132)</f>
        <v>15.236855596705269</v>
      </c>
      <c r="CT132" s="557"/>
      <c r="CU132" s="581">
        <f>+CU115*CU133</f>
        <v>2.8643524210369393</v>
      </c>
      <c r="CV132" s="550">
        <f>+CV115*CV133</f>
        <v>2.8797191765206565</v>
      </c>
      <c r="CW132" s="550">
        <f>+CW115*CW133</f>
        <v>5.2123993043446033</v>
      </c>
      <c r="CX132" s="582">
        <f>+CX115*CX133</f>
        <v>5.0422274746383335</v>
      </c>
      <c r="CY132" s="580">
        <f>SUM(CU132:CX132)</f>
        <v>15.998698376540535</v>
      </c>
      <c r="CZ132" s="48"/>
      <c r="DA132"/>
      <c r="DB132"/>
      <c r="DC132"/>
      <c r="DD132" s="48"/>
      <c r="DE132" s="48"/>
      <c r="DF132" s="48"/>
      <c r="DG132" s="48"/>
      <c r="DH132" s="48"/>
      <c r="DI132" s="48"/>
      <c r="DJ132" s="48"/>
      <c r="DK132" s="48"/>
    </row>
    <row r="133" spans="1:115" s="5" customFormat="1" outlineLevel="1" x14ac:dyDescent="0.2">
      <c r="A133" s="1139" t="s">
        <v>471</v>
      </c>
      <c r="B133" s="58"/>
      <c r="C133" s="558"/>
      <c r="D133" s="558"/>
      <c r="E133" s="558"/>
      <c r="F133" s="558"/>
      <c r="G133" s="629"/>
      <c r="H133" s="557"/>
      <c r="I133" s="704"/>
      <c r="J133" s="558"/>
      <c r="K133" s="558"/>
      <c r="L133" s="558"/>
      <c r="M133" s="629"/>
      <c r="N133" s="557"/>
      <c r="O133" s="704"/>
      <c r="P133" s="558"/>
      <c r="Q133" s="558"/>
      <c r="R133" s="558"/>
      <c r="S133" s="707"/>
      <c r="T133" s="557"/>
      <c r="U133" s="704"/>
      <c r="V133" s="558"/>
      <c r="W133" s="558"/>
      <c r="X133" s="558"/>
      <c r="Y133" s="707"/>
      <c r="Z133" s="557"/>
      <c r="AA133" s="685"/>
      <c r="AB133" s="578"/>
      <c r="AC133" s="578"/>
      <c r="AD133" s="582"/>
      <c r="AE133" s="707"/>
      <c r="AF133" s="557"/>
      <c r="AG133" s="909">
        <v>0.45</v>
      </c>
      <c r="AH133" s="910">
        <v>0.45</v>
      </c>
      <c r="AI133" s="910">
        <v>0.45</v>
      </c>
      <c r="AJ133" s="910">
        <v>0.45</v>
      </c>
      <c r="AK133" s="707">
        <f>+AK132/AK$115</f>
        <v>0.45</v>
      </c>
      <c r="AL133" s="557"/>
      <c r="AM133" s="909">
        <v>0.35</v>
      </c>
      <c r="AN133" s="910">
        <v>0.35</v>
      </c>
      <c r="AO133" s="910">
        <v>0.35</v>
      </c>
      <c r="AP133" s="910">
        <v>0.35</v>
      </c>
      <c r="AQ133" s="707">
        <f>+AQ132/AQ$115</f>
        <v>0.35000000000000003</v>
      </c>
      <c r="AR133" s="557"/>
      <c r="AS133" s="909">
        <v>0.35</v>
      </c>
      <c r="AT133" s="910">
        <v>0.35</v>
      </c>
      <c r="AU133" s="910">
        <v>0.35</v>
      </c>
      <c r="AV133" s="910">
        <v>0.35</v>
      </c>
      <c r="AW133" s="707">
        <f>+AW132/AW$115</f>
        <v>0.35</v>
      </c>
      <c r="AX133" s="557"/>
      <c r="AY133" s="909">
        <v>0.35</v>
      </c>
      <c r="AZ133" s="910">
        <v>0.35</v>
      </c>
      <c r="BA133" s="910">
        <v>0.35</v>
      </c>
      <c r="BB133" s="910">
        <v>0.35</v>
      </c>
      <c r="BC133" s="707">
        <f>+BC132/BC$115</f>
        <v>0.34999999999999992</v>
      </c>
      <c r="BD133" s="557"/>
      <c r="BE133" s="909">
        <v>0.35</v>
      </c>
      <c r="BF133" s="910">
        <v>0.35</v>
      </c>
      <c r="BG133" s="910">
        <v>0.35</v>
      </c>
      <c r="BH133" s="910">
        <v>0.35</v>
      </c>
      <c r="BI133" s="707">
        <f>+BI132/BI$115</f>
        <v>0.34999999999999992</v>
      </c>
      <c r="BJ133" s="557"/>
      <c r="BK133" s="909">
        <v>0.35</v>
      </c>
      <c r="BL133" s="910">
        <v>0.35</v>
      </c>
      <c r="BM133" s="910">
        <v>0.35</v>
      </c>
      <c r="BN133" s="910">
        <v>0.35</v>
      </c>
      <c r="BO133" s="707">
        <f>+BO132/BO$115</f>
        <v>0.35000000000000003</v>
      </c>
      <c r="BP133" s="557"/>
      <c r="BQ133" s="909">
        <v>0.35</v>
      </c>
      <c r="BR133" s="910">
        <v>0.35</v>
      </c>
      <c r="BS133" s="910">
        <v>0.35</v>
      </c>
      <c r="BT133" s="910">
        <v>0.35</v>
      </c>
      <c r="BU133" s="707">
        <f>+BU132/BU$115</f>
        <v>0.35000000000000003</v>
      </c>
      <c r="BV133" s="557"/>
      <c r="BW133" s="909">
        <v>0.35</v>
      </c>
      <c r="BX133" s="910">
        <v>0.35</v>
      </c>
      <c r="BY133" s="910">
        <v>0.35</v>
      </c>
      <c r="BZ133" s="910">
        <v>0.35</v>
      </c>
      <c r="CA133" s="707">
        <f>+CA132/CA$115</f>
        <v>0.35000000000000003</v>
      </c>
      <c r="CB133" s="557"/>
      <c r="CC133" s="909">
        <v>0.35</v>
      </c>
      <c r="CD133" s="910">
        <v>0.35</v>
      </c>
      <c r="CE133" s="910">
        <v>0.35</v>
      </c>
      <c r="CF133" s="910">
        <v>0.35</v>
      </c>
      <c r="CG133" s="707">
        <f>+CG132/CG$115</f>
        <v>0.35</v>
      </c>
      <c r="CH133" s="557"/>
      <c r="CI133" s="909">
        <v>0.35</v>
      </c>
      <c r="CJ133" s="910">
        <v>0.35</v>
      </c>
      <c r="CK133" s="910">
        <v>0.35</v>
      </c>
      <c r="CL133" s="910">
        <v>0.35</v>
      </c>
      <c r="CM133" s="707">
        <f>+CM132/CM$115</f>
        <v>0.34999999999999992</v>
      </c>
      <c r="CN133" s="557"/>
      <c r="CO133" s="909">
        <v>0.35</v>
      </c>
      <c r="CP133" s="910">
        <v>0.35</v>
      </c>
      <c r="CQ133" s="910">
        <v>0.35</v>
      </c>
      <c r="CR133" s="910">
        <v>0.35</v>
      </c>
      <c r="CS133" s="707">
        <f>+CS132/CS$115</f>
        <v>0.35</v>
      </c>
      <c r="CT133" s="557"/>
      <c r="CU133" s="909">
        <v>0.35</v>
      </c>
      <c r="CV133" s="910">
        <v>0.35</v>
      </c>
      <c r="CW133" s="910">
        <v>0.35</v>
      </c>
      <c r="CX133" s="910">
        <v>0.35</v>
      </c>
      <c r="CY133" s="707">
        <f>+CY132/CY$115</f>
        <v>0.35000000000000009</v>
      </c>
      <c r="CZ133" s="48"/>
      <c r="DA133"/>
      <c r="DB133"/>
      <c r="DC133"/>
      <c r="DD133" s="48"/>
      <c r="DE133" s="48"/>
      <c r="DF133" s="48"/>
      <c r="DG133" s="48"/>
      <c r="DH133" s="48"/>
      <c r="DI133" s="48"/>
      <c r="DJ133" s="48"/>
      <c r="DK133" s="48"/>
    </row>
    <row r="134" spans="1:115" s="5" customFormat="1" outlineLevel="1" x14ac:dyDescent="0.2">
      <c r="A134" s="1257" t="s">
        <v>517</v>
      </c>
      <c r="B134" s="58"/>
      <c r="C134" s="558"/>
      <c r="D134" s="558"/>
      <c r="E134" s="558"/>
      <c r="F134" s="558"/>
      <c r="G134" s="629"/>
      <c r="H134" s="557"/>
      <c r="I134" s="704"/>
      <c r="J134" s="558"/>
      <c r="K134" s="558"/>
      <c r="L134" s="558"/>
      <c r="M134" s="629"/>
      <c r="N134" s="557"/>
      <c r="O134" s="704"/>
      <c r="P134" s="558"/>
      <c r="Q134" s="558"/>
      <c r="R134" s="558"/>
      <c r="S134" s="707"/>
      <c r="T134" s="557"/>
      <c r="U134" s="704"/>
      <c r="V134" s="558"/>
      <c r="W134" s="558"/>
      <c r="X134" s="558"/>
      <c r="Y134" s="707"/>
      <c r="Z134" s="557"/>
      <c r="AA134" s="685"/>
      <c r="AB134" s="578"/>
      <c r="AC134" s="578"/>
      <c r="AD134" s="582"/>
      <c r="AE134" s="707"/>
      <c r="AF134" s="557"/>
      <c r="AG134" s="581">
        <f>+AG135*AG115</f>
        <v>0</v>
      </c>
      <c r="AH134" s="550">
        <f>+AH135*AH115</f>
        <v>0</v>
      </c>
      <c r="AI134" s="550">
        <f>+AI135*AI115</f>
        <v>0</v>
      </c>
      <c r="AJ134" s="550">
        <f>+AJ135*AJ115</f>
        <v>0.25</v>
      </c>
      <c r="AK134" s="580">
        <f>SUM(AG134:AJ134)</f>
        <v>0.25</v>
      </c>
      <c r="AL134" s="557"/>
      <c r="AM134" s="581">
        <f>+AM135*AM115</f>
        <v>0.24750000000000003</v>
      </c>
      <c r="AN134" s="550">
        <f>+AN135*AN115</f>
        <v>0.24000000000000005</v>
      </c>
      <c r="AO134" s="550">
        <f>+AO135*AO115</f>
        <v>0.27400000000000002</v>
      </c>
      <c r="AP134" s="550">
        <f>+AP135*AP115</f>
        <v>0.28603200000000006</v>
      </c>
      <c r="AQ134" s="580">
        <f>SUM(AM134:AP134)</f>
        <v>1.0475320000000001</v>
      </c>
      <c r="AR134" s="557"/>
      <c r="AS134" s="581">
        <f>+AS135*AS115</f>
        <v>0.29749999999999999</v>
      </c>
      <c r="AT134" s="550">
        <f>+AT135*AT115</f>
        <v>0.315</v>
      </c>
      <c r="AU134" s="550">
        <f>+AU135*AU115</f>
        <v>0.33250000000000002</v>
      </c>
      <c r="AV134" s="550">
        <f>+AV135*AV115</f>
        <v>0.36749999999999999</v>
      </c>
      <c r="AW134" s="580">
        <f>SUM(AS134:AV134)</f>
        <v>1.3125</v>
      </c>
      <c r="AX134" s="557"/>
      <c r="AY134" s="581">
        <f>+AY135*AY115</f>
        <v>0.36465000000000009</v>
      </c>
      <c r="AZ134" s="550">
        <f>+AZ135*AZ115</f>
        <v>0.40095000000000003</v>
      </c>
      <c r="BA134" s="550">
        <f>+BA135*BA115</f>
        <v>0.42322500000000007</v>
      </c>
      <c r="BB134" s="550">
        <f>+BB135*BB115</f>
        <v>0.46777500000000005</v>
      </c>
      <c r="BC134" s="580">
        <f>SUM(AY134:BB134)</f>
        <v>1.6566000000000001</v>
      </c>
      <c r="BD134" s="557"/>
      <c r="BE134" s="581">
        <f>+BE135*BE115</f>
        <v>0.39448500000000009</v>
      </c>
      <c r="BF134" s="550">
        <f>+BF135*BF115</f>
        <v>0.35751375000000007</v>
      </c>
      <c r="BG134" s="550">
        <f>+BG135*BG115</f>
        <v>0.41553000000000007</v>
      </c>
      <c r="BH134" s="550">
        <f>+BH135*BH115</f>
        <v>0.37563750000000007</v>
      </c>
      <c r="BI134" s="580">
        <f>SUM(BE134:BH134)</f>
        <v>1.5431662500000003</v>
      </c>
      <c r="BJ134" s="557"/>
      <c r="BK134" s="581">
        <f>+BK135*BK115</f>
        <v>0.39436897500000007</v>
      </c>
      <c r="BL134" s="550">
        <f>+BL135*BL115</f>
        <v>0.44188699500000006</v>
      </c>
      <c r="BM134" s="550">
        <f>+BM135*BM115</f>
        <v>0.53811135000000021</v>
      </c>
      <c r="BN134" s="550">
        <f>+BN135*BN115</f>
        <v>0.55534248000000008</v>
      </c>
      <c r="BO134" s="580">
        <f>SUM(BK134:BN134)</f>
        <v>1.9297098000000004</v>
      </c>
      <c r="BP134" s="557"/>
      <c r="BQ134" s="581">
        <f>+BQ135*BQ115</f>
        <v>0.30810282910123737</v>
      </c>
      <c r="BR134" s="550">
        <f>+BR135*BR115</f>
        <v>0.36916711980882844</v>
      </c>
      <c r="BS134" s="550">
        <f>+BS135*BS115</f>
        <v>0.5574833586000002</v>
      </c>
      <c r="BT134" s="550">
        <f>+BT135*BT115</f>
        <v>0.53146275336000004</v>
      </c>
      <c r="BU134" s="580">
        <f>SUM(BQ134:BT134)</f>
        <v>1.7662160608700659</v>
      </c>
      <c r="BV134" s="557"/>
      <c r="BW134" s="581">
        <f>+BW135*BW115</f>
        <v>0.30496892097548906</v>
      </c>
      <c r="BX134" s="550">
        <f>+BX135*BX115</f>
        <v>0.3081870203322909</v>
      </c>
      <c r="BY134" s="550">
        <f>+BY135*BY115</f>
        <v>0.55285123353642773</v>
      </c>
      <c r="BZ134" s="550">
        <f>+BZ135*BZ115</f>
        <v>0.52864226451541085</v>
      </c>
      <c r="CA134" s="580">
        <f>SUM(BW134:BZ134)</f>
        <v>1.6946494393596185</v>
      </c>
      <c r="CB134" s="557"/>
      <c r="CC134" s="581">
        <f>+CC135*CC115</f>
        <v>0.32273938913952649</v>
      </c>
      <c r="CD134" s="550">
        <f>+CD135*CD115</f>
        <v>0.32588773334811921</v>
      </c>
      <c r="CE134" s="550">
        <f>+CE135*CE115</f>
        <v>0.36021331981217425</v>
      </c>
      <c r="CF134" s="550">
        <f>+CF135*CF115</f>
        <v>0.35000884871847376</v>
      </c>
      <c r="CG134" s="580">
        <f>SUM(CC134:CF134)</f>
        <v>1.3588492910182937</v>
      </c>
      <c r="CH134" s="557"/>
      <c r="CI134" s="581">
        <f>+CI135*CI115</f>
        <v>0.37115029751045542</v>
      </c>
      <c r="CJ134" s="550">
        <f>+CJ135*CJ115</f>
        <v>0.3731414546835965</v>
      </c>
      <c r="CK134" s="550">
        <f>+CK135*CK115</f>
        <v>0.40523998478869605</v>
      </c>
      <c r="CL134" s="550">
        <f>+CL135*CL115</f>
        <v>0.39200991056469064</v>
      </c>
      <c r="CM134" s="580">
        <f>SUM(CI134:CL134)</f>
        <v>1.5415416475474386</v>
      </c>
      <c r="CN134" s="557"/>
      <c r="CO134" s="581">
        <f>+CO135*CO115</f>
        <v>0.38970781238597818</v>
      </c>
      <c r="CP134" s="550">
        <f>+CP135*CP115</f>
        <v>0.39179852741777638</v>
      </c>
      <c r="CQ134" s="550">
        <f>+CQ135*CQ115</f>
        <v>0.42550198402813089</v>
      </c>
      <c r="CR134" s="550">
        <f>+CR135*CR115</f>
        <v>0.41161040609292515</v>
      </c>
      <c r="CS134" s="580">
        <f>SUM(CO134:CR134)</f>
        <v>1.6186187299248105</v>
      </c>
      <c r="CT134" s="557"/>
      <c r="CU134" s="581">
        <f>+CU135*CU115</f>
        <v>0.40919320300527712</v>
      </c>
      <c r="CV134" s="550">
        <f>+CV135*CV115</f>
        <v>0.41138845378866523</v>
      </c>
      <c r="CW134" s="550">
        <f>+CW135*CW115</f>
        <v>0.44677708322953746</v>
      </c>
      <c r="CX134" s="550">
        <f>+CX135*CX115</f>
        <v>0.43219092639757145</v>
      </c>
      <c r="CY134" s="580">
        <f>SUM(CU134:CX134)</f>
        <v>1.6995496664210512</v>
      </c>
      <c r="CZ134" s="48"/>
      <c r="DA134"/>
      <c r="DB134"/>
      <c r="DC134"/>
      <c r="DD134" s="48"/>
      <c r="DE134" s="48"/>
      <c r="DF134" s="48"/>
      <c r="DG134" s="48"/>
      <c r="DH134" s="48"/>
      <c r="DI134" s="48"/>
      <c r="DJ134" s="48"/>
      <c r="DK134" s="48"/>
    </row>
    <row r="135" spans="1:115" s="5" customFormat="1" outlineLevel="1" x14ac:dyDescent="0.2">
      <c r="A135" s="1139" t="s">
        <v>473</v>
      </c>
      <c r="B135" s="58"/>
      <c r="C135" s="558"/>
      <c r="D135" s="558"/>
      <c r="E135" s="558"/>
      <c r="F135" s="558"/>
      <c r="G135" s="629"/>
      <c r="H135" s="557"/>
      <c r="I135" s="704"/>
      <c r="J135" s="558"/>
      <c r="K135" s="558"/>
      <c r="L135" s="558"/>
      <c r="M135" s="629"/>
      <c r="N135" s="557"/>
      <c r="O135" s="704"/>
      <c r="P135" s="558"/>
      <c r="Q135" s="558"/>
      <c r="R135" s="558"/>
      <c r="S135" s="707"/>
      <c r="T135" s="557"/>
      <c r="U135" s="704"/>
      <c r="V135" s="558"/>
      <c r="W135" s="558"/>
      <c r="X135" s="558"/>
      <c r="Y135" s="707"/>
      <c r="Z135" s="557"/>
      <c r="AA135" s="685"/>
      <c r="AB135" s="578"/>
      <c r="AC135" s="578"/>
      <c r="AD135" s="582"/>
      <c r="AE135" s="707"/>
      <c r="AF135" s="557"/>
      <c r="AG135" s="909">
        <v>0.1</v>
      </c>
      <c r="AH135" s="910">
        <v>0.1</v>
      </c>
      <c r="AI135" s="910">
        <v>0.1</v>
      </c>
      <c r="AJ135" s="910">
        <v>0.1</v>
      </c>
      <c r="AK135" s="707">
        <f>+AK134/AK$115</f>
        <v>0.1</v>
      </c>
      <c r="AL135" s="557"/>
      <c r="AM135" s="909">
        <v>0.05</v>
      </c>
      <c r="AN135" s="910">
        <v>0.05</v>
      </c>
      <c r="AO135" s="910">
        <v>0.05</v>
      </c>
      <c r="AP135" s="910">
        <v>0.05</v>
      </c>
      <c r="AQ135" s="707">
        <f>+AQ134/AQ$115</f>
        <v>5.000000000000001E-2</v>
      </c>
      <c r="AR135" s="557"/>
      <c r="AS135" s="909">
        <v>0.05</v>
      </c>
      <c r="AT135" s="910">
        <v>0.05</v>
      </c>
      <c r="AU135" s="910">
        <v>0.05</v>
      </c>
      <c r="AV135" s="910">
        <v>0.05</v>
      </c>
      <c r="AW135" s="707">
        <f>+AW134/AW$115</f>
        <v>0.05</v>
      </c>
      <c r="AX135" s="557"/>
      <c r="AY135" s="909">
        <v>0.05</v>
      </c>
      <c r="AZ135" s="910">
        <v>0.05</v>
      </c>
      <c r="BA135" s="910">
        <v>0.05</v>
      </c>
      <c r="BB135" s="910">
        <v>0.05</v>
      </c>
      <c r="BC135" s="707">
        <f>+BC134/BC$115</f>
        <v>4.9999999999999996E-2</v>
      </c>
      <c r="BD135" s="557"/>
      <c r="BE135" s="909">
        <v>0.05</v>
      </c>
      <c r="BF135" s="910">
        <v>0.05</v>
      </c>
      <c r="BG135" s="910">
        <v>0.05</v>
      </c>
      <c r="BH135" s="910">
        <v>0.05</v>
      </c>
      <c r="BI135" s="707">
        <f>+BI134/BI$115</f>
        <v>0.05</v>
      </c>
      <c r="BJ135" s="557"/>
      <c r="BK135" s="909">
        <v>0.05</v>
      </c>
      <c r="BL135" s="910">
        <v>0.05</v>
      </c>
      <c r="BM135" s="910">
        <v>0.05</v>
      </c>
      <c r="BN135" s="910">
        <v>0.05</v>
      </c>
      <c r="BO135" s="707">
        <f>+BO134/BO$115</f>
        <v>0.05</v>
      </c>
      <c r="BP135" s="557"/>
      <c r="BQ135" s="909">
        <v>0.05</v>
      </c>
      <c r="BR135" s="910">
        <v>0.05</v>
      </c>
      <c r="BS135" s="910">
        <v>0.05</v>
      </c>
      <c r="BT135" s="910">
        <v>0.05</v>
      </c>
      <c r="BU135" s="707">
        <f>+BU134/BU$115</f>
        <v>4.9999999999999996E-2</v>
      </c>
      <c r="BV135" s="557"/>
      <c r="BW135" s="909">
        <v>0.05</v>
      </c>
      <c r="BX135" s="910">
        <v>0.05</v>
      </c>
      <c r="BY135" s="910">
        <v>0.05</v>
      </c>
      <c r="BZ135" s="910">
        <v>0.05</v>
      </c>
      <c r="CA135" s="707">
        <f>+CA134/CA$115</f>
        <v>5.000000000000001E-2</v>
      </c>
      <c r="CB135" s="557"/>
      <c r="CC135" s="909">
        <v>0.05</v>
      </c>
      <c r="CD135" s="910">
        <v>0.05</v>
      </c>
      <c r="CE135" s="910">
        <v>0.03</v>
      </c>
      <c r="CF135" s="910">
        <v>0.03</v>
      </c>
      <c r="CG135" s="707">
        <f>+CG134/CG$115</f>
        <v>3.7079803984011145E-2</v>
      </c>
      <c r="CH135" s="557"/>
      <c r="CI135" s="909">
        <v>0.05</v>
      </c>
      <c r="CJ135" s="910">
        <v>0.05</v>
      </c>
      <c r="CK135" s="910">
        <v>0.03</v>
      </c>
      <c r="CL135" s="910">
        <v>0.03</v>
      </c>
      <c r="CM135" s="707">
        <f>+CM134/CM$115</f>
        <v>3.7180673655277274E-2</v>
      </c>
      <c r="CN135" s="557"/>
      <c r="CO135" s="909">
        <f>+CI135</f>
        <v>0.05</v>
      </c>
      <c r="CP135" s="910">
        <f t="shared" ref="CP135:CR135" si="29">+CJ135</f>
        <v>0.05</v>
      </c>
      <c r="CQ135" s="910">
        <f t="shared" si="29"/>
        <v>0.03</v>
      </c>
      <c r="CR135" s="910">
        <f t="shared" si="29"/>
        <v>0.03</v>
      </c>
      <c r="CS135" s="707">
        <f>+CS134/CS$115</f>
        <v>3.7180673655277274E-2</v>
      </c>
      <c r="CT135" s="557"/>
      <c r="CU135" s="909">
        <f>+CO135</f>
        <v>0.05</v>
      </c>
      <c r="CV135" s="910">
        <f t="shared" ref="CV135" si="30">+CP135</f>
        <v>0.05</v>
      </c>
      <c r="CW135" s="910">
        <f t="shared" ref="CW135" si="31">+CQ135</f>
        <v>0.03</v>
      </c>
      <c r="CX135" s="910">
        <f t="shared" ref="CX135" si="32">+CR135</f>
        <v>0.03</v>
      </c>
      <c r="CY135" s="707">
        <f>+CY134/CY$115</f>
        <v>3.7180673655277281E-2</v>
      </c>
      <c r="CZ135" s="48"/>
      <c r="DA135"/>
      <c r="DB135"/>
      <c r="DC135"/>
      <c r="DD135" s="48"/>
      <c r="DE135" s="48"/>
      <c r="DF135" s="48"/>
      <c r="DG135" s="48"/>
      <c r="DH135" s="48"/>
      <c r="DI135" s="48"/>
      <c r="DJ135" s="48"/>
      <c r="DK135" s="48"/>
    </row>
    <row r="136" spans="1:115" s="5" customFormat="1" outlineLevel="1" x14ac:dyDescent="0.2">
      <c r="A136" s="1257" t="s">
        <v>518</v>
      </c>
      <c r="B136" s="58"/>
      <c r="C136" s="558"/>
      <c r="D136" s="558"/>
      <c r="E136" s="558"/>
      <c r="F136" s="558"/>
      <c r="G136" s="629"/>
      <c r="H136" s="557"/>
      <c r="I136" s="704"/>
      <c r="J136" s="558"/>
      <c r="K136" s="558"/>
      <c r="L136" s="558"/>
      <c r="M136" s="629"/>
      <c r="N136" s="557"/>
      <c r="O136" s="704"/>
      <c r="P136" s="558"/>
      <c r="Q136" s="558"/>
      <c r="R136" s="558"/>
      <c r="S136" s="707"/>
      <c r="T136" s="557"/>
      <c r="U136" s="704"/>
      <c r="V136" s="558"/>
      <c r="W136" s="558"/>
      <c r="X136" s="558"/>
      <c r="Y136" s="707"/>
      <c r="Z136" s="557"/>
      <c r="AA136" s="685"/>
      <c r="AB136" s="578"/>
      <c r="AC136" s="578"/>
      <c r="AD136" s="582"/>
      <c r="AE136" s="707"/>
      <c r="AF136" s="557"/>
      <c r="AG136" s="581">
        <f>+AG132-AG134</f>
        <v>0</v>
      </c>
      <c r="AH136" s="550">
        <f>+AH132-AH134</f>
        <v>0</v>
      </c>
      <c r="AI136" s="550">
        <f>+AI132-AI134</f>
        <v>0</v>
      </c>
      <c r="AJ136" s="550">
        <f>+AJ132-AJ134</f>
        <v>0.875</v>
      </c>
      <c r="AK136" s="580">
        <f>+AK132-AK134</f>
        <v>0.875</v>
      </c>
      <c r="AL136" s="557"/>
      <c r="AM136" s="581">
        <f>+AM132-AM134</f>
        <v>1.4849999999999999</v>
      </c>
      <c r="AN136" s="550">
        <f>+AN132-AN134</f>
        <v>1.4400000000000002</v>
      </c>
      <c r="AO136" s="550">
        <f>+AO132-AO134</f>
        <v>1.6439999999999999</v>
      </c>
      <c r="AP136" s="550">
        <f>+AP132-AP134</f>
        <v>1.7161920000000004</v>
      </c>
      <c r="AQ136" s="580">
        <f>+AQ132-AQ134</f>
        <v>6.2851920000000003</v>
      </c>
      <c r="AR136" s="557"/>
      <c r="AS136" s="581">
        <f>+AS132-AS134</f>
        <v>1.7849999999999997</v>
      </c>
      <c r="AT136" s="550">
        <f>+AT132-AT134</f>
        <v>1.8899999999999997</v>
      </c>
      <c r="AU136" s="550">
        <f>+AU132-AU134</f>
        <v>1.9949999999999997</v>
      </c>
      <c r="AV136" s="550">
        <f>+AV132-AV134</f>
        <v>2.2049999999999996</v>
      </c>
      <c r="AW136" s="580">
        <f>+AW132-AW134</f>
        <v>7.875</v>
      </c>
      <c r="AX136" s="557"/>
      <c r="AY136" s="581">
        <f>+AY132-AY134</f>
        <v>2.1879</v>
      </c>
      <c r="AZ136" s="550">
        <f>+AZ132-AZ134</f>
        <v>2.4056999999999999</v>
      </c>
      <c r="BA136" s="550">
        <f>+BA132-BA134</f>
        <v>2.5393500000000002</v>
      </c>
      <c r="BB136" s="550">
        <f>+BB132-BB134</f>
        <v>2.8066500000000003</v>
      </c>
      <c r="BC136" s="580">
        <f>+BC132-BC134</f>
        <v>9.9395999999999987</v>
      </c>
      <c r="BD136" s="557"/>
      <c r="BE136" s="581">
        <f>+BE132-BE134</f>
        <v>2.3669100000000003</v>
      </c>
      <c r="BF136" s="550">
        <f>+BF132-BF134</f>
        <v>2.1450825</v>
      </c>
      <c r="BG136" s="550">
        <f>+BG132-BG134</f>
        <v>2.4931800000000002</v>
      </c>
      <c r="BH136" s="550">
        <f>+BH132-BH134</f>
        <v>2.253825</v>
      </c>
      <c r="BI136" s="580">
        <f>+BI132-BI134</f>
        <v>9.2589974999999978</v>
      </c>
      <c r="BJ136" s="557"/>
      <c r="BK136" s="581">
        <f>+BK132-BK134</f>
        <v>2.3662138500000003</v>
      </c>
      <c r="BL136" s="550">
        <f>+BL132-BL134</f>
        <v>2.6513219700000001</v>
      </c>
      <c r="BM136" s="550">
        <f>+BM132-BM134</f>
        <v>3.2286681000000006</v>
      </c>
      <c r="BN136" s="550">
        <f>+BN132-BN134</f>
        <v>3.3320548800000003</v>
      </c>
      <c r="BO136" s="580">
        <f>+BO132-BO134</f>
        <v>11.5782588</v>
      </c>
      <c r="BP136" s="557"/>
      <c r="BQ136" s="581">
        <f>+BQ132-BQ134</f>
        <v>1.8486169746074239</v>
      </c>
      <c r="BR136" s="550">
        <f>+BR132-BR134</f>
        <v>2.2150027188529702</v>
      </c>
      <c r="BS136" s="550">
        <f>+BS132-BS134</f>
        <v>3.3449001516000005</v>
      </c>
      <c r="BT136" s="550">
        <f>+BT132-BT134</f>
        <v>3.1887765201599998</v>
      </c>
      <c r="BU136" s="580">
        <f>+BU132-BU134</f>
        <v>10.597296365220396</v>
      </c>
      <c r="BV136" s="557"/>
      <c r="BW136" s="581">
        <f>+BW132-BW134</f>
        <v>1.829813525852934</v>
      </c>
      <c r="BX136" s="550">
        <f>+BX132-BX134</f>
        <v>1.849122121993745</v>
      </c>
      <c r="BY136" s="550">
        <f>+BY132-BY134</f>
        <v>3.317107401218566</v>
      </c>
      <c r="BZ136" s="550">
        <f>+BZ132-BZ134</f>
        <v>3.1718535870924649</v>
      </c>
      <c r="CA136" s="580">
        <f>+CA132-CA134</f>
        <v>10.16789663615771</v>
      </c>
      <c r="CB136" s="557"/>
      <c r="CC136" s="581">
        <f>+CC132-CC134</f>
        <v>1.9364363348371583</v>
      </c>
      <c r="CD136" s="550">
        <f>+CD132-CD134</f>
        <v>1.9553264000887152</v>
      </c>
      <c r="CE136" s="550">
        <f>+CE132-CE134</f>
        <v>3.8422754113298585</v>
      </c>
      <c r="CF136" s="550">
        <f>+CF132-CF134</f>
        <v>3.73342771966372</v>
      </c>
      <c r="CG136" s="580">
        <f>+CG132-CG134</f>
        <v>11.467465865919452</v>
      </c>
      <c r="CH136" s="557"/>
      <c r="CI136" s="581">
        <f>+CI132-CI134</f>
        <v>2.226901785062732</v>
      </c>
      <c r="CJ136" s="550">
        <f>+CJ132-CJ134</f>
        <v>2.238848728101579</v>
      </c>
      <c r="CK136" s="550">
        <f>+CK132-CK134</f>
        <v>4.3225598377460912</v>
      </c>
      <c r="CL136" s="550">
        <f>+CL132-CL134</f>
        <v>4.1814390460233666</v>
      </c>
      <c r="CM136" s="580">
        <f>+CM132-CM134</f>
        <v>12.969749396933768</v>
      </c>
      <c r="CN136" s="557"/>
      <c r="CO136" s="581">
        <f>+CO132-CO134</f>
        <v>2.3382468743158689</v>
      </c>
      <c r="CP136" s="550">
        <f>+CP132-CP134</f>
        <v>2.3507911645066581</v>
      </c>
      <c r="CQ136" s="550">
        <f>+CQ132-CQ134</f>
        <v>4.5386878296333961</v>
      </c>
      <c r="CR136" s="550">
        <f>+CR132-CR134</f>
        <v>4.390510998324535</v>
      </c>
      <c r="CS136" s="580">
        <f>+CS132-CS134</f>
        <v>13.618236866780459</v>
      </c>
      <c r="CT136" s="557"/>
      <c r="CU136" s="581">
        <f>+CU132-CU134</f>
        <v>2.4551592180316621</v>
      </c>
      <c r="CV136" s="550">
        <f>+CV132-CV134</f>
        <v>2.4683307227319911</v>
      </c>
      <c r="CW136" s="550">
        <f>+CW132-CW134</f>
        <v>4.7656222211150663</v>
      </c>
      <c r="CX136" s="550">
        <f>+CX132-CX134</f>
        <v>4.6100365482407621</v>
      </c>
      <c r="CY136" s="580">
        <f>+CY132-CY134</f>
        <v>14.299148710119484</v>
      </c>
      <c r="CZ136" s="48"/>
      <c r="DA136"/>
      <c r="DB136"/>
      <c r="DC136"/>
      <c r="DD136" s="48"/>
      <c r="DE136" s="48"/>
      <c r="DF136" s="48"/>
      <c r="DG136" s="48"/>
      <c r="DH136" s="48"/>
      <c r="DI136" s="48"/>
      <c r="DJ136" s="48"/>
      <c r="DK136" s="48"/>
    </row>
    <row r="137" spans="1:115" s="5" customFormat="1" outlineLevel="1" x14ac:dyDescent="0.2">
      <c r="A137" s="1139" t="s">
        <v>476</v>
      </c>
      <c r="B137" s="961"/>
      <c r="C137" s="565"/>
      <c r="D137" s="566"/>
      <c r="E137" s="566"/>
      <c r="F137" s="566"/>
      <c r="G137" s="584"/>
      <c r="H137" s="592"/>
      <c r="I137" s="565"/>
      <c r="J137" s="566"/>
      <c r="K137" s="566"/>
      <c r="L137" s="566"/>
      <c r="M137" s="584"/>
      <c r="N137" s="592"/>
      <c r="O137" s="565"/>
      <c r="P137" s="566"/>
      <c r="Q137" s="566"/>
      <c r="R137" s="566"/>
      <c r="S137" s="584"/>
      <c r="T137" s="591"/>
      <c r="U137" s="565"/>
      <c r="V137" s="566"/>
      <c r="W137" s="566"/>
      <c r="X137" s="566"/>
      <c r="Y137" s="584"/>
      <c r="Z137" s="593"/>
      <c r="AA137" s="909">
        <v>0</v>
      </c>
      <c r="AB137" s="910">
        <v>0</v>
      </c>
      <c r="AC137" s="910">
        <v>0</v>
      </c>
      <c r="AD137" s="910">
        <v>0</v>
      </c>
      <c r="AE137" s="584"/>
      <c r="AF137" s="592"/>
      <c r="AG137" s="909">
        <v>0</v>
      </c>
      <c r="AH137" s="910">
        <v>0</v>
      </c>
      <c r="AI137" s="910">
        <v>0</v>
      </c>
      <c r="AJ137" s="1213">
        <f>+AJ136/AJ115</f>
        <v>0.35</v>
      </c>
      <c r="AK137" s="707">
        <f>+AK136/AK$115</f>
        <v>0.35</v>
      </c>
      <c r="AL137" s="592"/>
      <c r="AM137" s="1131">
        <f>+AM136/AM115</f>
        <v>0.3</v>
      </c>
      <c r="AN137" s="1132">
        <f>+AN136/AN115</f>
        <v>0.3</v>
      </c>
      <c r="AO137" s="1132">
        <f>+AO136/AO115</f>
        <v>0.29999999999999993</v>
      </c>
      <c r="AP137" s="1213">
        <f>+AP136/AP115</f>
        <v>0.3</v>
      </c>
      <c r="AQ137" s="707">
        <f>+AQ136/AQ$115</f>
        <v>0.30000000000000004</v>
      </c>
      <c r="AR137" s="592"/>
      <c r="AS137" s="1131">
        <f>+AS136/AS115</f>
        <v>0.3</v>
      </c>
      <c r="AT137" s="1132">
        <f>+AT136/AT115</f>
        <v>0.29999999999999993</v>
      </c>
      <c r="AU137" s="1132">
        <f>+AU136/AU115</f>
        <v>0.3</v>
      </c>
      <c r="AV137" s="1213">
        <f>+AV136/AV115</f>
        <v>0.3</v>
      </c>
      <c r="AW137" s="707">
        <f>+AW136/AW$115</f>
        <v>0.3</v>
      </c>
      <c r="AX137" s="592"/>
      <c r="AY137" s="1131">
        <f>+AY136/AY115</f>
        <v>0.29999999999999993</v>
      </c>
      <c r="AZ137" s="1132">
        <f>+AZ136/AZ115</f>
        <v>0.3</v>
      </c>
      <c r="BA137" s="1132">
        <f>+BA136/BA115</f>
        <v>0.3</v>
      </c>
      <c r="BB137" s="1213">
        <f>+BB136/BB115</f>
        <v>0.3</v>
      </c>
      <c r="BC137" s="707">
        <f>+BC136/BC$115</f>
        <v>0.29999999999999993</v>
      </c>
      <c r="BD137" s="592"/>
      <c r="BE137" s="1131">
        <f>+BE136/BE115</f>
        <v>0.3</v>
      </c>
      <c r="BF137" s="1132">
        <f>+BF136/BF115</f>
        <v>0.3</v>
      </c>
      <c r="BG137" s="1132">
        <f>+BG136/BG115</f>
        <v>0.3</v>
      </c>
      <c r="BH137" s="1213">
        <f>+BH136/BH115</f>
        <v>0.3</v>
      </c>
      <c r="BI137" s="707">
        <f>+BI136/BI$115</f>
        <v>0.29999999999999988</v>
      </c>
      <c r="BJ137" s="592"/>
      <c r="BK137" s="1131">
        <f>+BK136/BK115</f>
        <v>0.3</v>
      </c>
      <c r="BL137" s="1132">
        <f>+BL136/BL115</f>
        <v>0.3</v>
      </c>
      <c r="BM137" s="1132">
        <f>+BM136/BM115</f>
        <v>0.3</v>
      </c>
      <c r="BN137" s="1213">
        <f>+BN136/BN115</f>
        <v>0.3</v>
      </c>
      <c r="BO137" s="707">
        <f>+BO136/BO$115</f>
        <v>0.3</v>
      </c>
      <c r="BP137" s="592"/>
      <c r="BQ137" s="1131">
        <f>+BQ136/BQ115</f>
        <v>0.29999999999999993</v>
      </c>
      <c r="BR137" s="1132">
        <f>+BR136/BR115</f>
        <v>0.3</v>
      </c>
      <c r="BS137" s="1132">
        <f>+BS136/BS115</f>
        <v>0.3</v>
      </c>
      <c r="BT137" s="1213">
        <f>+BT136/BT115</f>
        <v>0.29999999999999993</v>
      </c>
      <c r="BU137" s="707">
        <f>+BU136/BU$115</f>
        <v>0.3</v>
      </c>
      <c r="BV137" s="592"/>
      <c r="BW137" s="1131">
        <f>+BW136/BW115</f>
        <v>0.3</v>
      </c>
      <c r="BX137" s="1132">
        <f>+BX136/BX115</f>
        <v>0.3</v>
      </c>
      <c r="BY137" s="1132">
        <f>+BY136/BY115</f>
        <v>0.3</v>
      </c>
      <c r="BZ137" s="1213">
        <f>+BZ136/BZ115</f>
        <v>0.3</v>
      </c>
      <c r="CA137" s="707">
        <f>+CA136/CA$115</f>
        <v>0.30000000000000004</v>
      </c>
      <c r="CB137" s="592"/>
      <c r="CC137" s="1131">
        <f>+CC136/CC115</f>
        <v>0.29999999999999993</v>
      </c>
      <c r="CD137" s="1132">
        <f>+CD136/CD115</f>
        <v>0.3</v>
      </c>
      <c r="CE137" s="1132">
        <f>+CE136/CE115</f>
        <v>0.31999999999999995</v>
      </c>
      <c r="CF137" s="1213">
        <f>+CF136/CF115</f>
        <v>0.31999999999999995</v>
      </c>
      <c r="CG137" s="707">
        <f>+CG136/CG$115</f>
        <v>0.31292019601598881</v>
      </c>
      <c r="CH137" s="592"/>
      <c r="CI137" s="1131">
        <f>+CI136/CI115</f>
        <v>0.29999999999999993</v>
      </c>
      <c r="CJ137" s="1132">
        <f>+CJ136/CJ115</f>
        <v>0.3</v>
      </c>
      <c r="CK137" s="1132">
        <f>+CK136/CK115</f>
        <v>0.32</v>
      </c>
      <c r="CL137" s="1213">
        <f>+CL136/CL115</f>
        <v>0.31999999999999995</v>
      </c>
      <c r="CM137" s="707">
        <f>+CM136/CM$115</f>
        <v>0.31281932634472265</v>
      </c>
      <c r="CN137" s="592"/>
      <c r="CO137" s="1131">
        <f>+CO136/CO115</f>
        <v>0.3</v>
      </c>
      <c r="CP137" s="1132">
        <f>+CP136/CP115</f>
        <v>0.3</v>
      </c>
      <c r="CQ137" s="1132">
        <f>+CQ136/CQ115</f>
        <v>0.32</v>
      </c>
      <c r="CR137" s="1213">
        <f>+CR136/CR115</f>
        <v>0.31999999999999995</v>
      </c>
      <c r="CS137" s="707">
        <f>+CS136/CS$115</f>
        <v>0.3128193263447227</v>
      </c>
      <c r="CT137" s="592"/>
      <c r="CU137" s="1131">
        <f>+CU136/CU115</f>
        <v>0.29999999999999993</v>
      </c>
      <c r="CV137" s="1132">
        <f>+CV136/CV115</f>
        <v>0.3</v>
      </c>
      <c r="CW137" s="1132">
        <f>+CW136/CW115</f>
        <v>0.32</v>
      </c>
      <c r="CX137" s="1213">
        <f>+CX136/CX115</f>
        <v>0.31999999999999995</v>
      </c>
      <c r="CY137" s="707">
        <f>+CY136/CY$115</f>
        <v>0.31281932634472281</v>
      </c>
      <c r="CZ137" s="48"/>
      <c r="DA137"/>
      <c r="DB137"/>
      <c r="DC137"/>
      <c r="DD137" s="48"/>
      <c r="DE137" s="48"/>
      <c r="DF137" s="48"/>
      <c r="DG137" s="48"/>
      <c r="DH137" s="48"/>
      <c r="DI137" s="48"/>
      <c r="DJ137" s="48"/>
      <c r="DK137" s="48"/>
    </row>
    <row r="138" spans="1:115" x14ac:dyDescent="0.2">
      <c r="A138" s="1161" t="s">
        <v>426</v>
      </c>
      <c r="B138" s="1162"/>
      <c r="C138" s="1163"/>
      <c r="D138" s="1163"/>
      <c r="E138" s="1163"/>
      <c r="F138" s="1163"/>
      <c r="G138" s="1164"/>
      <c r="H138" s="1165"/>
      <c r="I138" s="1166"/>
      <c r="J138" s="1163"/>
      <c r="K138" s="1163"/>
      <c r="L138" s="1163"/>
      <c r="M138" s="1164"/>
      <c r="N138" s="1165"/>
      <c r="O138" s="1166"/>
      <c r="P138" s="1163"/>
      <c r="Q138" s="1163"/>
      <c r="R138" s="1163"/>
      <c r="S138" s="1164"/>
      <c r="T138" s="1163"/>
      <c r="U138" s="1166"/>
      <c r="V138" s="1163"/>
      <c r="W138" s="1163"/>
      <c r="X138" s="1163"/>
      <c r="Y138" s="1164"/>
      <c r="Z138" s="1167"/>
      <c r="AA138" s="1168"/>
      <c r="AB138" s="1169"/>
      <c r="AC138" s="1169"/>
      <c r="AD138" s="1170"/>
      <c r="AE138" s="1171"/>
      <c r="AF138" s="1165"/>
      <c r="AG138" s="1172"/>
      <c r="AH138" s="1173"/>
      <c r="AI138" s="1173"/>
      <c r="AJ138" s="1174"/>
      <c r="AK138" s="1171"/>
      <c r="AL138" s="1175"/>
      <c r="AM138" s="1176"/>
      <c r="AN138" s="1177"/>
      <c r="AO138" s="1177"/>
      <c r="AP138" s="1177"/>
      <c r="AQ138" s="1171"/>
      <c r="AR138" s="1178"/>
      <c r="AS138" s="1172"/>
      <c r="AT138" s="1173"/>
      <c r="AU138" s="1173"/>
      <c r="AV138" s="1173"/>
      <c r="AW138" s="1171"/>
      <c r="AX138" s="1173"/>
      <c r="AY138" s="1172"/>
      <c r="AZ138" s="1173"/>
      <c r="BA138" s="1173"/>
      <c r="BB138" s="1173"/>
      <c r="BC138" s="1171"/>
      <c r="BD138" s="1178"/>
      <c r="BE138" s="1172"/>
      <c r="BF138" s="1173"/>
      <c r="BG138" s="1173"/>
      <c r="BH138" s="1173"/>
      <c r="BI138" s="1171"/>
      <c r="BJ138" s="1178"/>
      <c r="BK138" s="1172"/>
      <c r="BL138" s="1173"/>
      <c r="BM138" s="1173"/>
      <c r="BN138" s="1173"/>
      <c r="BO138" s="1171"/>
      <c r="BP138" s="1178"/>
      <c r="BQ138" s="1172"/>
      <c r="BR138" s="1173"/>
      <c r="BS138" s="1173"/>
      <c r="BT138" s="1173"/>
      <c r="BU138" s="1171"/>
      <c r="BV138" s="1178"/>
      <c r="BW138" s="1172"/>
      <c r="BX138" s="1173"/>
      <c r="BY138" s="1173"/>
      <c r="BZ138" s="1173"/>
      <c r="CA138" s="1171"/>
      <c r="CB138" s="1178"/>
      <c r="CC138" s="1172"/>
      <c r="CD138" s="1173"/>
      <c r="CE138" s="1173"/>
      <c r="CF138" s="1173"/>
      <c r="CG138" s="1171"/>
      <c r="CH138" s="1178"/>
      <c r="CI138" s="1172"/>
      <c r="CJ138" s="1173"/>
      <c r="CK138" s="1173"/>
      <c r="CL138" s="1173"/>
      <c r="CM138" s="1171"/>
      <c r="CN138" s="1178"/>
      <c r="CO138" s="1172"/>
      <c r="CP138" s="1173"/>
      <c r="CQ138" s="1173"/>
      <c r="CR138" s="1173"/>
      <c r="CS138" s="1171"/>
      <c r="CT138" s="1178"/>
      <c r="CU138" s="1172"/>
      <c r="CV138" s="1173"/>
      <c r="CW138" s="1173"/>
      <c r="CX138" s="1173"/>
      <c r="CY138" s="1171"/>
      <c r="CZ138" s="48"/>
      <c r="DD138" s="48"/>
      <c r="DE138" s="48"/>
      <c r="DF138" s="48"/>
      <c r="DG138" s="48"/>
      <c r="DH138" s="48"/>
      <c r="DI138" s="48"/>
      <c r="DJ138" s="48"/>
      <c r="DK138" s="48"/>
    </row>
    <row r="139" spans="1:115" x14ac:dyDescent="0.2">
      <c r="A139" s="1141"/>
      <c r="B139" s="1268"/>
      <c r="C139" s="1143"/>
      <c r="D139" s="1143"/>
      <c r="E139" s="1143"/>
      <c r="F139" s="1143"/>
      <c r="G139" s="1144"/>
      <c r="H139" s="1145"/>
      <c r="I139" s="1146"/>
      <c r="J139" s="1143"/>
      <c r="K139" s="1143"/>
      <c r="L139" s="1143"/>
      <c r="M139" s="1144"/>
      <c r="N139" s="1145"/>
      <c r="O139" s="1146"/>
      <c r="P139" s="1143"/>
      <c r="Q139" s="1143"/>
      <c r="R139" s="1143"/>
      <c r="S139" s="1144"/>
      <c r="T139" s="1143"/>
      <c r="U139" s="1146"/>
      <c r="V139" s="1143"/>
      <c r="W139" s="1143"/>
      <c r="X139" s="1143"/>
      <c r="Y139" s="1144"/>
      <c r="Z139" s="1147"/>
      <c r="AA139" s="1148"/>
      <c r="AB139" s="1149"/>
      <c r="AC139" s="1149"/>
      <c r="AD139" s="1149"/>
      <c r="AE139" s="1151"/>
      <c r="AF139" s="1145"/>
      <c r="AG139" s="1152"/>
      <c r="AH139" s="1153"/>
      <c r="AI139" s="1153"/>
      <c r="AJ139" s="1153"/>
      <c r="AK139" s="1151"/>
      <c r="AL139" s="1155"/>
      <c r="AM139" s="1156"/>
      <c r="AN139" s="1157"/>
      <c r="AO139" s="1157"/>
      <c r="AP139" s="1157"/>
      <c r="AQ139" s="1151"/>
      <c r="AR139" s="1158"/>
      <c r="AS139" s="1152"/>
      <c r="AT139" s="1153"/>
      <c r="AU139" s="1153"/>
      <c r="AV139" s="1153"/>
      <c r="AW139" s="1151"/>
      <c r="AX139" s="1153"/>
      <c r="AY139" s="1152"/>
      <c r="AZ139" s="1153"/>
      <c r="BA139" s="1153"/>
      <c r="BB139" s="1153"/>
      <c r="BC139" s="1269">
        <f>+RevBuild!BC$6</f>
        <v>2012</v>
      </c>
      <c r="BD139" s="1158"/>
      <c r="BE139" s="1152"/>
      <c r="BF139" s="1153"/>
      <c r="BG139" s="1153"/>
      <c r="BH139" s="1153"/>
      <c r="BI139" s="1269">
        <f>+RevBuild!BI$6</f>
        <v>2013</v>
      </c>
      <c r="BJ139" s="1159"/>
      <c r="BK139" s="1160"/>
      <c r="BL139" s="1153"/>
      <c r="BM139" s="1153"/>
      <c r="BN139" s="1153"/>
      <c r="BO139" s="1269">
        <f>+RevBuild!BO$6</f>
        <v>2014</v>
      </c>
      <c r="BP139" s="1158"/>
      <c r="BQ139" s="1152"/>
      <c r="BR139" s="1153"/>
      <c r="BS139" s="1153"/>
      <c r="BT139" s="1153"/>
      <c r="BU139" s="1270">
        <f>+RevBuild!BU$6</f>
        <v>2015</v>
      </c>
      <c r="BV139" s="1158"/>
      <c r="BW139" s="1152"/>
      <c r="BX139" s="1153"/>
      <c r="BY139" s="1153"/>
      <c r="BZ139" s="1153"/>
      <c r="CA139" s="1270">
        <f>+RevBuild!CA$6</f>
        <v>2016</v>
      </c>
      <c r="CB139" s="1158"/>
      <c r="CC139" s="1152"/>
      <c r="CD139" s="1153"/>
      <c r="CE139" s="1153"/>
      <c r="CF139" s="1153"/>
      <c r="CG139" s="1270">
        <f>+RevBuild!CG$6</f>
        <v>2017</v>
      </c>
      <c r="CH139" s="1158"/>
      <c r="CI139" s="1152"/>
      <c r="CJ139" s="1153"/>
      <c r="CK139" s="1153"/>
      <c r="CL139" s="1153"/>
      <c r="CM139" s="1270">
        <f>+RevBuild!CM$6</f>
        <v>2018</v>
      </c>
      <c r="CN139" s="1158"/>
      <c r="CO139" s="1152"/>
      <c r="CP139" s="1153"/>
      <c r="CQ139" s="1153"/>
      <c r="CR139" s="1153"/>
      <c r="CS139" s="1270">
        <f>+RevBuild!CS$6</f>
        <v>2019</v>
      </c>
      <c r="CT139" s="1158"/>
      <c r="CU139" s="1152"/>
      <c r="CV139" s="1153"/>
      <c r="CW139" s="1153"/>
      <c r="CX139" s="1153"/>
      <c r="CY139" s="1270">
        <f>+RevBuild!CY$6</f>
        <v>2020</v>
      </c>
      <c r="CZ139" s="48"/>
      <c r="DD139" s="48"/>
      <c r="DE139" s="48"/>
      <c r="DF139" s="48"/>
      <c r="DG139" s="48"/>
      <c r="DH139" s="48"/>
      <c r="DI139" s="48"/>
      <c r="DJ139" s="48"/>
      <c r="DK139" s="48"/>
    </row>
    <row r="140" spans="1:115" s="5" customFormat="1" outlineLevel="1" x14ac:dyDescent="0.2">
      <c r="A140" s="205" t="s">
        <v>635</v>
      </c>
      <c r="B140" s="961"/>
      <c r="C140" s="565"/>
      <c r="D140" s="970"/>
      <c r="E140" s="970"/>
      <c r="F140" s="970"/>
      <c r="G140" s="996"/>
      <c r="H140" s="592"/>
      <c r="I140" s="565"/>
      <c r="J140" s="970"/>
      <c r="K140" s="970"/>
      <c r="L140" s="970"/>
      <c r="M140" s="996"/>
      <c r="N140" s="592"/>
      <c r="O140" s="565"/>
      <c r="P140" s="970"/>
      <c r="Q140" s="970"/>
      <c r="R140" s="970"/>
      <c r="S140" s="996"/>
      <c r="T140" s="591"/>
      <c r="U140" s="565"/>
      <c r="V140" s="970"/>
      <c r="W140" s="970"/>
      <c r="X140" s="970"/>
      <c r="Y140" s="996"/>
      <c r="Z140" s="593"/>
      <c r="AA140" s="565"/>
      <c r="AB140" s="970"/>
      <c r="AC140" s="970"/>
      <c r="AD140" s="970"/>
      <c r="AE140" s="996"/>
      <c r="AF140" s="592"/>
      <c r="AG140" s="565"/>
      <c r="AH140" s="970"/>
      <c r="AI140" s="970"/>
      <c r="AJ140" s="970"/>
      <c r="AK140" s="996"/>
      <c r="AL140" s="601"/>
      <c r="AM140" s="565"/>
      <c r="AN140" s="970"/>
      <c r="AO140" s="970"/>
      <c r="AP140" s="970"/>
      <c r="AQ140" s="996"/>
      <c r="AR140" s="601"/>
      <c r="AS140" s="565"/>
      <c r="AT140" s="970"/>
      <c r="AU140" s="970"/>
      <c r="AV140" s="970"/>
      <c r="AW140" s="996"/>
      <c r="AX140" s="592"/>
      <c r="AY140" s="565"/>
      <c r="AZ140" s="970"/>
      <c r="BA140" s="970"/>
      <c r="BB140" s="970"/>
      <c r="BC140" s="562">
        <f>+BB140</f>
        <v>0</v>
      </c>
      <c r="BD140" s="601"/>
      <c r="BE140" s="909">
        <v>0</v>
      </c>
      <c r="BF140" s="910">
        <v>0</v>
      </c>
      <c r="BG140" s="910">
        <v>0.05</v>
      </c>
      <c r="BH140" s="910">
        <v>0.05</v>
      </c>
      <c r="BI140" s="562">
        <f>+BH140</f>
        <v>0.05</v>
      </c>
      <c r="BJ140" s="967"/>
      <c r="BK140" s="909">
        <v>7.4999999999999997E-2</v>
      </c>
      <c r="BL140" s="910">
        <v>7.4999999999999997E-2</v>
      </c>
      <c r="BM140" s="910">
        <v>0.1</v>
      </c>
      <c r="BN140" s="910">
        <v>0.1</v>
      </c>
      <c r="BO140" s="562">
        <f>+BN140</f>
        <v>0.1</v>
      </c>
      <c r="BP140" s="601"/>
      <c r="BQ140" s="909">
        <v>0.1</v>
      </c>
      <c r="BR140" s="910">
        <v>0.1</v>
      </c>
      <c r="BS140" s="910">
        <v>0.1</v>
      </c>
      <c r="BT140" s="910">
        <f>+BS140+0.025</f>
        <v>0.125</v>
      </c>
      <c r="BU140" s="562">
        <f>+BT140</f>
        <v>0.125</v>
      </c>
      <c r="BV140" s="601"/>
      <c r="BW140" s="909">
        <f>+BT140+0.025</f>
        <v>0.15</v>
      </c>
      <c r="BX140" s="910">
        <f>+BW140+0.025</f>
        <v>0.17499999999999999</v>
      </c>
      <c r="BY140" s="910">
        <f>+BX140+0.025</f>
        <v>0.19999999999999998</v>
      </c>
      <c r="BZ140" s="910">
        <f>+BY140+0.025</f>
        <v>0.22499999999999998</v>
      </c>
      <c r="CA140" s="562">
        <f>+BZ140</f>
        <v>0.22499999999999998</v>
      </c>
      <c r="CB140" s="601"/>
      <c r="CC140" s="909">
        <f>+BZ140+0.025</f>
        <v>0.24999999999999997</v>
      </c>
      <c r="CD140" s="910">
        <f>+CC140+0.025</f>
        <v>0.27499999999999997</v>
      </c>
      <c r="CE140" s="910">
        <f>+CD140+0.025</f>
        <v>0.3</v>
      </c>
      <c r="CF140" s="910">
        <f>+CE140+0.025</f>
        <v>0.32500000000000001</v>
      </c>
      <c r="CG140" s="562">
        <f>+CF140</f>
        <v>0.32500000000000001</v>
      </c>
      <c r="CH140" s="601"/>
      <c r="CI140" s="909">
        <f>+CF140+0.025</f>
        <v>0.35000000000000003</v>
      </c>
      <c r="CJ140" s="910">
        <f>+CI140+0.025</f>
        <v>0.37500000000000006</v>
      </c>
      <c r="CK140" s="910">
        <f>+CJ140+0.025</f>
        <v>0.40000000000000008</v>
      </c>
      <c r="CL140" s="910">
        <f>+CK140+0.025</f>
        <v>0.4250000000000001</v>
      </c>
      <c r="CM140" s="562">
        <f>+CL140</f>
        <v>0.4250000000000001</v>
      </c>
      <c r="CN140" s="601"/>
      <c r="CO140" s="909">
        <f>+CL140+0.025</f>
        <v>0.45000000000000012</v>
      </c>
      <c r="CP140" s="910">
        <f>+CO140+0.025</f>
        <v>0.47500000000000014</v>
      </c>
      <c r="CQ140" s="910">
        <f>+CP140+0.025</f>
        <v>0.50000000000000011</v>
      </c>
      <c r="CR140" s="910">
        <f>+CQ140+0.025</f>
        <v>0.52500000000000013</v>
      </c>
      <c r="CS140" s="562">
        <f>+CR140</f>
        <v>0.52500000000000013</v>
      </c>
      <c r="CT140" s="601"/>
      <c r="CU140" s="909">
        <f>+CR140+0.025</f>
        <v>0.55000000000000016</v>
      </c>
      <c r="CV140" s="910">
        <f>+CU140+0.025</f>
        <v>0.57500000000000018</v>
      </c>
      <c r="CW140" s="910">
        <f>+CV140+0.025</f>
        <v>0.6000000000000002</v>
      </c>
      <c r="CX140" s="910">
        <f>+CW140+0.025</f>
        <v>0.62500000000000022</v>
      </c>
      <c r="CY140" s="562">
        <f>+CX140</f>
        <v>0.62500000000000022</v>
      </c>
      <c r="CZ140" s="48"/>
      <c r="DA140"/>
      <c r="DB140"/>
      <c r="DC140"/>
      <c r="DD140" s="48"/>
      <c r="DE140" s="48"/>
      <c r="DF140" s="48"/>
      <c r="DG140" s="48"/>
      <c r="DH140" s="48"/>
      <c r="DI140" s="48"/>
      <c r="DJ140" s="48"/>
      <c r="DK140" s="48"/>
    </row>
    <row r="141" spans="1:115" s="5" customFormat="1" outlineLevel="1" x14ac:dyDescent="0.2">
      <c r="A141" s="205" t="s">
        <v>636</v>
      </c>
      <c r="B141" s="961"/>
      <c r="C141" s="565"/>
      <c r="D141" s="970"/>
      <c r="E141" s="970"/>
      <c r="F141" s="970"/>
      <c r="G141" s="996"/>
      <c r="H141" s="592"/>
      <c r="I141" s="565"/>
      <c r="J141" s="970"/>
      <c r="K141" s="970"/>
      <c r="L141" s="970"/>
      <c r="M141" s="996"/>
      <c r="N141" s="592"/>
      <c r="O141" s="565"/>
      <c r="P141" s="970"/>
      <c r="Q141" s="970"/>
      <c r="R141" s="970"/>
      <c r="S141" s="996"/>
      <c r="T141" s="591"/>
      <c r="U141" s="565"/>
      <c r="V141" s="970"/>
      <c r="W141" s="970"/>
      <c r="X141" s="970"/>
      <c r="Y141" s="996"/>
      <c r="Z141" s="593"/>
      <c r="AA141" s="565"/>
      <c r="AB141" s="970"/>
      <c r="AC141" s="970"/>
      <c r="AD141" s="970"/>
      <c r="AE141" s="996"/>
      <c r="AF141" s="592"/>
      <c r="AG141" s="565"/>
      <c r="AH141" s="970"/>
      <c r="AI141" s="970"/>
      <c r="AJ141" s="970"/>
      <c r="AK141" s="996"/>
      <c r="AL141" s="601"/>
      <c r="AM141" s="565"/>
      <c r="AN141" s="970"/>
      <c r="AO141" s="970"/>
      <c r="AP141" s="970"/>
      <c r="AQ141" s="996"/>
      <c r="AR141" s="601"/>
      <c r="AS141" s="565"/>
      <c r="AT141" s="970"/>
      <c r="AU141" s="970"/>
      <c r="AV141" s="970"/>
      <c r="AW141" s="996"/>
      <c r="AX141" s="592"/>
      <c r="AY141" s="565"/>
      <c r="AZ141" s="970"/>
      <c r="BA141" s="970"/>
      <c r="BB141" s="970"/>
      <c r="BC141" s="562">
        <f>+BB141</f>
        <v>0</v>
      </c>
      <c r="BD141" s="601"/>
      <c r="BE141" s="909">
        <v>0</v>
      </c>
      <c r="BF141" s="1114">
        <f>+(1-BF140-BF143)/2</f>
        <v>0.5</v>
      </c>
      <c r="BG141" s="1114">
        <f>+(1-BG140-BG143)/2</f>
        <v>0.47499999999999998</v>
      </c>
      <c r="BH141" s="1114">
        <f>+(1-BH140-BH143)/2</f>
        <v>0.47499999999999998</v>
      </c>
      <c r="BI141" s="562">
        <f>+BH141</f>
        <v>0.47499999999999998</v>
      </c>
      <c r="BJ141" s="967"/>
      <c r="BK141" s="1115">
        <f>+(1-BK140-BK143)/2</f>
        <v>0.4375</v>
      </c>
      <c r="BL141" s="1114">
        <f>+(1-BL140-BL143)/2</f>
        <v>0.4375</v>
      </c>
      <c r="BM141" s="1114">
        <f>+(1-BM140-BM143)/2</f>
        <v>0.4</v>
      </c>
      <c r="BN141" s="1114">
        <f>+(1-BN140-BN143)/2</f>
        <v>0.4</v>
      </c>
      <c r="BO141" s="562">
        <f>+BN141</f>
        <v>0.4</v>
      </c>
      <c r="BP141" s="601"/>
      <c r="BQ141" s="1115">
        <f>+(1-BQ140-BQ143)/2</f>
        <v>0.38750000000000001</v>
      </c>
      <c r="BR141" s="1114">
        <f>+(1-BR140-BR143)/2</f>
        <v>0.375</v>
      </c>
      <c r="BS141" s="1114">
        <f>+(1-BS140-BS143)/2</f>
        <v>0.375</v>
      </c>
      <c r="BT141" s="1114">
        <f>+(1-BT140-BT143)/2</f>
        <v>0.36249999999999999</v>
      </c>
      <c r="BU141" s="562">
        <f>+BT141</f>
        <v>0.36249999999999999</v>
      </c>
      <c r="BV141" s="601"/>
      <c r="BW141" s="1115">
        <f>+(1-BW140-BW143)/2</f>
        <v>0.35</v>
      </c>
      <c r="BX141" s="1114">
        <f>+(1-BX140-BX143)/2</f>
        <v>0.33749999999999997</v>
      </c>
      <c r="BY141" s="1114">
        <f>+(1-BY140-BY143)/2</f>
        <v>0.32500000000000001</v>
      </c>
      <c r="BZ141" s="1114">
        <f>+(1-BZ140-BZ143)/2</f>
        <v>0.3125</v>
      </c>
      <c r="CA141" s="562">
        <f>+BZ141</f>
        <v>0.3125</v>
      </c>
      <c r="CB141" s="601"/>
      <c r="CC141" s="1115">
        <f>+(1-CC140-CC143)/2</f>
        <v>0.3</v>
      </c>
      <c r="CD141" s="1114">
        <f>+(1-CD140-CD143)/2</f>
        <v>0.28750000000000003</v>
      </c>
      <c r="CE141" s="1114">
        <f>+(1-CE140-CE143)/2</f>
        <v>0.27499999999999997</v>
      </c>
      <c r="CF141" s="1114">
        <f>+(1-CF140-CF143)/2</f>
        <v>0.26250000000000001</v>
      </c>
      <c r="CG141" s="562">
        <f>+CF141</f>
        <v>0.26250000000000001</v>
      </c>
      <c r="CH141" s="601"/>
      <c r="CI141" s="1115">
        <f>+(1-CI140-CI143)/2</f>
        <v>0.24999999999999994</v>
      </c>
      <c r="CJ141" s="1114">
        <f>+(1-CJ140-CJ143)/2</f>
        <v>0.23749999999999999</v>
      </c>
      <c r="CK141" s="1114">
        <f>+(1-CK140-CK143)/2</f>
        <v>0.22499999999999992</v>
      </c>
      <c r="CL141" s="1114">
        <f>+(1-CL140-CL143)/2</f>
        <v>0.21249999999999997</v>
      </c>
      <c r="CM141" s="562">
        <f>+CL141</f>
        <v>0.21249999999999997</v>
      </c>
      <c r="CN141" s="601"/>
      <c r="CO141" s="1115">
        <f>+(1-CO140-CO143)/2</f>
        <v>0.1999999999999999</v>
      </c>
      <c r="CP141" s="1114">
        <f>+(1-CP140-CP143)/2</f>
        <v>0.18749999999999994</v>
      </c>
      <c r="CQ141" s="1114">
        <f>+(1-CQ140-CQ143)/2</f>
        <v>0.17499999999999993</v>
      </c>
      <c r="CR141" s="1114">
        <f>+(1-CR140-CR143)/2</f>
        <v>0.16249999999999992</v>
      </c>
      <c r="CS141" s="562">
        <f>+CR141</f>
        <v>0.16249999999999992</v>
      </c>
      <c r="CT141" s="601"/>
      <c r="CU141" s="1115">
        <f>+(1-CU140-CU143)/2</f>
        <v>0.14999999999999991</v>
      </c>
      <c r="CV141" s="1114">
        <f>+(1-CV140-CV143)/2</f>
        <v>0.1374999999999999</v>
      </c>
      <c r="CW141" s="1114">
        <f>+(1-CW140-CW143)/2</f>
        <v>0.1249999999999999</v>
      </c>
      <c r="CX141" s="1114">
        <f>+(1-CX140-CX143)/2</f>
        <v>0.11249999999999989</v>
      </c>
      <c r="CY141" s="562">
        <f>+CX141</f>
        <v>0.11249999999999989</v>
      </c>
      <c r="CZ141" s="48"/>
      <c r="DA141"/>
      <c r="DB141"/>
      <c r="DC141"/>
      <c r="DD141" s="48"/>
      <c r="DE141" s="48"/>
      <c r="DF141" s="48"/>
      <c r="DG141" s="48"/>
      <c r="DH141" s="48"/>
      <c r="DI141" s="48"/>
      <c r="DJ141" s="48"/>
      <c r="DK141" s="48"/>
    </row>
    <row r="142" spans="1:115" s="5" customFormat="1" outlineLevel="1" x14ac:dyDescent="0.2">
      <c r="A142" s="205" t="s">
        <v>637</v>
      </c>
      <c r="B142" s="961"/>
      <c r="C142" s="565"/>
      <c r="D142" s="970"/>
      <c r="E142" s="970"/>
      <c r="F142" s="970"/>
      <c r="G142" s="996"/>
      <c r="H142" s="592"/>
      <c r="I142" s="565"/>
      <c r="J142" s="970"/>
      <c r="K142" s="970"/>
      <c r="L142" s="970"/>
      <c r="M142" s="996"/>
      <c r="N142" s="592"/>
      <c r="O142" s="565"/>
      <c r="P142" s="970"/>
      <c r="Q142" s="970"/>
      <c r="R142" s="970"/>
      <c r="S142" s="996"/>
      <c r="T142" s="591"/>
      <c r="U142" s="565"/>
      <c r="V142" s="970"/>
      <c r="W142" s="970"/>
      <c r="X142" s="970"/>
      <c r="Y142" s="996"/>
      <c r="Z142" s="593"/>
      <c r="AA142" s="565"/>
      <c r="AB142" s="970"/>
      <c r="AC142" s="970"/>
      <c r="AD142" s="970"/>
      <c r="AE142" s="996"/>
      <c r="AF142" s="592"/>
      <c r="AG142" s="565"/>
      <c r="AH142" s="970"/>
      <c r="AI142" s="970"/>
      <c r="AJ142" s="970"/>
      <c r="AK142" s="996"/>
      <c r="AL142" s="601"/>
      <c r="AM142" s="565"/>
      <c r="AN142" s="970"/>
      <c r="AO142" s="970"/>
      <c r="AP142" s="970"/>
      <c r="AQ142" s="996"/>
      <c r="AR142" s="601"/>
      <c r="AS142" s="565"/>
      <c r="AT142" s="970"/>
      <c r="AU142" s="970"/>
      <c r="AV142" s="970"/>
      <c r="AW142" s="996"/>
      <c r="AX142" s="592"/>
      <c r="AY142" s="565"/>
      <c r="AZ142" s="970"/>
      <c r="BA142" s="970"/>
      <c r="BB142" s="970"/>
      <c r="BC142" s="562">
        <f>+BB142</f>
        <v>0</v>
      </c>
      <c r="BD142" s="601"/>
      <c r="BE142" s="909">
        <v>0</v>
      </c>
      <c r="BF142" s="1114">
        <f>+BF141</f>
        <v>0.5</v>
      </c>
      <c r="BG142" s="1114">
        <f>+BG141</f>
        <v>0.47499999999999998</v>
      </c>
      <c r="BH142" s="1114">
        <f>+BH141</f>
        <v>0.47499999999999998</v>
      </c>
      <c r="BI142" s="562">
        <f>+BH142</f>
        <v>0.47499999999999998</v>
      </c>
      <c r="BJ142" s="967"/>
      <c r="BK142" s="1115">
        <f>+BK141</f>
        <v>0.4375</v>
      </c>
      <c r="BL142" s="1114">
        <f>+BL141</f>
        <v>0.4375</v>
      </c>
      <c r="BM142" s="1114">
        <f>+BM141</f>
        <v>0.4</v>
      </c>
      <c r="BN142" s="1114">
        <f>+BN141</f>
        <v>0.4</v>
      </c>
      <c r="BO142" s="562">
        <f>+BN142</f>
        <v>0.4</v>
      </c>
      <c r="BP142" s="601"/>
      <c r="BQ142" s="1115">
        <f>+BQ141</f>
        <v>0.38750000000000001</v>
      </c>
      <c r="BR142" s="1114">
        <f>+BR141</f>
        <v>0.375</v>
      </c>
      <c r="BS142" s="1114">
        <f>+BS141</f>
        <v>0.375</v>
      </c>
      <c r="BT142" s="1114">
        <f>+BT141</f>
        <v>0.36249999999999999</v>
      </c>
      <c r="BU142" s="562">
        <f>+BT142</f>
        <v>0.36249999999999999</v>
      </c>
      <c r="BV142" s="601"/>
      <c r="BW142" s="1115">
        <f>+BW141</f>
        <v>0.35</v>
      </c>
      <c r="BX142" s="1114">
        <f>+BX141</f>
        <v>0.33749999999999997</v>
      </c>
      <c r="BY142" s="1114">
        <f>+BY141</f>
        <v>0.32500000000000001</v>
      </c>
      <c r="BZ142" s="1114">
        <f>+BZ141</f>
        <v>0.3125</v>
      </c>
      <c r="CA142" s="562">
        <f>+BZ142</f>
        <v>0.3125</v>
      </c>
      <c r="CB142" s="601"/>
      <c r="CC142" s="1115">
        <f>+CC141</f>
        <v>0.3</v>
      </c>
      <c r="CD142" s="1114">
        <f>+CD141</f>
        <v>0.28750000000000003</v>
      </c>
      <c r="CE142" s="1114">
        <f>+CE141</f>
        <v>0.27499999999999997</v>
      </c>
      <c r="CF142" s="1114">
        <f>+CF141</f>
        <v>0.26250000000000001</v>
      </c>
      <c r="CG142" s="562">
        <f>+CF142</f>
        <v>0.26250000000000001</v>
      </c>
      <c r="CH142" s="601"/>
      <c r="CI142" s="1115">
        <f>+CI141</f>
        <v>0.24999999999999994</v>
      </c>
      <c r="CJ142" s="1114">
        <f>+CJ141</f>
        <v>0.23749999999999999</v>
      </c>
      <c r="CK142" s="1114">
        <f>+CK141</f>
        <v>0.22499999999999992</v>
      </c>
      <c r="CL142" s="1114">
        <f>+CL141</f>
        <v>0.21249999999999997</v>
      </c>
      <c r="CM142" s="562">
        <f>+CL142</f>
        <v>0.21249999999999997</v>
      </c>
      <c r="CN142" s="601"/>
      <c r="CO142" s="1115">
        <f>+CO141</f>
        <v>0.1999999999999999</v>
      </c>
      <c r="CP142" s="1114">
        <f>+CP141</f>
        <v>0.18749999999999994</v>
      </c>
      <c r="CQ142" s="1114">
        <f>+CQ141</f>
        <v>0.17499999999999993</v>
      </c>
      <c r="CR142" s="1114">
        <f>+CR141</f>
        <v>0.16249999999999992</v>
      </c>
      <c r="CS142" s="562">
        <f>+CR142</f>
        <v>0.16249999999999992</v>
      </c>
      <c r="CT142" s="601"/>
      <c r="CU142" s="1115">
        <f>+CU141</f>
        <v>0.14999999999999991</v>
      </c>
      <c r="CV142" s="1114">
        <f>+CV141</f>
        <v>0.1374999999999999</v>
      </c>
      <c r="CW142" s="1114">
        <f>+CW141</f>
        <v>0.1249999999999999</v>
      </c>
      <c r="CX142" s="1114">
        <f>+CX141</f>
        <v>0.11249999999999989</v>
      </c>
      <c r="CY142" s="562">
        <f>+CX142</f>
        <v>0.11249999999999989</v>
      </c>
      <c r="CZ142" s="48"/>
      <c r="DA142"/>
      <c r="DB142"/>
      <c r="DC142"/>
      <c r="DD142" s="48"/>
      <c r="DE142" s="48"/>
      <c r="DF142" s="48"/>
      <c r="DG142" s="48"/>
      <c r="DH142" s="48"/>
      <c r="DI142" s="48"/>
      <c r="DJ142" s="48"/>
      <c r="DK142" s="48"/>
    </row>
    <row r="143" spans="1:115" s="5" customFormat="1" outlineLevel="1" x14ac:dyDescent="0.2">
      <c r="A143" s="205" t="s">
        <v>638</v>
      </c>
      <c r="B143" s="961"/>
      <c r="C143" s="565"/>
      <c r="D143" s="970"/>
      <c r="E143" s="970"/>
      <c r="F143" s="970"/>
      <c r="G143" s="996"/>
      <c r="H143" s="592"/>
      <c r="I143" s="565"/>
      <c r="J143" s="970"/>
      <c r="K143" s="970"/>
      <c r="L143" s="970"/>
      <c r="M143" s="996"/>
      <c r="N143" s="592"/>
      <c r="O143" s="565"/>
      <c r="P143" s="970"/>
      <c r="Q143" s="970"/>
      <c r="R143" s="970"/>
      <c r="S143" s="996"/>
      <c r="T143" s="591"/>
      <c r="U143" s="565"/>
      <c r="V143" s="970"/>
      <c r="W143" s="970"/>
      <c r="X143" s="970"/>
      <c r="Y143" s="996"/>
      <c r="Z143" s="593"/>
      <c r="AA143" s="565"/>
      <c r="AB143" s="970"/>
      <c r="AC143" s="970"/>
      <c r="AD143" s="970"/>
      <c r="AE143" s="996"/>
      <c r="AF143" s="592"/>
      <c r="AG143" s="565"/>
      <c r="AH143" s="970"/>
      <c r="AI143" s="970"/>
      <c r="AJ143" s="970"/>
      <c r="AK143" s="996"/>
      <c r="AL143" s="601"/>
      <c r="AM143" s="565"/>
      <c r="AN143" s="970"/>
      <c r="AO143" s="970"/>
      <c r="AP143" s="970"/>
      <c r="AQ143" s="996"/>
      <c r="AR143" s="601"/>
      <c r="AS143" s="565"/>
      <c r="AT143" s="970"/>
      <c r="AU143" s="970"/>
      <c r="AV143" s="970"/>
      <c r="AW143" s="996"/>
      <c r="AX143" s="592"/>
      <c r="AY143" s="565"/>
      <c r="AZ143" s="970"/>
      <c r="BA143" s="970"/>
      <c r="BB143" s="970"/>
      <c r="BC143" s="562">
        <f>+BB143</f>
        <v>0</v>
      </c>
      <c r="BD143" s="601"/>
      <c r="BE143" s="909">
        <v>0</v>
      </c>
      <c r="BF143" s="910">
        <v>0</v>
      </c>
      <c r="BG143" s="910">
        <v>0</v>
      </c>
      <c r="BH143" s="910">
        <v>0</v>
      </c>
      <c r="BI143" s="562">
        <f>+BH143</f>
        <v>0</v>
      </c>
      <c r="BJ143" s="967"/>
      <c r="BK143" s="909">
        <v>0.05</v>
      </c>
      <c r="BL143" s="910">
        <v>0.05</v>
      </c>
      <c r="BM143" s="910">
        <v>0.1</v>
      </c>
      <c r="BN143" s="910">
        <v>0.1</v>
      </c>
      <c r="BO143" s="562">
        <f>+BN143</f>
        <v>0.1</v>
      </c>
      <c r="BP143" s="601"/>
      <c r="BQ143" s="909">
        <v>0.125</v>
      </c>
      <c r="BR143" s="910">
        <v>0.15</v>
      </c>
      <c r="BS143" s="910">
        <f>+BR143</f>
        <v>0.15</v>
      </c>
      <c r="BT143" s="910">
        <f>+BS143</f>
        <v>0.15</v>
      </c>
      <c r="BU143" s="562">
        <f>+BT143</f>
        <v>0.15</v>
      </c>
      <c r="BV143" s="601"/>
      <c r="BW143" s="909">
        <v>0.15</v>
      </c>
      <c r="BX143" s="910">
        <v>0.15</v>
      </c>
      <c r="BY143" s="910">
        <f>+BX143</f>
        <v>0.15</v>
      </c>
      <c r="BZ143" s="910">
        <f>+BY143</f>
        <v>0.15</v>
      </c>
      <c r="CA143" s="562">
        <f>+BZ143</f>
        <v>0.15</v>
      </c>
      <c r="CB143" s="601"/>
      <c r="CC143" s="909">
        <v>0.15</v>
      </c>
      <c r="CD143" s="910">
        <v>0.15</v>
      </c>
      <c r="CE143" s="910">
        <f>+CD143</f>
        <v>0.15</v>
      </c>
      <c r="CF143" s="910">
        <f>+CE143</f>
        <v>0.15</v>
      </c>
      <c r="CG143" s="562">
        <f>+CF143</f>
        <v>0.15</v>
      </c>
      <c r="CH143" s="601"/>
      <c r="CI143" s="909">
        <v>0.15</v>
      </c>
      <c r="CJ143" s="910">
        <v>0.15</v>
      </c>
      <c r="CK143" s="910">
        <f>+CJ143</f>
        <v>0.15</v>
      </c>
      <c r="CL143" s="910">
        <f>+CK143</f>
        <v>0.15</v>
      </c>
      <c r="CM143" s="562">
        <f>+CL143</f>
        <v>0.15</v>
      </c>
      <c r="CN143" s="601"/>
      <c r="CO143" s="909">
        <v>0.15</v>
      </c>
      <c r="CP143" s="910">
        <v>0.15</v>
      </c>
      <c r="CQ143" s="910">
        <f>+CP143</f>
        <v>0.15</v>
      </c>
      <c r="CR143" s="910">
        <f>+CQ143</f>
        <v>0.15</v>
      </c>
      <c r="CS143" s="562">
        <f>+CR143</f>
        <v>0.15</v>
      </c>
      <c r="CT143" s="601"/>
      <c r="CU143" s="909">
        <v>0.15</v>
      </c>
      <c r="CV143" s="910">
        <v>0.15</v>
      </c>
      <c r="CW143" s="910">
        <f>+CV143</f>
        <v>0.15</v>
      </c>
      <c r="CX143" s="910">
        <f>+CW143</f>
        <v>0.15</v>
      </c>
      <c r="CY143" s="562">
        <f>+CX143</f>
        <v>0.15</v>
      </c>
      <c r="CZ143" s="48"/>
      <c r="DA143"/>
      <c r="DB143"/>
      <c r="DC143"/>
      <c r="DD143" s="48"/>
      <c r="DE143" s="48"/>
      <c r="DF143" s="48"/>
      <c r="DG143" s="48"/>
      <c r="DH143" s="48"/>
      <c r="DI143" s="48"/>
      <c r="DJ143" s="48"/>
      <c r="DK143" s="48"/>
    </row>
    <row r="144" spans="1:115" s="5" customFormat="1" x14ac:dyDescent="0.2">
      <c r="A144" s="354" t="s">
        <v>430</v>
      </c>
      <c r="B144" s="58"/>
      <c r="C144" s="565"/>
      <c r="D144" s="970"/>
      <c r="E144" s="970"/>
      <c r="F144" s="970"/>
      <c r="G144" s="708"/>
      <c r="H144" s="557"/>
      <c r="I144" s="565"/>
      <c r="J144" s="970"/>
      <c r="K144" s="970"/>
      <c r="L144" s="970"/>
      <c r="M144" s="708"/>
      <c r="N144" s="557"/>
      <c r="O144" s="565"/>
      <c r="P144" s="970"/>
      <c r="Q144" s="970"/>
      <c r="R144" s="970"/>
      <c r="S144" s="708"/>
      <c r="T144" s="558"/>
      <c r="U144" s="565"/>
      <c r="V144" s="970"/>
      <c r="W144" s="970"/>
      <c r="X144" s="970"/>
      <c r="Y144" s="708"/>
      <c r="Z144" s="557"/>
      <c r="AA144" s="565"/>
      <c r="AB144" s="970"/>
      <c r="AC144" s="970"/>
      <c r="AD144" s="970"/>
      <c r="AE144" s="708"/>
      <c r="AF144" s="706"/>
      <c r="AG144" s="565"/>
      <c r="AH144" s="970"/>
      <c r="AI144" s="970"/>
      <c r="AJ144" s="970"/>
      <c r="AK144" s="708"/>
      <c r="AL144" s="614"/>
      <c r="AM144" s="565"/>
      <c r="AN144" s="970"/>
      <c r="AO144" s="970"/>
      <c r="AP144" s="970"/>
      <c r="AQ144" s="708"/>
      <c r="AR144" s="614"/>
      <c r="AS144" s="565"/>
      <c r="AT144" s="970"/>
      <c r="AU144" s="970"/>
      <c r="AV144" s="970"/>
      <c r="AW144" s="708"/>
      <c r="AX144" s="601"/>
      <c r="AY144" s="565"/>
      <c r="AZ144" s="970"/>
      <c r="BA144" s="970"/>
      <c r="BB144" s="970"/>
      <c r="BC144" s="708"/>
      <c r="BD144" s="48"/>
      <c r="BE144" s="851">
        <v>0</v>
      </c>
      <c r="BF144" s="601">
        <v>0</v>
      </c>
      <c r="BG144" s="601">
        <v>0.25</v>
      </c>
      <c r="BH144" s="601">
        <v>1.5</v>
      </c>
      <c r="BI144" s="962">
        <f>+SUM(BE144:BH144)</f>
        <v>1.75</v>
      </c>
      <c r="BJ144" s="968"/>
      <c r="BK144" s="1216">
        <v>2</v>
      </c>
      <c r="BL144" s="1216">
        <v>1.5</v>
      </c>
      <c r="BM144" s="550">
        <f>+(0.01*RevBuild!BG17)*(1+RevBuild!BM$59)</f>
        <v>3.2380455999999995</v>
      </c>
      <c r="BN144" s="1216">
        <v>3.5</v>
      </c>
      <c r="BO144" s="580">
        <f>+SUM(BK144:BN144)</f>
        <v>10.2380456</v>
      </c>
      <c r="BP144" s="614"/>
      <c r="BQ144" s="581">
        <f>+BK144*(1+BQ145)</f>
        <v>2.9425104845087642</v>
      </c>
      <c r="BR144" s="550">
        <f>+BL144*(1+BR145)</f>
        <v>3.0981499817351326</v>
      </c>
      <c r="BS144" s="550">
        <f>+BM144*(1+BS145)</f>
        <v>3.5974686615999993</v>
      </c>
      <c r="BT144" s="550">
        <f>+BN144*(1+BT145)</f>
        <v>3.9794999999999998</v>
      </c>
      <c r="BU144" s="580">
        <f>+SUM(BQ144:BT144)</f>
        <v>13.617629127843896</v>
      </c>
      <c r="BV144" s="614"/>
      <c r="BW144" s="581">
        <f>+BQ144*(1+BW145)</f>
        <v>3.2362565084891304</v>
      </c>
      <c r="BX144" s="550">
        <f>+BR144*(1+BX145)</f>
        <v>3.5158335437172719</v>
      </c>
      <c r="BY144" s="550">
        <f>+BS144*(1+BY145)</f>
        <v>4.1071976205950422</v>
      </c>
      <c r="BZ144" s="550">
        <f>+BT144*(1+BZ145)</f>
        <v>4.5752031736011469</v>
      </c>
      <c r="CA144" s="580">
        <f>+SUM(BW144:BZ144)</f>
        <v>15.434490846402589</v>
      </c>
      <c r="CB144" s="614"/>
      <c r="CC144" s="581">
        <f>+BW144*(1+CC145)</f>
        <v>3.748458074125725</v>
      </c>
      <c r="CD144" s="550">
        <f>+BX144*(1+CD145)</f>
        <v>4.069348700738125</v>
      </c>
      <c r="CE144" s="550">
        <f>+BY144*(1+CE145)</f>
        <v>4.8708324780231447</v>
      </c>
      <c r="CF144" s="550">
        <f>+BZ144*(1+CF145)</f>
        <v>5.5061820902799692</v>
      </c>
      <c r="CG144" s="580">
        <f>+SUM(CC144:CF144)</f>
        <v>18.194821343166964</v>
      </c>
      <c r="CH144" s="614"/>
      <c r="CI144" s="581">
        <f>+CC144*(1+CI145)</f>
        <v>4.5356342696921272</v>
      </c>
      <c r="CJ144" s="550">
        <f>+CD144*(1+CJ145)</f>
        <v>4.903565184389441</v>
      </c>
      <c r="CK144" s="550">
        <f>+CE144*(1+CK145)</f>
        <v>5.7719364864574265</v>
      </c>
      <c r="CL144" s="550">
        <f>+CF144*(1+CL145)</f>
        <v>6.4972948665303631</v>
      </c>
      <c r="CM144" s="580">
        <f>+SUM(CI144:CL144)</f>
        <v>21.708430807069359</v>
      </c>
      <c r="CN144" s="614"/>
      <c r="CO144" s="581">
        <f>+CI144*(1+CO145)</f>
        <v>5.261335752842867</v>
      </c>
      <c r="CP144" s="550">
        <f>+CJ144*(1+CP145)</f>
        <v>5.6881356138917516</v>
      </c>
      <c r="CQ144" s="550">
        <f>+CK144*(1+CQ145)</f>
        <v>6.6954463242906144</v>
      </c>
      <c r="CR144" s="550">
        <f>+CL144*(1+CR145)</f>
        <v>7.5368620451752211</v>
      </c>
      <c r="CS144" s="580">
        <f>+SUM(CO144:CR144)</f>
        <v>25.181779736200454</v>
      </c>
      <c r="CT144" s="614"/>
      <c r="CU144" s="581">
        <f>+CO144*(1+CU145)</f>
        <v>6.1031494732977256</v>
      </c>
      <c r="CV144" s="550">
        <f>+CP144*(1+CV145)</f>
        <v>6.5982373121144313</v>
      </c>
      <c r="CW144" s="550">
        <f>+CQ144*(1+CW145)</f>
        <v>7.766717736177112</v>
      </c>
      <c r="CX144" s="550">
        <f>+CR144*(1+CX145)</f>
        <v>8.7427599724032561</v>
      </c>
      <c r="CY144" s="580">
        <f>+SUM(CU144:CX144)</f>
        <v>29.210864493992524</v>
      </c>
      <c r="CZ144" s="48"/>
      <c r="DA144"/>
      <c r="DB144"/>
      <c r="DC144"/>
      <c r="DD144" s="48"/>
      <c r="DE144" s="48"/>
      <c r="DF144" s="48"/>
      <c r="DG144" s="48"/>
      <c r="DH144" s="48"/>
      <c r="DI144" s="48"/>
      <c r="DJ144" s="48"/>
      <c r="DK144" s="48"/>
    </row>
    <row r="145" spans="1:115" s="5" customFormat="1" x14ac:dyDescent="0.2">
      <c r="A145" s="205" t="s">
        <v>639</v>
      </c>
      <c r="B145" s="58"/>
      <c r="C145" s="565"/>
      <c r="D145" s="970"/>
      <c r="E145" s="970"/>
      <c r="F145" s="970"/>
      <c r="G145" s="708"/>
      <c r="H145" s="557"/>
      <c r="I145" s="565"/>
      <c r="J145" s="970"/>
      <c r="K145" s="970"/>
      <c r="L145" s="970"/>
      <c r="M145" s="708"/>
      <c r="N145" s="557"/>
      <c r="O145" s="565"/>
      <c r="P145" s="970"/>
      <c r="Q145" s="970"/>
      <c r="R145" s="970"/>
      <c r="S145" s="708"/>
      <c r="T145" s="558"/>
      <c r="U145" s="565"/>
      <c r="V145" s="970"/>
      <c r="W145" s="970"/>
      <c r="X145" s="970"/>
      <c r="Y145" s="708"/>
      <c r="Z145" s="557"/>
      <c r="AA145" s="565"/>
      <c r="AB145" s="970"/>
      <c r="AC145" s="970"/>
      <c r="AD145" s="970"/>
      <c r="AE145" s="708"/>
      <c r="AF145" s="706"/>
      <c r="AG145" s="565"/>
      <c r="AH145" s="970"/>
      <c r="AI145" s="970"/>
      <c r="AJ145" s="970"/>
      <c r="AK145" s="708"/>
      <c r="AL145" s="614"/>
      <c r="AM145" s="565"/>
      <c r="AN145" s="970"/>
      <c r="AO145" s="970"/>
      <c r="AP145" s="970"/>
      <c r="AQ145" s="708"/>
      <c r="AR145" s="614"/>
      <c r="AS145" s="565"/>
      <c r="AT145" s="970"/>
      <c r="AU145" s="970"/>
      <c r="AV145" s="970"/>
      <c r="AW145" s="708"/>
      <c r="AX145" s="614"/>
      <c r="AY145" s="565"/>
      <c r="AZ145" s="970"/>
      <c r="BA145" s="970"/>
      <c r="BB145" s="970"/>
      <c r="BC145" s="708"/>
      <c r="BD145" s="614"/>
      <c r="BE145" s="1115" t="s">
        <v>429</v>
      </c>
      <c r="BF145" s="1114" t="s">
        <v>429</v>
      </c>
      <c r="BG145" s="1114" t="s">
        <v>429</v>
      </c>
      <c r="BH145" s="1114" t="s">
        <v>429</v>
      </c>
      <c r="BI145" s="1115" t="s">
        <v>429</v>
      </c>
      <c r="BJ145" s="968"/>
      <c r="BK145" s="1115" t="s">
        <v>429</v>
      </c>
      <c r="BL145" s="1114" t="s">
        <v>429</v>
      </c>
      <c r="BM145" s="587">
        <f>+BM144/BG144-1</f>
        <v>11.952182399999998</v>
      </c>
      <c r="BN145" s="587">
        <f>+BN144/BH144-1</f>
        <v>1.3333333333333335</v>
      </c>
      <c r="BO145" s="707">
        <f>+BO144/BI144-1</f>
        <v>4.8503117714285713</v>
      </c>
      <c r="BP145" s="614"/>
      <c r="BQ145" s="1109">
        <f>+BQ146+RevBuild!BQ$59</f>
        <v>0.47125524225438209</v>
      </c>
      <c r="BR145" s="1110">
        <f>+BR146+RevBuild!BR$59</f>
        <v>1.0654333211567548</v>
      </c>
      <c r="BS145" s="1110">
        <f>+BS146+RevBuild!BS$59</f>
        <v>0.11100000000000002</v>
      </c>
      <c r="BT145" s="1110">
        <f>+BT146+RevBuild!BT$59</f>
        <v>0.13700000000000001</v>
      </c>
      <c r="BU145" s="707">
        <f>+BU144/BO144-1</f>
        <v>0.33010045665785048</v>
      </c>
      <c r="BV145" s="614"/>
      <c r="BW145" s="1109">
        <f>+BW146+RevBuild!BW$59</f>
        <v>9.9828369525556751E-2</v>
      </c>
      <c r="BX145" s="1110">
        <f>+BX146+RevBuild!BX$59</f>
        <v>0.13481708905138726</v>
      </c>
      <c r="BY145" s="1110">
        <f>+BY146+RevBuild!BY$59</f>
        <v>0.1416910074675502</v>
      </c>
      <c r="BZ145" s="1110">
        <f>+BZ146+RevBuild!BZ$59</f>
        <v>0.14969296987087521</v>
      </c>
      <c r="CA145" s="707">
        <f>+CA144/BU144-1</f>
        <v>0.13341982671886443</v>
      </c>
      <c r="CB145" s="614"/>
      <c r="CC145" s="1109">
        <f>+CC146+RevBuild!CC$59</f>
        <v>0.15826976764450595</v>
      </c>
      <c r="CD145" s="1110">
        <f>+CD146+RevBuild!CD$59</f>
        <v>0.15743497242921911</v>
      </c>
      <c r="CE145" s="1110">
        <f>+CE146+RevBuild!CE$59</f>
        <v>0.18592600794248326</v>
      </c>
      <c r="CF145" s="1110">
        <f>+CF146+RevBuild!CF$59</f>
        <v>0.20348362277123722</v>
      </c>
      <c r="CG145" s="707">
        <f>+CG144/CA144-1</f>
        <v>0.17884169450317455</v>
      </c>
      <c r="CH145" s="614"/>
      <c r="CI145" s="1109">
        <f>+CI146+RevBuild!CI$59</f>
        <v>0.21000000000000002</v>
      </c>
      <c r="CJ145" s="1110">
        <f>+CJ146+RevBuild!CJ$59</f>
        <v>0.20500000000000002</v>
      </c>
      <c r="CK145" s="1110">
        <f>+CK146+RevBuild!CK$59</f>
        <v>0.185</v>
      </c>
      <c r="CL145" s="1110">
        <f>+CL146+RevBuild!CL$59</f>
        <v>0.18</v>
      </c>
      <c r="CM145" s="707">
        <f>+CM144/CG144-1</f>
        <v>0.19311041299242682</v>
      </c>
      <c r="CN145" s="614"/>
      <c r="CO145" s="1109">
        <f>+CO146+RevBuild!CO$59</f>
        <v>0.16</v>
      </c>
      <c r="CP145" s="1110">
        <f>+CP146+RevBuild!CP$59</f>
        <v>0.16</v>
      </c>
      <c r="CQ145" s="1110">
        <f>+CQ146+RevBuild!CQ$59</f>
        <v>0.16</v>
      </c>
      <c r="CR145" s="1110">
        <f>+CR146+RevBuild!CR$59</f>
        <v>0.16</v>
      </c>
      <c r="CS145" s="707">
        <f>+CS144/CM144-1</f>
        <v>0.15999999999999992</v>
      </c>
      <c r="CT145" s="614"/>
      <c r="CU145" s="1109">
        <f>+CU146+RevBuild!CU$59</f>
        <v>0.16</v>
      </c>
      <c r="CV145" s="1110">
        <f>+CV146+RevBuild!CV$59</f>
        <v>0.16</v>
      </c>
      <c r="CW145" s="1110">
        <f>+CW146+RevBuild!CW$59</f>
        <v>0.16</v>
      </c>
      <c r="CX145" s="1110">
        <f>+CX146+RevBuild!CX$59</f>
        <v>0.16</v>
      </c>
      <c r="CY145" s="707">
        <f>+CY144/CS144-1</f>
        <v>0.15999999999999992</v>
      </c>
      <c r="CZ145" s="48"/>
      <c r="DA145"/>
      <c r="DB145"/>
      <c r="DC145"/>
      <c r="DD145" s="48"/>
      <c r="DE145" s="48"/>
      <c r="DF145" s="48"/>
      <c r="DG145" s="48"/>
      <c r="DH145" s="48"/>
      <c r="DI145" s="48"/>
      <c r="DJ145" s="48"/>
      <c r="DK145" s="48"/>
    </row>
    <row r="146" spans="1:115" s="5" customFormat="1" x14ac:dyDescent="0.2">
      <c r="A146" s="205" t="s">
        <v>227</v>
      </c>
      <c r="B146" s="58"/>
      <c r="C146" s="565"/>
      <c r="D146" s="970"/>
      <c r="E146" s="970"/>
      <c r="F146" s="970"/>
      <c r="G146" s="708"/>
      <c r="H146" s="557"/>
      <c r="I146" s="565"/>
      <c r="J146" s="970"/>
      <c r="K146" s="970"/>
      <c r="L146" s="970"/>
      <c r="M146" s="708"/>
      <c r="N146" s="557"/>
      <c r="O146" s="565"/>
      <c r="P146" s="970"/>
      <c r="Q146" s="970"/>
      <c r="R146" s="970"/>
      <c r="S146" s="708"/>
      <c r="T146" s="558"/>
      <c r="U146" s="565"/>
      <c r="V146" s="970"/>
      <c r="W146" s="970"/>
      <c r="X146" s="970"/>
      <c r="Y146" s="708"/>
      <c r="Z146" s="557"/>
      <c r="AA146" s="565"/>
      <c r="AB146" s="970"/>
      <c r="AC146" s="970"/>
      <c r="AD146" s="970"/>
      <c r="AE146" s="708"/>
      <c r="AF146" s="706"/>
      <c r="AG146" s="565"/>
      <c r="AH146" s="970"/>
      <c r="AI146" s="970"/>
      <c r="AJ146" s="970"/>
      <c r="AK146" s="708"/>
      <c r="AL146" s="614"/>
      <c r="AM146" s="565"/>
      <c r="AN146" s="970"/>
      <c r="AO146" s="970"/>
      <c r="AP146" s="970"/>
      <c r="AQ146" s="708"/>
      <c r="AR146" s="614"/>
      <c r="AS146" s="565"/>
      <c r="AT146" s="970"/>
      <c r="AU146" s="970"/>
      <c r="AV146" s="970"/>
      <c r="AW146" s="708"/>
      <c r="AX146" s="614"/>
      <c r="AY146" s="565"/>
      <c r="AZ146" s="970"/>
      <c r="BA146" s="970"/>
      <c r="BB146" s="970"/>
      <c r="BC146" s="708"/>
      <c r="BD146" s="968"/>
      <c r="BE146" s="1102" t="s">
        <v>429</v>
      </c>
      <c r="BF146" s="1102" t="s">
        <v>429</v>
      </c>
      <c r="BG146" s="1102" t="s">
        <v>429</v>
      </c>
      <c r="BH146" s="1102" t="s">
        <v>429</v>
      </c>
      <c r="BI146" s="1258" t="s">
        <v>429</v>
      </c>
      <c r="BJ146" s="968"/>
      <c r="BK146" s="1109" t="s">
        <v>429</v>
      </c>
      <c r="BL146" s="1110" t="s">
        <v>429</v>
      </c>
      <c r="BM146" s="1110">
        <f>+BM145-RevBuild!BM59</f>
        <v>11.952202288144626</v>
      </c>
      <c r="BN146" s="1110">
        <f>+BN145-RevBuild!BN59</f>
        <v>1.3812287371696754</v>
      </c>
      <c r="BO146" s="1259">
        <f>+BO145-RevBuild!BO$59</f>
        <v>4.8598513555018608</v>
      </c>
      <c r="BP146" s="614"/>
      <c r="BQ146" s="909">
        <v>0.55000000000000004</v>
      </c>
      <c r="BR146" s="910">
        <v>1.1499999999999999</v>
      </c>
      <c r="BS146" s="910">
        <v>0.2</v>
      </c>
      <c r="BT146" s="910">
        <v>0.2</v>
      </c>
      <c r="BU146" s="1259">
        <f>+BU145-RevBuild!BU$59</f>
        <v>0.41035045665785036</v>
      </c>
      <c r="BV146" s="614"/>
      <c r="BW146" s="909">
        <v>0.12</v>
      </c>
      <c r="BX146" s="910">
        <v>0.15</v>
      </c>
      <c r="BY146" s="910">
        <v>0.15</v>
      </c>
      <c r="BZ146" s="910">
        <v>0.18</v>
      </c>
      <c r="CA146" s="1259">
        <f>+CA145-RevBuild!CA$59</f>
        <v>0.15213090796321566</v>
      </c>
      <c r="CB146" s="614"/>
      <c r="CC146" s="909">
        <v>0.18</v>
      </c>
      <c r="CD146" s="910">
        <v>0.18</v>
      </c>
      <c r="CE146" s="910">
        <v>0.18</v>
      </c>
      <c r="CF146" s="910">
        <v>0.18</v>
      </c>
      <c r="CG146" s="1259">
        <f>+CG145-RevBuild!CG$59</f>
        <v>0.18256310180631316</v>
      </c>
      <c r="CH146" s="614"/>
      <c r="CI146" s="909">
        <v>0.16</v>
      </c>
      <c r="CJ146" s="910">
        <f>+CI146</f>
        <v>0.16</v>
      </c>
      <c r="CK146" s="910">
        <f>+CJ146</f>
        <v>0.16</v>
      </c>
      <c r="CL146" s="910">
        <f>+CK146</f>
        <v>0.16</v>
      </c>
      <c r="CM146" s="1259">
        <f>+CM145-RevBuild!CM$59</f>
        <v>0.15811041299242681</v>
      </c>
      <c r="CN146" s="614"/>
      <c r="CO146" s="909">
        <f>+CL146</f>
        <v>0.16</v>
      </c>
      <c r="CP146" s="910">
        <f>+CO146</f>
        <v>0.16</v>
      </c>
      <c r="CQ146" s="910">
        <f>+CP146</f>
        <v>0.16</v>
      </c>
      <c r="CR146" s="910">
        <f>+CQ146</f>
        <v>0.16</v>
      </c>
      <c r="CS146" s="1259">
        <f>+CS145-RevBuild!CS$59</f>
        <v>0.15999999999999992</v>
      </c>
      <c r="CT146" s="614"/>
      <c r="CU146" s="909">
        <f>+CR146</f>
        <v>0.16</v>
      </c>
      <c r="CV146" s="910">
        <f>+CU146</f>
        <v>0.16</v>
      </c>
      <c r="CW146" s="910">
        <f>+CV146</f>
        <v>0.16</v>
      </c>
      <c r="CX146" s="910">
        <f>+CW146</f>
        <v>0.16</v>
      </c>
      <c r="CY146" s="1259">
        <f>+CY145-RevBuild!CY$59</f>
        <v>0.15999999999999992</v>
      </c>
      <c r="CZ146" s="48"/>
      <c r="DA146"/>
      <c r="DB146"/>
      <c r="DC146"/>
      <c r="DD146" s="48"/>
      <c r="DE146" s="48"/>
      <c r="DF146" s="48"/>
      <c r="DG146" s="48"/>
      <c r="DH146" s="48"/>
      <c r="DI146" s="48"/>
      <c r="DJ146" s="48"/>
      <c r="DK146" s="48"/>
    </row>
    <row r="147" spans="1:115" s="5" customFormat="1" outlineLevel="1" x14ac:dyDescent="0.2">
      <c r="A147" s="354" t="s">
        <v>240</v>
      </c>
      <c r="B147" s="58"/>
      <c r="C147" s="565"/>
      <c r="D147" s="970"/>
      <c r="E147" s="970"/>
      <c r="F147" s="970"/>
      <c r="G147" s="996"/>
      <c r="H147" s="39"/>
      <c r="I147" s="565"/>
      <c r="J147" s="970"/>
      <c r="K147" s="970"/>
      <c r="L147" s="970"/>
      <c r="M147" s="996"/>
      <c r="N147" s="39"/>
      <c r="O147" s="565"/>
      <c r="P147" s="970"/>
      <c r="Q147" s="970"/>
      <c r="R147" s="970"/>
      <c r="S147" s="996"/>
      <c r="T147" s="39"/>
      <c r="U147" s="565"/>
      <c r="V147" s="970"/>
      <c r="W147" s="970"/>
      <c r="X147" s="970"/>
      <c r="Y147" s="996"/>
      <c r="Z147" s="39"/>
      <c r="AA147" s="565"/>
      <c r="AB147" s="970"/>
      <c r="AC147" s="970"/>
      <c r="AD147" s="970"/>
      <c r="AE147" s="996"/>
      <c r="AF147" s="39"/>
      <c r="AG147" s="565"/>
      <c r="AH147" s="970"/>
      <c r="AI147" s="970"/>
      <c r="AJ147" s="970"/>
      <c r="AK147" s="996"/>
      <c r="AL147" s="39"/>
      <c r="AM147" s="565"/>
      <c r="AN147" s="970"/>
      <c r="AO147" s="970"/>
      <c r="AP147" s="970"/>
      <c r="AQ147" s="996"/>
      <c r="AR147" s="614"/>
      <c r="AS147" s="565"/>
      <c r="AT147" s="970"/>
      <c r="AU147" s="970"/>
      <c r="AV147" s="970"/>
      <c r="AW147" s="996"/>
      <c r="AX147" s="614"/>
      <c r="AY147" s="565"/>
      <c r="AZ147" s="970"/>
      <c r="BA147" s="970"/>
      <c r="BB147" s="970"/>
      <c r="BC147" s="971">
        <v>20</v>
      </c>
      <c r="BD147" s="614"/>
      <c r="BE147" s="851">
        <v>0</v>
      </c>
      <c r="BF147" s="601">
        <v>0.7</v>
      </c>
      <c r="BG147" s="601">
        <v>7</v>
      </c>
      <c r="BH147" s="601">
        <v>7</v>
      </c>
      <c r="BI147" s="962">
        <f>+SUM(BE147:BH147)</f>
        <v>14.7</v>
      </c>
      <c r="BJ147" s="968"/>
      <c r="BK147" s="1216">
        <v>5</v>
      </c>
      <c r="BL147" s="550">
        <f>+BF147*(1+BL148)</f>
        <v>4.9047974286689504</v>
      </c>
      <c r="BM147" s="550">
        <f>+BG147*(1+BM148)</f>
        <v>6.9998607829876072</v>
      </c>
      <c r="BN147" s="550">
        <f>+BH147*(1+BN148)</f>
        <v>7.0147321731456067</v>
      </c>
      <c r="BO147" s="580">
        <f>+SUM(BK147:BN147)</f>
        <v>23.919390384802163</v>
      </c>
      <c r="BP147" s="614"/>
      <c r="BQ147" s="581">
        <f>+BK147*(1+BQ148)</f>
        <v>5.6062762112719096</v>
      </c>
      <c r="BR147" s="550">
        <f>+BL147*(1+BR148)</f>
        <v>5.9614542283282139</v>
      </c>
      <c r="BS147" s="550">
        <f>+BM147*(1+BS148)</f>
        <v>7.4268522907498511</v>
      </c>
      <c r="BT147" s="550">
        <f>+BN147*(1+BT148)</f>
        <v>8.1160451243294673</v>
      </c>
      <c r="BU147" s="580">
        <f>+SUM(BQ147:BT147)</f>
        <v>27.110627854679443</v>
      </c>
      <c r="BV147" s="614"/>
      <c r="BW147" s="581">
        <f>+BQ147*(1+BW148)</f>
        <v>6.1659416245531009</v>
      </c>
      <c r="BX147" s="550">
        <f>+BR147*(1+BX148)</f>
        <v>6.7651601339045087</v>
      </c>
      <c r="BY147" s="550">
        <f>+BS147*(1+BY148)</f>
        <v>8.4791704741388809</v>
      </c>
      <c r="BZ147" s="550">
        <f>+BT147*(1+BZ148)</f>
        <v>9.3309600225963809</v>
      </c>
      <c r="CA147" s="580">
        <f>+SUM(BW147:BZ147)</f>
        <v>30.74123225519287</v>
      </c>
      <c r="CB147" s="614"/>
      <c r="CC147" s="581">
        <f>+BW147*(1+CC148)</f>
        <v>7.1418237727807075</v>
      </c>
      <c r="CD147" s="550">
        <f>+BX147*(1+CD148)</f>
        <v>7.8302329330650178</v>
      </c>
      <c r="CE147" s="550">
        <f>+BY147*(1+CE148)</f>
        <v>10.055668791059297</v>
      </c>
      <c r="CF147" s="550">
        <f>+BZ147*(1+CF148)</f>
        <v>11.229657571927877</v>
      </c>
      <c r="CG147" s="580">
        <f>+SUM(CC147:CF147)</f>
        <v>36.257383068832894</v>
      </c>
      <c r="CH147" s="614"/>
      <c r="CI147" s="581">
        <f>+CC147*(1+CI148)</f>
        <v>8.6416067650646564</v>
      </c>
      <c r="CJ147" s="550">
        <f>+CD147*(1+CJ148)</f>
        <v>9.4354306843433466</v>
      </c>
      <c r="CK147" s="550">
        <f>+CE147*(1+CK148)</f>
        <v>11.915967517405267</v>
      </c>
      <c r="CL147" s="550">
        <f>+CF147*(1+CL148)</f>
        <v>13.250995934874894</v>
      </c>
      <c r="CM147" s="580">
        <f>+SUM(CI147:CL147)</f>
        <v>43.244000901688167</v>
      </c>
      <c r="CN147" s="614"/>
      <c r="CO147" s="581">
        <f>+CI147*(1+CO148)</f>
        <v>10.024263847475</v>
      </c>
      <c r="CP147" s="550">
        <f>+CJ147*(1+CP148)</f>
        <v>10.945099593838281</v>
      </c>
      <c r="CQ147" s="550">
        <f>+CK147*(1+CQ148)</f>
        <v>13.822522320190108</v>
      </c>
      <c r="CR147" s="550">
        <f>+CL147*(1+CR148)</f>
        <v>15.371155284454876</v>
      </c>
      <c r="CS147" s="580">
        <f>+SUM(CO147:CR147)</f>
        <v>50.163041045958266</v>
      </c>
      <c r="CT147" s="614"/>
      <c r="CU147" s="581">
        <f>+CO147*(1+CU148)</f>
        <v>11.628146063070998</v>
      </c>
      <c r="CV147" s="550">
        <f>+CP147*(1+CV148)</f>
        <v>12.696315528852404</v>
      </c>
      <c r="CW147" s="550">
        <f>+CQ147*(1+CW148)</f>
        <v>16.034125891420526</v>
      </c>
      <c r="CX147" s="550">
        <f>+CR147*(1+CX148)</f>
        <v>17.830540129967655</v>
      </c>
      <c r="CY147" s="580">
        <f>+SUM(CU147:CX147)</f>
        <v>58.189127613311584</v>
      </c>
      <c r="CZ147" s="48"/>
      <c r="DA147"/>
      <c r="DB147"/>
      <c r="DC147"/>
      <c r="DD147" s="48"/>
      <c r="DE147" s="48"/>
      <c r="DF147" s="48"/>
      <c r="DG147" s="48"/>
      <c r="DH147" s="48"/>
      <c r="DI147" s="48"/>
      <c r="DJ147" s="48"/>
      <c r="DK147" s="48"/>
    </row>
    <row r="148" spans="1:115" s="5" customFormat="1" outlineLevel="1" x14ac:dyDescent="0.2">
      <c r="A148" s="205" t="s">
        <v>639</v>
      </c>
      <c r="B148" s="58"/>
      <c r="C148" s="565"/>
      <c r="D148" s="970"/>
      <c r="E148" s="970"/>
      <c r="F148" s="970"/>
      <c r="G148" s="971"/>
      <c r="H148" s="39"/>
      <c r="I148" s="565"/>
      <c r="J148" s="970"/>
      <c r="K148" s="970"/>
      <c r="L148" s="970"/>
      <c r="M148" s="971"/>
      <c r="N148" s="39"/>
      <c r="O148" s="565"/>
      <c r="P148" s="970"/>
      <c r="Q148" s="970"/>
      <c r="R148" s="970"/>
      <c r="S148" s="971"/>
      <c r="T148" s="39"/>
      <c r="U148" s="565"/>
      <c r="V148" s="970"/>
      <c r="W148" s="970"/>
      <c r="X148" s="970"/>
      <c r="Y148" s="971"/>
      <c r="Z148" s="39"/>
      <c r="AA148" s="565"/>
      <c r="AB148" s="970"/>
      <c r="AC148" s="970"/>
      <c r="AD148" s="970"/>
      <c r="AE148" s="971"/>
      <c r="AF148" s="39"/>
      <c r="AG148" s="565"/>
      <c r="AH148" s="970"/>
      <c r="AI148" s="970"/>
      <c r="AJ148" s="970"/>
      <c r="AK148" s="971"/>
      <c r="AL148" s="39"/>
      <c r="AM148" s="565"/>
      <c r="AN148" s="970"/>
      <c r="AO148" s="970"/>
      <c r="AP148" s="970"/>
      <c r="AQ148" s="971"/>
      <c r="AR148" s="614"/>
      <c r="AS148" s="565"/>
      <c r="AT148" s="970"/>
      <c r="AU148" s="970"/>
      <c r="AV148" s="970"/>
      <c r="AW148" s="971"/>
      <c r="AX148" s="614"/>
      <c r="AY148" s="565"/>
      <c r="AZ148" s="970"/>
      <c r="BA148" s="970"/>
      <c r="BB148" s="970"/>
      <c r="BC148" s="971"/>
      <c r="BD148" s="614"/>
      <c r="BE148" s="1109" t="s">
        <v>429</v>
      </c>
      <c r="BF148" s="1110" t="s">
        <v>429</v>
      </c>
      <c r="BG148" s="1110" t="s">
        <v>429</v>
      </c>
      <c r="BH148" s="1110" t="s">
        <v>429</v>
      </c>
      <c r="BI148" s="1115" t="s">
        <v>429</v>
      </c>
      <c r="BJ148" s="968"/>
      <c r="BK148" s="1109" t="s">
        <v>429</v>
      </c>
      <c r="BL148" s="1110">
        <f>+BL149+RevBuild!BL59</f>
        <v>6.0068534695270728</v>
      </c>
      <c r="BM148" s="1110">
        <f>+BM149+RevBuild!BM59</f>
        <v>-1.9888144627576432E-5</v>
      </c>
      <c r="BN148" s="1110">
        <f>+BN149+RevBuild!BN59</f>
        <v>2.1045961636581012E-3</v>
      </c>
      <c r="BO148" s="707">
        <f>+BO147/BI147-1</f>
        <v>0.62716941393212</v>
      </c>
      <c r="BP148" s="614"/>
      <c r="BQ148" s="1109">
        <f>+BQ149+RevBuild!BQ$59</f>
        <v>0.12125524225438207</v>
      </c>
      <c r="BR148" s="1110">
        <f>+BR149+RevBuild!BR$59</f>
        <v>0.21543332115675495</v>
      </c>
      <c r="BS148" s="1110">
        <f>+BS149+RevBuild!BS$59</f>
        <v>6.0999999999999999E-2</v>
      </c>
      <c r="BT148" s="1110">
        <f>+BT149+RevBuild!BT$59</f>
        <v>0.157</v>
      </c>
      <c r="BU148" s="707">
        <f>+BU147/BO147-1</f>
        <v>0.13341633789734542</v>
      </c>
      <c r="BV148" s="614"/>
      <c r="BW148" s="1109">
        <f>+BW149+RevBuild!BW$59</f>
        <v>9.9828369525556751E-2</v>
      </c>
      <c r="BX148" s="1110">
        <f>+BX149+RevBuild!BX$59</f>
        <v>0.13481708905138726</v>
      </c>
      <c r="BY148" s="1110">
        <f>+BY149+RevBuild!BY$59</f>
        <v>0.1416910074675502</v>
      </c>
      <c r="BZ148" s="1110">
        <f>+BZ149+RevBuild!BZ$59</f>
        <v>0.14969296987087521</v>
      </c>
      <c r="CA148" s="707">
        <f>+CA147/BU147-1</f>
        <v>0.1339181231793849</v>
      </c>
      <c r="CB148" s="614"/>
      <c r="CC148" s="1109">
        <f>+CC149+RevBuild!CC59</f>
        <v>0.15826976764450595</v>
      </c>
      <c r="CD148" s="1110">
        <f>+CD149+RevBuild!CD59</f>
        <v>0.15743497242921911</v>
      </c>
      <c r="CE148" s="1110">
        <f>+CE149+RevBuild!CE59</f>
        <v>0.18592600794248326</v>
      </c>
      <c r="CF148" s="1110">
        <f>+CF149+RevBuild!CF59</f>
        <v>0.20348362277123722</v>
      </c>
      <c r="CG148" s="707">
        <f>+CG147/CA147-1</f>
        <v>0.1794381815227406</v>
      </c>
      <c r="CH148" s="614"/>
      <c r="CI148" s="1109">
        <f>+CI149+RevBuild!CI59</f>
        <v>0.21000000000000002</v>
      </c>
      <c r="CJ148" s="1110">
        <f>+CJ149+RevBuild!CJ59</f>
        <v>0.20500000000000002</v>
      </c>
      <c r="CK148" s="1110">
        <f>+CK149+RevBuild!CK59</f>
        <v>0.185</v>
      </c>
      <c r="CL148" s="1110">
        <f>+CL149+RevBuild!CL59</f>
        <v>0.18</v>
      </c>
      <c r="CM148" s="707">
        <f>+CM147/CG147-1</f>
        <v>0.19269503867919857</v>
      </c>
      <c r="CN148" s="614"/>
      <c r="CO148" s="1109">
        <f>+CO149+RevBuild!CO59</f>
        <v>0.16</v>
      </c>
      <c r="CP148" s="1110">
        <f>+CP149+RevBuild!CP59</f>
        <v>0.16</v>
      </c>
      <c r="CQ148" s="1110">
        <f>+CQ149+RevBuild!CQ59</f>
        <v>0.16</v>
      </c>
      <c r="CR148" s="1110">
        <f>+CR149+RevBuild!CR59</f>
        <v>0.16</v>
      </c>
      <c r="CS148" s="707">
        <f>+CS147/CM147-1</f>
        <v>0.15999999999999992</v>
      </c>
      <c r="CT148" s="614"/>
      <c r="CU148" s="1109">
        <f>+CU149+RevBuild!CU59</f>
        <v>0.16</v>
      </c>
      <c r="CV148" s="1110">
        <f>+CV149+RevBuild!CV59</f>
        <v>0.16</v>
      </c>
      <c r="CW148" s="1110">
        <f>+CW149+RevBuild!CW59</f>
        <v>0.16</v>
      </c>
      <c r="CX148" s="1110">
        <f>+CX149+RevBuild!CX59</f>
        <v>0.16</v>
      </c>
      <c r="CY148" s="707">
        <f>+CY147/CS147-1</f>
        <v>0.15999999999999992</v>
      </c>
      <c r="CZ148" s="48"/>
      <c r="DA148"/>
      <c r="DB148"/>
      <c r="DC148"/>
      <c r="DD148" s="48"/>
      <c r="DE148" s="48"/>
      <c r="DF148" s="48"/>
      <c r="DG148" s="48"/>
      <c r="DH148" s="48"/>
      <c r="DI148" s="48"/>
      <c r="DJ148" s="48"/>
      <c r="DK148" s="48"/>
    </row>
    <row r="149" spans="1:115" s="5" customFormat="1" outlineLevel="1" x14ac:dyDescent="0.2">
      <c r="A149" s="205" t="s">
        <v>227</v>
      </c>
      <c r="B149" s="58"/>
      <c r="C149" s="565"/>
      <c r="D149" s="970"/>
      <c r="E149" s="970"/>
      <c r="F149" s="970"/>
      <c r="G149" s="708"/>
      <c r="H149" s="39"/>
      <c r="I149" s="565"/>
      <c r="J149" s="970"/>
      <c r="K149" s="970"/>
      <c r="L149" s="970"/>
      <c r="M149" s="708"/>
      <c r="N149" s="39"/>
      <c r="O149" s="565"/>
      <c r="P149" s="970"/>
      <c r="Q149" s="970"/>
      <c r="R149" s="970"/>
      <c r="S149" s="708"/>
      <c r="T149" s="39"/>
      <c r="U149" s="565"/>
      <c r="V149" s="970"/>
      <c r="W149" s="970"/>
      <c r="X149" s="970"/>
      <c r="Y149" s="708"/>
      <c r="Z149" s="39"/>
      <c r="AA149" s="565"/>
      <c r="AB149" s="970"/>
      <c r="AC149" s="970"/>
      <c r="AD149" s="970"/>
      <c r="AE149" s="708"/>
      <c r="AF149" s="39"/>
      <c r="AG149" s="565"/>
      <c r="AH149" s="970"/>
      <c r="AI149" s="970"/>
      <c r="AJ149" s="970"/>
      <c r="AK149" s="708"/>
      <c r="AL149" s="39"/>
      <c r="AM149" s="565"/>
      <c r="AN149" s="970"/>
      <c r="AO149" s="970"/>
      <c r="AP149" s="970"/>
      <c r="AQ149" s="708"/>
      <c r="AR149" s="614"/>
      <c r="AS149" s="565"/>
      <c r="AT149" s="970"/>
      <c r="AU149" s="970"/>
      <c r="AV149" s="970"/>
      <c r="AW149" s="708"/>
      <c r="AX149" s="614"/>
      <c r="AY149" s="565"/>
      <c r="AZ149" s="970"/>
      <c r="BA149" s="970"/>
      <c r="BB149" s="970"/>
      <c r="BC149" s="708"/>
      <c r="BD149" s="968"/>
      <c r="BE149" s="1102" t="s">
        <v>429</v>
      </c>
      <c r="BF149" s="1102" t="s">
        <v>429</v>
      </c>
      <c r="BG149" s="1102" t="s">
        <v>429</v>
      </c>
      <c r="BH149" s="1102" t="s">
        <v>429</v>
      </c>
      <c r="BI149" s="1258" t="s">
        <v>429</v>
      </c>
      <c r="BJ149" s="968"/>
      <c r="BK149" s="1102" t="s">
        <v>429</v>
      </c>
      <c r="BL149" s="1102">
        <v>6</v>
      </c>
      <c r="BM149" s="910">
        <v>0</v>
      </c>
      <c r="BN149" s="910">
        <v>0.05</v>
      </c>
      <c r="BO149" s="1259">
        <f>+BO148-RevBuild!BO$59</f>
        <v>0.63670899800540925</v>
      </c>
      <c r="BP149" s="614"/>
      <c r="BQ149" s="909">
        <v>0.2</v>
      </c>
      <c r="BR149" s="910">
        <v>0.3</v>
      </c>
      <c r="BS149" s="910">
        <v>0.15</v>
      </c>
      <c r="BT149" s="910">
        <v>0.22</v>
      </c>
      <c r="BU149" s="1259">
        <f>+BU148-RevBuild!BU$59</f>
        <v>0.21366633789734529</v>
      </c>
      <c r="BV149" s="614"/>
      <c r="BW149" s="909">
        <v>0.12</v>
      </c>
      <c r="BX149" s="910">
        <v>0.15</v>
      </c>
      <c r="BY149" s="910">
        <v>0.15</v>
      </c>
      <c r="BZ149" s="910">
        <v>0.18</v>
      </c>
      <c r="CA149" s="1259">
        <f>+CA148-RevBuild!CA$59</f>
        <v>0.15262920442373612</v>
      </c>
      <c r="CB149" s="614"/>
      <c r="CC149" s="909">
        <v>0.18</v>
      </c>
      <c r="CD149" s="910">
        <v>0.18</v>
      </c>
      <c r="CE149" s="910">
        <v>0.18</v>
      </c>
      <c r="CF149" s="910">
        <v>0.18</v>
      </c>
      <c r="CG149" s="1259">
        <f>+CG148-RevBuild!CG$59</f>
        <v>0.18315958882587921</v>
      </c>
      <c r="CH149" s="614"/>
      <c r="CI149" s="909">
        <v>0.16</v>
      </c>
      <c r="CJ149" s="910">
        <f>+CI149</f>
        <v>0.16</v>
      </c>
      <c r="CK149" s="910">
        <f>+CJ149</f>
        <v>0.16</v>
      </c>
      <c r="CL149" s="910">
        <f>+CK149</f>
        <v>0.16</v>
      </c>
      <c r="CM149" s="1259">
        <f>+CM148-RevBuild!CM$59</f>
        <v>0.15769503867919857</v>
      </c>
      <c r="CN149" s="614"/>
      <c r="CO149" s="909">
        <f>+CL149</f>
        <v>0.16</v>
      </c>
      <c r="CP149" s="910">
        <f>+CO149</f>
        <v>0.16</v>
      </c>
      <c r="CQ149" s="910">
        <f>+CP149</f>
        <v>0.16</v>
      </c>
      <c r="CR149" s="910">
        <f>+CQ149</f>
        <v>0.16</v>
      </c>
      <c r="CS149" s="1259">
        <f>+CS148-RevBuild!CS$59</f>
        <v>0.15999999999999992</v>
      </c>
      <c r="CT149" s="614"/>
      <c r="CU149" s="909">
        <f>+CR149</f>
        <v>0.16</v>
      </c>
      <c r="CV149" s="910">
        <f>+CU149</f>
        <v>0.16</v>
      </c>
      <c r="CW149" s="910">
        <f>+CV149</f>
        <v>0.16</v>
      </c>
      <c r="CX149" s="910">
        <f>+CW149</f>
        <v>0.16</v>
      </c>
      <c r="CY149" s="1259">
        <f>+CY148-RevBuild!CY$59</f>
        <v>0.15999999999999992</v>
      </c>
      <c r="CZ149" s="48"/>
      <c r="DA149"/>
      <c r="DB149"/>
      <c r="DC149"/>
      <c r="DD149" s="48"/>
      <c r="DE149" s="48"/>
      <c r="DF149" s="48"/>
      <c r="DG149" s="48"/>
      <c r="DH149" s="48"/>
      <c r="DI149" s="48"/>
      <c r="DJ149" s="48"/>
      <c r="DK149" s="48"/>
    </row>
    <row r="150" spans="1:115" s="5" customFormat="1" outlineLevel="1" x14ac:dyDescent="0.2">
      <c r="A150" s="354" t="s">
        <v>661</v>
      </c>
      <c r="B150" s="48"/>
      <c r="C150" s="565"/>
      <c r="D150" s="970"/>
      <c r="E150" s="970"/>
      <c r="F150" s="970"/>
      <c r="G150" s="708"/>
      <c r="H150" s="48"/>
      <c r="I150" s="565"/>
      <c r="J150" s="970"/>
      <c r="K150" s="970"/>
      <c r="L150" s="970"/>
      <c r="M150" s="708"/>
      <c r="N150" s="48"/>
      <c r="O150" s="565"/>
      <c r="P150" s="970"/>
      <c r="Q150" s="970"/>
      <c r="R150" s="970"/>
      <c r="S150" s="708"/>
      <c r="T150" s="48"/>
      <c r="U150" s="565"/>
      <c r="V150" s="970"/>
      <c r="W150" s="970"/>
      <c r="X150" s="970"/>
      <c r="Y150" s="708"/>
      <c r="Z150" s="48"/>
      <c r="AA150" s="565"/>
      <c r="AB150" s="970"/>
      <c r="AC150" s="970"/>
      <c r="AD150" s="970"/>
      <c r="AE150" s="708"/>
      <c r="AF150" s="48"/>
      <c r="AG150" s="565"/>
      <c r="AH150" s="970"/>
      <c r="AI150" s="970"/>
      <c r="AJ150" s="970"/>
      <c r="AK150" s="708"/>
      <c r="AL150" s="48"/>
      <c r="AM150" s="565"/>
      <c r="AN150" s="970"/>
      <c r="AO150" s="970"/>
      <c r="AP150" s="970"/>
      <c r="AQ150" s="708"/>
      <c r="AR150" s="48"/>
      <c r="AS150" s="565"/>
      <c r="AT150" s="970"/>
      <c r="AU150" s="970"/>
      <c r="AV150" s="970"/>
      <c r="AW150" s="708"/>
      <c r="AX150" s="48"/>
      <c r="AY150" s="851"/>
      <c r="AZ150" s="601"/>
      <c r="BA150" s="601"/>
      <c r="BB150" s="601"/>
      <c r="BC150" s="962"/>
      <c r="BD150" s="48"/>
      <c r="BE150" s="851">
        <v>3</v>
      </c>
      <c r="BF150" s="601">
        <v>3</v>
      </c>
      <c r="BG150" s="601">
        <v>3</v>
      </c>
      <c r="BH150" s="601">
        <v>3</v>
      </c>
      <c r="BI150" s="962"/>
      <c r="BJ150" s="48"/>
      <c r="BK150" s="851"/>
      <c r="BL150" s="601"/>
      <c r="BM150" s="601"/>
      <c r="BN150" s="601"/>
      <c r="BO150" s="962"/>
      <c r="BP150" s="48"/>
      <c r="BQ150" s="581"/>
      <c r="BR150" s="550"/>
      <c r="BS150" s="550"/>
      <c r="BT150" s="550"/>
      <c r="BU150" s="962"/>
      <c r="BV150" s="48"/>
      <c r="BW150" s="581"/>
      <c r="BX150" s="550"/>
      <c r="BY150" s="550"/>
      <c r="BZ150" s="550"/>
      <c r="CA150" s="962"/>
      <c r="CB150" s="48"/>
      <c r="CC150" s="1217">
        <v>3</v>
      </c>
      <c r="CD150" s="1216">
        <v>4</v>
      </c>
      <c r="CE150" s="1216">
        <f>+CD150</f>
        <v>4</v>
      </c>
      <c r="CF150" s="1216">
        <f>+CE150</f>
        <v>4</v>
      </c>
      <c r="CG150" s="962">
        <f>+SUM(CC150:CF150)</f>
        <v>15</v>
      </c>
      <c r="CH150" s="48"/>
      <c r="CI150" s="581">
        <f>+CC150*(1+CI151)</f>
        <v>3.63</v>
      </c>
      <c r="CJ150" s="550">
        <f>+CD150*(1+CJ151)</f>
        <v>4.82</v>
      </c>
      <c r="CK150" s="550">
        <f>+CE150*(1+CK151)</f>
        <v>4.74</v>
      </c>
      <c r="CL150" s="550">
        <f>+CF150*(1+CL151)</f>
        <v>4.72</v>
      </c>
      <c r="CM150" s="962">
        <f>+SUM(CI150:CL150)</f>
        <v>17.91</v>
      </c>
      <c r="CN150" s="48"/>
      <c r="CO150" s="581">
        <f>+CI150*(1+CO151)</f>
        <v>4.2107999999999999</v>
      </c>
      <c r="CP150" s="550">
        <f>+CJ150*(1+CP151)</f>
        <v>5.5911999999999997</v>
      </c>
      <c r="CQ150" s="550">
        <f>+CK150*(1+CQ151)</f>
        <v>5.4984000000000002</v>
      </c>
      <c r="CR150" s="550">
        <f>+CL150*(1+CR151)</f>
        <v>5.4751999999999992</v>
      </c>
      <c r="CS150" s="962">
        <f>+SUM(CO150:CR150)</f>
        <v>20.775599999999997</v>
      </c>
      <c r="CT150" s="48"/>
      <c r="CU150" s="581">
        <f>+CO150*(1+CU151)</f>
        <v>4.8845279999999995</v>
      </c>
      <c r="CV150" s="550">
        <f>+CP150*(1+CV151)</f>
        <v>6.4857919999999991</v>
      </c>
      <c r="CW150" s="550">
        <f>+CQ150*(1+CW151)</f>
        <v>6.3781439999999998</v>
      </c>
      <c r="CX150" s="550">
        <f>+CR150*(1+CX151)</f>
        <v>6.3512319999999987</v>
      </c>
      <c r="CY150" s="962">
        <f>+SUM(CU150:CX150)</f>
        <v>24.099695999999998</v>
      </c>
      <c r="CZ150" s="48"/>
      <c r="DA150"/>
      <c r="DB150"/>
      <c r="DC150"/>
      <c r="DD150" s="48"/>
      <c r="DE150" s="48"/>
      <c r="DF150" s="48"/>
      <c r="DG150" s="48"/>
      <c r="DH150" s="48"/>
      <c r="DI150" s="48"/>
      <c r="DJ150" s="48"/>
      <c r="DK150" s="48"/>
    </row>
    <row r="151" spans="1:115" s="5" customFormat="1" outlineLevel="1" x14ac:dyDescent="0.2">
      <c r="A151" s="205" t="s">
        <v>639</v>
      </c>
      <c r="B151" s="48"/>
      <c r="C151" s="565"/>
      <c r="D151" s="970"/>
      <c r="E151" s="970"/>
      <c r="F151" s="970"/>
      <c r="G151" s="708"/>
      <c r="H151" s="48"/>
      <c r="I151" s="565"/>
      <c r="J151" s="970"/>
      <c r="K151" s="970"/>
      <c r="L151" s="970"/>
      <c r="M151" s="708"/>
      <c r="N151" s="48"/>
      <c r="O151" s="565"/>
      <c r="P151" s="970"/>
      <c r="Q151" s="970"/>
      <c r="R151" s="970"/>
      <c r="S151" s="708"/>
      <c r="T151" s="48"/>
      <c r="U151" s="565"/>
      <c r="V151" s="970"/>
      <c r="W151" s="970"/>
      <c r="X151" s="970"/>
      <c r="Y151" s="708"/>
      <c r="Z151" s="48"/>
      <c r="AA151" s="565"/>
      <c r="AB151" s="970"/>
      <c r="AC151" s="970"/>
      <c r="AD151" s="970"/>
      <c r="AE151" s="708"/>
      <c r="AF151" s="48"/>
      <c r="AG151" s="565"/>
      <c r="AH151" s="970"/>
      <c r="AI151" s="970"/>
      <c r="AJ151" s="970"/>
      <c r="AK151" s="708"/>
      <c r="AL151" s="48"/>
      <c r="AM151" s="565"/>
      <c r="AN151" s="970"/>
      <c r="AO151" s="970"/>
      <c r="AP151" s="970"/>
      <c r="AQ151" s="708"/>
      <c r="AR151" s="48"/>
      <c r="AS151" s="565"/>
      <c r="AT151" s="970"/>
      <c r="AU151" s="970"/>
      <c r="AV151" s="970"/>
      <c r="AW151" s="708"/>
      <c r="AX151" s="48"/>
      <c r="AY151" s="565"/>
      <c r="AZ151" s="970"/>
      <c r="BA151" s="970"/>
      <c r="BB151" s="970"/>
      <c r="BC151" s="708"/>
      <c r="BD151" s="48"/>
      <c r="BE151" s="1109" t="s">
        <v>429</v>
      </c>
      <c r="BF151" s="1110" t="s">
        <v>429</v>
      </c>
      <c r="BG151" s="1110" t="s">
        <v>429</v>
      </c>
      <c r="BH151" s="1110" t="s">
        <v>429</v>
      </c>
      <c r="BI151" s="1115"/>
      <c r="BJ151" s="968"/>
      <c r="BK151" s="1109"/>
      <c r="BL151" s="1110"/>
      <c r="BM151" s="1110"/>
      <c r="BN151" s="1110"/>
      <c r="BO151" s="1117"/>
      <c r="BP151" s="48"/>
      <c r="BQ151" s="1109"/>
      <c r="BR151" s="1110"/>
      <c r="BS151" s="1110"/>
      <c r="BT151" s="1110"/>
      <c r="BU151" s="707"/>
      <c r="BV151" s="48"/>
      <c r="BW151" s="1109"/>
      <c r="BX151" s="1110"/>
      <c r="BY151" s="1110"/>
      <c r="BZ151" s="1110"/>
      <c r="CA151" s="707"/>
      <c r="CB151" s="48"/>
      <c r="CC151" s="1762"/>
      <c r="CD151" s="1110"/>
      <c r="CE151" s="1110"/>
      <c r="CF151" s="1110"/>
      <c r="CG151" s="707"/>
      <c r="CH151" s="48"/>
      <c r="CI151" s="1109">
        <f>+CI152+RevBuild!CI$59</f>
        <v>0.21000000000000002</v>
      </c>
      <c r="CJ151" s="1110">
        <f>+CJ152+RevBuild!CJ$59</f>
        <v>0.20500000000000002</v>
      </c>
      <c r="CK151" s="1110">
        <f>+CK152+RevBuild!CK$59</f>
        <v>0.185</v>
      </c>
      <c r="CL151" s="1110">
        <f>+CL152+RevBuild!CL$59</f>
        <v>0.18</v>
      </c>
      <c r="CM151" s="707">
        <f>+CM150/CG150-1</f>
        <v>0.19399999999999995</v>
      </c>
      <c r="CN151" s="48"/>
      <c r="CO151" s="1109">
        <f>+CO152+RevBuild!CO$59</f>
        <v>0.16</v>
      </c>
      <c r="CP151" s="1110">
        <f>+CP152+RevBuild!CP$59</f>
        <v>0.16</v>
      </c>
      <c r="CQ151" s="1110">
        <f>+CQ152+RevBuild!CQ$59</f>
        <v>0.16</v>
      </c>
      <c r="CR151" s="1110">
        <f>+CR152+RevBuild!CR$59</f>
        <v>0.16</v>
      </c>
      <c r="CS151" s="707">
        <f>+CS150/CM150-1</f>
        <v>0.15999999999999992</v>
      </c>
      <c r="CT151" s="48"/>
      <c r="CU151" s="1109">
        <f>+CU152+RevBuild!CU$59</f>
        <v>0.16</v>
      </c>
      <c r="CV151" s="1110">
        <f>+CV152+RevBuild!CV$59</f>
        <v>0.16</v>
      </c>
      <c r="CW151" s="1110">
        <f>+CW152+RevBuild!CW$59</f>
        <v>0.16</v>
      </c>
      <c r="CX151" s="1110">
        <f>+CX152+RevBuild!CX$59</f>
        <v>0.16</v>
      </c>
      <c r="CY151" s="707">
        <f>+CY150/CS150-1</f>
        <v>0.16000000000000014</v>
      </c>
      <c r="CZ151" s="48"/>
      <c r="DA151"/>
      <c r="DB151"/>
      <c r="DC151"/>
      <c r="DD151" s="48"/>
      <c r="DE151" s="48"/>
      <c r="DF151" s="48"/>
      <c r="DG151" s="48"/>
      <c r="DH151" s="48"/>
      <c r="DI151" s="48"/>
      <c r="DJ151" s="48"/>
      <c r="DK151" s="48"/>
    </row>
    <row r="152" spans="1:115" s="5" customFormat="1" outlineLevel="1" x14ac:dyDescent="0.2">
      <c r="A152" s="205" t="s">
        <v>227</v>
      </c>
      <c r="B152" s="48"/>
      <c r="C152" s="565"/>
      <c r="D152" s="970"/>
      <c r="E152" s="970"/>
      <c r="F152" s="970"/>
      <c r="G152" s="708"/>
      <c r="H152" s="48"/>
      <c r="I152" s="565"/>
      <c r="J152" s="970"/>
      <c r="K152" s="970"/>
      <c r="L152" s="970"/>
      <c r="M152" s="708"/>
      <c r="N152" s="48"/>
      <c r="O152" s="565"/>
      <c r="P152" s="970"/>
      <c r="Q152" s="970"/>
      <c r="R152" s="970"/>
      <c r="S152" s="708"/>
      <c r="T152" s="48"/>
      <c r="U152" s="565"/>
      <c r="V152" s="970"/>
      <c r="W152" s="970"/>
      <c r="X152" s="970"/>
      <c r="Y152" s="708"/>
      <c r="Z152" s="48"/>
      <c r="AA152" s="565"/>
      <c r="AB152" s="970"/>
      <c r="AC152" s="970"/>
      <c r="AD152" s="970"/>
      <c r="AE152" s="708"/>
      <c r="AF152" s="48"/>
      <c r="AG152" s="565"/>
      <c r="AH152" s="970"/>
      <c r="AI152" s="970"/>
      <c r="AJ152" s="970"/>
      <c r="AK152" s="708"/>
      <c r="AL152" s="48"/>
      <c r="AM152" s="565"/>
      <c r="AN152" s="970"/>
      <c r="AO152" s="970"/>
      <c r="AP152" s="970"/>
      <c r="AQ152" s="708"/>
      <c r="AR152" s="48"/>
      <c r="AS152" s="565"/>
      <c r="AT152" s="970"/>
      <c r="AU152" s="970"/>
      <c r="AV152" s="970"/>
      <c r="AW152" s="708"/>
      <c r="AX152" s="48"/>
      <c r="AY152" s="565"/>
      <c r="AZ152" s="970"/>
      <c r="BA152" s="970"/>
      <c r="BB152" s="970"/>
      <c r="BC152" s="708"/>
      <c r="BD152" s="968"/>
      <c r="BE152" s="1102" t="s">
        <v>429</v>
      </c>
      <c r="BF152" s="1102" t="s">
        <v>429</v>
      </c>
      <c r="BG152" s="1102" t="s">
        <v>429</v>
      </c>
      <c r="BH152" s="1102" t="s">
        <v>429</v>
      </c>
      <c r="BI152" s="1258"/>
      <c r="BJ152" s="968"/>
      <c r="BK152" s="1102"/>
      <c r="BL152" s="1102"/>
      <c r="BM152" s="1102"/>
      <c r="BN152" s="1102"/>
      <c r="BO152" s="1258"/>
      <c r="BP152" s="968"/>
      <c r="BQ152" s="909"/>
      <c r="BR152" s="910"/>
      <c r="BS152" s="910"/>
      <c r="BT152" s="910"/>
      <c r="BU152" s="1259"/>
      <c r="BV152" s="968"/>
      <c r="BW152" s="909"/>
      <c r="BX152" s="910"/>
      <c r="BY152" s="910"/>
      <c r="BZ152" s="910"/>
      <c r="CA152" s="1259"/>
      <c r="CB152" s="968"/>
      <c r="CC152" s="909"/>
      <c r="CD152" s="910"/>
      <c r="CE152" s="910"/>
      <c r="CF152" s="910"/>
      <c r="CG152" s="1259"/>
      <c r="CH152" s="968"/>
      <c r="CI152" s="909">
        <v>0.16</v>
      </c>
      <c r="CJ152" s="910">
        <f>+CI152</f>
        <v>0.16</v>
      </c>
      <c r="CK152" s="910">
        <f>+CJ152</f>
        <v>0.16</v>
      </c>
      <c r="CL152" s="910">
        <f>+CK152</f>
        <v>0.16</v>
      </c>
      <c r="CM152" s="1259">
        <f>+CM151-RevBuild!CM$59</f>
        <v>0.15899999999999995</v>
      </c>
      <c r="CN152" s="968"/>
      <c r="CO152" s="909">
        <f>+CL152</f>
        <v>0.16</v>
      </c>
      <c r="CP152" s="910">
        <f>+CO152</f>
        <v>0.16</v>
      </c>
      <c r="CQ152" s="910">
        <f>+CP152</f>
        <v>0.16</v>
      </c>
      <c r="CR152" s="910">
        <f>+CQ152</f>
        <v>0.16</v>
      </c>
      <c r="CS152" s="1259">
        <f>+CS151-RevBuild!CS$59</f>
        <v>0.15999999999999992</v>
      </c>
      <c r="CT152" s="968"/>
      <c r="CU152" s="909">
        <f>+CR152</f>
        <v>0.16</v>
      </c>
      <c r="CV152" s="910">
        <f>+CU152</f>
        <v>0.16</v>
      </c>
      <c r="CW152" s="910">
        <f>+CV152</f>
        <v>0.16</v>
      </c>
      <c r="CX152" s="910">
        <f>+CW152</f>
        <v>0.16</v>
      </c>
      <c r="CY152" s="1259">
        <f>+CY151-RevBuild!CY$59</f>
        <v>0.16000000000000014</v>
      </c>
      <c r="CZ152" s="48"/>
      <c r="DA152"/>
      <c r="DB152"/>
      <c r="DC152"/>
      <c r="DD152" s="48"/>
      <c r="DE152" s="48"/>
      <c r="DF152" s="48"/>
      <c r="DG152" s="48"/>
      <c r="DH152" s="48"/>
      <c r="DI152" s="48"/>
      <c r="DJ152" s="48"/>
      <c r="DK152" s="48"/>
    </row>
    <row r="153" spans="1:115" s="5" customFormat="1" outlineLevel="1" x14ac:dyDescent="0.2">
      <c r="A153" s="354" t="s">
        <v>431</v>
      </c>
      <c r="B153" s="48"/>
      <c r="C153" s="565"/>
      <c r="D153" s="970"/>
      <c r="E153" s="970"/>
      <c r="F153" s="970"/>
      <c r="G153" s="708"/>
      <c r="H153" s="48"/>
      <c r="I153" s="565"/>
      <c r="J153" s="970"/>
      <c r="K153" s="970"/>
      <c r="L153" s="970"/>
      <c r="M153" s="708"/>
      <c r="N153" s="48"/>
      <c r="O153" s="565"/>
      <c r="P153" s="970"/>
      <c r="Q153" s="970"/>
      <c r="R153" s="970"/>
      <c r="S153" s="708"/>
      <c r="T153" s="48"/>
      <c r="U153" s="565"/>
      <c r="V153" s="970"/>
      <c r="W153" s="970"/>
      <c r="X153" s="970"/>
      <c r="Y153" s="708"/>
      <c r="Z153" s="48"/>
      <c r="AA153" s="565"/>
      <c r="AB153" s="970"/>
      <c r="AC153" s="970"/>
      <c r="AD153" s="970"/>
      <c r="AE153" s="708"/>
      <c r="AF153" s="48"/>
      <c r="AG153" s="565"/>
      <c r="AH153" s="970"/>
      <c r="AI153" s="970"/>
      <c r="AJ153" s="970"/>
      <c r="AK153" s="708"/>
      <c r="AL153" s="48"/>
      <c r="AM153" s="565"/>
      <c r="AN153" s="970"/>
      <c r="AO153" s="970"/>
      <c r="AP153" s="970"/>
      <c r="AQ153" s="708"/>
      <c r="AR153" s="48"/>
      <c r="AS153" s="565"/>
      <c r="AT153" s="970"/>
      <c r="AU153" s="970"/>
      <c r="AV153" s="970"/>
      <c r="AW153" s="708"/>
      <c r="AX153" s="48"/>
      <c r="AY153" s="851">
        <v>3.5</v>
      </c>
      <c r="AZ153" s="601">
        <v>3.5</v>
      </c>
      <c r="BA153" s="601">
        <v>3.5</v>
      </c>
      <c r="BB153" s="601">
        <v>3.5</v>
      </c>
      <c r="BC153" s="962">
        <f>+SUM(AY153:BB153)</f>
        <v>14</v>
      </c>
      <c r="BD153" s="48"/>
      <c r="BE153" s="851">
        <v>3</v>
      </c>
      <c r="BF153" s="601">
        <v>3</v>
      </c>
      <c r="BG153" s="601">
        <v>3</v>
      </c>
      <c r="BH153" s="601">
        <v>3</v>
      </c>
      <c r="BI153" s="962">
        <f>+SUM(BE153:BH153)</f>
        <v>12</v>
      </c>
      <c r="BJ153" s="48"/>
      <c r="BK153" s="851">
        <v>2</v>
      </c>
      <c r="BL153" s="601">
        <v>2</v>
      </c>
      <c r="BM153" s="601">
        <v>2</v>
      </c>
      <c r="BN153" s="601">
        <v>2</v>
      </c>
      <c r="BO153" s="962">
        <f>+SUM(BK153:BN153)</f>
        <v>8</v>
      </c>
      <c r="BP153" s="48"/>
      <c r="BQ153" s="581">
        <f>+BK153*(1+BQ154)</f>
        <v>2.1425104845087639</v>
      </c>
      <c r="BR153" s="550">
        <f>+BL153*(1+BR154)</f>
        <v>2.2308666423135097</v>
      </c>
      <c r="BS153" s="550">
        <f>+BM153*(1+BS154)</f>
        <v>2.222</v>
      </c>
      <c r="BT153" s="550">
        <f>+BN153*(1+BT154)</f>
        <v>2.274</v>
      </c>
      <c r="BU153" s="962">
        <f>+SUM(BQ153:BT153)</f>
        <v>8.8693771268222719</v>
      </c>
      <c r="BV153" s="48"/>
      <c r="BW153" s="581">
        <f>+BQ153*(1+BW154)</f>
        <v>2.3563938128686845</v>
      </c>
      <c r="BX153" s="550">
        <f>+BR153*(1+BX154)</f>
        <v>2.5316255890920596</v>
      </c>
      <c r="BY153" s="550">
        <f>+BS153*(1+BY154)</f>
        <v>2.5368374185928966</v>
      </c>
      <c r="BZ153" s="550">
        <f>+BT153*(1+BZ154)</f>
        <v>2.6144018134863698</v>
      </c>
      <c r="CA153" s="962">
        <f>+SUM(BW153:BZ153)</f>
        <v>10.03925863404001</v>
      </c>
      <c r="CB153" s="48"/>
      <c r="CC153" s="581">
        <f>+BW153*(1+CC154)</f>
        <v>2.7293397141103628</v>
      </c>
      <c r="CD153" s="550">
        <f>+BX153*(1+CD154)</f>
        <v>2.9301919939118739</v>
      </c>
      <c r="CE153" s="550">
        <f>+BY153*(1+CE154)</f>
        <v>3.0085014726309884</v>
      </c>
      <c r="CF153" s="550">
        <f>+BZ153*(1+CF154)</f>
        <v>3.1463897658742686</v>
      </c>
      <c r="CG153" s="962">
        <f>+SUM(CC153:CF153)</f>
        <v>11.814422946527493</v>
      </c>
      <c r="CH153" s="48"/>
      <c r="CI153" s="581">
        <f>+CC153*(1+CI154)</f>
        <v>3.3025010540735389</v>
      </c>
      <c r="CJ153" s="550">
        <f>+CD153*(1+CJ154)</f>
        <v>3.5308813526638083</v>
      </c>
      <c r="CK153" s="550">
        <f>+CE153*(1+CK154)</f>
        <v>3.5650742450677213</v>
      </c>
      <c r="CL153" s="550">
        <f>+CF153*(1+CL154)</f>
        <v>3.7127399237316365</v>
      </c>
      <c r="CM153" s="962">
        <f>+SUM(CI153:CL153)</f>
        <v>14.111196575536704</v>
      </c>
      <c r="CN153" s="48"/>
      <c r="CO153" s="581">
        <f>+CI153*(1+CO154)</f>
        <v>3.8309012227253048</v>
      </c>
      <c r="CP153" s="550">
        <f>+CJ153*(1+CP154)</f>
        <v>4.0958223690900173</v>
      </c>
      <c r="CQ153" s="550">
        <f>+CK153*(1+CQ154)</f>
        <v>4.1354861242785566</v>
      </c>
      <c r="CR153" s="550">
        <f>+CL153*(1+CR154)</f>
        <v>4.3067783115286984</v>
      </c>
      <c r="CS153" s="962">
        <f>+SUM(CO153:CR153)</f>
        <v>16.368988027622578</v>
      </c>
      <c r="CT153" s="48"/>
      <c r="CU153" s="581">
        <f>+CO153*(1+CU154)</f>
        <v>4.4438454183613532</v>
      </c>
      <c r="CV153" s="550">
        <f>+CP153*(1+CV154)</f>
        <v>4.7511539481444194</v>
      </c>
      <c r="CW153" s="550">
        <f>+CQ153*(1+CW154)</f>
        <v>4.7971639041631251</v>
      </c>
      <c r="CX153" s="550">
        <f>+CR153*(1+CX154)</f>
        <v>4.99586284137329</v>
      </c>
      <c r="CY153" s="962">
        <f>+SUM(CU153:CX153)</f>
        <v>18.988026112042185</v>
      </c>
      <c r="CZ153" s="48"/>
      <c r="DA153"/>
      <c r="DB153"/>
      <c r="DC153"/>
      <c r="DD153" s="48"/>
      <c r="DE153" s="48"/>
      <c r="DF153" s="48"/>
      <c r="DG153" s="48"/>
      <c r="DH153" s="48"/>
      <c r="DI153" s="48"/>
      <c r="DJ153" s="48"/>
      <c r="DK153" s="48"/>
    </row>
    <row r="154" spans="1:115" s="5" customFormat="1" outlineLevel="1" x14ac:dyDescent="0.2">
      <c r="A154" s="205" t="s">
        <v>639</v>
      </c>
      <c r="B154" s="48"/>
      <c r="C154" s="565"/>
      <c r="D154" s="970"/>
      <c r="E154" s="970"/>
      <c r="F154" s="970"/>
      <c r="G154" s="708"/>
      <c r="H154" s="48"/>
      <c r="I154" s="565"/>
      <c r="J154" s="970"/>
      <c r="K154" s="970"/>
      <c r="L154" s="970"/>
      <c r="M154" s="708"/>
      <c r="N154" s="48"/>
      <c r="O154" s="565"/>
      <c r="P154" s="970"/>
      <c r="Q154" s="970"/>
      <c r="R154" s="970"/>
      <c r="S154" s="708"/>
      <c r="T154" s="48"/>
      <c r="U154" s="565"/>
      <c r="V154" s="970"/>
      <c r="W154" s="970"/>
      <c r="X154" s="970"/>
      <c r="Y154" s="708"/>
      <c r="Z154" s="48"/>
      <c r="AA154" s="565"/>
      <c r="AB154" s="970"/>
      <c r="AC154" s="970"/>
      <c r="AD154" s="970"/>
      <c r="AE154" s="708"/>
      <c r="AF154" s="48"/>
      <c r="AG154" s="565"/>
      <c r="AH154" s="970"/>
      <c r="AI154" s="970"/>
      <c r="AJ154" s="970"/>
      <c r="AK154" s="708"/>
      <c r="AL154" s="48"/>
      <c r="AM154" s="565"/>
      <c r="AN154" s="970"/>
      <c r="AO154" s="970"/>
      <c r="AP154" s="970"/>
      <c r="AQ154" s="708"/>
      <c r="AR154" s="48"/>
      <c r="AS154" s="565"/>
      <c r="AT154" s="970"/>
      <c r="AU154" s="970"/>
      <c r="AV154" s="970"/>
      <c r="AW154" s="708"/>
      <c r="AX154" s="48"/>
      <c r="AY154" s="565"/>
      <c r="AZ154" s="970"/>
      <c r="BA154" s="970"/>
      <c r="BB154" s="970"/>
      <c r="BC154" s="708"/>
      <c r="BD154" s="48"/>
      <c r="BE154" s="1109" t="s">
        <v>429</v>
      </c>
      <c r="BF154" s="1110" t="s">
        <v>429</v>
      </c>
      <c r="BG154" s="1110" t="s">
        <v>429</v>
      </c>
      <c r="BH154" s="1110" t="s">
        <v>429</v>
      </c>
      <c r="BI154" s="1115" t="s">
        <v>429</v>
      </c>
      <c r="BJ154" s="968"/>
      <c r="BK154" s="1109" t="s">
        <v>429</v>
      </c>
      <c r="BL154" s="1110" t="s">
        <v>429</v>
      </c>
      <c r="BM154" s="1110" t="s">
        <v>429</v>
      </c>
      <c r="BN154" s="1110" t="s">
        <v>429</v>
      </c>
      <c r="BO154" s="1117" t="s">
        <v>429</v>
      </c>
      <c r="BP154" s="48"/>
      <c r="BQ154" s="1109">
        <f>+BQ155+RevBuild!BQ$59</f>
        <v>7.1255242254382054E-2</v>
      </c>
      <c r="BR154" s="1110">
        <f>+BR155+RevBuild!BR$59</f>
        <v>0.11543332115675498</v>
      </c>
      <c r="BS154" s="1110">
        <f>+BS155+RevBuild!BS$59</f>
        <v>0.11100000000000002</v>
      </c>
      <c r="BT154" s="1110">
        <f>+BT155+RevBuild!BT$59</f>
        <v>0.13700000000000001</v>
      </c>
      <c r="BU154" s="707">
        <f>+BU153/BO153-1</f>
        <v>0.10867214085278398</v>
      </c>
      <c r="BV154" s="48"/>
      <c r="BW154" s="1109">
        <f>+BW155+RevBuild!BW$59</f>
        <v>9.9828369525556751E-2</v>
      </c>
      <c r="BX154" s="1110">
        <f>+BX155+RevBuild!BX$59</f>
        <v>0.13481708905138726</v>
      </c>
      <c r="BY154" s="1110">
        <f>+BY155+RevBuild!BY$59</f>
        <v>0.1416910074675502</v>
      </c>
      <c r="BZ154" s="1110">
        <f>+BZ155+RevBuild!BZ$59</f>
        <v>0.14969296987087521</v>
      </c>
      <c r="CA154" s="707">
        <f>+CA153/BU153-1</f>
        <v>0.13190120236063119</v>
      </c>
      <c r="CB154" s="48"/>
      <c r="CC154" s="1109">
        <f>+CC155+RevBuild!CC$59</f>
        <v>0.15826976764450595</v>
      </c>
      <c r="CD154" s="1110">
        <f>+CD155+RevBuild!CD$59</f>
        <v>0.15743497242921911</v>
      </c>
      <c r="CE154" s="1110">
        <f>+CE155+RevBuild!CE$59</f>
        <v>0.18592600794248326</v>
      </c>
      <c r="CF154" s="1110">
        <f>+CF155+RevBuild!CF$59</f>
        <v>0.20348362277123722</v>
      </c>
      <c r="CG154" s="707">
        <f>+CG153/CA153-1</f>
        <v>0.17682225124357798</v>
      </c>
      <c r="CH154" s="48"/>
      <c r="CI154" s="1109">
        <f>+CI155+RevBuild!CI$59</f>
        <v>0.21000000000000002</v>
      </c>
      <c r="CJ154" s="1110">
        <f>+CJ155+RevBuild!CJ$59</f>
        <v>0.20500000000000002</v>
      </c>
      <c r="CK154" s="1110">
        <f>+CK155+RevBuild!CK$59</f>
        <v>0.185</v>
      </c>
      <c r="CL154" s="1110">
        <f>+CL155+RevBuild!CL$59</f>
        <v>0.18</v>
      </c>
      <c r="CM154" s="707">
        <f>+CM153/CG153-1</f>
        <v>0.19440421588125734</v>
      </c>
      <c r="CN154" s="48"/>
      <c r="CO154" s="1109">
        <f>+CO155+RevBuild!CO$59</f>
        <v>0.16</v>
      </c>
      <c r="CP154" s="1110">
        <f>+CP155+RevBuild!CP$59</f>
        <v>0.16</v>
      </c>
      <c r="CQ154" s="1110">
        <f>+CQ155+RevBuild!CQ$59</f>
        <v>0.16</v>
      </c>
      <c r="CR154" s="1110">
        <f>+CR155+RevBuild!CR$59</f>
        <v>0.16</v>
      </c>
      <c r="CS154" s="707">
        <f>+CS153/CM153-1</f>
        <v>0.16000000000000014</v>
      </c>
      <c r="CT154" s="48"/>
      <c r="CU154" s="1109">
        <f>+CU155+RevBuild!CU$59</f>
        <v>0.16</v>
      </c>
      <c r="CV154" s="1110">
        <f>+CV155+RevBuild!CV$59</f>
        <v>0.16</v>
      </c>
      <c r="CW154" s="1110">
        <f>+CW155+RevBuild!CW$59</f>
        <v>0.16</v>
      </c>
      <c r="CX154" s="1110">
        <f>+CX155+RevBuild!CX$59</f>
        <v>0.16</v>
      </c>
      <c r="CY154" s="707">
        <f>+CY153/CS153-1</f>
        <v>0.1599999999999997</v>
      </c>
      <c r="CZ154" s="48"/>
      <c r="DA154"/>
      <c r="DB154"/>
      <c r="DC154"/>
      <c r="DD154" s="48"/>
      <c r="DE154" s="48"/>
      <c r="DF154" s="48"/>
      <c r="DG154" s="48"/>
      <c r="DH154" s="48"/>
      <c r="DI154" s="48"/>
      <c r="DJ154" s="48"/>
      <c r="DK154" s="48"/>
    </row>
    <row r="155" spans="1:115" s="5" customFormat="1" outlineLevel="1" x14ac:dyDescent="0.2">
      <c r="A155" s="205" t="s">
        <v>227</v>
      </c>
      <c r="B155" s="48"/>
      <c r="C155" s="565"/>
      <c r="D155" s="970"/>
      <c r="E155" s="970"/>
      <c r="F155" s="970"/>
      <c r="G155" s="708"/>
      <c r="H155" s="48"/>
      <c r="I155" s="565"/>
      <c r="J155" s="970"/>
      <c r="K155" s="970"/>
      <c r="L155" s="970"/>
      <c r="M155" s="708"/>
      <c r="N155" s="48"/>
      <c r="O155" s="565"/>
      <c r="P155" s="970"/>
      <c r="Q155" s="970"/>
      <c r="R155" s="970"/>
      <c r="S155" s="708"/>
      <c r="T155" s="48"/>
      <c r="U155" s="565"/>
      <c r="V155" s="970"/>
      <c r="W155" s="970"/>
      <c r="X155" s="970"/>
      <c r="Y155" s="708"/>
      <c r="Z155" s="48"/>
      <c r="AA155" s="565"/>
      <c r="AB155" s="970"/>
      <c r="AC155" s="970"/>
      <c r="AD155" s="970"/>
      <c r="AE155" s="708"/>
      <c r="AF155" s="48"/>
      <c r="AG155" s="565"/>
      <c r="AH155" s="970"/>
      <c r="AI155" s="970"/>
      <c r="AJ155" s="970"/>
      <c r="AK155" s="708"/>
      <c r="AL155" s="48"/>
      <c r="AM155" s="565"/>
      <c r="AN155" s="970"/>
      <c r="AO155" s="970"/>
      <c r="AP155" s="970"/>
      <c r="AQ155" s="708"/>
      <c r="AR155" s="48"/>
      <c r="AS155" s="565"/>
      <c r="AT155" s="970"/>
      <c r="AU155" s="970"/>
      <c r="AV155" s="970"/>
      <c r="AW155" s="708"/>
      <c r="AX155" s="48"/>
      <c r="AY155" s="565"/>
      <c r="AZ155" s="970"/>
      <c r="BA155" s="970"/>
      <c r="BB155" s="970"/>
      <c r="BC155" s="708"/>
      <c r="BD155" s="968"/>
      <c r="BE155" s="1102" t="s">
        <v>429</v>
      </c>
      <c r="BF155" s="1102" t="s">
        <v>429</v>
      </c>
      <c r="BG155" s="1102" t="s">
        <v>429</v>
      </c>
      <c r="BH155" s="1102" t="s">
        <v>429</v>
      </c>
      <c r="BI155" s="1258" t="s">
        <v>429</v>
      </c>
      <c r="BJ155" s="968"/>
      <c r="BK155" s="1102" t="s">
        <v>429</v>
      </c>
      <c r="BL155" s="1102" t="s">
        <v>429</v>
      </c>
      <c r="BM155" s="1102" t="s">
        <v>429</v>
      </c>
      <c r="BN155" s="1102" t="s">
        <v>429</v>
      </c>
      <c r="BO155" s="1258" t="s">
        <v>429</v>
      </c>
      <c r="BP155" s="968"/>
      <c r="BQ155" s="909">
        <v>0.15</v>
      </c>
      <c r="BR155" s="910">
        <v>0.2</v>
      </c>
      <c r="BS155" s="910">
        <v>0.2</v>
      </c>
      <c r="BT155" s="910">
        <v>0.2</v>
      </c>
      <c r="BU155" s="1259">
        <f>+BU154-RevBuild!BU$59</f>
        <v>0.18892214085278386</v>
      </c>
      <c r="BV155" s="968"/>
      <c r="BW155" s="909">
        <v>0.12</v>
      </c>
      <c r="BX155" s="910">
        <v>0.15</v>
      </c>
      <c r="BY155" s="910">
        <v>0.15</v>
      </c>
      <c r="BZ155" s="910">
        <v>0.18</v>
      </c>
      <c r="CA155" s="1259">
        <f>+CA154-RevBuild!CA$59</f>
        <v>0.15061228360498241</v>
      </c>
      <c r="CB155" s="968"/>
      <c r="CC155" s="909">
        <v>0.18</v>
      </c>
      <c r="CD155" s="910">
        <v>0.18</v>
      </c>
      <c r="CE155" s="910">
        <v>0.18</v>
      </c>
      <c r="CF155" s="910">
        <v>0.18</v>
      </c>
      <c r="CG155" s="1259">
        <f>+CG154-RevBuild!CG$59</f>
        <v>0.18054365854671658</v>
      </c>
      <c r="CH155" s="968"/>
      <c r="CI155" s="909">
        <v>0.16</v>
      </c>
      <c r="CJ155" s="910">
        <f>+CI155</f>
        <v>0.16</v>
      </c>
      <c r="CK155" s="910">
        <f>+CJ155</f>
        <v>0.16</v>
      </c>
      <c r="CL155" s="910">
        <f>+CK155</f>
        <v>0.16</v>
      </c>
      <c r="CM155" s="1259">
        <f>+CM154-RevBuild!CM$59</f>
        <v>0.15940421588125733</v>
      </c>
      <c r="CN155" s="968"/>
      <c r="CO155" s="909">
        <f>+CL155</f>
        <v>0.16</v>
      </c>
      <c r="CP155" s="910">
        <f>+CO155</f>
        <v>0.16</v>
      </c>
      <c r="CQ155" s="910">
        <f>+CP155</f>
        <v>0.16</v>
      </c>
      <c r="CR155" s="910">
        <f>+CQ155</f>
        <v>0.16</v>
      </c>
      <c r="CS155" s="1259">
        <f>+CS154-RevBuild!CS$59</f>
        <v>0.16000000000000014</v>
      </c>
      <c r="CT155" s="968"/>
      <c r="CU155" s="909">
        <f>+CR155</f>
        <v>0.16</v>
      </c>
      <c r="CV155" s="910">
        <f>+CU155</f>
        <v>0.16</v>
      </c>
      <c r="CW155" s="910">
        <f>+CV155</f>
        <v>0.16</v>
      </c>
      <c r="CX155" s="910">
        <f>+CW155</f>
        <v>0.16</v>
      </c>
      <c r="CY155" s="1259">
        <f>+CY154-RevBuild!CY$59</f>
        <v>0.1599999999999997</v>
      </c>
      <c r="CZ155" s="48"/>
      <c r="DA155"/>
      <c r="DB155"/>
      <c r="DC155"/>
      <c r="DD155" s="48"/>
      <c r="DE155" s="48"/>
      <c r="DF155" s="48"/>
      <c r="DG155" s="48"/>
      <c r="DH155" s="48"/>
      <c r="DI155" s="48"/>
      <c r="DJ155" s="48"/>
      <c r="DK155" s="48"/>
    </row>
    <row r="156" spans="1:115" outlineLevel="1" x14ac:dyDescent="0.2">
      <c r="A156" s="1247" t="s">
        <v>459</v>
      </c>
      <c r="B156" s="1181"/>
      <c r="C156" s="1182"/>
      <c r="D156" s="1182"/>
      <c r="E156" s="1182"/>
      <c r="F156" s="1182"/>
      <c r="G156" s="1183"/>
      <c r="H156" s="1184"/>
      <c r="I156" s="1189"/>
      <c r="J156" s="1190"/>
      <c r="K156" s="1190"/>
      <c r="L156" s="1191"/>
      <c r="M156" s="1192"/>
      <c r="N156" s="1183"/>
      <c r="O156" s="1189"/>
      <c r="P156" s="1190"/>
      <c r="Q156" s="1190"/>
      <c r="R156" s="1191"/>
      <c r="S156" s="1192"/>
      <c r="T156" s="1183"/>
      <c r="U156" s="1189"/>
      <c r="V156" s="1190"/>
      <c r="W156" s="1190"/>
      <c r="X156" s="1191"/>
      <c r="Y156" s="1192"/>
      <c r="Z156" s="1183"/>
      <c r="AA156" s="1189">
        <f>+AA158</f>
        <v>0</v>
      </c>
      <c r="AB156" s="1190">
        <f>+AB158</f>
        <v>0</v>
      </c>
      <c r="AC156" s="1190">
        <f>+AC158</f>
        <v>0</v>
      </c>
      <c r="AD156" s="1191">
        <f>+AD158</f>
        <v>0</v>
      </c>
      <c r="AE156" s="1192">
        <f>+AE158</f>
        <v>0</v>
      </c>
      <c r="AF156" s="1183"/>
      <c r="AG156" s="1189">
        <f>+AG158</f>
        <v>0</v>
      </c>
      <c r="AH156" s="1190">
        <f>+AH158</f>
        <v>0</v>
      </c>
      <c r="AI156" s="1190">
        <f>+AI158</f>
        <v>0</v>
      </c>
      <c r="AJ156" s="1191">
        <f>+AJ158</f>
        <v>0</v>
      </c>
      <c r="AK156" s="1192">
        <f>+AK158</f>
        <v>0</v>
      </c>
      <c r="AL156" s="1183"/>
      <c r="AM156" s="1189">
        <f>+AM158</f>
        <v>0</v>
      </c>
      <c r="AN156" s="1190">
        <f>+AN158</f>
        <v>0</v>
      </c>
      <c r="AO156" s="1190">
        <f>+AO158</f>
        <v>0</v>
      </c>
      <c r="AP156" s="1191">
        <f>+AP158</f>
        <v>0</v>
      </c>
      <c r="AQ156" s="1192">
        <f>+AQ158</f>
        <v>0</v>
      </c>
      <c r="AR156" s="1183"/>
      <c r="AS156" s="1189">
        <f>+AS158</f>
        <v>0</v>
      </c>
      <c r="AT156" s="1190">
        <f>+AT158</f>
        <v>0</v>
      </c>
      <c r="AU156" s="1190">
        <f>+AU158</f>
        <v>0</v>
      </c>
      <c r="AV156" s="1191">
        <f>+AV158</f>
        <v>0</v>
      </c>
      <c r="AW156" s="1192">
        <f>+AW158</f>
        <v>0</v>
      </c>
      <c r="AX156" s="1183"/>
      <c r="AY156" s="1189">
        <f>+AY158</f>
        <v>3.5</v>
      </c>
      <c r="AZ156" s="1190">
        <f>+AZ158</f>
        <v>3.5</v>
      </c>
      <c r="BA156" s="1190">
        <f>+BA158</f>
        <v>3.5</v>
      </c>
      <c r="BB156" s="1191">
        <f>+BB158</f>
        <v>3.5</v>
      </c>
      <c r="BC156" s="1192">
        <f>+BC158</f>
        <v>14</v>
      </c>
      <c r="BD156" s="1184"/>
      <c r="BE156" s="1189">
        <f>+BE158</f>
        <v>3</v>
      </c>
      <c r="BF156" s="1190">
        <f>+BF158</f>
        <v>3.7</v>
      </c>
      <c r="BG156" s="1190">
        <f>+BG158</f>
        <v>10.25</v>
      </c>
      <c r="BH156" s="1191">
        <f>+BH158</f>
        <v>11.5</v>
      </c>
      <c r="BI156" s="1192">
        <f>+BI158</f>
        <v>28.45</v>
      </c>
      <c r="BJ156" s="1183"/>
      <c r="BK156" s="1189">
        <f>+BK158</f>
        <v>9</v>
      </c>
      <c r="BL156" s="1190">
        <f>+BL158</f>
        <v>8.4047974286689495</v>
      </c>
      <c r="BM156" s="1190">
        <f>+BM158</f>
        <v>12.237906382987607</v>
      </c>
      <c r="BN156" s="1191">
        <f>+BN158</f>
        <v>12.514732173145607</v>
      </c>
      <c r="BO156" s="1192">
        <f>+BO158</f>
        <v>42.157435984802163</v>
      </c>
      <c r="BP156" s="1184"/>
      <c r="BQ156" s="1189">
        <f>+BQ158</f>
        <v>10.691297180289437</v>
      </c>
      <c r="BR156" s="1190">
        <f>+BR158</f>
        <v>11.290470852376856</v>
      </c>
      <c r="BS156" s="1190">
        <f>+BS158</f>
        <v>13.24632095234985</v>
      </c>
      <c r="BT156" s="1191">
        <f>+BT158</f>
        <v>14.369545124329466</v>
      </c>
      <c r="BU156" s="1192">
        <f>+BU158</f>
        <v>49.597634109345613</v>
      </c>
      <c r="BV156" s="1184"/>
      <c r="BW156" s="1189">
        <f>+BW158</f>
        <v>11.758591945910917</v>
      </c>
      <c r="BX156" s="1190">
        <f>+BX158</f>
        <v>12.812619266713838</v>
      </c>
      <c r="BY156" s="1190">
        <f>+BY158</f>
        <v>15.12320551332682</v>
      </c>
      <c r="BZ156" s="1191">
        <f>+BZ158</f>
        <v>16.520565009683899</v>
      </c>
      <c r="CA156" s="1192">
        <f>+CA158</f>
        <v>56.214981735635469</v>
      </c>
      <c r="CB156" s="1184"/>
      <c r="CC156" s="1189">
        <f>+CC158</f>
        <v>16.619621561016796</v>
      </c>
      <c r="CD156" s="1190">
        <f>+CD158</f>
        <v>18.829773627715017</v>
      </c>
      <c r="CE156" s="1190">
        <f>+CE158</f>
        <v>21.935002741713429</v>
      </c>
      <c r="CF156" s="1191">
        <f>+CF158</f>
        <v>23.882229428082113</v>
      </c>
      <c r="CG156" s="1192">
        <f>+CG158</f>
        <v>81.266627358527359</v>
      </c>
      <c r="CH156" s="1184"/>
      <c r="CI156" s="1189">
        <f>+CI158</f>
        <v>20.10974208883032</v>
      </c>
      <c r="CJ156" s="1190">
        <f>+CJ158</f>
        <v>22.689877221396596</v>
      </c>
      <c r="CK156" s="1190">
        <f>+CK158</f>
        <v>25.992978248930413</v>
      </c>
      <c r="CL156" s="1191">
        <f>+CL158</f>
        <v>28.181030725136893</v>
      </c>
      <c r="CM156" s="1192">
        <f>+CM158</f>
        <v>96.973628284294236</v>
      </c>
      <c r="CN156" s="1184"/>
      <c r="CO156" s="1189">
        <f>+CO158</f>
        <v>23.327300823043171</v>
      </c>
      <c r="CP156" s="1190">
        <f>+CP158</f>
        <v>26.320257576820048</v>
      </c>
      <c r="CQ156" s="1190">
        <f>+CQ158</f>
        <v>30.151854768759282</v>
      </c>
      <c r="CR156" s="1191">
        <f>+CR158</f>
        <v>32.689995641158795</v>
      </c>
      <c r="CS156" s="1192">
        <f>+CS158</f>
        <v>112.4894088097813</v>
      </c>
      <c r="CT156" s="1184"/>
      <c r="CU156" s="1189">
        <f>+CU158</f>
        <v>27.059668954730075</v>
      </c>
      <c r="CV156" s="1190">
        <f>+CV158</f>
        <v>30.531498789111257</v>
      </c>
      <c r="CW156" s="1190">
        <f>+CW158</f>
        <v>34.976151531760763</v>
      </c>
      <c r="CX156" s="1191">
        <f>+CX158</f>
        <v>37.920394943744199</v>
      </c>
      <c r="CY156" s="1192">
        <f>+CY158</f>
        <v>130.48771421934629</v>
      </c>
      <c r="CZ156" s="48"/>
      <c r="DD156" s="48"/>
      <c r="DE156" s="48"/>
      <c r="DF156" s="48"/>
      <c r="DG156" s="48"/>
      <c r="DH156" s="48"/>
      <c r="DI156" s="48"/>
      <c r="DJ156" s="48"/>
      <c r="DK156" s="48"/>
    </row>
    <row r="157" spans="1:115" outlineLevel="1" x14ac:dyDescent="0.2">
      <c r="A157" s="1248" t="s">
        <v>460</v>
      </c>
      <c r="B157" s="1230"/>
      <c r="C157" s="1231"/>
      <c r="D157" s="1231"/>
      <c r="E157" s="1231"/>
      <c r="F157" s="1231"/>
      <c r="G157" s="1232"/>
      <c r="H157" s="1233"/>
      <c r="I157" s="1236"/>
      <c r="J157" s="1237"/>
      <c r="K157" s="1237"/>
      <c r="L157" s="1238"/>
      <c r="M157" s="1239"/>
      <c r="N157" s="1232"/>
      <c r="O157" s="1236"/>
      <c r="P157" s="1237"/>
      <c r="Q157" s="1237"/>
      <c r="R157" s="1238"/>
      <c r="S157" s="1239"/>
      <c r="T157" s="1232"/>
      <c r="U157" s="1236"/>
      <c r="V157" s="1237"/>
      <c r="W157" s="1237"/>
      <c r="X157" s="1238"/>
      <c r="Y157" s="1239"/>
      <c r="Z157" s="1232"/>
      <c r="AA157" s="1236">
        <f>+AA158-AA156</f>
        <v>0</v>
      </c>
      <c r="AB157" s="1237">
        <f>+AB158-AB156</f>
        <v>0</v>
      </c>
      <c r="AC157" s="1237">
        <f>+AC158-AC156</f>
        <v>0</v>
      </c>
      <c r="AD157" s="1238">
        <f>+AD158-AD156</f>
        <v>0</v>
      </c>
      <c r="AE157" s="1239">
        <f>+AE158-AE156</f>
        <v>0</v>
      </c>
      <c r="AF157" s="1232"/>
      <c r="AG157" s="1236">
        <f>+AG158-AG156</f>
        <v>0</v>
      </c>
      <c r="AH157" s="1237">
        <f>+AH158-AH156</f>
        <v>0</v>
      </c>
      <c r="AI157" s="1237">
        <f>+AI158-AI156</f>
        <v>0</v>
      </c>
      <c r="AJ157" s="1238">
        <f>+AJ158-AJ156</f>
        <v>0</v>
      </c>
      <c r="AK157" s="1239">
        <f>+AK158-AK156</f>
        <v>0</v>
      </c>
      <c r="AL157" s="1232"/>
      <c r="AM157" s="1236">
        <f>+AM158-AM156</f>
        <v>0</v>
      </c>
      <c r="AN157" s="1237">
        <f>+AN158-AN156</f>
        <v>0</v>
      </c>
      <c r="AO157" s="1237">
        <f>+AO158-AO156</f>
        <v>0</v>
      </c>
      <c r="AP157" s="1238">
        <f>+AP158-AP156</f>
        <v>0</v>
      </c>
      <c r="AQ157" s="1239">
        <f>+AQ158-AQ156</f>
        <v>0</v>
      </c>
      <c r="AR157" s="1232"/>
      <c r="AS157" s="1236">
        <f>+AS158-AS156</f>
        <v>0</v>
      </c>
      <c r="AT157" s="1237">
        <f>+AT158-AT156</f>
        <v>0</v>
      </c>
      <c r="AU157" s="1237">
        <f>+AU158-AU156</f>
        <v>0</v>
      </c>
      <c r="AV157" s="1238">
        <f>+AV158-AV156</f>
        <v>0</v>
      </c>
      <c r="AW157" s="1239">
        <f>+AW158-AW156</f>
        <v>0</v>
      </c>
      <c r="AX157" s="1232"/>
      <c r="AY157" s="1236">
        <f>+AY158-AY156</f>
        <v>0</v>
      </c>
      <c r="AZ157" s="1237">
        <f>+AZ158-AZ156</f>
        <v>0</v>
      </c>
      <c r="BA157" s="1237">
        <f>+BA158-BA156</f>
        <v>0</v>
      </c>
      <c r="BB157" s="1238">
        <f>+BB158-BB156</f>
        <v>0</v>
      </c>
      <c r="BC157" s="1239">
        <f>+BC158-BC156</f>
        <v>0</v>
      </c>
      <c r="BD157" s="1233"/>
      <c r="BE157" s="1236">
        <f>+BE158-BE156</f>
        <v>0</v>
      </c>
      <c r="BF157" s="1237">
        <f>+BF158-BF156</f>
        <v>0</v>
      </c>
      <c r="BG157" s="1237">
        <f>+BG158-BG156</f>
        <v>0</v>
      </c>
      <c r="BH157" s="1238">
        <f>+BH158-BH156</f>
        <v>0</v>
      </c>
      <c r="BI157" s="1239">
        <f>+BI158-BI156</f>
        <v>0</v>
      </c>
      <c r="BJ157" s="1233"/>
      <c r="BK157" s="1236">
        <f>+BK158-BK156</f>
        <v>0</v>
      </c>
      <c r="BL157" s="1237">
        <f>+BL158-BL156</f>
        <v>0</v>
      </c>
      <c r="BM157" s="1237">
        <f>+BM158-BM156</f>
        <v>0</v>
      </c>
      <c r="BN157" s="1238">
        <f>+BN158-BN156</f>
        <v>0</v>
      </c>
      <c r="BO157" s="1239">
        <f>+BO158-BO156</f>
        <v>0</v>
      </c>
      <c r="BP157" s="1233"/>
      <c r="BQ157" s="1236">
        <f>+BQ158-BQ156</f>
        <v>0</v>
      </c>
      <c r="BR157" s="1237">
        <f>+BR158-BR156</f>
        <v>0</v>
      </c>
      <c r="BS157" s="1237">
        <f>+BS158-BS156</f>
        <v>0</v>
      </c>
      <c r="BT157" s="1238">
        <f>+BT158-BT156</f>
        <v>0</v>
      </c>
      <c r="BU157" s="1239">
        <f>+BU158-BU156</f>
        <v>0</v>
      </c>
      <c r="BV157" s="1233"/>
      <c r="BW157" s="1236">
        <f>+BW158-BW156</f>
        <v>0</v>
      </c>
      <c r="BX157" s="1237">
        <f>+BX158-BX156</f>
        <v>0</v>
      </c>
      <c r="BY157" s="1237">
        <f>+BY158-BY156</f>
        <v>0</v>
      </c>
      <c r="BZ157" s="1238">
        <f>+BZ158-BZ156</f>
        <v>0</v>
      </c>
      <c r="CA157" s="1239">
        <f>+CA158-CA156</f>
        <v>0</v>
      </c>
      <c r="CB157" s="1233"/>
      <c r="CC157" s="1236">
        <f>+CC158-CC156</f>
        <v>0</v>
      </c>
      <c r="CD157" s="1237">
        <f>+CD158-CD156</f>
        <v>0</v>
      </c>
      <c r="CE157" s="1237">
        <f>+CE158-CE156</f>
        <v>0</v>
      </c>
      <c r="CF157" s="1238">
        <f>+CF158-CF156</f>
        <v>0</v>
      </c>
      <c r="CG157" s="1239">
        <f>+CG158-CG156</f>
        <v>0</v>
      </c>
      <c r="CH157" s="1233"/>
      <c r="CI157" s="1236">
        <f>+CI158-CI156</f>
        <v>0</v>
      </c>
      <c r="CJ157" s="1237">
        <f>+CJ158-CJ156</f>
        <v>0</v>
      </c>
      <c r="CK157" s="1237">
        <f>+CK158-CK156</f>
        <v>0</v>
      </c>
      <c r="CL157" s="1238">
        <f>+CL158-CL156</f>
        <v>0</v>
      </c>
      <c r="CM157" s="1239">
        <f>+CM158-CM156</f>
        <v>0</v>
      </c>
      <c r="CN157" s="1233"/>
      <c r="CO157" s="1236">
        <f>+CO158-CO156</f>
        <v>0</v>
      </c>
      <c r="CP157" s="1237">
        <f>+CP158-CP156</f>
        <v>0</v>
      </c>
      <c r="CQ157" s="1237">
        <f>+CQ158-CQ156</f>
        <v>0</v>
      </c>
      <c r="CR157" s="1238">
        <f>+CR158-CR156</f>
        <v>0</v>
      </c>
      <c r="CS157" s="1239">
        <f>+CS158-CS156</f>
        <v>0</v>
      </c>
      <c r="CT157" s="1233"/>
      <c r="CU157" s="1236">
        <f>+CU158-CU156</f>
        <v>0</v>
      </c>
      <c r="CV157" s="1237">
        <f>+CV158-CV156</f>
        <v>0</v>
      </c>
      <c r="CW157" s="1237">
        <f>+CW158-CW156</f>
        <v>0</v>
      </c>
      <c r="CX157" s="1238">
        <f>+CX158-CX156</f>
        <v>0</v>
      </c>
      <c r="CY157" s="1239">
        <f>+CY158-CY156</f>
        <v>0</v>
      </c>
      <c r="CZ157" s="48"/>
      <c r="DD157" s="48"/>
      <c r="DE157" s="48"/>
      <c r="DF157" s="48"/>
      <c r="DG157" s="48"/>
      <c r="DH157" s="48"/>
      <c r="DI157" s="48"/>
      <c r="DJ157" s="48"/>
      <c r="DK157" s="48"/>
    </row>
    <row r="158" spans="1:115" x14ac:dyDescent="0.2">
      <c r="A158" s="1240" t="s">
        <v>447</v>
      </c>
      <c r="B158" s="1241"/>
      <c r="C158" s="1193"/>
      <c r="D158" s="1193"/>
      <c r="E158" s="1193"/>
      <c r="F158" s="1193"/>
      <c r="G158" s="1195"/>
      <c r="H158" s="1193"/>
      <c r="I158" s="1251"/>
      <c r="J158" s="1252"/>
      <c r="K158" s="1252"/>
      <c r="L158" s="1253"/>
      <c r="M158" s="1255"/>
      <c r="N158" s="1242"/>
      <c r="O158" s="1251"/>
      <c r="P158" s="1252"/>
      <c r="Q158" s="1252"/>
      <c r="R158" s="1253"/>
      <c r="S158" s="1255"/>
      <c r="T158" s="1242"/>
      <c r="U158" s="1251"/>
      <c r="V158" s="1252"/>
      <c r="W158" s="1252"/>
      <c r="X158" s="1253"/>
      <c r="Y158" s="1255"/>
      <c r="Z158" s="1242"/>
      <c r="AA158" s="1251"/>
      <c r="AB158" s="1252"/>
      <c r="AC158" s="1252"/>
      <c r="AD158" s="1253"/>
      <c r="AE158" s="1255"/>
      <c r="AF158" s="1242"/>
      <c r="AG158" s="1251"/>
      <c r="AH158" s="1252"/>
      <c r="AI158" s="1252"/>
      <c r="AJ158" s="1253"/>
      <c r="AK158" s="1255"/>
      <c r="AL158" s="1242"/>
      <c r="AM158" s="1251"/>
      <c r="AN158" s="1252"/>
      <c r="AO158" s="1252"/>
      <c r="AP158" s="1253"/>
      <c r="AQ158" s="1255"/>
      <c r="AR158" s="1242"/>
      <c r="AS158" s="1251"/>
      <c r="AT158" s="1252"/>
      <c r="AU158" s="1252"/>
      <c r="AV158" s="1253"/>
      <c r="AW158" s="1246"/>
      <c r="AX158" s="1242"/>
      <c r="AY158" s="1243">
        <f>+AY144+AY147+AY153</f>
        <v>3.5</v>
      </c>
      <c r="AZ158" s="1244">
        <f>+AZ144+AZ147+AZ153</f>
        <v>3.5</v>
      </c>
      <c r="BA158" s="1244">
        <f>+BA144+BA147+BA153</f>
        <v>3.5</v>
      </c>
      <c r="BB158" s="1245">
        <f>+BB144+BB147+BB153</f>
        <v>3.5</v>
      </c>
      <c r="BC158" s="1246">
        <f>+SUM(AY158:BB158)</f>
        <v>14</v>
      </c>
      <c r="BD158" s="1194"/>
      <c r="BE158" s="1243">
        <f>+BE144+BE147+BE153</f>
        <v>3</v>
      </c>
      <c r="BF158" s="1244">
        <f>+BF144+BF147+BF153</f>
        <v>3.7</v>
      </c>
      <c r="BG158" s="1244">
        <f>+BG144+BG147+BG153</f>
        <v>10.25</v>
      </c>
      <c r="BH158" s="1245">
        <f>+BH144+BH147+BH153</f>
        <v>11.5</v>
      </c>
      <c r="BI158" s="1246">
        <f>+BI144+BI147+BI153</f>
        <v>28.45</v>
      </c>
      <c r="BJ158" s="1194"/>
      <c r="BK158" s="1243">
        <f>+BK144+BK147+BK153</f>
        <v>9</v>
      </c>
      <c r="BL158" s="1244">
        <f>+BL144+BL147+BL153</f>
        <v>8.4047974286689495</v>
      </c>
      <c r="BM158" s="1244">
        <f>+BM144+BM147+BM153</f>
        <v>12.237906382987607</v>
      </c>
      <c r="BN158" s="1245">
        <f>+BN144+BN147+BN153</f>
        <v>12.514732173145607</v>
      </c>
      <c r="BO158" s="1246">
        <f>+BO144+BO147+BO153</f>
        <v>42.157435984802163</v>
      </c>
      <c r="BP158" s="1194"/>
      <c r="BQ158" s="1243">
        <f>+BQ144+BQ147+BQ153</f>
        <v>10.691297180289437</v>
      </c>
      <c r="BR158" s="1244">
        <f>+BR144+BR147+BR153</f>
        <v>11.290470852376856</v>
      </c>
      <c r="BS158" s="1244">
        <f>+BS144+BS147+BS153</f>
        <v>13.24632095234985</v>
      </c>
      <c r="BT158" s="1245">
        <f>+BT144+BT147+BT153</f>
        <v>14.369545124329466</v>
      </c>
      <c r="BU158" s="1246">
        <f>+BU144+BU147+BU153</f>
        <v>49.597634109345613</v>
      </c>
      <c r="BV158" s="1194"/>
      <c r="BW158" s="1243">
        <f>+BW144+BW147+BW153</f>
        <v>11.758591945910917</v>
      </c>
      <c r="BX158" s="1244">
        <f>+BX144+BX147+BX153</f>
        <v>12.812619266713838</v>
      </c>
      <c r="BY158" s="1244">
        <f>+BY144+BY147+BY153</f>
        <v>15.12320551332682</v>
      </c>
      <c r="BZ158" s="1245">
        <f>+BZ144+BZ147+BZ153</f>
        <v>16.520565009683899</v>
      </c>
      <c r="CA158" s="1246">
        <f>+CA144+CA147+CA153</f>
        <v>56.214981735635469</v>
      </c>
      <c r="CB158" s="1194"/>
      <c r="CC158" s="1243">
        <f>+CC144+CC147+CC153+CC150</f>
        <v>16.619621561016796</v>
      </c>
      <c r="CD158" s="1244">
        <f>+CD144+CD147+CD153+CD150</f>
        <v>18.829773627715017</v>
      </c>
      <c r="CE158" s="1244">
        <f>+CE144+CE147+CE153+CE150</f>
        <v>21.935002741713429</v>
      </c>
      <c r="CF158" s="1244">
        <f>+CF144+CF147+CF153+CF150</f>
        <v>23.882229428082113</v>
      </c>
      <c r="CG158" s="1246">
        <f>+CG144+CG147+CG153+CG150</f>
        <v>81.266627358527359</v>
      </c>
      <c r="CH158" s="1194"/>
      <c r="CI158" s="1243">
        <f>+CI144+CI147+CI153+CI150</f>
        <v>20.10974208883032</v>
      </c>
      <c r="CJ158" s="1244">
        <f>+CJ144+CJ147+CJ153+CJ150</f>
        <v>22.689877221396596</v>
      </c>
      <c r="CK158" s="1244">
        <f>+CK144+CK147+CK153+CK150</f>
        <v>25.992978248930413</v>
      </c>
      <c r="CL158" s="1244">
        <f>+CL144+CL147+CL153+CL150</f>
        <v>28.181030725136893</v>
      </c>
      <c r="CM158" s="1246">
        <f>+CM144+CM147+CM153+CM150</f>
        <v>96.973628284294236</v>
      </c>
      <c r="CN158" s="1194"/>
      <c r="CO158" s="1243">
        <f>+CO144+CO147+CO153+CO150</f>
        <v>23.327300823043171</v>
      </c>
      <c r="CP158" s="1244">
        <f>+CP144+CP147+CP153+CP150</f>
        <v>26.320257576820048</v>
      </c>
      <c r="CQ158" s="1244">
        <f>+CQ144+CQ147+CQ153+CQ150</f>
        <v>30.151854768759282</v>
      </c>
      <c r="CR158" s="1244">
        <f>+CR144+CR147+CR153+CR150</f>
        <v>32.689995641158795</v>
      </c>
      <c r="CS158" s="1246">
        <f>+CS144+CS147+CS153+CS150</f>
        <v>112.4894088097813</v>
      </c>
      <c r="CT158" s="1194"/>
      <c r="CU158" s="1243">
        <f>+CU144+CU147+CU153+CU150</f>
        <v>27.059668954730075</v>
      </c>
      <c r="CV158" s="1244">
        <f>+CV144+CV147+CV153+CV150</f>
        <v>30.531498789111257</v>
      </c>
      <c r="CW158" s="1244">
        <f>+CW144+CW147+CW153+CW150</f>
        <v>34.976151531760763</v>
      </c>
      <c r="CX158" s="1244">
        <f>+CX144+CX147+CX153+CX150</f>
        <v>37.920394943744199</v>
      </c>
      <c r="CY158" s="1246">
        <f>+CY144+CY147+CY153+CY150</f>
        <v>130.48771421934629</v>
      </c>
      <c r="CZ158" s="48"/>
      <c r="DD158" s="48"/>
      <c r="DE158" s="48"/>
      <c r="DF158" s="48"/>
      <c r="DG158" s="48"/>
      <c r="DH158" s="48"/>
      <c r="DI158" s="48"/>
      <c r="DJ158" s="48"/>
      <c r="DK158" s="48"/>
    </row>
    <row r="159" spans="1:115" s="5" customFormat="1" x14ac:dyDescent="0.2">
      <c r="A159" s="205" t="s">
        <v>639</v>
      </c>
      <c r="B159" s="961"/>
      <c r="C159" s="565"/>
      <c r="D159" s="970"/>
      <c r="E159" s="970"/>
      <c r="F159" s="970"/>
      <c r="G159" s="996"/>
      <c r="H159" s="592"/>
      <c r="I159" s="565"/>
      <c r="J159" s="970"/>
      <c r="K159" s="970"/>
      <c r="L159" s="970"/>
      <c r="M159" s="996"/>
      <c r="N159" s="592"/>
      <c r="O159" s="565"/>
      <c r="P159" s="970"/>
      <c r="Q159" s="970"/>
      <c r="R159" s="970"/>
      <c r="S159" s="996"/>
      <c r="T159" s="591"/>
      <c r="U159" s="565"/>
      <c r="V159" s="970"/>
      <c r="W159" s="970"/>
      <c r="X159" s="970"/>
      <c r="Y159" s="996"/>
      <c r="Z159" s="593"/>
      <c r="AA159" s="565"/>
      <c r="AB159" s="970"/>
      <c r="AC159" s="970"/>
      <c r="AD159" s="970"/>
      <c r="AE159" s="996"/>
      <c r="AF159" s="592"/>
      <c r="AG159" s="565"/>
      <c r="AH159" s="970"/>
      <c r="AI159" s="970"/>
      <c r="AJ159" s="970"/>
      <c r="AK159" s="996"/>
      <c r="AL159" s="601"/>
      <c r="AM159" s="565"/>
      <c r="AN159" s="970"/>
      <c r="AO159" s="970"/>
      <c r="AP159" s="970"/>
      <c r="AQ159" s="996"/>
      <c r="AR159" s="601"/>
      <c r="AS159" s="565"/>
      <c r="AT159" s="970"/>
      <c r="AU159" s="970"/>
      <c r="AV159" s="970"/>
      <c r="AW159" s="996"/>
      <c r="AX159" s="592"/>
      <c r="AY159" s="565"/>
      <c r="AZ159" s="970"/>
      <c r="BA159" s="970"/>
      <c r="BB159" s="970"/>
      <c r="BC159" s="996"/>
      <c r="BD159" s="967"/>
      <c r="BE159" s="1102" t="s">
        <v>429</v>
      </c>
      <c r="BF159" s="1102" t="s">
        <v>429</v>
      </c>
      <c r="BG159" s="1102" t="s">
        <v>429</v>
      </c>
      <c r="BH159" s="1102" t="s">
        <v>429</v>
      </c>
      <c r="BI159" s="1258" t="s">
        <v>429</v>
      </c>
      <c r="BJ159" s="967"/>
      <c r="BK159" s="1116" t="s">
        <v>429</v>
      </c>
      <c r="BL159" s="587">
        <f>BL158/BF158-1</f>
        <v>1.2715668726132296</v>
      </c>
      <c r="BM159" s="587">
        <f>BM158/BG158-1</f>
        <v>0.19394208614513242</v>
      </c>
      <c r="BN159" s="587">
        <f>BN158/BH158-1</f>
        <v>8.8237580273531124E-2</v>
      </c>
      <c r="BO159" s="707">
        <f>BO158/BI158-1</f>
        <v>0.48180794322678966</v>
      </c>
      <c r="BP159" s="601"/>
      <c r="BQ159" s="586">
        <f>BQ158/BK158-1</f>
        <v>0.18792190892104865</v>
      </c>
      <c r="BR159" s="587">
        <f>BR158/BL158-1</f>
        <v>0.34333646327570144</v>
      </c>
      <c r="BS159" s="587">
        <f>BS158/BM158-1</f>
        <v>8.2400905661778934E-2</v>
      </c>
      <c r="BT159" s="587">
        <f>BT158/BN158-1</f>
        <v>0.1482103592407642</v>
      </c>
      <c r="BU159" s="707">
        <f>BU158/BO158-1</f>
        <v>0.17648602081079257</v>
      </c>
      <c r="BV159" s="601"/>
      <c r="BW159" s="586">
        <f>BW158/BQ158-1</f>
        <v>9.982836952555707E-2</v>
      </c>
      <c r="BX159" s="587">
        <f>BX158/BR158-1</f>
        <v>0.13481708905138712</v>
      </c>
      <c r="BY159" s="587">
        <f>BY158/BS158-1</f>
        <v>0.14169100746755037</v>
      </c>
      <c r="BZ159" s="587">
        <f>BZ158/BT158-1</f>
        <v>0.14969296987087533</v>
      </c>
      <c r="CA159" s="707">
        <f>CA158/BU158-1</f>
        <v>0.1334206307442185</v>
      </c>
      <c r="CB159" s="601"/>
      <c r="CC159" s="586">
        <f>CC158/BW158-1</f>
        <v>0.41340235612107579</v>
      </c>
      <c r="CD159" s="587">
        <f>CD158/BX158-1</f>
        <v>0.46962718830124506</v>
      </c>
      <c r="CE159" s="587">
        <f>CE158/BY158-1</f>
        <v>0.45042019844165582</v>
      </c>
      <c r="CF159" s="587">
        <f>CF158/BZ158-1</f>
        <v>0.44560609241167048</v>
      </c>
      <c r="CG159" s="707">
        <f>CG158/CA158-1</f>
        <v>0.4456400206746185</v>
      </c>
      <c r="CH159" s="601"/>
      <c r="CI159" s="586">
        <f>CI158/CC158-1</f>
        <v>0.20999999999999974</v>
      </c>
      <c r="CJ159" s="587">
        <f>CJ158/CD158-1</f>
        <v>0.20500000000000007</v>
      </c>
      <c r="CK159" s="587">
        <f>CK158/CE158-1</f>
        <v>0.18500000000000005</v>
      </c>
      <c r="CL159" s="587">
        <f>CL158/CF158-1</f>
        <v>0.17999999999999994</v>
      </c>
      <c r="CM159" s="707">
        <f>CM158/CG158-1</f>
        <v>0.19327738133479633</v>
      </c>
      <c r="CN159" s="601"/>
      <c r="CO159" s="586">
        <f>CO158/CI158-1</f>
        <v>0.15999999999999992</v>
      </c>
      <c r="CP159" s="587">
        <f>CP158/CJ158-1</f>
        <v>0.15999999999999992</v>
      </c>
      <c r="CQ159" s="587">
        <f>CQ158/CK158-1</f>
        <v>0.16000000000000014</v>
      </c>
      <c r="CR159" s="587">
        <f>CR158/CL158-1</f>
        <v>0.15999999999999992</v>
      </c>
      <c r="CS159" s="707">
        <f>CS158/CM158-1</f>
        <v>0.15999999999999992</v>
      </c>
      <c r="CT159" s="601"/>
      <c r="CU159" s="586">
        <f>CU158/CO158-1</f>
        <v>0.15999999999999992</v>
      </c>
      <c r="CV159" s="587">
        <f>CV158/CP158-1</f>
        <v>0.16000000000000014</v>
      </c>
      <c r="CW159" s="587">
        <f>CW158/CQ158-1</f>
        <v>0.15999999999999992</v>
      </c>
      <c r="CX159" s="587">
        <f>CX158/CR158-1</f>
        <v>0.15999999999999992</v>
      </c>
      <c r="CY159" s="707">
        <f>CY158/CS158-1</f>
        <v>0.15999999999999992</v>
      </c>
      <c r="CZ159" s="48"/>
      <c r="DA159"/>
      <c r="DB159"/>
      <c r="DC159"/>
      <c r="DD159" s="48"/>
      <c r="DE159" s="48"/>
      <c r="DF159" s="48"/>
      <c r="DG159" s="48"/>
      <c r="DH159" s="48"/>
      <c r="DI159" s="48"/>
      <c r="DJ159" s="48"/>
      <c r="DK159" s="48"/>
    </row>
    <row r="160" spans="1:115" s="5" customFormat="1" x14ac:dyDescent="0.2">
      <c r="A160" s="205" t="s">
        <v>428</v>
      </c>
      <c r="B160" s="961"/>
      <c r="C160" s="565"/>
      <c r="D160" s="970"/>
      <c r="E160" s="970"/>
      <c r="F160" s="970"/>
      <c r="G160" s="996"/>
      <c r="H160" s="592"/>
      <c r="I160" s="565"/>
      <c r="J160" s="970"/>
      <c r="K160" s="970"/>
      <c r="L160" s="970"/>
      <c r="M160" s="996"/>
      <c r="N160" s="592"/>
      <c r="O160" s="565"/>
      <c r="P160" s="970"/>
      <c r="Q160" s="970"/>
      <c r="R160" s="970"/>
      <c r="S160" s="996"/>
      <c r="T160" s="591"/>
      <c r="U160" s="565"/>
      <c r="V160" s="970"/>
      <c r="W160" s="970"/>
      <c r="X160" s="970"/>
      <c r="Y160" s="996"/>
      <c r="Z160" s="593"/>
      <c r="AA160" s="565"/>
      <c r="AB160" s="970"/>
      <c r="AC160" s="970"/>
      <c r="AD160" s="970"/>
      <c r="AE160" s="996"/>
      <c r="AF160" s="592"/>
      <c r="AG160" s="565"/>
      <c r="AH160" s="970"/>
      <c r="AI160" s="970"/>
      <c r="AJ160" s="970"/>
      <c r="AK160" s="996"/>
      <c r="AL160" s="601"/>
      <c r="AM160" s="565"/>
      <c r="AN160" s="970"/>
      <c r="AO160" s="970"/>
      <c r="AP160" s="970"/>
      <c r="AQ160" s="996"/>
      <c r="AR160" s="601"/>
      <c r="AS160" s="565"/>
      <c r="AT160" s="970"/>
      <c r="AU160" s="970"/>
      <c r="AV160" s="970"/>
      <c r="AW160" s="996"/>
      <c r="AX160" s="601"/>
      <c r="AY160" s="565"/>
      <c r="AZ160" s="970"/>
      <c r="BA160" s="970"/>
      <c r="BB160" s="970"/>
      <c r="BC160" s="996"/>
      <c r="BD160" s="967"/>
      <c r="BE160" s="1102" t="s">
        <v>429</v>
      </c>
      <c r="BF160" s="1102" t="s">
        <v>429</v>
      </c>
      <c r="BG160" s="1102" t="s">
        <v>429</v>
      </c>
      <c r="BH160" s="1102" t="s">
        <v>429</v>
      </c>
      <c r="BI160" s="1258" t="s">
        <v>429</v>
      </c>
      <c r="BJ160" s="967"/>
      <c r="BK160" s="1109" t="s">
        <v>429</v>
      </c>
      <c r="BL160" s="1110">
        <f>+BL159-RevBuild!BL$59</f>
        <v>1.2647134030861573</v>
      </c>
      <c r="BM160" s="1110">
        <f>+BM159-RevBuild!BM$59</f>
        <v>0.19396197428976</v>
      </c>
      <c r="BN160" s="1110">
        <f>+BN159-RevBuild!BN$59</f>
        <v>0.13613298410987301</v>
      </c>
      <c r="BO160" s="1259">
        <f>+BO159-RevBuild!BO$59</f>
        <v>0.49134752730007886</v>
      </c>
      <c r="BP160" s="601"/>
      <c r="BQ160" s="1109">
        <f>+BQ159-RevBuild!BQ$59</f>
        <v>0.26666666666666661</v>
      </c>
      <c r="BR160" s="1110">
        <f>+BR159-RevBuild!BR$59</f>
        <v>0.42790314211894648</v>
      </c>
      <c r="BS160" s="1110">
        <f>+BS159-RevBuild!BS$59</f>
        <v>0.17140090566177893</v>
      </c>
      <c r="BT160" s="1110">
        <f>+BT159-RevBuild!BT$59</f>
        <v>0.2112103592407642</v>
      </c>
      <c r="BU160" s="1259">
        <f>+BU159-RevBuild!BU$59</f>
        <v>0.25673602081079244</v>
      </c>
      <c r="BV160" s="601"/>
      <c r="BW160" s="1109">
        <f>+BW159-RevBuild!BW$59</f>
        <v>0.12000000000000031</v>
      </c>
      <c r="BX160" s="1110">
        <f>+BX159-RevBuild!BX$59</f>
        <v>0.14999999999999986</v>
      </c>
      <c r="BY160" s="1110">
        <f>+BY159-RevBuild!BY$59</f>
        <v>0.15000000000000019</v>
      </c>
      <c r="BZ160" s="1110">
        <f>+BZ159-RevBuild!BZ$59</f>
        <v>0.1800000000000001</v>
      </c>
      <c r="CA160" s="1259">
        <f>+CA159-RevBuild!CA$59</f>
        <v>0.15213171198856973</v>
      </c>
      <c r="CB160" s="601"/>
      <c r="CC160" s="1109">
        <f>+CC159-RevBuild!CC$59</f>
        <v>0.43513258847656983</v>
      </c>
      <c r="CD160" s="1110">
        <f>+CD159-RevBuild!CD$59</f>
        <v>0.49219221587202594</v>
      </c>
      <c r="CE160" s="1110">
        <f>+CE159-RevBuild!CE$59</f>
        <v>0.44449419049917255</v>
      </c>
      <c r="CF160" s="1110">
        <f>+CF159-RevBuild!CF$59</f>
        <v>0.42212246964043326</v>
      </c>
      <c r="CG160" s="1259">
        <f>+CG159-RevBuild!CG$59</f>
        <v>0.44936142797775713</v>
      </c>
      <c r="CH160" s="601"/>
      <c r="CI160" s="1109">
        <f>+CI159-RevBuild!CI$59</f>
        <v>0.15999999999999975</v>
      </c>
      <c r="CJ160" s="1110">
        <f>+CJ159-RevBuild!CJ$59</f>
        <v>0.16000000000000009</v>
      </c>
      <c r="CK160" s="1110">
        <f>+CK159-RevBuild!CK$59</f>
        <v>0.16000000000000006</v>
      </c>
      <c r="CL160" s="1110">
        <f>+CL159-RevBuild!CL$59</f>
        <v>0.15999999999999995</v>
      </c>
      <c r="CM160" s="1259">
        <f>+CM159-RevBuild!CM$59</f>
        <v>0.15827738133479632</v>
      </c>
      <c r="CN160" s="601"/>
      <c r="CO160" s="1109">
        <f>+CO159-RevBuild!CO$59</f>
        <v>0.15999999999999992</v>
      </c>
      <c r="CP160" s="1110">
        <f>+CP159-RevBuild!CP$59</f>
        <v>0.15999999999999992</v>
      </c>
      <c r="CQ160" s="1110">
        <f>+CQ159-RevBuild!CQ$59</f>
        <v>0.16000000000000014</v>
      </c>
      <c r="CR160" s="1110">
        <f>+CR159-RevBuild!CR$59</f>
        <v>0.15999999999999992</v>
      </c>
      <c r="CS160" s="1259">
        <f>+CS159-RevBuild!CS$59</f>
        <v>0.15999999999999992</v>
      </c>
      <c r="CT160" s="601"/>
      <c r="CU160" s="1109">
        <f>+CU159-RevBuild!CU$59</f>
        <v>0.15999999999999992</v>
      </c>
      <c r="CV160" s="1110">
        <f>+CV159-RevBuild!CV$59</f>
        <v>0.16000000000000014</v>
      </c>
      <c r="CW160" s="1110">
        <f>+CW159-RevBuild!CW$59</f>
        <v>0.15999999999999992</v>
      </c>
      <c r="CX160" s="1110">
        <f>+CX159-RevBuild!CX$59</f>
        <v>0.15999999999999992</v>
      </c>
      <c r="CY160" s="1259">
        <f>+CY159-RevBuild!CY$59</f>
        <v>0.15999999999999992</v>
      </c>
      <c r="CZ160" s="48"/>
      <c r="DA160"/>
      <c r="DB160"/>
      <c r="DC160"/>
      <c r="DD160" s="48"/>
      <c r="DE160" s="48"/>
      <c r="DF160" s="48"/>
      <c r="DG160" s="48"/>
      <c r="DH160" s="48"/>
      <c r="DI160" s="48"/>
      <c r="DJ160" s="48"/>
      <c r="DK160" s="48"/>
    </row>
    <row r="161" spans="1:115" x14ac:dyDescent="0.2">
      <c r="A161" s="1196" t="s">
        <v>425</v>
      </c>
      <c r="B161" s="1197"/>
      <c r="C161" s="1198"/>
      <c r="D161" s="1198"/>
      <c r="E161" s="1198"/>
      <c r="F161" s="1198"/>
      <c r="G161" s="1199"/>
      <c r="H161" s="1200"/>
      <c r="I161" s="1201"/>
      <c r="J161" s="1198"/>
      <c r="K161" s="1198"/>
      <c r="L161" s="1198"/>
      <c r="M161" s="1199"/>
      <c r="N161" s="1200"/>
      <c r="O161" s="1201"/>
      <c r="P161" s="1198"/>
      <c r="Q161" s="1198"/>
      <c r="R161" s="1198"/>
      <c r="S161" s="1199"/>
      <c r="T161" s="1198"/>
      <c r="U161" s="1201"/>
      <c r="V161" s="1198"/>
      <c r="W161" s="1198"/>
      <c r="X161" s="1198"/>
      <c r="Y161" s="1202"/>
      <c r="Z161" s="1203"/>
      <c r="AA161" s="1204"/>
      <c r="AB161" s="1205"/>
      <c r="AC161" s="1205"/>
      <c r="AD161" s="1206"/>
      <c r="AE161" s="1207"/>
      <c r="AF161" s="1200"/>
      <c r="AG161" s="1209">
        <f>AG158/AG$366</f>
        <v>0</v>
      </c>
      <c r="AH161" s="1210">
        <f>AH158/AH$366</f>
        <v>0</v>
      </c>
      <c r="AI161" s="1210">
        <f>AI158/AI$366</f>
        <v>0</v>
      </c>
      <c r="AJ161" s="1210">
        <f>AJ158/AJ$366</f>
        <v>0</v>
      </c>
      <c r="AK161" s="1208">
        <f>AK158/AK$366</f>
        <v>0</v>
      </c>
      <c r="AL161" s="1200"/>
      <c r="AM161" s="1209">
        <f>AM158/AM$366</f>
        <v>0</v>
      </c>
      <c r="AN161" s="1210">
        <f>AN158/AN$366</f>
        <v>0</v>
      </c>
      <c r="AO161" s="1210">
        <f>AO158/AO$366</f>
        <v>0</v>
      </c>
      <c r="AP161" s="1210">
        <f>AP158/AP$366</f>
        <v>0</v>
      </c>
      <c r="AQ161" s="1208">
        <f>AQ158/AQ$366</f>
        <v>0</v>
      </c>
      <c r="AR161" s="1200"/>
      <c r="AS161" s="1209">
        <f>AS158/AS$366</f>
        <v>0</v>
      </c>
      <c r="AT161" s="1210">
        <f>AT158/AT$366</f>
        <v>0</v>
      </c>
      <c r="AU161" s="1210">
        <f>AU158/AU$366</f>
        <v>0</v>
      </c>
      <c r="AV161" s="1210">
        <f>AV158/AV$366</f>
        <v>0</v>
      </c>
      <c r="AW161" s="1208">
        <f>AW158/AW$366</f>
        <v>0</v>
      </c>
      <c r="AX161" s="1200"/>
      <c r="AY161" s="1209">
        <f>AY158/AY$366</f>
        <v>1.1807490672082368E-2</v>
      </c>
      <c r="AZ161" s="1210">
        <f>AZ158/AZ$366</f>
        <v>1.1392747051719816E-2</v>
      </c>
      <c r="BA161" s="1210">
        <f>BA158/BA$366</f>
        <v>1.1502223215430069E-2</v>
      </c>
      <c r="BB161" s="1210">
        <f>BB158/BB$366</f>
        <v>1.0100077337735045E-2</v>
      </c>
      <c r="BC161" s="1208">
        <f>BC158/BC$366</f>
        <v>1.1160216061782958E-2</v>
      </c>
      <c r="BD161" s="1200"/>
      <c r="BE161" s="1209">
        <f>BE158/BE$366</f>
        <v>9.8822041268084426E-3</v>
      </c>
      <c r="BF161" s="1210">
        <f>BF158/BF$366</f>
        <v>1.1693614654311469E-2</v>
      </c>
      <c r="BG161" s="1210">
        <f>BG158/BG$366</f>
        <v>3.1654267458486589E-2</v>
      </c>
      <c r="BH161" s="1210">
        <f>BH158/BH$366</f>
        <v>3.1716700911510409E-2</v>
      </c>
      <c r="BI161" s="1208">
        <f>BI158/BI$366</f>
        <v>2.1777670271528125E-2</v>
      </c>
      <c r="BJ161" s="1200"/>
      <c r="BK161" s="1209">
        <f>BK158/BK$366</f>
        <v>2.8357799812838522E-2</v>
      </c>
      <c r="BL161" s="1210">
        <f>BL158/BL$366</f>
        <v>2.5373969178168351E-2</v>
      </c>
      <c r="BM161" s="1210">
        <f>BM158/BM$366</f>
        <v>3.6340466220412961E-2</v>
      </c>
      <c r="BN161" s="1210">
        <f>BN158/BN$366</f>
        <v>3.4685103442658481E-2</v>
      </c>
      <c r="BO161" s="1208">
        <f>BO158/BO$366</f>
        <v>3.1316413803535614E-2</v>
      </c>
      <c r="BP161" s="1200"/>
      <c r="BQ161" s="1209">
        <f>BQ158/BQ$366</f>
        <v>3.5789284536450888E-2</v>
      </c>
      <c r="BR161" s="1210">
        <f>BR158/BR$366</f>
        <v>3.534280418078501E-2</v>
      </c>
      <c r="BS161" s="1210">
        <f>BS158/BS$366</f>
        <v>4.2110499878719392E-2</v>
      </c>
      <c r="BT161" s="1210">
        <f>BT158/BT$366</f>
        <v>4.123255415876461E-2</v>
      </c>
      <c r="BU161" s="1208">
        <f>BU158/BU$366</f>
        <v>3.8710469425345027E-2</v>
      </c>
      <c r="BV161" s="1200"/>
      <c r="BW161" s="1209">
        <f>BW158/BW$366</f>
        <v>3.9408242355899431E-2</v>
      </c>
      <c r="BX161" s="1210">
        <f>BX158/BX$366</f>
        <v>3.8313874103542457E-2</v>
      </c>
      <c r="BY161" s="1210">
        <f>BY158/BY$366</f>
        <v>4.4652717165882219E-2</v>
      </c>
      <c r="BZ161" s="1210">
        <f>BZ158/BZ$366</f>
        <v>4.5074730937844018E-2</v>
      </c>
      <c r="CA161" s="1208">
        <f>CA158/CA$366</f>
        <v>4.2014469256994605E-2</v>
      </c>
      <c r="CB161" s="1200"/>
      <c r="CC161" s="1209">
        <f>CC158/CC$366</f>
        <v>5.3906254049602649E-2</v>
      </c>
      <c r="CD161" s="1210">
        <f>CD158/CD$366</f>
        <v>5.3859984175657794E-2</v>
      </c>
      <c r="CE161" s="1210">
        <f>CE158/CE$366</f>
        <v>6.0194848358159796E-2</v>
      </c>
      <c r="CF161" s="1210">
        <f>CF158/CF$366</f>
        <v>6.0139631359542783E-2</v>
      </c>
      <c r="CG161" s="1208">
        <f>CG158/CG$366</f>
        <v>5.7253202781779498E-2</v>
      </c>
      <c r="CH161" s="1200"/>
      <c r="CI161" s="1209">
        <f>CI158/CI$366</f>
        <v>5.8766569969412562E-2</v>
      </c>
      <c r="CJ161" s="1210">
        <f>CJ158/CJ$366</f>
        <v>5.8178015738582819E-2</v>
      </c>
      <c r="CK161" s="1210">
        <f>CK158/CK$366</f>
        <v>6.4502094026518741E-2</v>
      </c>
      <c r="CL161" s="1210">
        <f>CL158/CL$366</f>
        <v>6.5604453993342721E-2</v>
      </c>
      <c r="CM161" s="1208">
        <f>CM158/CM$366</f>
        <v>6.1974146370621534E-2</v>
      </c>
      <c r="CN161" s="1200"/>
      <c r="CO161" s="1209">
        <f>CO158/CO$366</f>
        <v>6.1399088660972129E-2</v>
      </c>
      <c r="CP161" s="1210">
        <f>CP158/CP$366</f>
        <v>6.2746230995709251E-2</v>
      </c>
      <c r="CQ161" s="1210">
        <f>CQ158/CQ$366</f>
        <v>7.0605359651676913E-2</v>
      </c>
      <c r="CR161" s="1210">
        <f>CR158/CR$366</f>
        <v>6.9909954239862515E-2</v>
      </c>
      <c r="CS161" s="1208">
        <f>CS158/CS$366</f>
        <v>6.6402659245106549E-2</v>
      </c>
      <c r="CT161" s="1200"/>
      <c r="CU161" s="1209">
        <f>CU158/CU$366</f>
        <v>6.4329339119294324E-2</v>
      </c>
      <c r="CV161" s="1210">
        <f>CV158/CV$366</f>
        <v>6.6127701344722845E-2</v>
      </c>
      <c r="CW161" s="1210">
        <f>CW158/CW$366</f>
        <v>7.4575022725318546E-2</v>
      </c>
      <c r="CX161" s="1210">
        <f>CX158/CX$366</f>
        <v>7.3905483107350525E-2</v>
      </c>
      <c r="CY161" s="1208">
        <f>CY158/CY$366</f>
        <v>6.9987346556799751E-2</v>
      </c>
      <c r="CZ161" s="48"/>
      <c r="DD161" s="48"/>
      <c r="DE161" s="48"/>
      <c r="DF161" s="48"/>
      <c r="DG161" s="48"/>
      <c r="DH161" s="48"/>
      <c r="DI161" s="48"/>
      <c r="DJ161" s="48"/>
      <c r="DK161" s="48"/>
    </row>
    <row r="162" spans="1:115" s="5" customFormat="1" outlineLevel="1" x14ac:dyDescent="0.2">
      <c r="A162" s="354" t="s">
        <v>486</v>
      </c>
      <c r="B162" s="58"/>
      <c r="C162" s="556"/>
      <c r="D162" s="556"/>
      <c r="E162" s="556"/>
      <c r="F162" s="556"/>
      <c r="G162" s="629"/>
      <c r="H162" s="557"/>
      <c r="I162" s="677"/>
      <c r="J162" s="556"/>
      <c r="K162" s="556"/>
      <c r="L162" s="556"/>
      <c r="M162" s="629"/>
      <c r="N162" s="557"/>
      <c r="O162" s="677"/>
      <c r="P162" s="556"/>
      <c r="Q162" s="556"/>
      <c r="R162" s="556"/>
      <c r="S162" s="629"/>
      <c r="T162" s="556"/>
      <c r="U162" s="677"/>
      <c r="V162" s="556"/>
      <c r="W162" s="556"/>
      <c r="X162" s="556"/>
      <c r="Y162" s="629"/>
      <c r="Z162" s="578"/>
      <c r="AA162" s="581"/>
      <c r="AB162" s="550"/>
      <c r="AC162" s="601"/>
      <c r="AD162" s="852"/>
      <c r="AE162" s="580"/>
      <c r="AF162" s="557"/>
      <c r="AG162" s="581">
        <f>+AG158*AG163</f>
        <v>0</v>
      </c>
      <c r="AH162" s="550">
        <f>+AH158*AH163</f>
        <v>0</v>
      </c>
      <c r="AI162" s="550">
        <f>+AI158*AI163</f>
        <v>0</v>
      </c>
      <c r="AJ162" s="582">
        <f>+AJ158*AJ163</f>
        <v>0</v>
      </c>
      <c r="AK162" s="580">
        <f>SUM(AG162:AJ162)</f>
        <v>0</v>
      </c>
      <c r="AL162" s="557"/>
      <c r="AM162" s="581">
        <f>+AM158*AM163</f>
        <v>0</v>
      </c>
      <c r="AN162" s="550">
        <f>+AN158*AN163</f>
        <v>0</v>
      </c>
      <c r="AO162" s="550">
        <f>+AO158*AO163</f>
        <v>0</v>
      </c>
      <c r="AP162" s="582">
        <f>+AP158*AP163</f>
        <v>0</v>
      </c>
      <c r="AQ162" s="580">
        <f>SUM(AM162:AP162)</f>
        <v>0</v>
      </c>
      <c r="AR162" s="557"/>
      <c r="AS162" s="581">
        <f>+AS158*AS163</f>
        <v>0</v>
      </c>
      <c r="AT162" s="550">
        <f>+AT158*AT163</f>
        <v>0</v>
      </c>
      <c r="AU162" s="550">
        <f>+AU158*AU163</f>
        <v>0</v>
      </c>
      <c r="AV162" s="582">
        <f>+AV158*AV163</f>
        <v>0</v>
      </c>
      <c r="AW162" s="580">
        <f>SUM(AS162:AV162)</f>
        <v>0</v>
      </c>
      <c r="AX162" s="557"/>
      <c r="AY162" s="581">
        <f>+AY158*AY163</f>
        <v>3.08</v>
      </c>
      <c r="AZ162" s="550">
        <f>+AZ158*AZ163</f>
        <v>3.08</v>
      </c>
      <c r="BA162" s="550">
        <f>+BA158*BA163</f>
        <v>3.08</v>
      </c>
      <c r="BB162" s="582">
        <f>+BB158*BB163</f>
        <v>3.08</v>
      </c>
      <c r="BC162" s="580">
        <f>SUM(AY162:BB162)</f>
        <v>12.32</v>
      </c>
      <c r="BD162" s="557"/>
      <c r="BE162" s="581">
        <f>+BE158*BE163</f>
        <v>2.64</v>
      </c>
      <c r="BF162" s="550">
        <f>+BF158*BF163</f>
        <v>3.2560000000000002</v>
      </c>
      <c r="BG162" s="550">
        <f>+BG158*BG163</f>
        <v>9.02</v>
      </c>
      <c r="BH162" s="582">
        <f>+BH158*BH163</f>
        <v>10.119999999999999</v>
      </c>
      <c r="BI162" s="580">
        <f>SUM(BE162:BH162)</f>
        <v>25.036000000000001</v>
      </c>
      <c r="BJ162" s="557"/>
      <c r="BK162" s="581">
        <f>+BK158*BK163</f>
        <v>7.92</v>
      </c>
      <c r="BL162" s="550">
        <f>+BL158*BL163</f>
        <v>7.396221737228676</v>
      </c>
      <c r="BM162" s="550">
        <f>+BM158*BM163</f>
        <v>10.769357617029094</v>
      </c>
      <c r="BN162" s="582">
        <f>+BN158*BN163</f>
        <v>11.012964312368133</v>
      </c>
      <c r="BO162" s="580">
        <f>SUM(BK162:BN162)</f>
        <v>37.098543666625901</v>
      </c>
      <c r="BP162" s="557"/>
      <c r="BQ162" s="581">
        <f>+BQ158*BQ163</f>
        <v>9.408341518654705</v>
      </c>
      <c r="BR162" s="550">
        <f>+BR158*BR163</f>
        <v>9.9356143500916332</v>
      </c>
      <c r="BS162" s="550">
        <f>+BS158*BS163</f>
        <v>11.656762438067867</v>
      </c>
      <c r="BT162" s="582">
        <f>+BT158*BT163</f>
        <v>12.64519970940993</v>
      </c>
      <c r="BU162" s="580">
        <f>SUM(BQ162:BT162)</f>
        <v>43.645918016224137</v>
      </c>
      <c r="BV162" s="557"/>
      <c r="BW162" s="581">
        <f>+BW158*BW163</f>
        <v>10.347560912401606</v>
      </c>
      <c r="BX162" s="550">
        <f>+BX158*BX163</f>
        <v>11.275104954708178</v>
      </c>
      <c r="BY162" s="550">
        <f>+BY158*BY163</f>
        <v>13.308420851727602</v>
      </c>
      <c r="BZ162" s="582">
        <f>+BZ158*BZ163</f>
        <v>14.538097208521831</v>
      </c>
      <c r="CA162" s="580">
        <f>SUM(BW162:BZ162)</f>
        <v>49.469183927359218</v>
      </c>
      <c r="CB162" s="557"/>
      <c r="CC162" s="581">
        <f>+CC158*CC163</f>
        <v>14.62526697369478</v>
      </c>
      <c r="CD162" s="550">
        <f>+CD158*CD163</f>
        <v>16.570200792389215</v>
      </c>
      <c r="CE162" s="550">
        <f>+CE158*CE163</f>
        <v>19.302802412707816</v>
      </c>
      <c r="CF162" s="582">
        <f>+CF158*CF163</f>
        <v>21.016361896712258</v>
      </c>
      <c r="CG162" s="580">
        <f>SUM(CC162:CF162)</f>
        <v>71.514632075504068</v>
      </c>
      <c r="CH162" s="557"/>
      <c r="CI162" s="581">
        <f>+CI158*CI163</f>
        <v>17.69657303817068</v>
      </c>
      <c r="CJ162" s="550">
        <f>+CJ158*CJ163</f>
        <v>19.967091954829005</v>
      </c>
      <c r="CK162" s="550">
        <f>+CK158*CK163</f>
        <v>22.873820859058764</v>
      </c>
      <c r="CL162" s="582">
        <f>+CL158*CL163</f>
        <v>24.799307038120464</v>
      </c>
      <c r="CM162" s="580">
        <f>SUM(CI162:CL162)</f>
        <v>85.336792890178913</v>
      </c>
      <c r="CN162" s="557"/>
      <c r="CO162" s="581">
        <f>+CO158*CO163</f>
        <v>20.528024724277991</v>
      </c>
      <c r="CP162" s="550">
        <f>+CP158*CP163</f>
        <v>23.161826667601641</v>
      </c>
      <c r="CQ162" s="550">
        <f>+CQ158*CQ163</f>
        <v>26.533632196508169</v>
      </c>
      <c r="CR162" s="582">
        <f>+CR158*CR163</f>
        <v>28.76719616421974</v>
      </c>
      <c r="CS162" s="580">
        <f>SUM(CO162:CR162)</f>
        <v>98.990679752607534</v>
      </c>
      <c r="CT162" s="557"/>
      <c r="CU162" s="581">
        <f>+CU158*CU163</f>
        <v>23.812508680162466</v>
      </c>
      <c r="CV162" s="550">
        <f>+CV158*CV163</f>
        <v>26.867718934417905</v>
      </c>
      <c r="CW162" s="550">
        <f>+CW158*CW163</f>
        <v>30.779013347949473</v>
      </c>
      <c r="CX162" s="582">
        <f>+CX158*CX163</f>
        <v>33.369947550494892</v>
      </c>
      <c r="CY162" s="580">
        <f>SUM(CU162:CX162)</f>
        <v>114.82918851302475</v>
      </c>
      <c r="CZ162" s="48"/>
      <c r="DA162"/>
      <c r="DB162"/>
      <c r="DC162"/>
      <c r="DD162" s="48"/>
      <c r="DE162" s="48"/>
      <c r="DF162" s="48"/>
      <c r="DG162" s="48"/>
      <c r="DH162" s="48"/>
      <c r="DI162" s="48"/>
      <c r="DJ162" s="48"/>
      <c r="DK162" s="48"/>
    </row>
    <row r="163" spans="1:115" s="5" customFormat="1" outlineLevel="1" x14ac:dyDescent="0.2">
      <c r="A163" s="205" t="s">
        <v>471</v>
      </c>
      <c r="B163" s="58"/>
      <c r="C163" s="558"/>
      <c r="D163" s="558"/>
      <c r="E163" s="558"/>
      <c r="F163" s="558"/>
      <c r="G163" s="629"/>
      <c r="H163" s="557"/>
      <c r="I163" s="704"/>
      <c r="J163" s="558"/>
      <c r="K163" s="558"/>
      <c r="L163" s="558"/>
      <c r="M163" s="629"/>
      <c r="N163" s="557"/>
      <c r="O163" s="704"/>
      <c r="P163" s="558"/>
      <c r="Q163" s="558"/>
      <c r="R163" s="558"/>
      <c r="S163" s="707"/>
      <c r="T163" s="557"/>
      <c r="U163" s="704"/>
      <c r="V163" s="558"/>
      <c r="W163" s="558"/>
      <c r="X163" s="558"/>
      <c r="Y163" s="707"/>
      <c r="Z163" s="557"/>
      <c r="AA163" s="685"/>
      <c r="AB163" s="578"/>
      <c r="AC163" s="578"/>
      <c r="AD163" s="582"/>
      <c r="AE163" s="707"/>
      <c r="AF163" s="557"/>
      <c r="AG163" s="909">
        <v>0.88</v>
      </c>
      <c r="AH163" s="910">
        <v>0.88</v>
      </c>
      <c r="AI163" s="910">
        <v>0.88</v>
      </c>
      <c r="AJ163" s="910">
        <v>0.88</v>
      </c>
      <c r="AK163" s="707">
        <f>+AK162/AK$43</f>
        <v>0</v>
      </c>
      <c r="AL163" s="557"/>
      <c r="AM163" s="909">
        <v>0.88</v>
      </c>
      <c r="AN163" s="910">
        <v>0.88</v>
      </c>
      <c r="AO163" s="910">
        <v>0.88</v>
      </c>
      <c r="AP163" s="910">
        <v>0.88</v>
      </c>
      <c r="AQ163" s="707">
        <f>+AQ162/AQ$43</f>
        <v>0</v>
      </c>
      <c r="AR163" s="557"/>
      <c r="AS163" s="909">
        <v>0.88</v>
      </c>
      <c r="AT163" s="910">
        <v>0.88</v>
      </c>
      <c r="AU163" s="910">
        <v>0.88</v>
      </c>
      <c r="AV163" s="910">
        <v>0.88</v>
      </c>
      <c r="AW163" s="707">
        <f>+AW162/AW$43</f>
        <v>0</v>
      </c>
      <c r="AX163" s="557"/>
      <c r="AY163" s="909">
        <v>0.88</v>
      </c>
      <c r="AZ163" s="910">
        <v>0.88</v>
      </c>
      <c r="BA163" s="910">
        <v>0.88</v>
      </c>
      <c r="BB163" s="910">
        <v>0.88</v>
      </c>
      <c r="BC163" s="1117">
        <f>+BC162/BC$158</f>
        <v>0.88</v>
      </c>
      <c r="BD163" s="557"/>
      <c r="BE163" s="909">
        <v>0.88</v>
      </c>
      <c r="BF163" s="910">
        <v>0.88</v>
      </c>
      <c r="BG163" s="910">
        <v>0.88</v>
      </c>
      <c r="BH163" s="910">
        <v>0.88</v>
      </c>
      <c r="BI163" s="1117">
        <f>+BI162/BI$158</f>
        <v>0.88000000000000012</v>
      </c>
      <c r="BJ163" s="557"/>
      <c r="BK163" s="909">
        <v>0.88</v>
      </c>
      <c r="BL163" s="910">
        <v>0.88</v>
      </c>
      <c r="BM163" s="910">
        <v>0.88</v>
      </c>
      <c r="BN163" s="910">
        <v>0.88</v>
      </c>
      <c r="BO163" s="1117">
        <f>+BO162/BO$158</f>
        <v>0.87999999999999989</v>
      </c>
      <c r="BP163" s="557"/>
      <c r="BQ163" s="909">
        <v>0.88</v>
      </c>
      <c r="BR163" s="910">
        <v>0.88</v>
      </c>
      <c r="BS163" s="910">
        <v>0.88</v>
      </c>
      <c r="BT163" s="910">
        <v>0.88</v>
      </c>
      <c r="BU163" s="1117">
        <f>+BU162/BU$158</f>
        <v>0.87999999999999989</v>
      </c>
      <c r="BV163" s="557"/>
      <c r="BW163" s="909">
        <v>0.88</v>
      </c>
      <c r="BX163" s="910">
        <v>0.88</v>
      </c>
      <c r="BY163" s="910">
        <v>0.88</v>
      </c>
      <c r="BZ163" s="910">
        <v>0.88</v>
      </c>
      <c r="CA163" s="1117">
        <f>+CA162/CA$158</f>
        <v>0.88000000000000012</v>
      </c>
      <c r="CB163" s="557"/>
      <c r="CC163" s="909">
        <v>0.88</v>
      </c>
      <c r="CD163" s="910">
        <v>0.88</v>
      </c>
      <c r="CE163" s="910">
        <v>0.88</v>
      </c>
      <c r="CF163" s="910">
        <v>0.88</v>
      </c>
      <c r="CG163" s="1117">
        <f>+CG162/CG$158</f>
        <v>0.87999999999999989</v>
      </c>
      <c r="CH163" s="557"/>
      <c r="CI163" s="909">
        <v>0.88</v>
      </c>
      <c r="CJ163" s="910">
        <v>0.88</v>
      </c>
      <c r="CK163" s="910">
        <v>0.88</v>
      </c>
      <c r="CL163" s="910">
        <v>0.88</v>
      </c>
      <c r="CM163" s="1117">
        <f>+CM162/CM$158</f>
        <v>0.87999999999999989</v>
      </c>
      <c r="CN163" s="557"/>
      <c r="CO163" s="909">
        <v>0.88</v>
      </c>
      <c r="CP163" s="910">
        <v>0.88</v>
      </c>
      <c r="CQ163" s="910">
        <v>0.88</v>
      </c>
      <c r="CR163" s="910">
        <v>0.88</v>
      </c>
      <c r="CS163" s="1117">
        <f>+CS162/CS$158</f>
        <v>0.87999999999999989</v>
      </c>
      <c r="CT163" s="557"/>
      <c r="CU163" s="909">
        <v>0.88</v>
      </c>
      <c r="CV163" s="910">
        <v>0.88</v>
      </c>
      <c r="CW163" s="910">
        <v>0.88</v>
      </c>
      <c r="CX163" s="910">
        <v>0.88</v>
      </c>
      <c r="CY163" s="1117">
        <f>+CY162/CY$158</f>
        <v>0.88000000000000012</v>
      </c>
      <c r="CZ163" s="48"/>
      <c r="DA163"/>
      <c r="DB163"/>
      <c r="DC163"/>
      <c r="DD163" s="48"/>
      <c r="DE163" s="48"/>
      <c r="DF163" s="48"/>
      <c r="DG163" s="48"/>
      <c r="DH163" s="48"/>
      <c r="DI163" s="48"/>
      <c r="DJ163" s="48"/>
      <c r="DK163" s="48"/>
    </row>
    <row r="164" spans="1:115" s="5" customFormat="1" x14ac:dyDescent="0.2">
      <c r="A164" s="432" t="s">
        <v>628</v>
      </c>
      <c r="B164" s="58"/>
      <c r="C164" s="558"/>
      <c r="D164" s="558"/>
      <c r="E164" s="558"/>
      <c r="F164" s="558"/>
      <c r="G164" s="629"/>
      <c r="H164" s="557"/>
      <c r="I164" s="704"/>
      <c r="J164" s="558"/>
      <c r="K164" s="558"/>
      <c r="L164" s="558"/>
      <c r="M164" s="629"/>
      <c r="N164" s="557"/>
      <c r="O164" s="704"/>
      <c r="P164" s="558"/>
      <c r="Q164" s="558"/>
      <c r="R164" s="558"/>
      <c r="S164" s="707"/>
      <c r="T164" s="557"/>
      <c r="U164" s="704"/>
      <c r="V164" s="558"/>
      <c r="W164" s="558"/>
      <c r="X164" s="558"/>
      <c r="Y164" s="707"/>
      <c r="Z164" s="557"/>
      <c r="AA164" s="685"/>
      <c r="AB164" s="578"/>
      <c r="AC164" s="578"/>
      <c r="AD164" s="582"/>
      <c r="AE164" s="707"/>
      <c r="AF164" s="557"/>
      <c r="AG164" s="581">
        <f>+(AG162-((AG447+AG446)*AG158))*AG165</f>
        <v>0</v>
      </c>
      <c r="AH164" s="550">
        <f>+(AH162-((AH447+AH446)*AH158))*AH165</f>
        <v>0</v>
      </c>
      <c r="AI164" s="550">
        <f>+(AI162-((AI447+AI446)*AI158))*AI165</f>
        <v>0</v>
      </c>
      <c r="AJ164" s="550">
        <f>+(AJ162-((AJ447+AJ446)*AJ158))*AJ165</f>
        <v>0</v>
      </c>
      <c r="AK164" s="580">
        <f>+SUM(AG164:AJ164)</f>
        <v>0</v>
      </c>
      <c r="AL164" s="557"/>
      <c r="AM164" s="581">
        <f>+(AM162-((AM447+AM446)*AM158))*AM165</f>
        <v>0</v>
      </c>
      <c r="AN164" s="550">
        <f>+(AN162-((AN447+AN446)*AN158))*AN165</f>
        <v>0</v>
      </c>
      <c r="AO164" s="550">
        <f>+(AO162-((AO447+AO446)*AO158))*AO165</f>
        <v>0</v>
      </c>
      <c r="AP164" s="550">
        <f>+(AP162-((AP447+AP446)*AP158))*AP165</f>
        <v>0</v>
      </c>
      <c r="AQ164" s="580">
        <f>+SUM(AM164:AP164)</f>
        <v>0</v>
      </c>
      <c r="AR164" s="557"/>
      <c r="AS164" s="581">
        <f>+(AS162-((AS447+AS446)*AS158))*AS165</f>
        <v>0</v>
      </c>
      <c r="AT164" s="550">
        <f>+(AT162-((AT447+AT446)*AT158))*AT165</f>
        <v>0</v>
      </c>
      <c r="AU164" s="550">
        <f>+(AU162-((AU447+AU446)*AU158))*AU165</f>
        <v>0</v>
      </c>
      <c r="AV164" s="550">
        <f>+(AV162-((AV447+AV446)*AV158))*AV165</f>
        <v>0</v>
      </c>
      <c r="AW164" s="580">
        <f>+SUM(AS164:AV164)</f>
        <v>0</v>
      </c>
      <c r="AX164" s="557"/>
      <c r="AY164" s="581">
        <f>+(AY162-((AY447+AY446)*AY158))*AY165</f>
        <v>1.8631444614687562</v>
      </c>
      <c r="AZ164" s="550">
        <f>+(AZ162-((AZ447+AZ446)*AZ158))*AZ165</f>
        <v>1.8910634738664547</v>
      </c>
      <c r="BA164" s="550">
        <f>+(BA162-((BA447+BA446)*BA158))*BA165</f>
        <v>1.8568078286281224</v>
      </c>
      <c r="BB164" s="550">
        <f>+(BB162-((BB447+BB446)*BB158))*BB165</f>
        <v>1.9296817319712376</v>
      </c>
      <c r="BC164" s="580">
        <f>+SUM(AY164:BB164)</f>
        <v>7.5406974959345714</v>
      </c>
      <c r="BD164" s="557"/>
      <c r="BE164" s="581">
        <f>+(BE162-((BE447+BE446)*BE158))*BE165</f>
        <v>1.5630696687672039</v>
      </c>
      <c r="BF164" s="550">
        <f>+(BF162-((BF447+BF446)*BF158))*BF165</f>
        <v>1.9881715963234698</v>
      </c>
      <c r="BG164" s="550">
        <f>+(BG162-((BG447+BG446)*BG158))*BG165</f>
        <v>5.4450946512270662</v>
      </c>
      <c r="BH164" s="550">
        <f>+(BH162-((BH447+BH446)*BH158))*BH165</f>
        <v>6.4310207324002358</v>
      </c>
      <c r="BI164" s="580">
        <f>+SUM(BE164:BH164)</f>
        <v>15.427356648717975</v>
      </c>
      <c r="BJ164" s="557"/>
      <c r="BK164" s="581">
        <f>+(BK162-((BK447+BK446)*BK158))*BK165</f>
        <v>4.596980734796368</v>
      </c>
      <c r="BL164" s="550">
        <f>+(BL162-((BL447+BL446)*BL158))*BL165</f>
        <v>4.3362033399846371</v>
      </c>
      <c r="BM164" s="550">
        <f>+(BM162-((BM447+BM446)*BM158))*BM165</f>
        <v>6.3695386692743066</v>
      </c>
      <c r="BN164" s="550">
        <f>+(BN162-((BN447+BN446)*BN158))*BN165</f>
        <v>6.4271576446741188</v>
      </c>
      <c r="BO164" s="580">
        <f>+SUM(BK164:BN164)</f>
        <v>21.729880388729431</v>
      </c>
      <c r="BP164" s="557"/>
      <c r="BQ164" s="581">
        <f>+(BQ162-((BQ447+BQ446)*BQ158))*BQ165</f>
        <v>5.3129623154520029</v>
      </c>
      <c r="BR164" s="550">
        <f>+(BR162-((BR447+BR446)*BR158))*BR165</f>
        <v>5.8494938871876334</v>
      </c>
      <c r="BS164" s="550">
        <f>+(BS162-((BS447+BS446)*BS158))*BS165</f>
        <v>6.9432951484756709</v>
      </c>
      <c r="BT164" s="550">
        <f>+(BT162-((BT447+BT446)*BT158))*BT165</f>
        <v>7.7204489796818789</v>
      </c>
      <c r="BU164" s="580">
        <f>+SUM(BQ164:BT164)</f>
        <v>25.826200330797185</v>
      </c>
      <c r="BV164" s="557"/>
      <c r="BW164" s="581">
        <f>+(BW162-((BW447+BW446)*BW158))*BW165</f>
        <v>5.8045162972576572</v>
      </c>
      <c r="BX164" s="550">
        <f>+(BX162-((BX447+BX446)*BX158))*BX165</f>
        <v>6.4831086917424869</v>
      </c>
      <c r="BY164" s="550">
        <f>+(BY162-((BY447+BY446)*BY158))*BY165</f>
        <v>7.865678871847706</v>
      </c>
      <c r="BZ164" s="550">
        <f>+(BZ162-((BZ447+BZ446)*BZ158))*BZ165</f>
        <v>9.07963740392006</v>
      </c>
      <c r="CA164" s="580">
        <f>+SUM(BW164:BZ164)</f>
        <v>29.232941264767909</v>
      </c>
      <c r="CB164" s="557"/>
      <c r="CC164" s="581">
        <f>+(CC162-((CC447+CC446)*CC158))*CC165</f>
        <v>8.2624710663932728</v>
      </c>
      <c r="CD164" s="550">
        <f>+(CD162-((CD447+CD446)*CD158))*CD165</f>
        <v>9.9984278780382212</v>
      </c>
      <c r="CE164" s="550">
        <f>+(CE162-((CE447+CE446)*CE158))*CE165</f>
        <v>11.706080468471288</v>
      </c>
      <c r="CF164" s="550">
        <f>+(CF162-((CF447+CF446)*CF158))*CF165</f>
        <v>13.755210246611021</v>
      </c>
      <c r="CG164" s="580">
        <f>+SUM(CC164:CF164)</f>
        <v>43.722189659513802</v>
      </c>
      <c r="CH164" s="557"/>
      <c r="CI164" s="581">
        <f>+(CI162-((CI447+CI446)*CI158))*CI165</f>
        <v>9.2384483781464866</v>
      </c>
      <c r="CJ164" s="550">
        <f>+(CJ162-((CJ447+CJ446)*CJ158))*CJ165</f>
        <v>10.880958085225382</v>
      </c>
      <c r="CK164" s="550">
        <f>+(CK162-((CK447+CK446)*CK158))*CK165</f>
        <v>12.610710823657485</v>
      </c>
      <c r="CL164" s="550">
        <f>+(CL162-((CL447+CL446)*CL158))*CL165</f>
        <v>14.582137722570241</v>
      </c>
      <c r="CM164" s="580">
        <f>+SUM(CI164:CL164)</f>
        <v>47.312255009599596</v>
      </c>
      <c r="CN164" s="557"/>
      <c r="CO164" s="581">
        <f>+(CO162-((CO447+CO446)*CO158))*CO165</f>
        <v>10.84256754309436</v>
      </c>
      <c r="CP164" s="550">
        <f>+(CP162-((CP447+CP446)*CP158))*CP165</f>
        <v>12.764040769776267</v>
      </c>
      <c r="CQ164" s="550">
        <f>+(CQ162-((CQ447+CQ446)*CQ158))*CQ165</f>
        <v>14.791244571193985</v>
      </c>
      <c r="CR164" s="550">
        <f>+(CR162-((CR447+CR446)*CR158))*CR165</f>
        <v>17.091805734643739</v>
      </c>
      <c r="CS164" s="580">
        <f>+SUM(CO164:CR164)</f>
        <v>55.489658618708347</v>
      </c>
      <c r="CT164" s="557"/>
      <c r="CU164" s="581">
        <f>+(CU162-((CU447+CU446)*CU158))*CU165</f>
        <v>12.69914686028574</v>
      </c>
      <c r="CV164" s="550">
        <f>+(CV162-((CV447+CV446)*CV158))*CV165</f>
        <v>14.943679037491469</v>
      </c>
      <c r="CW164" s="550">
        <f>+(CW162-((CW447+CW446)*CW158))*CW165</f>
        <v>17.315236384477942</v>
      </c>
      <c r="CX164" s="550">
        <f>+(CX162-((CX447+CX446)*CX158))*CX165</f>
        <v>19.997136429433585</v>
      </c>
      <c r="CY164" s="580">
        <f>+SUM(CU164:CX164)</f>
        <v>64.955198711688737</v>
      </c>
      <c r="CZ164" s="48"/>
      <c r="DA164"/>
      <c r="DB164"/>
      <c r="DC164"/>
      <c r="DD164" s="48"/>
      <c r="DE164" s="48"/>
      <c r="DF164" s="48"/>
      <c r="DG164" s="48"/>
      <c r="DH164" s="48"/>
      <c r="DI164" s="48"/>
      <c r="DJ164" s="48"/>
      <c r="DK164" s="48"/>
    </row>
    <row r="165" spans="1:115" s="5" customFormat="1" x14ac:dyDescent="0.2">
      <c r="A165" s="1139" t="s">
        <v>627</v>
      </c>
      <c r="B165" s="58"/>
      <c r="C165" s="558"/>
      <c r="D165" s="558"/>
      <c r="E165" s="558"/>
      <c r="F165" s="558"/>
      <c r="G165" s="629"/>
      <c r="H165" s="557"/>
      <c r="I165" s="704"/>
      <c r="J165" s="558"/>
      <c r="K165" s="558"/>
      <c r="L165" s="558"/>
      <c r="M165" s="629"/>
      <c r="N165" s="557"/>
      <c r="O165" s="704"/>
      <c r="P165" s="558"/>
      <c r="Q165" s="558"/>
      <c r="R165" s="558"/>
      <c r="S165" s="707"/>
      <c r="T165" s="557"/>
      <c r="U165" s="704"/>
      <c r="V165" s="558"/>
      <c r="W165" s="558"/>
      <c r="X165" s="558"/>
      <c r="Y165" s="707"/>
      <c r="Z165" s="557"/>
      <c r="AA165" s="685"/>
      <c r="AB165" s="578"/>
      <c r="AC165" s="578"/>
      <c r="AD165" s="582"/>
      <c r="AE165" s="707"/>
      <c r="AF165" s="557"/>
      <c r="AG165" s="909">
        <v>1</v>
      </c>
      <c r="AH165" s="910">
        <v>1</v>
      </c>
      <c r="AI165" s="910">
        <v>1</v>
      </c>
      <c r="AJ165" s="910">
        <v>1</v>
      </c>
      <c r="AK165" s="707" t="str">
        <f>+IF(ISERROR(SUMPRODUCT(AG165:AJ165,AG164:AJ164)/AK164),"NA",SUMPRODUCT(AG165:AJ165,AG164:AJ164)/AK164)</f>
        <v>NA</v>
      </c>
      <c r="AL165" s="557"/>
      <c r="AM165" s="909">
        <v>1</v>
      </c>
      <c r="AN165" s="910">
        <v>1</v>
      </c>
      <c r="AO165" s="910">
        <v>1</v>
      </c>
      <c r="AP165" s="910">
        <v>1</v>
      </c>
      <c r="AQ165" s="707" t="str">
        <f>+IF(ISERROR(SUMPRODUCT(AM165:AP165,AM164:AP164)/AQ164),"NA",SUMPRODUCT(AM165:AP165,AM164:AP164)/AQ164)</f>
        <v>NA</v>
      </c>
      <c r="AR165" s="557"/>
      <c r="AS165" s="909">
        <v>1</v>
      </c>
      <c r="AT165" s="910">
        <v>1</v>
      </c>
      <c r="AU165" s="910">
        <v>1</v>
      </c>
      <c r="AV165" s="910">
        <v>1</v>
      </c>
      <c r="AW165" s="707" t="str">
        <f>+IF(ISERROR(SUMPRODUCT(AS165:AV165,AS164:AV164)/AW164),"NA",SUMPRODUCT(AS165:AV165,AS164:AV164)/AW164)</f>
        <v>NA</v>
      </c>
      <c r="AX165" s="557"/>
      <c r="AY165" s="909">
        <v>1</v>
      </c>
      <c r="AZ165" s="910">
        <v>1</v>
      </c>
      <c r="BA165" s="910">
        <v>1</v>
      </c>
      <c r="BB165" s="910">
        <v>1</v>
      </c>
      <c r="BC165" s="707">
        <f>+IF(ISERROR(SUMPRODUCT(AY165:BB165,AY164:BB164)/BC164),"NA",SUMPRODUCT(AY165:BB165,AY164:BB164)/BC164)</f>
        <v>1</v>
      </c>
      <c r="BD165" s="557"/>
      <c r="BE165" s="909">
        <v>1</v>
      </c>
      <c r="BF165" s="910">
        <v>1</v>
      </c>
      <c r="BG165" s="910">
        <v>1</v>
      </c>
      <c r="BH165" s="910">
        <v>1</v>
      </c>
      <c r="BI165" s="707">
        <f>+IF(ISERROR(SUMPRODUCT(BE165:BH165,BE164:BH164)/BI164),"NA",SUMPRODUCT(BE165:BH165,BE164:BH164)/BI164)</f>
        <v>1</v>
      </c>
      <c r="BJ165" s="557"/>
      <c r="BK165" s="909">
        <v>1</v>
      </c>
      <c r="BL165" s="910">
        <v>1</v>
      </c>
      <c r="BM165" s="910">
        <v>1</v>
      </c>
      <c r="BN165" s="910">
        <v>1</v>
      </c>
      <c r="BO165" s="707">
        <f>+IF(ISERROR(SUMPRODUCT(BK165:BN165,BK164:BN164)/BO164),"NA",SUMPRODUCT(BK165:BN165,BK164:BN164)/BO164)</f>
        <v>1</v>
      </c>
      <c r="BP165" s="557"/>
      <c r="BQ165" s="909">
        <v>1</v>
      </c>
      <c r="BR165" s="910">
        <v>1</v>
      </c>
      <c r="BS165" s="910">
        <v>1</v>
      </c>
      <c r="BT165" s="910">
        <v>1</v>
      </c>
      <c r="BU165" s="707">
        <f>+IF(ISERROR(SUMPRODUCT(BQ165:BT165,BQ164:BT164)/BU164),"NA",SUMPRODUCT(BQ165:BT165,BQ164:BT164)/BU164)</f>
        <v>1</v>
      </c>
      <c r="BV165" s="557"/>
      <c r="BW165" s="909">
        <v>1</v>
      </c>
      <c r="BX165" s="910">
        <v>1</v>
      </c>
      <c r="BY165" s="910">
        <v>1</v>
      </c>
      <c r="BZ165" s="910">
        <v>1</v>
      </c>
      <c r="CA165" s="707">
        <f>+IF(ISERROR(SUMPRODUCT(BW165:BZ165,BW164:BZ164)/CA164),"NA",SUMPRODUCT(BW165:BZ165,BW164:BZ164)/CA164)</f>
        <v>1</v>
      </c>
      <c r="CB165" s="557"/>
      <c r="CC165" s="909">
        <v>1</v>
      </c>
      <c r="CD165" s="910">
        <v>1</v>
      </c>
      <c r="CE165" s="910">
        <v>1</v>
      </c>
      <c r="CF165" s="910">
        <v>1</v>
      </c>
      <c r="CG165" s="707">
        <f>+IF(ISERROR(SUMPRODUCT(CC165:CF165,CC164:CF164)/CG164),"NA",SUMPRODUCT(CC165:CF165,CC164:CF164)/CG164)</f>
        <v>1</v>
      </c>
      <c r="CH165" s="557"/>
      <c r="CI165" s="909">
        <v>0.9</v>
      </c>
      <c r="CJ165" s="910">
        <v>0.9</v>
      </c>
      <c r="CK165" s="910">
        <v>0.9</v>
      </c>
      <c r="CL165" s="910">
        <v>0.9</v>
      </c>
      <c r="CM165" s="707">
        <f>+IF(ISERROR(SUMPRODUCT(CI165:CL165,CI164:CL164)/CM164),"NA",SUMPRODUCT(CI165:CL165,CI164:CL164)/CM164)</f>
        <v>0.9</v>
      </c>
      <c r="CN165" s="557"/>
      <c r="CO165" s="909">
        <v>0.9</v>
      </c>
      <c r="CP165" s="910">
        <v>0.9</v>
      </c>
      <c r="CQ165" s="910">
        <v>0.9</v>
      </c>
      <c r="CR165" s="910">
        <v>0.9</v>
      </c>
      <c r="CS165" s="707">
        <f>+IF(ISERROR(SUMPRODUCT(CO165:CR165,CO164:CR164)/CS164),"NA",SUMPRODUCT(CO165:CR165,CO164:CR164)/CS164)</f>
        <v>0.90000000000000013</v>
      </c>
      <c r="CT165" s="557"/>
      <c r="CU165" s="909">
        <v>0.9</v>
      </c>
      <c r="CV165" s="910">
        <v>0.9</v>
      </c>
      <c r="CW165" s="910">
        <v>0.9</v>
      </c>
      <c r="CX165" s="910">
        <v>0.9</v>
      </c>
      <c r="CY165" s="707">
        <f>+IF(ISERROR(SUMPRODUCT(CU165:CX165,CU164:CX164)/CY164),"NA",SUMPRODUCT(CU165:CX165,CU164:CX164)/CY164)</f>
        <v>0.9</v>
      </c>
      <c r="CZ165" s="48"/>
      <c r="DA165"/>
      <c r="DB165"/>
      <c r="DC165"/>
      <c r="DD165" s="48"/>
      <c r="DE165" s="48"/>
      <c r="DF165" s="48"/>
      <c r="DG165" s="48"/>
      <c r="DH165" s="48"/>
      <c r="DI165" s="48"/>
      <c r="DJ165" s="48"/>
      <c r="DK165" s="48"/>
    </row>
    <row r="166" spans="1:115" s="5" customFormat="1" outlineLevel="1" x14ac:dyDescent="0.2">
      <c r="A166" s="354" t="s">
        <v>488</v>
      </c>
      <c r="B166" s="58"/>
      <c r="C166" s="558"/>
      <c r="D166" s="558"/>
      <c r="E166" s="558"/>
      <c r="F166" s="558"/>
      <c r="G166" s="629"/>
      <c r="H166" s="557"/>
      <c r="I166" s="704"/>
      <c r="J166" s="558"/>
      <c r="K166" s="558"/>
      <c r="L166" s="558"/>
      <c r="M166" s="629"/>
      <c r="N166" s="557"/>
      <c r="O166" s="704"/>
      <c r="P166" s="558"/>
      <c r="Q166" s="558"/>
      <c r="R166" s="558"/>
      <c r="S166" s="707"/>
      <c r="T166" s="557"/>
      <c r="U166" s="704"/>
      <c r="V166" s="558"/>
      <c r="W166" s="558"/>
      <c r="X166" s="558"/>
      <c r="Y166" s="707"/>
      <c r="Z166" s="557"/>
      <c r="AA166" s="685"/>
      <c r="AB166" s="578"/>
      <c r="AC166" s="578"/>
      <c r="AD166" s="582"/>
      <c r="AE166" s="707"/>
      <c r="AF166" s="557"/>
      <c r="AG166" s="581">
        <f>+AG167*AG158</f>
        <v>0</v>
      </c>
      <c r="AH166" s="550">
        <f>+AH167*AH158</f>
        <v>0</v>
      </c>
      <c r="AI166" s="550">
        <f>+AI167*AI158</f>
        <v>0</v>
      </c>
      <c r="AJ166" s="550">
        <f>+AJ167*AJ158</f>
        <v>0</v>
      </c>
      <c r="AK166" s="580">
        <f>SUM(AG166:AJ166)</f>
        <v>0</v>
      </c>
      <c r="AL166" s="557"/>
      <c r="AM166" s="581">
        <f>+AM167*AM158</f>
        <v>0</v>
      </c>
      <c r="AN166" s="550">
        <f>+AN167*AN158</f>
        <v>0</v>
      </c>
      <c r="AO166" s="550">
        <f>+AO167*AO158</f>
        <v>0</v>
      </c>
      <c r="AP166" s="550">
        <f>+AP167*AP158</f>
        <v>0</v>
      </c>
      <c r="AQ166" s="580">
        <f>SUM(AM166:AP166)</f>
        <v>0</v>
      </c>
      <c r="AR166" s="557"/>
      <c r="AS166" s="581">
        <f>+AS167*AS158</f>
        <v>0</v>
      </c>
      <c r="AT166" s="550">
        <f>+AT167*AT158</f>
        <v>0</v>
      </c>
      <c r="AU166" s="550">
        <f>+AU167*AU158</f>
        <v>0</v>
      </c>
      <c r="AV166" s="550">
        <f>+AV167*AV158</f>
        <v>0</v>
      </c>
      <c r="AW166" s="580">
        <f>SUM(AS166:AV166)</f>
        <v>0</v>
      </c>
      <c r="AX166" s="557"/>
      <c r="AY166" s="581">
        <f>+AY167*AY158</f>
        <v>3.08</v>
      </c>
      <c r="AZ166" s="550">
        <f>+AZ167*AZ158</f>
        <v>3.08</v>
      </c>
      <c r="BA166" s="550">
        <f>+BA167*BA158</f>
        <v>3.0800000000000005</v>
      </c>
      <c r="BB166" s="550">
        <f>+BB167*BB158</f>
        <v>3.0800000000000005</v>
      </c>
      <c r="BC166" s="580">
        <f>SUM(AY166:BB166)</f>
        <v>12.32</v>
      </c>
      <c r="BD166" s="557"/>
      <c r="BE166" s="581">
        <f>+BE167*BE158</f>
        <v>2.6400000000000006</v>
      </c>
      <c r="BF166" s="550">
        <f>+BF167*BF158</f>
        <v>3.2560000000000002</v>
      </c>
      <c r="BG166" s="550">
        <f>+BG167*BG158</f>
        <v>9.0200000000000014</v>
      </c>
      <c r="BH166" s="550">
        <f>+BH167*BH158</f>
        <v>10.119999999999999</v>
      </c>
      <c r="BI166" s="580">
        <f>SUM(BE166:BH166)</f>
        <v>25.036000000000001</v>
      </c>
      <c r="BJ166" s="557"/>
      <c r="BK166" s="581">
        <f>+BK167*BK158</f>
        <v>7.919999999999999</v>
      </c>
      <c r="BL166" s="550">
        <f>+BL167*BL158</f>
        <v>7.3962217372286743</v>
      </c>
      <c r="BM166" s="550">
        <f>+BM167*BM158</f>
        <v>10.769357617029092</v>
      </c>
      <c r="BN166" s="550">
        <f>+BN167*BN158</f>
        <v>11.012964312368133</v>
      </c>
      <c r="BO166" s="580">
        <f>SUM(BK166:BN166)</f>
        <v>37.098543666625901</v>
      </c>
      <c r="BP166" s="557"/>
      <c r="BQ166" s="581">
        <f>+BQ167*BQ158</f>
        <v>9.408341518654705</v>
      </c>
      <c r="BR166" s="550">
        <f>+BR167*BR158</f>
        <v>9.9356143500916314</v>
      </c>
      <c r="BS166" s="550">
        <f>+BS167*BS158</f>
        <v>11.656762438067867</v>
      </c>
      <c r="BT166" s="550">
        <f>+BT167*BT158</f>
        <v>12.645199709409928</v>
      </c>
      <c r="BU166" s="580">
        <f>SUM(BQ166:BT166)</f>
        <v>43.64591801622413</v>
      </c>
      <c r="BV166" s="557"/>
      <c r="BW166" s="581">
        <f>+BW167*BW158</f>
        <v>10.347560912401606</v>
      </c>
      <c r="BX166" s="550">
        <f>+BX167*BX158</f>
        <v>11.275104954708178</v>
      </c>
      <c r="BY166" s="550">
        <f>+BY167*BY158</f>
        <v>13.308420851727604</v>
      </c>
      <c r="BZ166" s="550">
        <f>+BZ167*BZ158</f>
        <v>14.538097208521833</v>
      </c>
      <c r="CA166" s="580">
        <f>SUM(BW166:BZ166)</f>
        <v>49.469183927359225</v>
      </c>
      <c r="CB166" s="557"/>
      <c r="CC166" s="581">
        <f>+CC167*CC158</f>
        <v>14.625266973694778</v>
      </c>
      <c r="CD166" s="550">
        <f>+CD167*CD158</f>
        <v>16.570200792389215</v>
      </c>
      <c r="CE166" s="550">
        <f>+CE167*CE158</f>
        <v>19.302802412707816</v>
      </c>
      <c r="CF166" s="550">
        <f>+CF167*CF158</f>
        <v>21.016361896712258</v>
      </c>
      <c r="CG166" s="580">
        <f>SUM(CC166:CF166)</f>
        <v>71.514632075504068</v>
      </c>
      <c r="CH166" s="557"/>
      <c r="CI166" s="581">
        <f>+CI167*CI158</f>
        <v>16.670078773932183</v>
      </c>
      <c r="CJ166" s="550">
        <f>+CJ167*CJ158</f>
        <v>18.758096612026186</v>
      </c>
      <c r="CK166" s="550">
        <f>+CK167*CK158</f>
        <v>21.472630767541268</v>
      </c>
      <c r="CL166" s="550">
        <f>+CL167*CL158</f>
        <v>23.179069513390438</v>
      </c>
      <c r="CM166" s="580">
        <f>SUM(CI166:CL166)</f>
        <v>80.079875666890075</v>
      </c>
      <c r="CN166" s="557"/>
      <c r="CO166" s="581">
        <f>+CO167*CO158</f>
        <v>19.323294997267507</v>
      </c>
      <c r="CP166" s="550">
        <f>+CP167*CP158</f>
        <v>21.743599915404275</v>
      </c>
      <c r="CQ166" s="550">
        <f>+CQ167*CQ158</f>
        <v>24.890160577486618</v>
      </c>
      <c r="CR166" s="550">
        <f>+CR167*CR158</f>
        <v>26.868106638148213</v>
      </c>
      <c r="CS166" s="580">
        <f>SUM(CO166:CR166)</f>
        <v>92.82516212830663</v>
      </c>
      <c r="CT166" s="557"/>
      <c r="CU166" s="581">
        <f>+CU167*CU158</f>
        <v>22.40149236235294</v>
      </c>
      <c r="CV166" s="550">
        <f>+CV167*CV158</f>
        <v>25.207310152474406</v>
      </c>
      <c r="CW166" s="550">
        <f>+CW167*CW158</f>
        <v>28.85509819411859</v>
      </c>
      <c r="CX166" s="550">
        <f>+CX167*CX158</f>
        <v>31.148043502780055</v>
      </c>
      <c r="CY166" s="580">
        <f>SUM(CU166:CX166)</f>
        <v>107.611944211726</v>
      </c>
      <c r="CZ166" s="48"/>
      <c r="DA166"/>
      <c r="DB166"/>
      <c r="DC166"/>
      <c r="DD166" s="48"/>
      <c r="DE166" s="48"/>
      <c r="DF166" s="48"/>
      <c r="DG166" s="48"/>
      <c r="DH166" s="48"/>
      <c r="DI166" s="48"/>
      <c r="DJ166" s="48"/>
      <c r="DK166" s="48"/>
    </row>
    <row r="167" spans="1:115" s="5" customFormat="1" outlineLevel="1" x14ac:dyDescent="0.2">
      <c r="A167" s="205" t="s">
        <v>473</v>
      </c>
      <c r="B167" s="58"/>
      <c r="C167" s="558"/>
      <c r="D167" s="558"/>
      <c r="E167" s="558"/>
      <c r="F167" s="558"/>
      <c r="G167" s="629"/>
      <c r="H167" s="557"/>
      <c r="I167" s="704"/>
      <c r="J167" s="558"/>
      <c r="K167" s="558"/>
      <c r="L167" s="558"/>
      <c r="M167" s="629"/>
      <c r="N167" s="557"/>
      <c r="O167" s="704"/>
      <c r="P167" s="558"/>
      <c r="Q167" s="558"/>
      <c r="R167" s="558"/>
      <c r="S167" s="707"/>
      <c r="T167" s="557"/>
      <c r="U167" s="704"/>
      <c r="V167" s="558"/>
      <c r="W167" s="558"/>
      <c r="X167" s="558"/>
      <c r="Y167" s="707"/>
      <c r="Z167" s="557"/>
      <c r="AA167" s="685"/>
      <c r="AB167" s="578"/>
      <c r="AC167" s="578"/>
      <c r="AD167" s="582"/>
      <c r="AE167" s="707"/>
      <c r="AF167" s="557"/>
      <c r="AG167" s="909">
        <v>0</v>
      </c>
      <c r="AH167" s="910">
        <v>0</v>
      </c>
      <c r="AI167" s="910">
        <v>0</v>
      </c>
      <c r="AJ167" s="910">
        <v>0</v>
      </c>
      <c r="AK167" s="707">
        <f>+AK166/AK$43</f>
        <v>0</v>
      </c>
      <c r="AL167" s="557"/>
      <c r="AM167" s="909">
        <v>0</v>
      </c>
      <c r="AN167" s="910">
        <v>0</v>
      </c>
      <c r="AO167" s="910">
        <v>0</v>
      </c>
      <c r="AP167" s="910">
        <v>0</v>
      </c>
      <c r="AQ167" s="707">
        <f>+AQ166/AQ$43</f>
        <v>0</v>
      </c>
      <c r="AR167" s="557"/>
      <c r="AS167" s="909">
        <v>0</v>
      </c>
      <c r="AT167" s="910">
        <v>0</v>
      </c>
      <c r="AU167" s="910">
        <v>0</v>
      </c>
      <c r="AV167" s="910">
        <v>0</v>
      </c>
      <c r="AW167" s="707">
        <f>+AW166/AW$43</f>
        <v>0</v>
      </c>
      <c r="AX167" s="557"/>
      <c r="AY167" s="909">
        <f>+AY446+AY447+(AY164)/AY158</f>
        <v>0.88</v>
      </c>
      <c r="AZ167" s="910">
        <f>+AZ446+AZ447+(AZ164)/AZ158</f>
        <v>0.88</v>
      </c>
      <c r="BA167" s="910">
        <f>+BA446+BA447+(BA164)/BA158</f>
        <v>0.88000000000000012</v>
      </c>
      <c r="BB167" s="910">
        <f>+BB446+BB447+(BB164)/BB158</f>
        <v>0.88000000000000012</v>
      </c>
      <c r="BC167" s="1117">
        <f>+BC166/BC$158</f>
        <v>0.88</v>
      </c>
      <c r="BD167" s="557"/>
      <c r="BE167" s="1107">
        <f>+BE446+BE447+(BE164)/BE158</f>
        <v>0.88000000000000012</v>
      </c>
      <c r="BF167" s="1110">
        <f>+BF446+BF447+(BF164)/BF158</f>
        <v>0.88</v>
      </c>
      <c r="BG167" s="1110">
        <f>+BG446+BG447+(BG164)/BG158</f>
        <v>0.88000000000000012</v>
      </c>
      <c r="BH167" s="1110">
        <f>+BH446+BH447+(BH164)/BH158</f>
        <v>0.87999999999999989</v>
      </c>
      <c r="BI167" s="1117">
        <f>+BI166/BI$158</f>
        <v>0.88000000000000012</v>
      </c>
      <c r="BJ167" s="557"/>
      <c r="BK167" s="1109">
        <f>+BK446+BK447+(BK164)/BK158</f>
        <v>0.87999999999999989</v>
      </c>
      <c r="BL167" s="1110">
        <f>+BL446+BL447+(BL164)/BL158</f>
        <v>0.87999999999999989</v>
      </c>
      <c r="BM167" s="1110">
        <f>+BM446+BM447+(BM164)/BM158</f>
        <v>0.87999999999999989</v>
      </c>
      <c r="BN167" s="1110">
        <f>+BN446+BN447+(BN164)/BN158</f>
        <v>0.87999999999999989</v>
      </c>
      <c r="BO167" s="1117">
        <f>+BO166/BO$158</f>
        <v>0.87999999999999989</v>
      </c>
      <c r="BP167" s="557"/>
      <c r="BQ167" s="1109">
        <f>+BQ446+BQ447+(BQ164)/BQ158</f>
        <v>0.88</v>
      </c>
      <c r="BR167" s="1110">
        <f>+BR446+BR447+(BR164)/BR158</f>
        <v>0.87999999999999989</v>
      </c>
      <c r="BS167" s="1110">
        <f>+BS446+BS447+(BS164)/BS158</f>
        <v>0.87999999999999989</v>
      </c>
      <c r="BT167" s="1110">
        <f>+BT446+BT447+(BT164)/BT158</f>
        <v>0.87999999999999989</v>
      </c>
      <c r="BU167" s="1117">
        <f>+BU166/BU$158</f>
        <v>0.87999999999999978</v>
      </c>
      <c r="BV167" s="557"/>
      <c r="BW167" s="1109">
        <f>+BW446+BW447+(BW164)/BW158</f>
        <v>0.88</v>
      </c>
      <c r="BX167" s="1110">
        <f>+BX446+BX447+(BX164)/BX158</f>
        <v>0.88</v>
      </c>
      <c r="BY167" s="1110">
        <f>+BY446+BY447+(BY164)/BY158</f>
        <v>0.88000000000000012</v>
      </c>
      <c r="BZ167" s="1110">
        <f>+BZ446+BZ447+(BZ164)/BZ158</f>
        <v>0.88000000000000012</v>
      </c>
      <c r="CA167" s="1117">
        <f>+CA166/CA$158</f>
        <v>0.88000000000000023</v>
      </c>
      <c r="CB167" s="557"/>
      <c r="CC167" s="1109">
        <f>+CC446+CC447+(CC164)/CC158</f>
        <v>0.87999999999999989</v>
      </c>
      <c r="CD167" s="1110">
        <f>+CD446+CD447+(CD164)/CD158</f>
        <v>0.88</v>
      </c>
      <c r="CE167" s="1110">
        <f>+CE446+CE447+(CE164)/CE158</f>
        <v>0.87999999999999989</v>
      </c>
      <c r="CF167" s="1110">
        <f>+CF446+CF447+(CF164)/CF158</f>
        <v>0.87999999999999989</v>
      </c>
      <c r="CG167" s="1117">
        <f>+CG166/CG$158</f>
        <v>0.87999999999999989</v>
      </c>
      <c r="CH167" s="557"/>
      <c r="CI167" s="1109">
        <f>+CI446+CI447+(CI164)/CI158</f>
        <v>0.82895537398221275</v>
      </c>
      <c r="CJ167" s="1110">
        <f>+CJ446+CJ447+(CJ164)/CJ158</f>
        <v>0.82671653217837893</v>
      </c>
      <c r="CK167" s="1110">
        <f>+CK446+CK447+(CK164)/CK158</f>
        <v>0.82609351502169037</v>
      </c>
      <c r="CL167" s="1110">
        <f>+CL446+CL447+(CL164)/CL158</f>
        <v>0.8225060942400233</v>
      </c>
      <c r="CM167" s="1117">
        <f>+CM166/CM$158</f>
        <v>0.82579023888971825</v>
      </c>
      <c r="CN167" s="557"/>
      <c r="CO167" s="1109">
        <f>+CO446+CO447+(CO164)/CO158</f>
        <v>0.82835537398221282</v>
      </c>
      <c r="CP167" s="1110">
        <f>+CP446+CP447+(CP164)/CP158</f>
        <v>0.82611653217837877</v>
      </c>
      <c r="CQ167" s="1110">
        <f>+CQ446+CQ447+(CQ164)/CQ158</f>
        <v>0.82549351502169044</v>
      </c>
      <c r="CR167" s="1110">
        <f>+CR446+CR447+(CR164)/CR158</f>
        <v>0.82190609424002337</v>
      </c>
      <c r="CS167" s="1117">
        <f>+CS166/CS$158</f>
        <v>0.82519023888971843</v>
      </c>
      <c r="CT167" s="557"/>
      <c r="CU167" s="1109">
        <f>+CU446+CU447+(CU164)/CU158</f>
        <v>0.82785537398221276</v>
      </c>
      <c r="CV167" s="1110">
        <f>+CV446+CV447+(CV164)/CV158</f>
        <v>0.82561653217837871</v>
      </c>
      <c r="CW167" s="1110">
        <f>+CW446+CW447+(CW164)/CW158</f>
        <v>0.82499351502169027</v>
      </c>
      <c r="CX167" s="1110">
        <f>+CX446+CX447+(CX164)/CX158</f>
        <v>0.82140609424002342</v>
      </c>
      <c r="CY167" s="1117">
        <f>+CY166/CY$158</f>
        <v>0.82469023888971837</v>
      </c>
      <c r="CZ167" s="48"/>
      <c r="DA167"/>
      <c r="DB167"/>
      <c r="DC167"/>
      <c r="DD167" s="48"/>
      <c r="DE167" s="48"/>
      <c r="DF167" s="48"/>
      <c r="DG167" s="48"/>
      <c r="DH167" s="48"/>
      <c r="DI167" s="48"/>
      <c r="DJ167" s="48"/>
      <c r="DK167" s="48"/>
    </row>
    <row r="168" spans="1:115" s="5" customFormat="1" x14ac:dyDescent="0.2">
      <c r="A168" s="354" t="s">
        <v>487</v>
      </c>
      <c r="B168" s="58"/>
      <c r="C168" s="558"/>
      <c r="D168" s="558"/>
      <c r="E168" s="558"/>
      <c r="F168" s="558"/>
      <c r="G168" s="629"/>
      <c r="H168" s="557"/>
      <c r="I168" s="704"/>
      <c r="J168" s="558"/>
      <c r="K168" s="558"/>
      <c r="L168" s="558"/>
      <c r="M168" s="629"/>
      <c r="N168" s="557"/>
      <c r="O168" s="704"/>
      <c r="P168" s="558"/>
      <c r="Q168" s="558"/>
      <c r="R168" s="558"/>
      <c r="S168" s="707"/>
      <c r="T168" s="557"/>
      <c r="U168" s="704"/>
      <c r="V168" s="558"/>
      <c r="W168" s="558"/>
      <c r="X168" s="558"/>
      <c r="Y168" s="707"/>
      <c r="Z168" s="557"/>
      <c r="AA168" s="685"/>
      <c r="AB168" s="578"/>
      <c r="AC168" s="578"/>
      <c r="AD168" s="582"/>
      <c r="AE168" s="707"/>
      <c r="AF168" s="557"/>
      <c r="AG168" s="581">
        <f>+AG162-AG166</f>
        <v>0</v>
      </c>
      <c r="AH168" s="550">
        <f>+AH162-AH166</f>
        <v>0</v>
      </c>
      <c r="AI168" s="550">
        <f>+AI162-AI166</f>
        <v>0</v>
      </c>
      <c r="AJ168" s="550">
        <f>+AJ162-AJ166</f>
        <v>0</v>
      </c>
      <c r="AK168" s="580">
        <f>+AK162-AK166</f>
        <v>0</v>
      </c>
      <c r="AL168" s="557"/>
      <c r="AM168" s="581">
        <f>+AM162-AM166</f>
        <v>0</v>
      </c>
      <c r="AN168" s="550">
        <f>+AN162-AN166</f>
        <v>0</v>
      </c>
      <c r="AO168" s="550">
        <f>+AO162-AO166</f>
        <v>0</v>
      </c>
      <c r="AP168" s="550">
        <f>+AP162-AP166</f>
        <v>0</v>
      </c>
      <c r="AQ168" s="580">
        <f>+AQ162-AQ166</f>
        <v>0</v>
      </c>
      <c r="AR168" s="557"/>
      <c r="AS168" s="581">
        <f>+AS162-AS166</f>
        <v>0</v>
      </c>
      <c r="AT168" s="550">
        <f>+AT162-AT166</f>
        <v>0</v>
      </c>
      <c r="AU168" s="550">
        <f>+AU162-AU166</f>
        <v>0</v>
      </c>
      <c r="AV168" s="550">
        <f>+AV162-AV166</f>
        <v>0</v>
      </c>
      <c r="AW168" s="580">
        <f>+AW162-AW166</f>
        <v>0</v>
      </c>
      <c r="AX168" s="557"/>
      <c r="AY168" s="581">
        <f>+AY162-AY166</f>
        <v>0</v>
      </c>
      <c r="AZ168" s="550">
        <f>+AZ162-AZ166</f>
        <v>0</v>
      </c>
      <c r="BA168" s="550">
        <f>+BA162-BA166</f>
        <v>0</v>
      </c>
      <c r="BB168" s="550">
        <f>+BB162-BB166</f>
        <v>0</v>
      </c>
      <c r="BC168" s="580">
        <f>+BC162-BC166</f>
        <v>0</v>
      </c>
      <c r="BD168" s="557"/>
      <c r="BE168" s="581">
        <f>+BE162-BE166</f>
        <v>0</v>
      </c>
      <c r="BF168" s="550">
        <f>+BF162-BF166</f>
        <v>0</v>
      </c>
      <c r="BG168" s="550">
        <f>+BG162-BG166</f>
        <v>0</v>
      </c>
      <c r="BH168" s="550">
        <f>+BH162-BH166</f>
        <v>0</v>
      </c>
      <c r="BI168" s="580">
        <f>+BI162-BI166</f>
        <v>0</v>
      </c>
      <c r="BJ168" s="557"/>
      <c r="BK168" s="581">
        <f>+BK162-BK166</f>
        <v>0</v>
      </c>
      <c r="BL168" s="550">
        <f>+BL162-BL166</f>
        <v>0</v>
      </c>
      <c r="BM168" s="550">
        <f>+BM162-BM166</f>
        <v>0</v>
      </c>
      <c r="BN168" s="550">
        <f>+BN162-BN166</f>
        <v>0</v>
      </c>
      <c r="BO168" s="580">
        <f>+BO162-BO166</f>
        <v>0</v>
      </c>
      <c r="BP168" s="557"/>
      <c r="BQ168" s="581">
        <f>+BQ162-BQ166</f>
        <v>0</v>
      </c>
      <c r="BR168" s="550">
        <f>+BR162-BR166</f>
        <v>0</v>
      </c>
      <c r="BS168" s="550">
        <f>+BS162-BS166</f>
        <v>0</v>
      </c>
      <c r="BT168" s="550">
        <f>+BT162-BT166</f>
        <v>0</v>
      </c>
      <c r="BU168" s="580">
        <f>+BU162-BU166</f>
        <v>0</v>
      </c>
      <c r="BV168" s="557"/>
      <c r="BW168" s="581">
        <f>+BW162-BW166</f>
        <v>0</v>
      </c>
      <c r="BX168" s="550">
        <f>+BX162-BX166</f>
        <v>0</v>
      </c>
      <c r="BY168" s="550">
        <f>+BY162-BY166</f>
        <v>0</v>
      </c>
      <c r="BZ168" s="550">
        <f>+BZ162-BZ166</f>
        <v>0</v>
      </c>
      <c r="CA168" s="580">
        <f>+CA162-CA166</f>
        <v>0</v>
      </c>
      <c r="CB168" s="557"/>
      <c r="CC168" s="581">
        <f>+CC162-CC166</f>
        <v>0</v>
      </c>
      <c r="CD168" s="550">
        <f>+CD162-CD166</f>
        <v>0</v>
      </c>
      <c r="CE168" s="550">
        <f>+CE162-CE166</f>
        <v>0</v>
      </c>
      <c r="CF168" s="550">
        <f>+CF162-CF166</f>
        <v>0</v>
      </c>
      <c r="CG168" s="580">
        <f>+CG162-CG166</f>
        <v>0</v>
      </c>
      <c r="CH168" s="557"/>
      <c r="CI168" s="581">
        <f>+CI162-CI166</f>
        <v>1.0264942642384973</v>
      </c>
      <c r="CJ168" s="550">
        <f>+CJ162-CJ166</f>
        <v>1.2089953428028188</v>
      </c>
      <c r="CK168" s="550">
        <f>+CK162-CK166</f>
        <v>1.4011900915174955</v>
      </c>
      <c r="CL168" s="550">
        <f>+CL162-CL166</f>
        <v>1.620237524730026</v>
      </c>
      <c r="CM168" s="580">
        <f>+CM162-CM166</f>
        <v>5.2569172232888377</v>
      </c>
      <c r="CN168" s="557"/>
      <c r="CO168" s="581">
        <f>+CO162-CO166</f>
        <v>1.2047297270104842</v>
      </c>
      <c r="CP168" s="550">
        <f>+CP162-CP166</f>
        <v>1.4182267521973664</v>
      </c>
      <c r="CQ168" s="550">
        <f>+CQ162-CQ166</f>
        <v>1.6434716190215504</v>
      </c>
      <c r="CR168" s="550">
        <f>+CR162-CR166</f>
        <v>1.8990895260715277</v>
      </c>
      <c r="CS168" s="580">
        <f>+CS162-CS166</f>
        <v>6.1655176243009038</v>
      </c>
      <c r="CT168" s="557"/>
      <c r="CU168" s="581">
        <f>+CU162-CU166</f>
        <v>1.4110163178095263</v>
      </c>
      <c r="CV168" s="550">
        <f>+CV162-CV166</f>
        <v>1.6604087819434987</v>
      </c>
      <c r="CW168" s="550">
        <f>+CW162-CW166</f>
        <v>1.9239151538308832</v>
      </c>
      <c r="CX168" s="550">
        <f>+CX162-CX166</f>
        <v>2.2219040477148368</v>
      </c>
      <c r="CY168" s="580">
        <f>+CY162-CY166</f>
        <v>7.2172443012987486</v>
      </c>
      <c r="CZ168" s="48"/>
      <c r="DA168"/>
      <c r="DB168"/>
      <c r="DC168"/>
      <c r="DD168" s="48"/>
      <c r="DE168" s="48"/>
      <c r="DF168" s="48"/>
      <c r="DG168" s="48"/>
      <c r="DH168" s="48"/>
      <c r="DI168" s="48"/>
      <c r="DJ168" s="48"/>
      <c r="DK168" s="48"/>
    </row>
    <row r="169" spans="1:115" s="5" customFormat="1" x14ac:dyDescent="0.2">
      <c r="A169" s="205" t="s">
        <v>476</v>
      </c>
      <c r="B169" s="961"/>
      <c r="C169" s="565"/>
      <c r="D169" s="566"/>
      <c r="E169" s="566"/>
      <c r="F169" s="566"/>
      <c r="G169" s="584"/>
      <c r="H169" s="592"/>
      <c r="I169" s="565"/>
      <c r="J169" s="566"/>
      <c r="K169" s="566"/>
      <c r="L169" s="566"/>
      <c r="M169" s="584"/>
      <c r="N169" s="592"/>
      <c r="O169" s="565"/>
      <c r="P169" s="566"/>
      <c r="Q169" s="566"/>
      <c r="R169" s="566"/>
      <c r="S169" s="584"/>
      <c r="T169" s="591"/>
      <c r="U169" s="565"/>
      <c r="V169" s="566"/>
      <c r="W169" s="566"/>
      <c r="X169" s="566"/>
      <c r="Y169" s="584"/>
      <c r="Z169" s="593"/>
      <c r="AA169" s="909">
        <v>0</v>
      </c>
      <c r="AB169" s="910">
        <v>0</v>
      </c>
      <c r="AC169" s="910">
        <v>0</v>
      </c>
      <c r="AD169" s="910">
        <v>0</v>
      </c>
      <c r="AE169" s="584"/>
      <c r="AF169" s="592"/>
      <c r="AG169" s="909">
        <v>0</v>
      </c>
      <c r="AH169" s="910">
        <v>0</v>
      </c>
      <c r="AI169" s="910">
        <v>0</v>
      </c>
      <c r="AJ169" s="910">
        <v>0</v>
      </c>
      <c r="AK169" s="707">
        <f>+AK168/AK$43</f>
        <v>0</v>
      </c>
      <c r="AL169" s="592"/>
      <c r="AM169" s="909">
        <v>0</v>
      </c>
      <c r="AN169" s="910">
        <v>0</v>
      </c>
      <c r="AO169" s="910">
        <v>0</v>
      </c>
      <c r="AP169" s="910">
        <v>0</v>
      </c>
      <c r="AQ169" s="707">
        <f>+AQ168/AQ$43</f>
        <v>0</v>
      </c>
      <c r="AR169" s="592"/>
      <c r="AS169" s="909">
        <v>0</v>
      </c>
      <c r="AT169" s="910">
        <v>0</v>
      </c>
      <c r="AU169" s="910">
        <v>0</v>
      </c>
      <c r="AV169" s="910">
        <v>0</v>
      </c>
      <c r="AW169" s="707">
        <f>+AW168/AW$43</f>
        <v>0</v>
      </c>
      <c r="AX169" s="592"/>
      <c r="AY169" s="1115">
        <f>+AY168/AY158</f>
        <v>0</v>
      </c>
      <c r="AZ169" s="1114">
        <f>+AZ168/AZ158</f>
        <v>0</v>
      </c>
      <c r="BA169" s="1114">
        <f>+BA168/BA158</f>
        <v>0</v>
      </c>
      <c r="BB169" s="1114">
        <f>+BB168/BB158</f>
        <v>0</v>
      </c>
      <c r="BC169" s="1117">
        <f>+BC168/BC$158</f>
        <v>0</v>
      </c>
      <c r="BD169" s="592"/>
      <c r="BE169" s="1115">
        <f>+BE168/BE158</f>
        <v>0</v>
      </c>
      <c r="BF169" s="1114">
        <f>+BF168/BF158</f>
        <v>0</v>
      </c>
      <c r="BG169" s="1114">
        <f>+BG168/BG158</f>
        <v>0</v>
      </c>
      <c r="BH169" s="1114">
        <f>+BH168/BH158</f>
        <v>0</v>
      </c>
      <c r="BI169" s="1117">
        <f>+BI168/BI$158</f>
        <v>0</v>
      </c>
      <c r="BJ169" s="592"/>
      <c r="BK169" s="1115">
        <f>+BK168/BK158</f>
        <v>0</v>
      </c>
      <c r="BL169" s="1114">
        <f>+BL168/BL158</f>
        <v>0</v>
      </c>
      <c r="BM169" s="1114">
        <f>+BM168/BM158</f>
        <v>0</v>
      </c>
      <c r="BN169" s="1114">
        <f>+BN168/BN158</f>
        <v>0</v>
      </c>
      <c r="BO169" s="1117">
        <f>+BO168/BO$158</f>
        <v>0</v>
      </c>
      <c r="BP169" s="592"/>
      <c r="BQ169" s="1115">
        <f>+BQ168/BQ158</f>
        <v>0</v>
      </c>
      <c r="BR169" s="1114">
        <f>+BR168/BR158</f>
        <v>0</v>
      </c>
      <c r="BS169" s="1114">
        <f>+BS168/BS158</f>
        <v>0</v>
      </c>
      <c r="BT169" s="1114">
        <f>+BT168/BT158</f>
        <v>0</v>
      </c>
      <c r="BU169" s="1117">
        <f>+BU168/BU$158</f>
        <v>0</v>
      </c>
      <c r="BV169" s="592"/>
      <c r="BW169" s="1115">
        <f>+BW168/BW158</f>
        <v>0</v>
      </c>
      <c r="BX169" s="1114">
        <f>+BX168/BX158</f>
        <v>0</v>
      </c>
      <c r="BY169" s="1114">
        <f>+BY168/BY158</f>
        <v>0</v>
      </c>
      <c r="BZ169" s="1114">
        <f>+BZ168/BZ158</f>
        <v>0</v>
      </c>
      <c r="CA169" s="1117">
        <f>+CA168/CA$158</f>
        <v>0</v>
      </c>
      <c r="CB169" s="592"/>
      <c r="CC169" s="1115">
        <f>+CC168/CC158</f>
        <v>0</v>
      </c>
      <c r="CD169" s="1114">
        <f>+CD168/CD158</f>
        <v>0</v>
      </c>
      <c r="CE169" s="1114">
        <f>+CE168/CE158</f>
        <v>0</v>
      </c>
      <c r="CF169" s="1114">
        <f>+CF168/CF158</f>
        <v>0</v>
      </c>
      <c r="CG169" s="1117">
        <f>+CG168/CG$158</f>
        <v>0</v>
      </c>
      <c r="CH169" s="592"/>
      <c r="CI169" s="1115">
        <f>+CI168/CI158</f>
        <v>5.1044626017787142E-2</v>
      </c>
      <c r="CJ169" s="1114">
        <f>+CJ168/CJ158</f>
        <v>5.3283467821621085E-2</v>
      </c>
      <c r="CK169" s="1114">
        <f>+CK168/CK158</f>
        <v>5.3906484978309605E-2</v>
      </c>
      <c r="CL169" s="1114">
        <f>+CL168/CL158</f>
        <v>5.7493905759976614E-2</v>
      </c>
      <c r="CM169" s="1117">
        <f>+CM168/CM$158</f>
        <v>5.4209761110281605E-2</v>
      </c>
      <c r="CN169" s="592"/>
      <c r="CO169" s="1115">
        <f>+CO168/CO158</f>
        <v>5.1644626017787201E-2</v>
      </c>
      <c r="CP169" s="1114">
        <f>+CP168/CP158</f>
        <v>5.3883467821621268E-2</v>
      </c>
      <c r="CQ169" s="1114">
        <f>+CQ168/CQ158</f>
        <v>5.4506484978309594E-2</v>
      </c>
      <c r="CR169" s="1114">
        <f>+CR168/CR158</f>
        <v>5.8093905759976687E-2</v>
      </c>
      <c r="CS169" s="1117">
        <f>+CS168/CS$158</f>
        <v>5.4809761110281463E-2</v>
      </c>
      <c r="CT169" s="592"/>
      <c r="CU169" s="1115">
        <f>+CU168/CU158</f>
        <v>5.2144626017787195E-2</v>
      </c>
      <c r="CV169" s="1114">
        <f>+CV168/CV158</f>
        <v>5.4383467821621199E-2</v>
      </c>
      <c r="CW169" s="1114">
        <f>+CW168/CW158</f>
        <v>5.5006484978309726E-2</v>
      </c>
      <c r="CX169" s="1114">
        <f>+CX168/CX158</f>
        <v>5.8593905759976493E-2</v>
      </c>
      <c r="CY169" s="1117">
        <f>+CY168/CY$158</f>
        <v>5.5309761110281679E-2</v>
      </c>
      <c r="CZ169" s="48"/>
      <c r="DA169"/>
      <c r="DB169"/>
      <c r="DC169"/>
      <c r="DD169" s="48"/>
      <c r="DE169" s="48"/>
      <c r="DF169" s="48"/>
      <c r="DG169" s="48"/>
      <c r="DH169" s="48"/>
      <c r="DI169" s="48"/>
      <c r="DJ169" s="48"/>
      <c r="DK169" s="48"/>
    </row>
    <row r="170" spans="1:115" x14ac:dyDescent="0.2">
      <c r="A170" s="1161" t="s">
        <v>242</v>
      </c>
      <c r="B170" s="1162"/>
      <c r="C170" s="1163"/>
      <c r="D170" s="1163"/>
      <c r="E170" s="1163"/>
      <c r="F170" s="1163"/>
      <c r="G170" s="1164"/>
      <c r="H170" s="1165"/>
      <c r="I170" s="1166"/>
      <c r="J170" s="1163"/>
      <c r="K170" s="1163"/>
      <c r="L170" s="1163"/>
      <c r="M170" s="1164"/>
      <c r="N170" s="1165"/>
      <c r="O170" s="1166"/>
      <c r="P170" s="1163"/>
      <c r="Q170" s="1163"/>
      <c r="R170" s="1163"/>
      <c r="S170" s="1164"/>
      <c r="T170" s="1163"/>
      <c r="U170" s="1166"/>
      <c r="V170" s="1163"/>
      <c r="W170" s="1163"/>
      <c r="X170" s="1163"/>
      <c r="Y170" s="1164"/>
      <c r="Z170" s="1167"/>
      <c r="AA170" s="1168"/>
      <c r="AB170" s="1169"/>
      <c r="AC170" s="1169"/>
      <c r="AD170" s="1170"/>
      <c r="AE170" s="1171"/>
      <c r="AF170" s="1165"/>
      <c r="AG170" s="1172"/>
      <c r="AH170" s="1173"/>
      <c r="AI170" s="1173"/>
      <c r="AJ170" s="1174"/>
      <c r="AK170" s="1171"/>
      <c r="AL170" s="1175"/>
      <c r="AM170" s="1176"/>
      <c r="AN170" s="1177"/>
      <c r="AO170" s="1177"/>
      <c r="AP170" s="1177"/>
      <c r="AQ170" s="1171"/>
      <c r="AR170" s="1178"/>
      <c r="AS170" s="1172"/>
      <c r="AT170" s="1173"/>
      <c r="AU170" s="1173"/>
      <c r="AV170" s="1173"/>
      <c r="AW170" s="1171"/>
      <c r="AX170" s="1173"/>
      <c r="AY170" s="1172"/>
      <c r="AZ170" s="1173"/>
      <c r="BA170" s="1173"/>
      <c r="BB170" s="1173"/>
      <c r="BC170" s="1171"/>
      <c r="BD170" s="1178"/>
      <c r="BE170" s="1172"/>
      <c r="BF170" s="1173"/>
      <c r="BG170" s="1173"/>
      <c r="BH170" s="1173"/>
      <c r="BI170" s="1171"/>
      <c r="BJ170" s="1179"/>
      <c r="BK170" s="1180"/>
      <c r="BL170" s="1173"/>
      <c r="BM170" s="1173"/>
      <c r="BN170" s="1173"/>
      <c r="BO170" s="1171"/>
      <c r="BP170" s="1178"/>
      <c r="BQ170" s="1172"/>
      <c r="BR170" s="1173"/>
      <c r="BS170" s="1173"/>
      <c r="BT170" s="1173"/>
      <c r="BU170" s="1171"/>
      <c r="BV170" s="1178"/>
      <c r="BW170" s="1172"/>
      <c r="BX170" s="1173"/>
      <c r="BY170" s="1173"/>
      <c r="BZ170" s="1173"/>
      <c r="CA170" s="1171"/>
      <c r="CB170" s="1178"/>
      <c r="CC170" s="1172"/>
      <c r="CD170" s="1173"/>
      <c r="CE170" s="1173"/>
      <c r="CF170" s="1173"/>
      <c r="CG170" s="1171"/>
      <c r="CH170" s="1178"/>
      <c r="CI170" s="1172"/>
      <c r="CJ170" s="1173"/>
      <c r="CK170" s="1173"/>
      <c r="CL170" s="1173"/>
      <c r="CM170" s="1171"/>
      <c r="CN170" s="1178"/>
      <c r="CO170" s="1172"/>
      <c r="CP170" s="1173"/>
      <c r="CQ170" s="1173"/>
      <c r="CR170" s="1173"/>
      <c r="CS170" s="1171"/>
      <c r="CT170" s="1178"/>
      <c r="CU170" s="1172"/>
      <c r="CV170" s="1173"/>
      <c r="CW170" s="1173"/>
      <c r="CX170" s="1173"/>
      <c r="CY170" s="1171"/>
      <c r="CZ170" s="48"/>
      <c r="DD170" s="48"/>
      <c r="DE170" s="48"/>
      <c r="DF170" s="48"/>
      <c r="DG170" s="48"/>
      <c r="DH170" s="48"/>
      <c r="DI170" s="48"/>
      <c r="DJ170" s="48"/>
      <c r="DK170" s="48"/>
    </row>
    <row r="171" spans="1:115" x14ac:dyDescent="0.2">
      <c r="A171" s="1141"/>
      <c r="B171" s="1268"/>
      <c r="C171" s="1143"/>
      <c r="D171" s="1143"/>
      <c r="E171" s="1143"/>
      <c r="F171" s="1143"/>
      <c r="G171" s="1144"/>
      <c r="H171" s="1145"/>
      <c r="I171" s="1146"/>
      <c r="J171" s="1143"/>
      <c r="K171" s="1143"/>
      <c r="L171" s="1143"/>
      <c r="M171" s="1144"/>
      <c r="N171" s="1145"/>
      <c r="O171" s="1146"/>
      <c r="P171" s="1143"/>
      <c r="Q171" s="1143"/>
      <c r="R171" s="1143"/>
      <c r="S171" s="1144"/>
      <c r="T171" s="1143"/>
      <c r="U171" s="1146"/>
      <c r="V171" s="1143"/>
      <c r="W171" s="1143"/>
      <c r="X171" s="1143"/>
      <c r="Y171" s="1144"/>
      <c r="Z171" s="1147"/>
      <c r="AA171" s="1148"/>
      <c r="AB171" s="1149"/>
      <c r="AC171" s="1149"/>
      <c r="AD171" s="1149"/>
      <c r="AE171" s="1151"/>
      <c r="AF171" s="1145"/>
      <c r="AG171" s="1152"/>
      <c r="AH171" s="1153"/>
      <c r="AI171" s="1153"/>
      <c r="AJ171" s="1153"/>
      <c r="AK171" s="1151"/>
      <c r="AL171" s="1155"/>
      <c r="AM171" s="1156"/>
      <c r="AN171" s="1157"/>
      <c r="AO171" s="1157"/>
      <c r="AP171" s="1157"/>
      <c r="AQ171" s="1151"/>
      <c r="AR171" s="1158"/>
      <c r="AS171" s="1152"/>
      <c r="AT171" s="1153"/>
      <c r="AU171" s="1153"/>
      <c r="AV171" s="1153"/>
      <c r="AW171" s="1151"/>
      <c r="AX171" s="1153"/>
      <c r="AY171" s="1152"/>
      <c r="AZ171" s="1153"/>
      <c r="BA171" s="1153"/>
      <c r="BB171" s="1153"/>
      <c r="BC171" s="1269">
        <f>+RevBuild!BC$6</f>
        <v>2012</v>
      </c>
      <c r="BD171" s="1158"/>
      <c r="BE171" s="1152"/>
      <c r="BF171" s="1153"/>
      <c r="BG171" s="1153"/>
      <c r="BH171" s="1153"/>
      <c r="BI171" s="1269">
        <f>+RevBuild!BI$6</f>
        <v>2013</v>
      </c>
      <c r="BJ171" s="1159"/>
      <c r="BK171" s="1160"/>
      <c r="BL171" s="1153"/>
      <c r="BM171" s="1153"/>
      <c r="BN171" s="1153"/>
      <c r="BO171" s="1269">
        <f>+RevBuild!BO$6</f>
        <v>2014</v>
      </c>
      <c r="BP171" s="1158"/>
      <c r="BQ171" s="1152"/>
      <c r="BR171" s="1153"/>
      <c r="BS171" s="1153"/>
      <c r="BT171" s="1153"/>
      <c r="BU171" s="1270">
        <f>+RevBuild!BU$6</f>
        <v>2015</v>
      </c>
      <c r="BV171" s="1158"/>
      <c r="BW171" s="1152"/>
      <c r="BX171" s="1153"/>
      <c r="BY171" s="1153"/>
      <c r="BZ171" s="1153"/>
      <c r="CA171" s="1270">
        <f>+RevBuild!CA$6</f>
        <v>2016</v>
      </c>
      <c r="CB171" s="1158"/>
      <c r="CC171" s="1152"/>
      <c r="CD171" s="1153"/>
      <c r="CE171" s="1153"/>
      <c r="CF171" s="1153"/>
      <c r="CG171" s="1270">
        <f>+RevBuild!CG$6</f>
        <v>2017</v>
      </c>
      <c r="CH171" s="1158"/>
      <c r="CI171" s="1152"/>
      <c r="CJ171" s="1153"/>
      <c r="CK171" s="1153"/>
      <c r="CL171" s="1153"/>
      <c r="CM171" s="1270">
        <f>+RevBuild!CM$6</f>
        <v>2018</v>
      </c>
      <c r="CN171" s="1158"/>
      <c r="CO171" s="1152"/>
      <c r="CP171" s="1153"/>
      <c r="CQ171" s="1153"/>
      <c r="CR171" s="1153"/>
      <c r="CS171" s="1270">
        <f>+RevBuild!CS$6</f>
        <v>2019</v>
      </c>
      <c r="CT171" s="1158"/>
      <c r="CU171" s="1152"/>
      <c r="CV171" s="1153"/>
      <c r="CW171" s="1153"/>
      <c r="CX171" s="1153"/>
      <c r="CY171" s="1270">
        <f>+RevBuild!CY$6</f>
        <v>2020</v>
      </c>
      <c r="CZ171" s="48"/>
      <c r="DD171" s="48"/>
      <c r="DE171" s="48"/>
      <c r="DF171" s="48"/>
      <c r="DG171" s="48"/>
      <c r="DH171" s="48"/>
      <c r="DI171" s="48"/>
      <c r="DJ171" s="48"/>
      <c r="DK171" s="48"/>
    </row>
    <row r="172" spans="1:115" s="5" customFormat="1" outlineLevel="1" x14ac:dyDescent="0.2">
      <c r="A172" s="205" t="s">
        <v>635</v>
      </c>
      <c r="B172" s="39"/>
      <c r="C172" s="565"/>
      <c r="D172" s="566"/>
      <c r="E172" s="566"/>
      <c r="F172" s="566"/>
      <c r="G172" s="584"/>
      <c r="H172" s="592"/>
      <c r="I172" s="565"/>
      <c r="J172" s="566"/>
      <c r="K172" s="566"/>
      <c r="L172" s="566"/>
      <c r="M172" s="584"/>
      <c r="N172" s="592"/>
      <c r="O172" s="565"/>
      <c r="P172" s="566"/>
      <c r="Q172" s="566"/>
      <c r="R172" s="566"/>
      <c r="S172" s="584"/>
      <c r="T172" s="591"/>
      <c r="U172" s="565"/>
      <c r="V172" s="566"/>
      <c r="W172" s="566"/>
      <c r="X172" s="566"/>
      <c r="Y172" s="584"/>
      <c r="Z172" s="593"/>
      <c r="AA172" s="909">
        <v>0.25</v>
      </c>
      <c r="AB172" s="910">
        <v>0.25</v>
      </c>
      <c r="AC172" s="910">
        <v>0.25</v>
      </c>
      <c r="AD172" s="910">
        <v>0.25</v>
      </c>
      <c r="AE172" s="584"/>
      <c r="AF172" s="592"/>
      <c r="AG172" s="909">
        <v>0.25</v>
      </c>
      <c r="AH172" s="910">
        <v>0.25</v>
      </c>
      <c r="AI172" s="910">
        <v>0.25</v>
      </c>
      <c r="AJ172" s="910">
        <v>0.25</v>
      </c>
      <c r="AK172" s="584"/>
      <c r="AL172" s="592"/>
      <c r="AM172" s="909">
        <v>0.25</v>
      </c>
      <c r="AN172" s="910">
        <v>0.25</v>
      </c>
      <c r="AO172" s="910">
        <v>0.25</v>
      </c>
      <c r="AP172" s="910">
        <v>0.25</v>
      </c>
      <c r="AQ172" s="584"/>
      <c r="AR172" s="592"/>
      <c r="AS172" s="909">
        <v>0.25</v>
      </c>
      <c r="AT172" s="910">
        <v>0.25</v>
      </c>
      <c r="AU172" s="910">
        <v>0.25</v>
      </c>
      <c r="AV172" s="910">
        <v>0.25</v>
      </c>
      <c r="AW172" s="584"/>
      <c r="AX172" s="592"/>
      <c r="AY172" s="909">
        <v>0.25</v>
      </c>
      <c r="AZ172" s="910">
        <v>0.25</v>
      </c>
      <c r="BA172" s="910">
        <v>0.25</v>
      </c>
      <c r="BB172" s="910">
        <v>0.25</v>
      </c>
      <c r="BC172" s="562">
        <f>+BB172</f>
        <v>0.25</v>
      </c>
      <c r="BD172" s="557"/>
      <c r="BE172" s="909">
        <v>0.25</v>
      </c>
      <c r="BF172" s="910">
        <v>0.25</v>
      </c>
      <c r="BG172" s="910">
        <v>0.25</v>
      </c>
      <c r="BH172" s="910">
        <v>0.25</v>
      </c>
      <c r="BI172" s="562">
        <f>+BH172</f>
        <v>0.25</v>
      </c>
      <c r="BJ172" s="629"/>
      <c r="BK172" s="909">
        <v>0.25</v>
      </c>
      <c r="BL172" s="910">
        <v>0.25</v>
      </c>
      <c r="BM172" s="910">
        <v>0.25</v>
      </c>
      <c r="BN172" s="910">
        <v>0.25</v>
      </c>
      <c r="BO172" s="562">
        <f>+BN172</f>
        <v>0.25</v>
      </c>
      <c r="BP172" s="557"/>
      <c r="BQ172" s="909">
        <v>0.25</v>
      </c>
      <c r="BR172" s="910">
        <v>0.25</v>
      </c>
      <c r="BS172" s="910">
        <v>0.25</v>
      </c>
      <c r="BT172" s="910">
        <v>0.25</v>
      </c>
      <c r="BU172" s="562">
        <f>+BT172</f>
        <v>0.25</v>
      </c>
      <c r="BV172" s="557"/>
      <c r="BW172" s="909">
        <v>0.25</v>
      </c>
      <c r="BX172" s="910">
        <v>0.25</v>
      </c>
      <c r="BY172" s="910">
        <v>0.25</v>
      </c>
      <c r="BZ172" s="910">
        <v>0.5</v>
      </c>
      <c r="CA172" s="562">
        <f>+BZ172</f>
        <v>0.5</v>
      </c>
      <c r="CB172" s="557"/>
      <c r="CC172" s="909">
        <v>0.5</v>
      </c>
      <c r="CD172" s="910">
        <v>0.5</v>
      </c>
      <c r="CE172" s="910">
        <v>0.5</v>
      </c>
      <c r="CF172" s="910">
        <v>0.5</v>
      </c>
      <c r="CG172" s="562">
        <f>+CF172</f>
        <v>0.5</v>
      </c>
      <c r="CH172" s="557"/>
      <c r="CI172" s="909">
        <v>0.5</v>
      </c>
      <c r="CJ172" s="910">
        <v>0.5</v>
      </c>
      <c r="CK172" s="910">
        <v>0.5</v>
      </c>
      <c r="CL172" s="910">
        <v>0.5</v>
      </c>
      <c r="CM172" s="562">
        <f>+CL172</f>
        <v>0.5</v>
      </c>
      <c r="CN172" s="557"/>
      <c r="CO172" s="909">
        <v>0.5</v>
      </c>
      <c r="CP172" s="910">
        <v>0.5</v>
      </c>
      <c r="CQ172" s="910">
        <v>0.5</v>
      </c>
      <c r="CR172" s="910">
        <v>0.5</v>
      </c>
      <c r="CS172" s="562">
        <f>+CR172</f>
        <v>0.5</v>
      </c>
      <c r="CT172" s="557"/>
      <c r="CU172" s="909">
        <v>0.5</v>
      </c>
      <c r="CV172" s="910">
        <v>0.5</v>
      </c>
      <c r="CW172" s="910">
        <v>0.5</v>
      </c>
      <c r="CX172" s="910">
        <v>0.5</v>
      </c>
      <c r="CY172" s="562">
        <f>+CX172</f>
        <v>0.5</v>
      </c>
      <c r="CZ172" s="48"/>
      <c r="DA172"/>
      <c r="DB172"/>
      <c r="DC172"/>
      <c r="DD172" s="48"/>
      <c r="DE172" s="48"/>
      <c r="DF172" s="48"/>
      <c r="DG172" s="48"/>
      <c r="DH172" s="48"/>
      <c r="DI172" s="48"/>
      <c r="DJ172" s="48"/>
      <c r="DK172" s="48"/>
    </row>
    <row r="173" spans="1:115" s="5" customFormat="1" outlineLevel="1" x14ac:dyDescent="0.2">
      <c r="A173" s="205" t="s">
        <v>636</v>
      </c>
      <c r="B173" s="39"/>
      <c r="C173" s="565"/>
      <c r="D173" s="566"/>
      <c r="E173" s="566"/>
      <c r="F173" s="566"/>
      <c r="G173" s="584"/>
      <c r="H173" s="592"/>
      <c r="I173" s="565"/>
      <c r="J173" s="566"/>
      <c r="K173" s="566"/>
      <c r="L173" s="566"/>
      <c r="M173" s="584"/>
      <c r="N173" s="592"/>
      <c r="O173" s="565"/>
      <c r="P173" s="566"/>
      <c r="Q173" s="566"/>
      <c r="R173" s="566"/>
      <c r="S173" s="584"/>
      <c r="T173" s="591"/>
      <c r="U173" s="565"/>
      <c r="V173" s="566"/>
      <c r="W173" s="566"/>
      <c r="X173" s="566"/>
      <c r="Y173" s="584"/>
      <c r="Z173" s="593"/>
      <c r="AA173" s="909">
        <v>0.25</v>
      </c>
      <c r="AB173" s="910">
        <v>0.25</v>
      </c>
      <c r="AC173" s="910">
        <v>0.25</v>
      </c>
      <c r="AD173" s="910">
        <v>0.25</v>
      </c>
      <c r="AE173" s="584"/>
      <c r="AF173" s="592"/>
      <c r="AG173" s="909">
        <v>0.25</v>
      </c>
      <c r="AH173" s="910">
        <v>0.25</v>
      </c>
      <c r="AI173" s="910">
        <v>0.25</v>
      </c>
      <c r="AJ173" s="910">
        <v>0.25</v>
      </c>
      <c r="AK173" s="584"/>
      <c r="AL173" s="592"/>
      <c r="AM173" s="909">
        <v>0.25</v>
      </c>
      <c r="AN173" s="910">
        <v>0.25</v>
      </c>
      <c r="AO173" s="910">
        <v>0.25</v>
      </c>
      <c r="AP173" s="910">
        <v>0.25</v>
      </c>
      <c r="AQ173" s="584"/>
      <c r="AR173" s="592"/>
      <c r="AS173" s="909">
        <v>0.25</v>
      </c>
      <c r="AT173" s="910">
        <v>0.25</v>
      </c>
      <c r="AU173" s="910">
        <v>0.25</v>
      </c>
      <c r="AV173" s="910">
        <v>0.25</v>
      </c>
      <c r="AW173" s="584"/>
      <c r="AX173" s="592"/>
      <c r="AY173" s="909">
        <v>0.25</v>
      </c>
      <c r="AZ173" s="910">
        <v>0.25</v>
      </c>
      <c r="BA173" s="910">
        <v>0.25</v>
      </c>
      <c r="BB173" s="910">
        <v>0.25</v>
      </c>
      <c r="BC173" s="562">
        <f>+BB173</f>
        <v>0.25</v>
      </c>
      <c r="BD173" s="557"/>
      <c r="BE173" s="909">
        <v>0.25</v>
      </c>
      <c r="BF173" s="910">
        <v>0.25</v>
      </c>
      <c r="BG173" s="910">
        <v>0.25</v>
      </c>
      <c r="BH173" s="910">
        <v>0.25</v>
      </c>
      <c r="BI173" s="562">
        <f>+BH173</f>
        <v>0.25</v>
      </c>
      <c r="BJ173" s="629"/>
      <c r="BK173" s="909">
        <v>0.25</v>
      </c>
      <c r="BL173" s="910">
        <v>0.25</v>
      </c>
      <c r="BM173" s="910">
        <v>0.25</v>
      </c>
      <c r="BN173" s="910">
        <v>0.25</v>
      </c>
      <c r="BO173" s="562">
        <f>+BN173</f>
        <v>0.25</v>
      </c>
      <c r="BP173" s="557"/>
      <c r="BQ173" s="909">
        <v>0.25</v>
      </c>
      <c r="BR173" s="910">
        <v>0.25</v>
      </c>
      <c r="BS173" s="910">
        <v>0.25</v>
      </c>
      <c r="BT173" s="910">
        <v>0.25</v>
      </c>
      <c r="BU173" s="562">
        <f>+BT173</f>
        <v>0.25</v>
      </c>
      <c r="BV173" s="557"/>
      <c r="BW173" s="909">
        <v>0.25</v>
      </c>
      <c r="BX173" s="910">
        <v>0.25</v>
      </c>
      <c r="BY173" s="910">
        <v>0.25</v>
      </c>
      <c r="BZ173" s="910">
        <v>0.1</v>
      </c>
      <c r="CA173" s="562">
        <f>+BZ173</f>
        <v>0.1</v>
      </c>
      <c r="CB173" s="557"/>
      <c r="CC173" s="909">
        <v>0.1</v>
      </c>
      <c r="CD173" s="910">
        <v>0.1</v>
      </c>
      <c r="CE173" s="910">
        <v>0.1</v>
      </c>
      <c r="CF173" s="910">
        <v>0.1</v>
      </c>
      <c r="CG173" s="562">
        <f>+CF173</f>
        <v>0.1</v>
      </c>
      <c r="CH173" s="557"/>
      <c r="CI173" s="909">
        <v>0.1</v>
      </c>
      <c r="CJ173" s="910">
        <v>0.1</v>
      </c>
      <c r="CK173" s="910">
        <v>0.1</v>
      </c>
      <c r="CL173" s="910">
        <v>0.1</v>
      </c>
      <c r="CM173" s="562">
        <f>+CL173</f>
        <v>0.1</v>
      </c>
      <c r="CN173" s="557"/>
      <c r="CO173" s="909">
        <v>0.1</v>
      </c>
      <c r="CP173" s="910">
        <v>0.1</v>
      </c>
      <c r="CQ173" s="910">
        <v>0.1</v>
      </c>
      <c r="CR173" s="910">
        <v>0.1</v>
      </c>
      <c r="CS173" s="562">
        <f>+CR173</f>
        <v>0.1</v>
      </c>
      <c r="CT173" s="557"/>
      <c r="CU173" s="909">
        <v>0.1</v>
      </c>
      <c r="CV173" s="910">
        <v>0.1</v>
      </c>
      <c r="CW173" s="910">
        <v>0.1</v>
      </c>
      <c r="CX173" s="910">
        <v>0.1</v>
      </c>
      <c r="CY173" s="562">
        <f>+CX173</f>
        <v>0.1</v>
      </c>
      <c r="CZ173" s="48"/>
      <c r="DA173"/>
      <c r="DB173"/>
      <c r="DC173"/>
      <c r="DD173" s="48"/>
      <c r="DE173" s="48"/>
      <c r="DF173" s="48"/>
      <c r="DG173" s="48"/>
      <c r="DH173" s="48"/>
      <c r="DI173" s="48"/>
      <c r="DJ173" s="48"/>
      <c r="DK173" s="48"/>
    </row>
    <row r="174" spans="1:115" s="5" customFormat="1" outlineLevel="1" x14ac:dyDescent="0.2">
      <c r="A174" s="205" t="s">
        <v>637</v>
      </c>
      <c r="B174" s="39"/>
      <c r="C174" s="565"/>
      <c r="D174" s="566"/>
      <c r="E174" s="566"/>
      <c r="F174" s="566"/>
      <c r="G174" s="584"/>
      <c r="H174" s="592"/>
      <c r="I174" s="565"/>
      <c r="J174" s="566"/>
      <c r="K174" s="566"/>
      <c r="L174" s="566"/>
      <c r="M174" s="584"/>
      <c r="N174" s="592"/>
      <c r="O174" s="565"/>
      <c r="P174" s="566"/>
      <c r="Q174" s="566"/>
      <c r="R174" s="566"/>
      <c r="S174" s="584"/>
      <c r="T174" s="591"/>
      <c r="U174" s="565"/>
      <c r="V174" s="566"/>
      <c r="W174" s="566"/>
      <c r="X174" s="566"/>
      <c r="Y174" s="584"/>
      <c r="Z174" s="593"/>
      <c r="AA174" s="909">
        <v>0.25</v>
      </c>
      <c r="AB174" s="910">
        <v>0.25</v>
      </c>
      <c r="AC174" s="910">
        <v>0.25</v>
      </c>
      <c r="AD174" s="910">
        <v>0.25</v>
      </c>
      <c r="AE174" s="584"/>
      <c r="AF174" s="592"/>
      <c r="AG174" s="909">
        <v>0.25</v>
      </c>
      <c r="AH174" s="910">
        <v>0.25</v>
      </c>
      <c r="AI174" s="910">
        <v>0.25</v>
      </c>
      <c r="AJ174" s="910">
        <v>0.25</v>
      </c>
      <c r="AK174" s="584"/>
      <c r="AL174" s="592"/>
      <c r="AM174" s="909">
        <v>0.25</v>
      </c>
      <c r="AN174" s="910">
        <v>0.25</v>
      </c>
      <c r="AO174" s="910">
        <v>0.25</v>
      </c>
      <c r="AP174" s="910">
        <v>0.25</v>
      </c>
      <c r="AQ174" s="584"/>
      <c r="AR174" s="592"/>
      <c r="AS174" s="909">
        <v>0.25</v>
      </c>
      <c r="AT174" s="910">
        <v>0.25</v>
      </c>
      <c r="AU174" s="910">
        <v>0.25</v>
      </c>
      <c r="AV174" s="910">
        <v>0.25</v>
      </c>
      <c r="AW174" s="584"/>
      <c r="AX174" s="592"/>
      <c r="AY174" s="909">
        <v>0.25</v>
      </c>
      <c r="AZ174" s="910">
        <v>0.25</v>
      </c>
      <c r="BA174" s="910">
        <v>0.25</v>
      </c>
      <c r="BB174" s="910">
        <v>0.25</v>
      </c>
      <c r="BC174" s="562">
        <f>+BB174</f>
        <v>0.25</v>
      </c>
      <c r="BD174" s="557"/>
      <c r="BE174" s="909">
        <v>0.25</v>
      </c>
      <c r="BF174" s="910">
        <v>0.25</v>
      </c>
      <c r="BG174" s="910">
        <v>0.25</v>
      </c>
      <c r="BH174" s="910">
        <v>0.25</v>
      </c>
      <c r="BI174" s="562">
        <f>+BH174</f>
        <v>0.25</v>
      </c>
      <c r="BJ174" s="629"/>
      <c r="BK174" s="909">
        <v>0.25</v>
      </c>
      <c r="BL174" s="910">
        <v>0.25</v>
      </c>
      <c r="BM174" s="910">
        <v>0.25</v>
      </c>
      <c r="BN174" s="910">
        <v>0.25</v>
      </c>
      <c r="BO174" s="562">
        <f>+BN174</f>
        <v>0.25</v>
      </c>
      <c r="BP174" s="557"/>
      <c r="BQ174" s="909">
        <v>0.25</v>
      </c>
      <c r="BR174" s="910">
        <v>0.25</v>
      </c>
      <c r="BS174" s="910">
        <v>0.25</v>
      </c>
      <c r="BT174" s="910">
        <v>0.25</v>
      </c>
      <c r="BU174" s="562">
        <f>+BT174</f>
        <v>0.25</v>
      </c>
      <c r="BV174" s="557"/>
      <c r="BW174" s="909">
        <v>0.25</v>
      </c>
      <c r="BX174" s="910">
        <v>0.25</v>
      </c>
      <c r="BY174" s="910">
        <v>0.25</v>
      </c>
      <c r="BZ174" s="910">
        <v>0.2</v>
      </c>
      <c r="CA174" s="562">
        <f>+BZ174</f>
        <v>0.2</v>
      </c>
      <c r="CB174" s="557"/>
      <c r="CC174" s="909">
        <v>0.2</v>
      </c>
      <c r="CD174" s="910">
        <v>0.2</v>
      </c>
      <c r="CE174" s="910">
        <v>0.2</v>
      </c>
      <c r="CF174" s="910">
        <v>0.2</v>
      </c>
      <c r="CG174" s="562">
        <f>+CF174</f>
        <v>0.2</v>
      </c>
      <c r="CH174" s="557"/>
      <c r="CI174" s="909">
        <v>0.2</v>
      </c>
      <c r="CJ174" s="910">
        <v>0.2</v>
      </c>
      <c r="CK174" s="910">
        <v>0.2</v>
      </c>
      <c r="CL174" s="910">
        <v>0.2</v>
      </c>
      <c r="CM174" s="562">
        <f>+CL174</f>
        <v>0.2</v>
      </c>
      <c r="CN174" s="557"/>
      <c r="CO174" s="909">
        <v>0.2</v>
      </c>
      <c r="CP174" s="910">
        <v>0.2</v>
      </c>
      <c r="CQ174" s="910">
        <v>0.2</v>
      </c>
      <c r="CR174" s="910">
        <v>0.2</v>
      </c>
      <c r="CS174" s="562">
        <f>+CR174</f>
        <v>0.2</v>
      </c>
      <c r="CT174" s="557"/>
      <c r="CU174" s="909">
        <v>0.2</v>
      </c>
      <c r="CV174" s="910">
        <v>0.2</v>
      </c>
      <c r="CW174" s="910">
        <v>0.2</v>
      </c>
      <c r="CX174" s="910">
        <v>0.2</v>
      </c>
      <c r="CY174" s="562">
        <f>+CX174</f>
        <v>0.2</v>
      </c>
      <c r="CZ174" s="48"/>
      <c r="DA174"/>
      <c r="DB174"/>
      <c r="DC174"/>
      <c r="DD174" s="48"/>
      <c r="DE174" s="48"/>
      <c r="DF174" s="48"/>
      <c r="DG174" s="48"/>
      <c r="DH174" s="48"/>
      <c r="DI174" s="48"/>
      <c r="DJ174" s="48"/>
      <c r="DK174" s="48"/>
    </row>
    <row r="175" spans="1:115" s="5" customFormat="1" outlineLevel="1" x14ac:dyDescent="0.2">
      <c r="A175" s="205" t="s">
        <v>638</v>
      </c>
      <c r="B175" s="39"/>
      <c r="C175" s="565"/>
      <c r="D175" s="566"/>
      <c r="E175" s="566"/>
      <c r="F175" s="566"/>
      <c r="G175" s="584"/>
      <c r="H175" s="592"/>
      <c r="I175" s="565"/>
      <c r="J175" s="566"/>
      <c r="K175" s="566"/>
      <c r="L175" s="566"/>
      <c r="M175" s="584"/>
      <c r="N175" s="592"/>
      <c r="O175" s="565"/>
      <c r="P175" s="566"/>
      <c r="Q175" s="566"/>
      <c r="R175" s="566"/>
      <c r="S175" s="584"/>
      <c r="T175" s="591"/>
      <c r="U175" s="565"/>
      <c r="V175" s="566"/>
      <c r="W175" s="566"/>
      <c r="X175" s="566"/>
      <c r="Y175" s="584"/>
      <c r="Z175" s="593"/>
      <c r="AA175" s="909">
        <v>0.25</v>
      </c>
      <c r="AB175" s="910">
        <v>0.25</v>
      </c>
      <c r="AC175" s="910">
        <v>0.25</v>
      </c>
      <c r="AD175" s="910">
        <v>0.25</v>
      </c>
      <c r="AE175" s="584"/>
      <c r="AF175" s="592"/>
      <c r="AG175" s="909">
        <v>0.25</v>
      </c>
      <c r="AH175" s="910">
        <v>0.25</v>
      </c>
      <c r="AI175" s="910">
        <v>0.25</v>
      </c>
      <c r="AJ175" s="910">
        <v>0.25</v>
      </c>
      <c r="AK175" s="584"/>
      <c r="AL175" s="592"/>
      <c r="AM175" s="909">
        <v>0.25</v>
      </c>
      <c r="AN175" s="910">
        <v>0.25</v>
      </c>
      <c r="AO175" s="910">
        <v>0.25</v>
      </c>
      <c r="AP175" s="910">
        <v>0.25</v>
      </c>
      <c r="AQ175" s="584"/>
      <c r="AR175" s="592"/>
      <c r="AS175" s="909">
        <v>0.25</v>
      </c>
      <c r="AT175" s="910">
        <v>0.25</v>
      </c>
      <c r="AU175" s="910">
        <v>0.25</v>
      </c>
      <c r="AV175" s="910">
        <v>0.25</v>
      </c>
      <c r="AW175" s="584"/>
      <c r="AX175" s="592"/>
      <c r="AY175" s="909">
        <v>0.25</v>
      </c>
      <c r="AZ175" s="910">
        <v>0.25</v>
      </c>
      <c r="BA175" s="910">
        <v>0.25</v>
      </c>
      <c r="BB175" s="910">
        <v>0.25</v>
      </c>
      <c r="BC175" s="562">
        <f>+BB175</f>
        <v>0.25</v>
      </c>
      <c r="BD175" s="557"/>
      <c r="BE175" s="909">
        <v>0.25</v>
      </c>
      <c r="BF175" s="910">
        <v>0.25</v>
      </c>
      <c r="BG175" s="910">
        <v>0.25</v>
      </c>
      <c r="BH175" s="910">
        <v>0.25</v>
      </c>
      <c r="BI175" s="562">
        <f>+BH175</f>
        <v>0.25</v>
      </c>
      <c r="BJ175" s="629"/>
      <c r="BK175" s="909">
        <v>0.25</v>
      </c>
      <c r="BL175" s="910">
        <v>0.25</v>
      </c>
      <c r="BM175" s="910">
        <v>0.25</v>
      </c>
      <c r="BN175" s="910">
        <v>0.25</v>
      </c>
      <c r="BO175" s="562">
        <f>+BN175</f>
        <v>0.25</v>
      </c>
      <c r="BP175" s="557"/>
      <c r="BQ175" s="909">
        <v>0.25</v>
      </c>
      <c r="BR175" s="910">
        <v>0.25</v>
      </c>
      <c r="BS175" s="910">
        <v>0.25</v>
      </c>
      <c r="BT175" s="910">
        <v>0.25</v>
      </c>
      <c r="BU175" s="562">
        <f>+BT175</f>
        <v>0.25</v>
      </c>
      <c r="BV175" s="557"/>
      <c r="BW175" s="909">
        <v>0.25</v>
      </c>
      <c r="BX175" s="910">
        <v>0.25</v>
      </c>
      <c r="BY175" s="910">
        <v>0.25</v>
      </c>
      <c r="BZ175" s="910">
        <v>0.2</v>
      </c>
      <c r="CA175" s="562">
        <f>+BZ175</f>
        <v>0.2</v>
      </c>
      <c r="CB175" s="557"/>
      <c r="CC175" s="909">
        <v>0.2</v>
      </c>
      <c r="CD175" s="910">
        <v>0.2</v>
      </c>
      <c r="CE175" s="910">
        <v>0.2</v>
      </c>
      <c r="CF175" s="910">
        <v>0.2</v>
      </c>
      <c r="CG175" s="562">
        <f>+CF175</f>
        <v>0.2</v>
      </c>
      <c r="CH175" s="557"/>
      <c r="CI175" s="909">
        <v>0.2</v>
      </c>
      <c r="CJ175" s="910">
        <v>0.2</v>
      </c>
      <c r="CK175" s="910">
        <v>0.2</v>
      </c>
      <c r="CL175" s="910">
        <v>0.2</v>
      </c>
      <c r="CM175" s="562">
        <f>+CL175</f>
        <v>0.2</v>
      </c>
      <c r="CN175" s="557"/>
      <c r="CO175" s="909">
        <v>0.2</v>
      </c>
      <c r="CP175" s="910">
        <v>0.2</v>
      </c>
      <c r="CQ175" s="910">
        <v>0.2</v>
      </c>
      <c r="CR175" s="910">
        <v>0.2</v>
      </c>
      <c r="CS175" s="562">
        <f>+CR175</f>
        <v>0.2</v>
      </c>
      <c r="CT175" s="557"/>
      <c r="CU175" s="909">
        <v>0.2</v>
      </c>
      <c r="CV175" s="910">
        <v>0.2</v>
      </c>
      <c r="CW175" s="910">
        <v>0.2</v>
      </c>
      <c r="CX175" s="910">
        <v>0.2</v>
      </c>
      <c r="CY175" s="562">
        <f>+CX175</f>
        <v>0.2</v>
      </c>
      <c r="CZ175" s="48"/>
      <c r="DA175"/>
      <c r="DB175"/>
      <c r="DC175"/>
      <c r="DD175" s="48"/>
      <c r="DE175" s="48"/>
      <c r="DF175" s="48"/>
      <c r="DG175" s="48"/>
      <c r="DH175" s="48"/>
      <c r="DI175" s="48"/>
      <c r="DJ175" s="48"/>
      <c r="DK175" s="48"/>
    </row>
    <row r="176" spans="1:115" s="5" customFormat="1" x14ac:dyDescent="0.2">
      <c r="A176" s="432" t="s">
        <v>540</v>
      </c>
      <c r="B176" s="48"/>
      <c r="C176" s="1128"/>
      <c r="D176" s="1129"/>
      <c r="E176" s="1129"/>
      <c r="F176" s="1129"/>
      <c r="G176" s="1463">
        <v>0</v>
      </c>
      <c r="H176" s="48"/>
      <c r="I176" s="1128"/>
      <c r="J176" s="1129"/>
      <c r="K176" s="1129"/>
      <c r="L176" s="1129"/>
      <c r="M176" s="1463">
        <v>0</v>
      </c>
      <c r="N176" s="48"/>
      <c r="O176" s="1128"/>
      <c r="P176" s="1129"/>
      <c r="Q176" s="1129"/>
      <c r="R176" s="1129"/>
      <c r="S176" s="1463">
        <v>0</v>
      </c>
      <c r="T176" s="48"/>
      <c r="U176" s="1128"/>
      <c r="V176" s="1129"/>
      <c r="W176" s="1129"/>
      <c r="X176" s="1129"/>
      <c r="Y176" s="1463">
        <v>0</v>
      </c>
      <c r="Z176" s="48"/>
      <c r="AA176" s="1128"/>
      <c r="AB176" s="1129"/>
      <c r="AC176" s="1129"/>
      <c r="AD176" s="1129"/>
      <c r="AE176" s="1463">
        <v>150</v>
      </c>
      <c r="AF176" s="48"/>
      <c r="AG176" s="1128">
        <f>+(AK176-AE176)/4+AE176</f>
        <v>175</v>
      </c>
      <c r="AH176" s="1129">
        <f>+(AK176-AE176)/4+AG176</f>
        <v>200</v>
      </c>
      <c r="AI176" s="1129">
        <f>+(AK176-AE176)/4+AH176</f>
        <v>225</v>
      </c>
      <c r="AJ176" s="1129">
        <f>+(AK176-AE176)/4+AI176</f>
        <v>250</v>
      </c>
      <c r="AK176" s="1463">
        <v>250</v>
      </c>
      <c r="AL176" s="48"/>
      <c r="AM176" s="1128">
        <f>+(AQ176-AK176)/4+AK176</f>
        <v>301.25</v>
      </c>
      <c r="AN176" s="1129">
        <f>+(AQ176-AK176)/4+AM176</f>
        <v>352.5</v>
      </c>
      <c r="AO176" s="1129">
        <f>+(AQ176-AK176)/4+AN176</f>
        <v>403.75</v>
      </c>
      <c r="AP176" s="1129">
        <f>+(AQ176-AK176)/4+AO176</f>
        <v>455</v>
      </c>
      <c r="AQ176" s="1463">
        <v>455</v>
      </c>
      <c r="AR176" s="48"/>
      <c r="AS176" s="1128">
        <f>+AVERAGE(AQ176,AT176)</f>
        <v>465</v>
      </c>
      <c r="AT176" s="1130">
        <v>475</v>
      </c>
      <c r="AU176" s="1129">
        <f>+(AW176-AT176)/3+AT176</f>
        <v>501.66666666666669</v>
      </c>
      <c r="AV176" s="1129">
        <f>+(AW176-AU176)/3+AU176</f>
        <v>519.44444444444446</v>
      </c>
      <c r="AW176" s="1463">
        <v>555</v>
      </c>
      <c r="AX176" s="48"/>
      <c r="AY176" s="1128">
        <f>+(BC176-AW176)/4+AW176</f>
        <v>605</v>
      </c>
      <c r="AZ176" s="1129">
        <f>+(BC176-AW176)/4+AY176</f>
        <v>655</v>
      </c>
      <c r="BA176" s="1129">
        <f>+(BC176-AW176)/4+AZ176</f>
        <v>705</v>
      </c>
      <c r="BB176" s="1129">
        <f>+(BC176-AW176)/4+BA176</f>
        <v>755</v>
      </c>
      <c r="BC176" s="1463">
        <v>755</v>
      </c>
      <c r="BD176" s="48"/>
      <c r="BE176" s="1128">
        <f>+(BI176-BC176)/4+BC176</f>
        <v>817.5</v>
      </c>
      <c r="BF176" s="1129">
        <f>+(BI176-BC176)/4+BE176</f>
        <v>880</v>
      </c>
      <c r="BG176" s="1129">
        <f>+(BI176-BC176)/4+BF176</f>
        <v>942.5</v>
      </c>
      <c r="BH176" s="1129">
        <f>+(BI176-BC176)/4+BG176</f>
        <v>1005</v>
      </c>
      <c r="BI176" s="1463">
        <v>1005</v>
      </c>
      <c r="BJ176" s="48"/>
      <c r="BK176" s="1128">
        <f>+(BO176-BI176)/4+BI176</f>
        <v>1067.5</v>
      </c>
      <c r="BL176" s="1129">
        <f>+(BO176-BI176)/4+BK176</f>
        <v>1130</v>
      </c>
      <c r="BM176" s="1129">
        <f>+(BO176-BI176)/4+BL176</f>
        <v>1192.5</v>
      </c>
      <c r="BN176" s="1129">
        <f>+(BO176-BI176)/4+BM176</f>
        <v>1255</v>
      </c>
      <c r="BO176" s="1463">
        <v>1255</v>
      </c>
      <c r="BP176" s="48"/>
      <c r="BQ176" s="1128">
        <f>+(BU176-BO176)/4+BO176</f>
        <v>1317.75</v>
      </c>
      <c r="BR176" s="1130">
        <v>1380</v>
      </c>
      <c r="BS176" s="1129">
        <f>+BS177+BR176</f>
        <v>1438</v>
      </c>
      <c r="BT176" s="1129">
        <f>+BT177+BS176</f>
        <v>1506</v>
      </c>
      <c r="BU176" s="1456">
        <f>+BT176</f>
        <v>1506</v>
      </c>
      <c r="BV176" s="48"/>
      <c r="BW176" s="1128">
        <f>+BT176+BW177</f>
        <v>1561</v>
      </c>
      <c r="BX176" s="1129">
        <f>+BW176+BX177</f>
        <v>1621</v>
      </c>
      <c r="BY176" s="1129">
        <f>+BX176+BY177</f>
        <v>1681</v>
      </c>
      <c r="BZ176" s="1129">
        <f>+BY176+BZ177</f>
        <v>1756</v>
      </c>
      <c r="CA176" s="1456">
        <f>+BZ176</f>
        <v>1756</v>
      </c>
      <c r="CB176" s="48"/>
      <c r="CC176" s="1128">
        <f>+BZ176+CC177</f>
        <v>1816</v>
      </c>
      <c r="CD176" s="1129">
        <f>+CC176+CD177</f>
        <v>1881</v>
      </c>
      <c r="CE176" s="1129">
        <f>+CD176+CE177</f>
        <v>1946</v>
      </c>
      <c r="CF176" s="1129">
        <f>+CE176+CF177</f>
        <v>2016</v>
      </c>
      <c r="CG176" s="1456">
        <f>+CF176</f>
        <v>2016</v>
      </c>
      <c r="CH176" s="48"/>
      <c r="CI176" s="1128">
        <f>+CF176+CI177</f>
        <v>2076</v>
      </c>
      <c r="CJ176" s="1129">
        <f>+CI176+CJ177</f>
        <v>2136</v>
      </c>
      <c r="CK176" s="1129">
        <f>+CJ176+CK177</f>
        <v>2196</v>
      </c>
      <c r="CL176" s="1129">
        <f>+CK176+CL177</f>
        <v>2256</v>
      </c>
      <c r="CM176" s="1456">
        <f>+CL176</f>
        <v>2256</v>
      </c>
      <c r="CN176" s="48"/>
      <c r="CO176" s="1128">
        <f>+CL176+CO177</f>
        <v>2307</v>
      </c>
      <c r="CP176" s="1129">
        <f>+CO176+CP177</f>
        <v>2358</v>
      </c>
      <c r="CQ176" s="1129">
        <f>+CP176+CQ177</f>
        <v>2409</v>
      </c>
      <c r="CR176" s="1129">
        <f>+CQ176+CR177</f>
        <v>2460</v>
      </c>
      <c r="CS176" s="1456">
        <f>+CR176</f>
        <v>2460</v>
      </c>
      <c r="CT176" s="48"/>
      <c r="CU176" s="1128">
        <f>+CR176+CU177</f>
        <v>2506</v>
      </c>
      <c r="CV176" s="1129">
        <f>+CU176+CV177</f>
        <v>2552</v>
      </c>
      <c r="CW176" s="1129">
        <f>+CV176+CW177</f>
        <v>2598</v>
      </c>
      <c r="CX176" s="1129">
        <f>+CW176+CX177</f>
        <v>2644</v>
      </c>
      <c r="CY176" s="1456">
        <f>+CX176</f>
        <v>2644</v>
      </c>
      <c r="CZ176" s="48"/>
      <c r="DA176"/>
      <c r="DB176"/>
      <c r="DC176"/>
      <c r="DD176" s="48"/>
      <c r="DE176" s="48"/>
      <c r="DF176" s="48"/>
      <c r="DG176" s="48"/>
      <c r="DH176" s="48"/>
      <c r="DI176" s="48"/>
      <c r="DJ176" s="48"/>
      <c r="DK176" s="48"/>
    </row>
    <row r="177" spans="1:115" s="5" customFormat="1" x14ac:dyDescent="0.2">
      <c r="A177" s="1262" t="s">
        <v>541</v>
      </c>
      <c r="B177" s="48"/>
      <c r="C177" s="1128"/>
      <c r="D177" s="1129"/>
      <c r="E177" s="1129"/>
      <c r="F177" s="1129"/>
      <c r="G177" s="1463"/>
      <c r="H177" s="48"/>
      <c r="I177" s="1128"/>
      <c r="J177" s="1129"/>
      <c r="K177" s="1129"/>
      <c r="L177" s="1129"/>
      <c r="M177" s="1463"/>
      <c r="N177" s="48"/>
      <c r="O177" s="1128"/>
      <c r="P177" s="1129"/>
      <c r="Q177" s="1129"/>
      <c r="R177" s="1129"/>
      <c r="S177" s="1463"/>
      <c r="T177" s="48"/>
      <c r="U177" s="1128"/>
      <c r="V177" s="1129"/>
      <c r="W177" s="1129"/>
      <c r="X177" s="1129"/>
      <c r="Y177" s="1463"/>
      <c r="Z177" s="48"/>
      <c r="AA177" s="1128"/>
      <c r="AB177" s="1129"/>
      <c r="AC177" s="1129"/>
      <c r="AD177" s="1129"/>
      <c r="AE177" s="1463"/>
      <c r="AF177" s="48"/>
      <c r="AG177" s="1128">
        <f>+AG176-AE176</f>
        <v>25</v>
      </c>
      <c r="AH177" s="1129">
        <f>+AH176-AG176</f>
        <v>25</v>
      </c>
      <c r="AI177" s="1129">
        <f>+AI176-AH176</f>
        <v>25</v>
      </c>
      <c r="AJ177" s="1129">
        <f>+AJ176-AI176</f>
        <v>25</v>
      </c>
      <c r="AK177" s="1457">
        <f>+SUM(AG177:AJ177)</f>
        <v>100</v>
      </c>
      <c r="AL177" s="48"/>
      <c r="AM177" s="1128">
        <f>+AM176-AK176</f>
        <v>51.25</v>
      </c>
      <c r="AN177" s="1129">
        <f>+AN176-AM176</f>
        <v>51.25</v>
      </c>
      <c r="AO177" s="1129">
        <f>+AO176-AN176</f>
        <v>51.25</v>
      </c>
      <c r="AP177" s="1129">
        <f>+AP176-AO176</f>
        <v>51.25</v>
      </c>
      <c r="AQ177" s="1457">
        <f>+SUM(AM177:AP177)</f>
        <v>205</v>
      </c>
      <c r="AR177" s="48"/>
      <c r="AS177" s="1128">
        <f>+AS176-AQ176</f>
        <v>10</v>
      </c>
      <c r="AT177" s="1129">
        <f>+AT176-AS176</f>
        <v>10</v>
      </c>
      <c r="AU177" s="1129">
        <f>+AU176-AT176</f>
        <v>26.666666666666686</v>
      </c>
      <c r="AV177" s="1129">
        <f>+AV176-AU176</f>
        <v>17.777777777777771</v>
      </c>
      <c r="AW177" s="1457">
        <f>+SUM(AS177:AV177)</f>
        <v>64.444444444444457</v>
      </c>
      <c r="AX177" s="48"/>
      <c r="AY177" s="1128">
        <f>+AY176-AW176</f>
        <v>50</v>
      </c>
      <c r="AZ177" s="1129">
        <f>+AZ176-AY176</f>
        <v>50</v>
      </c>
      <c r="BA177" s="1129">
        <f>+BA176-AZ176</f>
        <v>50</v>
      </c>
      <c r="BB177" s="1129">
        <f>+BB176-BA176</f>
        <v>50</v>
      </c>
      <c r="BC177" s="1457">
        <f>+SUM(AY177:BB177)</f>
        <v>200</v>
      </c>
      <c r="BD177" s="48"/>
      <c r="BE177" s="1128">
        <f>+BE176-BC176</f>
        <v>62.5</v>
      </c>
      <c r="BF177" s="1129">
        <f>+BF176-BE176</f>
        <v>62.5</v>
      </c>
      <c r="BG177" s="1129">
        <f>+BG176-BF176</f>
        <v>62.5</v>
      </c>
      <c r="BH177" s="1129">
        <f>+BH176-BG176</f>
        <v>62.5</v>
      </c>
      <c r="BI177" s="1457">
        <f>+SUM(BE177:BH177)</f>
        <v>250</v>
      </c>
      <c r="BJ177" s="48"/>
      <c r="BK177" s="1128">
        <f>+BK176-BI176</f>
        <v>62.5</v>
      </c>
      <c r="BL177" s="1129">
        <f>+BL176-BK176</f>
        <v>62.5</v>
      </c>
      <c r="BM177" s="1129">
        <f>+BM176-BL176</f>
        <v>62.5</v>
      </c>
      <c r="BN177" s="1129">
        <f>+BN176-BM176</f>
        <v>62.5</v>
      </c>
      <c r="BO177" s="1457">
        <f>+SUM(BK177:BN177)</f>
        <v>250</v>
      </c>
      <c r="BP177" s="48"/>
      <c r="BQ177" s="1128">
        <f>+BQ176-BO176</f>
        <v>62.75</v>
      </c>
      <c r="BR177" s="1129">
        <f>+BR176-BQ176</f>
        <v>62.25</v>
      </c>
      <c r="BS177" s="1130">
        <f>63-5</f>
        <v>58</v>
      </c>
      <c r="BT177" s="1130">
        <f>63+5</f>
        <v>68</v>
      </c>
      <c r="BU177" s="1457">
        <f>+SUM(BQ177:BT177)</f>
        <v>251</v>
      </c>
      <c r="BV177" s="48"/>
      <c r="BW177" s="1133">
        <v>55</v>
      </c>
      <c r="BX177" s="1130">
        <v>60</v>
      </c>
      <c r="BY177" s="1130">
        <v>60</v>
      </c>
      <c r="BZ177" s="1130">
        <v>75</v>
      </c>
      <c r="CA177" s="1457">
        <f>+SUM(BW177:BZ177)</f>
        <v>250</v>
      </c>
      <c r="CB177" s="48"/>
      <c r="CC177" s="1133">
        <v>60</v>
      </c>
      <c r="CD177" s="1130">
        <v>65</v>
      </c>
      <c r="CE177" s="1130">
        <v>65</v>
      </c>
      <c r="CF177" s="1130">
        <v>70</v>
      </c>
      <c r="CG177" s="1457">
        <f>+SUM(CC177:CF177)</f>
        <v>260</v>
      </c>
      <c r="CH177" s="48"/>
      <c r="CI177" s="1133">
        <v>60</v>
      </c>
      <c r="CJ177" s="1130">
        <f>+CI177</f>
        <v>60</v>
      </c>
      <c r="CK177" s="1130">
        <f>+CJ177</f>
        <v>60</v>
      </c>
      <c r="CL177" s="1130">
        <f>+CK177</f>
        <v>60</v>
      </c>
      <c r="CM177" s="1457">
        <f>+SUM(CI177:CL177)</f>
        <v>240</v>
      </c>
      <c r="CN177" s="48"/>
      <c r="CO177" s="1133">
        <v>51</v>
      </c>
      <c r="CP177" s="1130">
        <v>51</v>
      </c>
      <c r="CQ177" s="1130">
        <v>51</v>
      </c>
      <c r="CR177" s="1130">
        <v>51</v>
      </c>
      <c r="CS177" s="1457">
        <f>+SUM(CO177:CR177)</f>
        <v>204</v>
      </c>
      <c r="CT177" s="48"/>
      <c r="CU177" s="1133">
        <v>46</v>
      </c>
      <c r="CV177" s="1130">
        <v>46</v>
      </c>
      <c r="CW177" s="1130">
        <v>46</v>
      </c>
      <c r="CX177" s="1130">
        <v>46</v>
      </c>
      <c r="CY177" s="1457">
        <f>+SUM(CU177:CX177)</f>
        <v>184</v>
      </c>
      <c r="CZ177" s="48"/>
      <c r="DA177"/>
      <c r="DB177"/>
      <c r="DC177"/>
      <c r="DD177" s="48"/>
      <c r="DE177" s="48"/>
      <c r="DF177" s="48"/>
      <c r="DG177" s="48"/>
      <c r="DH177" s="48"/>
      <c r="DI177" s="48"/>
      <c r="DJ177" s="48"/>
      <c r="DK177" s="48"/>
    </row>
    <row r="178" spans="1:115" s="5" customFormat="1" outlineLevel="1" x14ac:dyDescent="0.2">
      <c r="A178" s="1265" t="s">
        <v>534</v>
      </c>
      <c r="B178" s="206"/>
      <c r="C178" s="1266"/>
      <c r="D178" s="1267"/>
      <c r="E178" s="1267"/>
      <c r="F178" s="1267"/>
      <c r="G178" s="1469"/>
      <c r="H178" s="206"/>
      <c r="I178" s="1266"/>
      <c r="J178" s="1267"/>
      <c r="K178" s="1267"/>
      <c r="L178" s="1267"/>
      <c r="M178" s="1469"/>
      <c r="N178" s="206"/>
      <c r="O178" s="1266"/>
      <c r="P178" s="1267"/>
      <c r="Q178" s="1267"/>
      <c r="R178" s="1267"/>
      <c r="S178" s="1469"/>
      <c r="T178" s="206"/>
      <c r="U178" s="1266"/>
      <c r="V178" s="1267"/>
      <c r="W178" s="1267"/>
      <c r="X178" s="1267"/>
      <c r="Y178" s="1469"/>
      <c r="Z178" s="206"/>
      <c r="AA178" s="1266"/>
      <c r="AB178" s="1267"/>
      <c r="AC178" s="1267"/>
      <c r="AD178" s="1267"/>
      <c r="AE178" s="1469"/>
      <c r="AF178" s="206"/>
      <c r="AG178" s="1266">
        <f>+AG177+AD177+AC177+AB177</f>
        <v>25</v>
      </c>
      <c r="AH178" s="1267">
        <f>+AH177+AG177+AD177+AC177</f>
        <v>50</v>
      </c>
      <c r="AI178" s="1267">
        <f>+AI177+AH177+AG177+AD177</f>
        <v>75</v>
      </c>
      <c r="AJ178" s="1267">
        <f>+AJ177+AI177+AH177+AG177</f>
        <v>100</v>
      </c>
      <c r="AK178" s="1470"/>
      <c r="AL178" s="206"/>
      <c r="AM178" s="1266">
        <f>+AM177+AJ177+AI177+AH177</f>
        <v>126.25</v>
      </c>
      <c r="AN178" s="1267">
        <f>+AN177+AM177+AJ177+AI177</f>
        <v>152.5</v>
      </c>
      <c r="AO178" s="1267">
        <f>+AO177+AN177+AM177+AJ177</f>
        <v>178.75</v>
      </c>
      <c r="AP178" s="1267">
        <f>+AP177+AO177+AN177+AM177</f>
        <v>205</v>
      </c>
      <c r="AQ178" s="1470"/>
      <c r="AR178" s="206"/>
      <c r="AS178" s="1266">
        <f>+AS177+AP177+AO177+AN177</f>
        <v>163.75</v>
      </c>
      <c r="AT178" s="1267">
        <f>+AT177+AS177+AP177+AO177</f>
        <v>122.5</v>
      </c>
      <c r="AU178" s="1267">
        <f>+AU177+AT177+AS177+AP177</f>
        <v>97.916666666666686</v>
      </c>
      <c r="AV178" s="1267">
        <f>+AV177+AU177+AT177+AS177</f>
        <v>64.444444444444457</v>
      </c>
      <c r="AW178" s="1470"/>
      <c r="AX178" s="206"/>
      <c r="AY178" s="1266">
        <f>+AY177+AV177+AU177+AT177</f>
        <v>104.44444444444446</v>
      </c>
      <c r="AZ178" s="1267">
        <f>+AZ177+AY177+AV177+AU177</f>
        <v>144.44444444444446</v>
      </c>
      <c r="BA178" s="1267">
        <f>+BA177+AZ177+AY177+AV177</f>
        <v>167.77777777777777</v>
      </c>
      <c r="BB178" s="1267">
        <f>+BB177+BA177+AZ177+AY177</f>
        <v>200</v>
      </c>
      <c r="BC178" s="1470"/>
      <c r="BD178" s="206"/>
      <c r="BE178" s="1266">
        <f>+BE177+BB177+BA177+AZ177</f>
        <v>212.5</v>
      </c>
      <c r="BF178" s="1267">
        <f>+BF177+BE177+BB177+BA177</f>
        <v>225</v>
      </c>
      <c r="BG178" s="1267">
        <f>+BG177+BF177+BE177+BB177</f>
        <v>237.5</v>
      </c>
      <c r="BH178" s="1267">
        <f>+BH177+BG177+BF177+BE177</f>
        <v>250</v>
      </c>
      <c r="BI178" s="1470"/>
      <c r="BJ178" s="206"/>
      <c r="BK178" s="1266">
        <f>+BK177+BH177+BG177+BF177</f>
        <v>250</v>
      </c>
      <c r="BL178" s="1267">
        <f>+BL177+BK177+BH177+BG177</f>
        <v>250</v>
      </c>
      <c r="BM178" s="1267">
        <f>+BM177+BL177+BK177+BH177</f>
        <v>250</v>
      </c>
      <c r="BN178" s="1267">
        <f>+BN177+BM177+BL177+BK177</f>
        <v>250</v>
      </c>
      <c r="BO178" s="1470"/>
      <c r="BP178" s="206"/>
      <c r="BQ178" s="1266">
        <f>+BQ177+BN177+BM177+BL177</f>
        <v>250.25</v>
      </c>
      <c r="BR178" s="1267">
        <f>+BR177+BQ177+BN177+BM177</f>
        <v>250</v>
      </c>
      <c r="BS178" s="1267">
        <f>+BS177+BR177+BQ177+BN177</f>
        <v>245.5</v>
      </c>
      <c r="BT178" s="1267">
        <f>+BT177+BS177+BR177+BQ177</f>
        <v>251</v>
      </c>
      <c r="BU178" s="1470"/>
      <c r="BV178" s="206"/>
      <c r="BW178" s="1266">
        <f>+BW177+BT177+BS177+BR177</f>
        <v>243.25</v>
      </c>
      <c r="BX178" s="1267">
        <f>+BX177+BW177+BT177+BS177</f>
        <v>241</v>
      </c>
      <c r="BY178" s="1267">
        <f>+BY177+BX177+BW177+BT177</f>
        <v>243</v>
      </c>
      <c r="BZ178" s="1267">
        <f>+BZ177+BY177+BX177+BW177</f>
        <v>250</v>
      </c>
      <c r="CA178" s="1470"/>
      <c r="CB178" s="206"/>
      <c r="CC178" s="1266">
        <f>+CC177+BZ177+BY177+BX177</f>
        <v>255</v>
      </c>
      <c r="CD178" s="1267">
        <f>+CD177+CC177+BZ177+BY177</f>
        <v>260</v>
      </c>
      <c r="CE178" s="1267">
        <f>+CE177+CD177+CC177+BZ177</f>
        <v>265</v>
      </c>
      <c r="CF178" s="1267">
        <f>+CF177+CE177+CD177+CC177</f>
        <v>260</v>
      </c>
      <c r="CG178" s="1470"/>
      <c r="CH178" s="206"/>
      <c r="CI178" s="1266">
        <f>+CI177+CF177+CE177+CD177</f>
        <v>260</v>
      </c>
      <c r="CJ178" s="1267">
        <f>+CJ177+CI177+CF177+CE177</f>
        <v>255</v>
      </c>
      <c r="CK178" s="1267">
        <f>+CK177+CJ177+CI177+CF177</f>
        <v>250</v>
      </c>
      <c r="CL178" s="1267">
        <f>+CL177+CK177+CJ177+CI177</f>
        <v>240</v>
      </c>
      <c r="CM178" s="1470"/>
      <c r="CN178" s="206"/>
      <c r="CO178" s="1266">
        <f>+CO177+CL177+CK177+CJ177</f>
        <v>231</v>
      </c>
      <c r="CP178" s="1267">
        <f>+CP177+CO177+CL177+CK177</f>
        <v>222</v>
      </c>
      <c r="CQ178" s="1267">
        <f>+CQ177+CP177+CO177+CL177</f>
        <v>213</v>
      </c>
      <c r="CR178" s="1267">
        <f>+CR177+CQ177+CP177+CO177</f>
        <v>204</v>
      </c>
      <c r="CS178" s="1470"/>
      <c r="CT178" s="206"/>
      <c r="CU178" s="1266">
        <f>+CU177+CR177+CQ177+CP177</f>
        <v>199</v>
      </c>
      <c r="CV178" s="1267">
        <f>+CV177+CU177+CR177+CQ177</f>
        <v>194</v>
      </c>
      <c r="CW178" s="1267">
        <f>+CW177+CV177+CU177+CR177</f>
        <v>189</v>
      </c>
      <c r="CX178" s="1267">
        <f>+CX177+CW177+CV177+CU177</f>
        <v>184</v>
      </c>
      <c r="CY178" s="1470"/>
      <c r="CZ178" s="206"/>
      <c r="DA178"/>
      <c r="DB178"/>
      <c r="DC178"/>
      <c r="DD178" s="206"/>
      <c r="DE178" s="206"/>
      <c r="DF178" s="206"/>
      <c r="DG178" s="206"/>
      <c r="DH178" s="206"/>
      <c r="DI178" s="206"/>
      <c r="DJ178" s="206"/>
      <c r="DK178" s="206"/>
    </row>
    <row r="179" spans="1:115" s="5" customFormat="1" outlineLevel="1" x14ac:dyDescent="0.2">
      <c r="A179" s="1262" t="s">
        <v>542</v>
      </c>
      <c r="B179" s="48"/>
      <c r="C179" s="1128"/>
      <c r="D179" s="1129"/>
      <c r="E179" s="1129"/>
      <c r="F179" s="1129"/>
      <c r="G179" s="1463"/>
      <c r="H179" s="48"/>
      <c r="I179" s="1128"/>
      <c r="J179" s="1129"/>
      <c r="K179" s="1129"/>
      <c r="L179" s="1129"/>
      <c r="M179" s="1463"/>
      <c r="N179" s="48"/>
      <c r="O179" s="1128"/>
      <c r="P179" s="1129"/>
      <c r="Q179" s="1129"/>
      <c r="R179" s="1129"/>
      <c r="S179" s="1463"/>
      <c r="T179" s="48"/>
      <c r="U179" s="1128"/>
      <c r="V179" s="1129"/>
      <c r="W179" s="1129"/>
      <c r="X179" s="1129"/>
      <c r="Y179" s="1463"/>
      <c r="Z179" s="48"/>
      <c r="AA179" s="1128"/>
      <c r="AB179" s="1129"/>
      <c r="AC179" s="1129"/>
      <c r="AD179" s="1129"/>
      <c r="AE179" s="1463"/>
      <c r="AF179" s="48"/>
      <c r="AG179" s="1128">
        <f>+AVERAGE(AG176,AE176)</f>
        <v>162.5</v>
      </c>
      <c r="AH179" s="1129">
        <f>+AVERAGE(AH176,AG176)</f>
        <v>187.5</v>
      </c>
      <c r="AI179" s="1129">
        <f>+AVERAGE(AI176,AH176)</f>
        <v>212.5</v>
      </c>
      <c r="AJ179" s="1129">
        <f>+AVERAGE(AJ176,AI176)</f>
        <v>237.5</v>
      </c>
      <c r="AK179" s="1457">
        <f>+AVERAGE(AJ176,AE176)</f>
        <v>200</v>
      </c>
      <c r="AL179" s="48"/>
      <c r="AM179" s="1128">
        <f>+AVERAGE(AM176,AK176)</f>
        <v>275.625</v>
      </c>
      <c r="AN179" s="1129">
        <f>+AVERAGE(AN176,AM176)</f>
        <v>326.875</v>
      </c>
      <c r="AO179" s="1129">
        <f>+AVERAGE(AO176,AN176)</f>
        <v>378.125</v>
      </c>
      <c r="AP179" s="1129">
        <f>+AVERAGE(AP176,AO176)</f>
        <v>429.375</v>
      </c>
      <c r="AQ179" s="1457">
        <f>+AVERAGE(AP176,AK176)</f>
        <v>352.5</v>
      </c>
      <c r="AR179" s="48"/>
      <c r="AS179" s="1128">
        <f>+AVERAGE(AS176,AQ176)</f>
        <v>460</v>
      </c>
      <c r="AT179" s="1129">
        <f>+AVERAGE(AT176,AS176)</f>
        <v>470</v>
      </c>
      <c r="AU179" s="1129">
        <f>+AVERAGE(AU176,AT176)</f>
        <v>488.33333333333337</v>
      </c>
      <c r="AV179" s="1129">
        <f>+AVERAGE(AV176,AU176)</f>
        <v>510.55555555555554</v>
      </c>
      <c r="AW179" s="1457">
        <f>+AVERAGE(AV176,AQ176)</f>
        <v>487.22222222222223</v>
      </c>
      <c r="AX179" s="48"/>
      <c r="AY179" s="1128">
        <f>+AVERAGE(AY176,AW176)</f>
        <v>580</v>
      </c>
      <c r="AZ179" s="1129">
        <f>+AVERAGE(AZ176,AY176)</f>
        <v>630</v>
      </c>
      <c r="BA179" s="1129">
        <f>+AVERAGE(BA176,AZ176)</f>
        <v>680</v>
      </c>
      <c r="BB179" s="1129">
        <f>+AVERAGE(BB176,BA176)</f>
        <v>730</v>
      </c>
      <c r="BC179" s="1457">
        <f>+AVERAGE(BC176,AW176)</f>
        <v>655</v>
      </c>
      <c r="BD179" s="48"/>
      <c r="BE179" s="1128">
        <f>+AVERAGE(BE176,BC176)</f>
        <v>786.25</v>
      </c>
      <c r="BF179" s="1129">
        <f>+AVERAGE(BF176,BE176)</f>
        <v>848.75</v>
      </c>
      <c r="BG179" s="1129">
        <f>+AVERAGE(BG176,BF176)</f>
        <v>911.25</v>
      </c>
      <c r="BH179" s="1129">
        <f>+AVERAGE(BH176,BG176)</f>
        <v>973.75</v>
      </c>
      <c r="BI179" s="1457">
        <f>+AVERAGE(BI176,BC176)</f>
        <v>880</v>
      </c>
      <c r="BJ179" s="48"/>
      <c r="BK179" s="1128">
        <f>+AVERAGE(BK176,BI176)</f>
        <v>1036.25</v>
      </c>
      <c r="BL179" s="1129">
        <f>+AVERAGE(BL176,BK176)</f>
        <v>1098.75</v>
      </c>
      <c r="BM179" s="1129">
        <f>+AVERAGE(BM176,BL176)</f>
        <v>1161.25</v>
      </c>
      <c r="BN179" s="1129">
        <f>+AVERAGE(BN176,BM176)</f>
        <v>1223.75</v>
      </c>
      <c r="BO179" s="1457">
        <f>+AVERAGE(BO176,BI176)</f>
        <v>1130</v>
      </c>
      <c r="BP179" s="48"/>
      <c r="BQ179" s="1128">
        <f>+AVERAGE(BQ176,BO176)</f>
        <v>1286.375</v>
      </c>
      <c r="BR179" s="1129">
        <f>+AVERAGE(BR176,BQ176)</f>
        <v>1348.875</v>
      </c>
      <c r="BS179" s="1129">
        <f>+AVERAGE(BS176,BR176)</f>
        <v>1409</v>
      </c>
      <c r="BT179" s="1129">
        <f>+AVERAGE(BT176,BS176)</f>
        <v>1472</v>
      </c>
      <c r="BU179" s="1457">
        <f>+AVERAGE(BU176,BO176)</f>
        <v>1380.5</v>
      </c>
      <c r="BV179" s="48"/>
      <c r="BW179" s="1128">
        <f>+AVERAGE(BW176,BU176)</f>
        <v>1533.5</v>
      </c>
      <c r="BX179" s="1129">
        <f>+AVERAGE(BX176,BW176)</f>
        <v>1591</v>
      </c>
      <c r="BY179" s="1129">
        <f>+AVERAGE(BY176,BX176)</f>
        <v>1651</v>
      </c>
      <c r="BZ179" s="1129">
        <f>+AVERAGE(BZ176,BY176)</f>
        <v>1718.5</v>
      </c>
      <c r="CA179" s="1457">
        <f>+AVERAGE(CA176,BU176)</f>
        <v>1631</v>
      </c>
      <c r="CB179" s="48"/>
      <c r="CC179" s="1128">
        <f>+AVERAGE(CC176,CA176)</f>
        <v>1786</v>
      </c>
      <c r="CD179" s="1129">
        <f>+AVERAGE(CD176,CC176)</f>
        <v>1848.5</v>
      </c>
      <c r="CE179" s="1129">
        <f>+AVERAGE(CE176,CD176)</f>
        <v>1913.5</v>
      </c>
      <c r="CF179" s="1129">
        <f>+AVERAGE(CF176,CE176)</f>
        <v>1981</v>
      </c>
      <c r="CG179" s="1457">
        <f>+AVERAGE(CG176,CA176)</f>
        <v>1886</v>
      </c>
      <c r="CH179" s="48"/>
      <c r="CI179" s="1128">
        <f>+AVERAGE(CI176,CG176)</f>
        <v>2046</v>
      </c>
      <c r="CJ179" s="1129">
        <f>+AVERAGE(CJ176,CI176)</f>
        <v>2106</v>
      </c>
      <c r="CK179" s="1129">
        <f>+AVERAGE(CK176,CJ176)</f>
        <v>2166</v>
      </c>
      <c r="CL179" s="1129">
        <f>+AVERAGE(CL176,CK176)</f>
        <v>2226</v>
      </c>
      <c r="CM179" s="1457">
        <f>+AVERAGE(CM176,CG176)</f>
        <v>2136</v>
      </c>
      <c r="CN179" s="48"/>
      <c r="CO179" s="1128">
        <f>+AVERAGE(CO176,CM176)</f>
        <v>2281.5</v>
      </c>
      <c r="CP179" s="1129">
        <f>+AVERAGE(CP176,CO176)</f>
        <v>2332.5</v>
      </c>
      <c r="CQ179" s="1129">
        <f>+AVERAGE(CQ176,CP176)</f>
        <v>2383.5</v>
      </c>
      <c r="CR179" s="1129">
        <f>+AVERAGE(CR176,CQ176)</f>
        <v>2434.5</v>
      </c>
      <c r="CS179" s="1457">
        <f>+AVERAGE(CS176,CM176)</f>
        <v>2358</v>
      </c>
      <c r="CT179" s="48"/>
      <c r="CU179" s="1128">
        <f>+AVERAGE(CU176,CS176)</f>
        <v>2483</v>
      </c>
      <c r="CV179" s="1129">
        <f>+AVERAGE(CV176,CU176)</f>
        <v>2529</v>
      </c>
      <c r="CW179" s="1129">
        <f>+AVERAGE(CW176,CV176)</f>
        <v>2575</v>
      </c>
      <c r="CX179" s="1129">
        <f>+AVERAGE(CX176,CW176)</f>
        <v>2621</v>
      </c>
      <c r="CY179" s="1457">
        <f>+AVERAGE(CY176,CS176)</f>
        <v>2552</v>
      </c>
      <c r="CZ179" s="48"/>
      <c r="DA179"/>
      <c r="DB179"/>
      <c r="DC179"/>
      <c r="DD179" s="48"/>
      <c r="DE179" s="48"/>
      <c r="DF179" s="48"/>
      <c r="DG179" s="48"/>
      <c r="DH179" s="48"/>
      <c r="DI179" s="48"/>
      <c r="DJ179" s="48"/>
      <c r="DK179" s="48"/>
    </row>
    <row r="180" spans="1:115" s="5" customFormat="1" outlineLevel="1" x14ac:dyDescent="0.2">
      <c r="A180" s="432" t="s">
        <v>539</v>
      </c>
      <c r="B180" s="48"/>
      <c r="C180" s="1128"/>
      <c r="D180" s="1129"/>
      <c r="E180" s="1129"/>
      <c r="F180" s="1129"/>
      <c r="G180" s="1463"/>
      <c r="H180" s="48"/>
      <c r="I180" s="1128"/>
      <c r="J180" s="1129"/>
      <c r="K180" s="1129"/>
      <c r="L180" s="1129"/>
      <c r="M180" s="1463"/>
      <c r="N180" s="48"/>
      <c r="O180" s="1128"/>
      <c r="P180" s="1129"/>
      <c r="Q180" s="1129"/>
      <c r="R180" s="1129"/>
      <c r="S180" s="1463"/>
      <c r="T180" s="48"/>
      <c r="U180" s="1128"/>
      <c r="V180" s="1129"/>
      <c r="W180" s="1129"/>
      <c r="X180" s="1129"/>
      <c r="Y180" s="1463"/>
      <c r="Z180" s="48"/>
      <c r="AA180" s="1128"/>
      <c r="AB180" s="1129"/>
      <c r="AC180" s="1129"/>
      <c r="AD180" s="1129"/>
      <c r="AE180" s="1463">
        <v>0</v>
      </c>
      <c r="AF180" s="48"/>
      <c r="AG180" s="1133">
        <v>0</v>
      </c>
      <c r="AH180" s="1130">
        <v>0</v>
      </c>
      <c r="AI180" s="1130">
        <v>0</v>
      </c>
      <c r="AJ180" s="1130">
        <f>+AVERAGE(AK180,AI180)</f>
        <v>0</v>
      </c>
      <c r="AK180" s="1463">
        <v>0</v>
      </c>
      <c r="AL180" s="48"/>
      <c r="AM180" s="1133">
        <v>0</v>
      </c>
      <c r="AN180" s="1130">
        <v>0</v>
      </c>
      <c r="AO180" s="1130">
        <v>10</v>
      </c>
      <c r="AP180" s="1130">
        <f>+AVERAGE(AQ180,AO180)</f>
        <v>27.75</v>
      </c>
      <c r="AQ180" s="1463">
        <f>+AQ176*0.1</f>
        <v>45.5</v>
      </c>
      <c r="AR180" s="48"/>
      <c r="AS180" s="1128">
        <f>+AQ180+AS181</f>
        <v>51.5</v>
      </c>
      <c r="AT180" s="1129">
        <f>+AS180+AT181</f>
        <v>57.5</v>
      </c>
      <c r="AU180" s="1129">
        <f>+AT180+AU181</f>
        <v>73.500000000000014</v>
      </c>
      <c r="AV180" s="1129">
        <f>+AU180+AV181</f>
        <v>84.166666666666671</v>
      </c>
      <c r="AW180" s="1456">
        <f>+AV180</f>
        <v>84.166666666666671</v>
      </c>
      <c r="AX180" s="48"/>
      <c r="AY180" s="1128">
        <f>+AW180+(AY184*(AY176-AW176))</f>
        <v>114.16666666666667</v>
      </c>
      <c r="AZ180" s="1129">
        <f>+AY180+(AY184*(AZ176-AY176))</f>
        <v>144.16666666666669</v>
      </c>
      <c r="BA180" s="1129">
        <f>+AZ180+(AZ184*(BA176-AZ176))</f>
        <v>174.16666666666669</v>
      </c>
      <c r="BB180" s="1129">
        <f>+BA180+(BA184*(BB176-BA176))</f>
        <v>204.16666666666669</v>
      </c>
      <c r="BC180" s="1456">
        <f>+BB180</f>
        <v>204.16666666666669</v>
      </c>
      <c r="BD180" s="48"/>
      <c r="BE180" s="1128">
        <f>+BC180+(BE184*(BE176-BC176))</f>
        <v>235.41666666666669</v>
      </c>
      <c r="BF180" s="1129">
        <f>+BE180+(BE184*(BF176-BE176))</f>
        <v>266.66666666666669</v>
      </c>
      <c r="BG180" s="1129">
        <f>+BF180+(BF184*(BG176-BF176))</f>
        <v>297.91666666666669</v>
      </c>
      <c r="BH180" s="1129">
        <f>+BG180+(BG184*(BH176-BG176))</f>
        <v>329.16666666666669</v>
      </c>
      <c r="BI180" s="1456">
        <f>+BH180</f>
        <v>329.16666666666669</v>
      </c>
      <c r="BJ180" s="48"/>
      <c r="BK180" s="1128">
        <f>+BI180+(BK184*(BK176-BI176))</f>
        <v>360.41666666666669</v>
      </c>
      <c r="BL180" s="1129">
        <f>+BK180+(BK184*(BL176-BK176))</f>
        <v>391.66666666666669</v>
      </c>
      <c r="BM180" s="1129">
        <f>+BL180+(BL184*(BM176-BL176))</f>
        <v>422.91666666666669</v>
      </c>
      <c r="BN180" s="1129">
        <f>+BM180+(BM184*(BN176-BM176))</f>
        <v>454.16666666666669</v>
      </c>
      <c r="BO180" s="1456">
        <f>+BN180</f>
        <v>454.16666666666669</v>
      </c>
      <c r="BP180" s="48"/>
      <c r="BQ180" s="1128">
        <f>+BO180+(BQ184*(BQ176-BO176))</f>
        <v>479.26666666666671</v>
      </c>
      <c r="BR180" s="1129">
        <f>+BQ180+(BQ184*(BR176-BQ176))</f>
        <v>504.16666666666669</v>
      </c>
      <c r="BS180" s="1129">
        <f>+BR180+(BR184*(BS176-BR176))</f>
        <v>527.36666666666667</v>
      </c>
      <c r="BT180" s="1129">
        <f>+BS180+(BS184*(BT176-BS176))</f>
        <v>554.56666666666672</v>
      </c>
      <c r="BU180" s="1456">
        <f>+BT180</f>
        <v>554.56666666666672</v>
      </c>
      <c r="BV180" s="48"/>
      <c r="BW180" s="1128">
        <f>+BU180+(BW184*(BW176-BU176))</f>
        <v>576.56666666666672</v>
      </c>
      <c r="BX180" s="1129">
        <f>+BW180+(BW184*(BX176-BW176))</f>
        <v>600.56666666666672</v>
      </c>
      <c r="BY180" s="1129">
        <f>+BX180+(BX184*(BY176-BX176))</f>
        <v>624.56666666666672</v>
      </c>
      <c r="BZ180" s="1129">
        <f>+BY180+(BY184*(BZ176-BY176))</f>
        <v>654.56666666666672</v>
      </c>
      <c r="CA180" s="1456">
        <f>+BZ180</f>
        <v>654.56666666666672</v>
      </c>
      <c r="CB180" s="48"/>
      <c r="CC180" s="1128">
        <f>+CA180+(CC184*(CC176-CA176))</f>
        <v>675.56666666666672</v>
      </c>
      <c r="CD180" s="1129">
        <f>+CC180+(CC184*(CD176-CC176))</f>
        <v>698.31666666666672</v>
      </c>
      <c r="CE180" s="1129">
        <f>+CD180+(CD184*(CE176-CD176))</f>
        <v>721.06666666666672</v>
      </c>
      <c r="CF180" s="1129">
        <f>+CE180+(CE184*(CF176-CE176))</f>
        <v>745.56666666666672</v>
      </c>
      <c r="CG180" s="1456">
        <f>+CF180</f>
        <v>745.56666666666672</v>
      </c>
      <c r="CH180" s="48"/>
      <c r="CI180" s="1128">
        <f>+CG180+(CI184*(CI176-CG176))</f>
        <v>766.56666666666672</v>
      </c>
      <c r="CJ180" s="1129">
        <f>+CI180+(CI184*(CJ176-CI176))</f>
        <v>787.56666666666672</v>
      </c>
      <c r="CK180" s="1129">
        <f>+CJ180+(CJ184*(CK176-CJ176))</f>
        <v>808.56666666666672</v>
      </c>
      <c r="CL180" s="1129">
        <f>+CK180+(CK184*(CL176-CK176))</f>
        <v>829.56666666666672</v>
      </c>
      <c r="CM180" s="1456">
        <f>+CL180</f>
        <v>829.56666666666672</v>
      </c>
      <c r="CN180" s="48"/>
      <c r="CO180" s="1128">
        <f>+CM180+(CO184*(CO176-CM176))</f>
        <v>847.41666666666674</v>
      </c>
      <c r="CP180" s="1129">
        <f>+CO180+(CO184*(CP176-CO176))</f>
        <v>865.26666666666677</v>
      </c>
      <c r="CQ180" s="1129">
        <f>+CP180+(CP184*(CQ176-CP176))</f>
        <v>883.11666666666679</v>
      </c>
      <c r="CR180" s="1129">
        <f>+CQ180+(CQ184*(CR176-CQ176))</f>
        <v>900.96666666666681</v>
      </c>
      <c r="CS180" s="1456">
        <f>+CR180</f>
        <v>900.96666666666681</v>
      </c>
      <c r="CT180" s="48"/>
      <c r="CU180" s="1128">
        <f>+CS180+(CU184*(CU176-CS176))</f>
        <v>917.06666666666683</v>
      </c>
      <c r="CV180" s="1129">
        <f>+CU180+(CU184*(CV176-CU176))</f>
        <v>933.16666666666686</v>
      </c>
      <c r="CW180" s="1129">
        <f>+CV180+(CV184*(CW176-CV176))</f>
        <v>949.26666666666688</v>
      </c>
      <c r="CX180" s="1129">
        <f>+CW180+(CW184*(CX176-CW176))</f>
        <v>965.3666666666669</v>
      </c>
      <c r="CY180" s="1456">
        <f>+CX180</f>
        <v>965.3666666666669</v>
      </c>
      <c r="CZ180" s="48"/>
      <c r="DA180"/>
      <c r="DB180"/>
      <c r="DC180"/>
      <c r="DD180" s="48"/>
      <c r="DE180" s="48"/>
      <c r="DF180" s="48"/>
      <c r="DG180" s="48"/>
      <c r="DH180" s="48"/>
      <c r="DI180" s="48"/>
      <c r="DJ180" s="48"/>
      <c r="DK180" s="48"/>
    </row>
    <row r="181" spans="1:115" s="5" customFormat="1" outlineLevel="1" x14ac:dyDescent="0.2">
      <c r="A181" s="1262" t="s">
        <v>519</v>
      </c>
      <c r="B181" s="48"/>
      <c r="C181" s="1128"/>
      <c r="D181" s="1129"/>
      <c r="E181" s="1129"/>
      <c r="F181" s="1129"/>
      <c r="G181" s="1463"/>
      <c r="H181" s="48"/>
      <c r="I181" s="1128"/>
      <c r="J181" s="1129"/>
      <c r="K181" s="1129"/>
      <c r="L181" s="1129"/>
      <c r="M181" s="1463"/>
      <c r="N181" s="48"/>
      <c r="O181" s="1128"/>
      <c r="P181" s="1129"/>
      <c r="Q181" s="1129"/>
      <c r="R181" s="1129"/>
      <c r="S181" s="1463"/>
      <c r="T181" s="48"/>
      <c r="U181" s="1128"/>
      <c r="V181" s="1129"/>
      <c r="W181" s="1129"/>
      <c r="X181" s="1129"/>
      <c r="Y181" s="1463"/>
      <c r="Z181" s="48"/>
      <c r="AA181" s="1128"/>
      <c r="AB181" s="1129"/>
      <c r="AC181" s="1129"/>
      <c r="AD181" s="1129"/>
      <c r="AE181" s="1463"/>
      <c r="AF181" s="48"/>
      <c r="AG181" s="1128">
        <f>+AG180-AF180</f>
        <v>0</v>
      </c>
      <c r="AH181" s="1129">
        <f>+AH180-AG180</f>
        <v>0</v>
      </c>
      <c r="AI181" s="1129">
        <f>+AI180-AH180</f>
        <v>0</v>
      </c>
      <c r="AJ181" s="1129">
        <f>+AJ180-AI180</f>
        <v>0</v>
      </c>
      <c r="AK181" s="1457">
        <f>+SUM(AG181:AJ181)</f>
        <v>0</v>
      </c>
      <c r="AL181" s="48"/>
      <c r="AM181" s="1128">
        <f>+AM180-AL180</f>
        <v>0</v>
      </c>
      <c r="AN181" s="1129">
        <f>+AN180-AM180</f>
        <v>0</v>
      </c>
      <c r="AO181" s="1129">
        <f>+AO180-AN180</f>
        <v>10</v>
      </c>
      <c r="AP181" s="1129">
        <f>+AP180-AO180</f>
        <v>17.75</v>
      </c>
      <c r="AQ181" s="1457">
        <f>+SUM(AM181:AP181)</f>
        <v>27.75</v>
      </c>
      <c r="AR181" s="48"/>
      <c r="AS181" s="1128">
        <f>+AS177*AS184</f>
        <v>6</v>
      </c>
      <c r="AT181" s="1129">
        <f>+AT177*AT184</f>
        <v>6</v>
      </c>
      <c r="AU181" s="1129">
        <f>+AU177*AU184</f>
        <v>16.000000000000011</v>
      </c>
      <c r="AV181" s="1129">
        <f>+AV177*AV184</f>
        <v>10.666666666666663</v>
      </c>
      <c r="AW181" s="1457">
        <f>+SUM(AS181:AV181)</f>
        <v>38.666666666666671</v>
      </c>
      <c r="AX181" s="48"/>
      <c r="AY181" s="1128">
        <f>+AY177*AY184</f>
        <v>30</v>
      </c>
      <c r="AZ181" s="1129">
        <f>+AZ177*AZ184</f>
        <v>30</v>
      </c>
      <c r="BA181" s="1129">
        <f>+BA177*BA184</f>
        <v>30</v>
      </c>
      <c r="BB181" s="1129">
        <f>+BB177*BB184</f>
        <v>30</v>
      </c>
      <c r="BC181" s="1457">
        <f>+SUM(AY181:BB181)</f>
        <v>120</v>
      </c>
      <c r="BD181" s="48"/>
      <c r="BE181" s="1128">
        <f>+BE177*BE184</f>
        <v>31.25</v>
      </c>
      <c r="BF181" s="1129">
        <f>+BF177*BF184</f>
        <v>31.25</v>
      </c>
      <c r="BG181" s="1129">
        <f>+BG177*BG184</f>
        <v>31.25</v>
      </c>
      <c r="BH181" s="1129">
        <f>+BH177*BH184</f>
        <v>31.25</v>
      </c>
      <c r="BI181" s="1457">
        <f>+SUM(BE181:BH181)</f>
        <v>125</v>
      </c>
      <c r="BJ181" s="48"/>
      <c r="BK181" s="1128">
        <f>+BK177*BK184</f>
        <v>31.25</v>
      </c>
      <c r="BL181" s="1129">
        <f>+BL177*BL184</f>
        <v>31.25</v>
      </c>
      <c r="BM181" s="1129">
        <f>+BM177*BM184</f>
        <v>31.25</v>
      </c>
      <c r="BN181" s="1129">
        <f>+BN177*BN184</f>
        <v>31.25</v>
      </c>
      <c r="BO181" s="1457">
        <f>+SUM(BK181:BN181)</f>
        <v>125</v>
      </c>
      <c r="BP181" s="48"/>
      <c r="BQ181" s="1128">
        <f>+BQ177*BQ184</f>
        <v>25.1</v>
      </c>
      <c r="BR181" s="1129">
        <f>+BR177*BR184</f>
        <v>24.900000000000002</v>
      </c>
      <c r="BS181" s="1129">
        <f>+BS177*BS184</f>
        <v>23.200000000000003</v>
      </c>
      <c r="BT181" s="1129">
        <f>+BT177*BT184</f>
        <v>27.200000000000003</v>
      </c>
      <c r="BU181" s="1457">
        <f>+SUM(BQ181:BT181)</f>
        <v>100.4</v>
      </c>
      <c r="BV181" s="48"/>
      <c r="BW181" s="1128">
        <f>+BW177*BW184</f>
        <v>22</v>
      </c>
      <c r="BX181" s="1129">
        <f>+BX177*BX184</f>
        <v>24</v>
      </c>
      <c r="BY181" s="1129">
        <f>+BY177*BY184</f>
        <v>24</v>
      </c>
      <c r="BZ181" s="1129">
        <f>+BZ177*BZ184</f>
        <v>30</v>
      </c>
      <c r="CA181" s="1457">
        <f>+SUM(BW181:BZ181)</f>
        <v>100</v>
      </c>
      <c r="CB181" s="48"/>
      <c r="CC181" s="1128">
        <f>+CC177*CC184</f>
        <v>21.000000000000004</v>
      </c>
      <c r="CD181" s="1129">
        <f>+CD177*CD184</f>
        <v>22.750000000000004</v>
      </c>
      <c r="CE181" s="1129">
        <f>+CE177*CE184</f>
        <v>22.750000000000004</v>
      </c>
      <c r="CF181" s="1129">
        <f>+CF177*CF184</f>
        <v>24.500000000000004</v>
      </c>
      <c r="CG181" s="1457">
        <f>+SUM(CC181:CF181)</f>
        <v>91.000000000000014</v>
      </c>
      <c r="CH181" s="48"/>
      <c r="CI181" s="1128">
        <f>+CI177*CI184</f>
        <v>21.000000000000004</v>
      </c>
      <c r="CJ181" s="1129">
        <f>+CJ177*CJ184</f>
        <v>21.000000000000004</v>
      </c>
      <c r="CK181" s="1129">
        <f>+CK177*CK184</f>
        <v>21.000000000000004</v>
      </c>
      <c r="CL181" s="1129">
        <f>+CL177*CL184</f>
        <v>21.000000000000004</v>
      </c>
      <c r="CM181" s="1457">
        <f>+SUM(CI181:CL181)</f>
        <v>84.000000000000014</v>
      </c>
      <c r="CN181" s="48"/>
      <c r="CO181" s="1128">
        <f>+CO177*CO184</f>
        <v>17.850000000000001</v>
      </c>
      <c r="CP181" s="1129">
        <f>+CP177*CP184</f>
        <v>17.850000000000001</v>
      </c>
      <c r="CQ181" s="1129">
        <f>+CQ177*CQ184</f>
        <v>17.850000000000001</v>
      </c>
      <c r="CR181" s="1129">
        <f>+CR177*CR184</f>
        <v>17.850000000000001</v>
      </c>
      <c r="CS181" s="1457">
        <f>+SUM(CO181:CR181)</f>
        <v>71.400000000000006</v>
      </c>
      <c r="CT181" s="48"/>
      <c r="CU181" s="1128">
        <f>+CU177*CU184</f>
        <v>16.100000000000001</v>
      </c>
      <c r="CV181" s="1129">
        <f>+CV177*CV184</f>
        <v>16.100000000000001</v>
      </c>
      <c r="CW181" s="1129">
        <f>+CW177*CW184</f>
        <v>16.100000000000001</v>
      </c>
      <c r="CX181" s="1129">
        <f>+CX177*CX184</f>
        <v>16.100000000000001</v>
      </c>
      <c r="CY181" s="1457">
        <f>+SUM(CU181:CX181)</f>
        <v>64.400000000000006</v>
      </c>
      <c r="CZ181" s="48"/>
      <c r="DA181"/>
      <c r="DB181"/>
      <c r="DC181"/>
      <c r="DD181" s="48"/>
      <c r="DE181" s="48"/>
      <c r="DF181" s="48"/>
      <c r="DG181" s="48"/>
      <c r="DH181" s="48"/>
      <c r="DI181" s="48"/>
      <c r="DJ181" s="48"/>
      <c r="DK181" s="48"/>
    </row>
    <row r="182" spans="1:115" s="5" customFormat="1" outlineLevel="1" x14ac:dyDescent="0.2">
      <c r="A182" s="1265" t="s">
        <v>534</v>
      </c>
      <c r="B182" s="206"/>
      <c r="C182" s="1266"/>
      <c r="D182" s="1267"/>
      <c r="E182" s="1267"/>
      <c r="F182" s="1267"/>
      <c r="G182" s="1469"/>
      <c r="H182" s="206"/>
      <c r="I182" s="1266"/>
      <c r="J182" s="1267"/>
      <c r="K182" s="1267"/>
      <c r="L182" s="1267"/>
      <c r="M182" s="1469"/>
      <c r="N182" s="206"/>
      <c r="O182" s="1266"/>
      <c r="P182" s="1267"/>
      <c r="Q182" s="1267"/>
      <c r="R182" s="1267"/>
      <c r="S182" s="1469"/>
      <c r="T182" s="206"/>
      <c r="U182" s="1266"/>
      <c r="V182" s="1267"/>
      <c r="W182" s="1267"/>
      <c r="X182" s="1267"/>
      <c r="Y182" s="1469"/>
      <c r="Z182" s="206"/>
      <c r="AA182" s="1266"/>
      <c r="AB182" s="1267"/>
      <c r="AC182" s="1267"/>
      <c r="AD182" s="1267"/>
      <c r="AE182" s="1469"/>
      <c r="AF182" s="206"/>
      <c r="AG182" s="1266">
        <f>+AG181+AD181+AC181+AB181</f>
        <v>0</v>
      </c>
      <c r="AH182" s="1267">
        <f>+AH181+AG181+AD181+AC181</f>
        <v>0</v>
      </c>
      <c r="AI182" s="1267">
        <f>+AI181+AH181+AG181+AD181</f>
        <v>0</v>
      </c>
      <c r="AJ182" s="1267">
        <f>+AJ181+AI181+AH181+AG181</f>
        <v>0</v>
      </c>
      <c r="AK182" s="1470"/>
      <c r="AL182" s="206"/>
      <c r="AM182" s="1266">
        <f>+AM181+AJ181+AI181+AH181</f>
        <v>0</v>
      </c>
      <c r="AN182" s="1267">
        <f>+AN181+AM181+AJ181+AI181</f>
        <v>0</v>
      </c>
      <c r="AO182" s="1267">
        <f>+AO181+AN181+AM181+AJ181</f>
        <v>10</v>
      </c>
      <c r="AP182" s="1267">
        <f>+AP181+AO181+AN181+AM181</f>
        <v>27.75</v>
      </c>
      <c r="AQ182" s="1470"/>
      <c r="AR182" s="206"/>
      <c r="AS182" s="1266">
        <f>+AS181+AP181+AO181+AN181</f>
        <v>33.75</v>
      </c>
      <c r="AT182" s="1267">
        <f>+AT181+AS181+AP181+AO181</f>
        <v>39.75</v>
      </c>
      <c r="AU182" s="1267">
        <f>+AU181+AT181+AS181+AP181</f>
        <v>45.750000000000014</v>
      </c>
      <c r="AV182" s="1267">
        <f>+AV181+AU181+AT181+AS181</f>
        <v>38.666666666666671</v>
      </c>
      <c r="AW182" s="1470"/>
      <c r="AX182" s="206"/>
      <c r="AY182" s="1266">
        <f>+AY181+AV181+AU181+AT181</f>
        <v>62.666666666666671</v>
      </c>
      <c r="AZ182" s="1267">
        <f>+AZ181+AY181+AV181+AU181</f>
        <v>86.666666666666671</v>
      </c>
      <c r="BA182" s="1267">
        <f>+BA181+AZ181+AY181+AV181</f>
        <v>100.66666666666666</v>
      </c>
      <c r="BB182" s="1267">
        <f>+BB181+BA181+AZ181+AY181</f>
        <v>120</v>
      </c>
      <c r="BC182" s="1470"/>
      <c r="BD182" s="206"/>
      <c r="BE182" s="1266">
        <f>+BE181+BB181+BA181+AZ181</f>
        <v>121.25</v>
      </c>
      <c r="BF182" s="1267">
        <f>+BF181+BE181+BB181+BA181</f>
        <v>122.5</v>
      </c>
      <c r="BG182" s="1267">
        <f>+BG181+BF181+BE181+BB181</f>
        <v>123.75</v>
      </c>
      <c r="BH182" s="1267">
        <f>+BH181+BG181+BF181+BE181</f>
        <v>125</v>
      </c>
      <c r="BI182" s="1470"/>
      <c r="BJ182" s="206"/>
      <c r="BK182" s="1266">
        <f>+BK181+BH181+BG181+BF181</f>
        <v>125</v>
      </c>
      <c r="BL182" s="1267">
        <f>+BL181+BK181+BH181+BG181</f>
        <v>125</v>
      </c>
      <c r="BM182" s="1267">
        <f>+BM181+BL181+BK181+BH181</f>
        <v>125</v>
      </c>
      <c r="BN182" s="1267">
        <f>+BN181+BM181+BL181+BK181</f>
        <v>125</v>
      </c>
      <c r="BO182" s="1470"/>
      <c r="BP182" s="206"/>
      <c r="BQ182" s="1266">
        <f>+BQ181+BN181+BM181+BL181</f>
        <v>118.85</v>
      </c>
      <c r="BR182" s="1267">
        <f>+BR181+BQ181+BN181+BM181</f>
        <v>112.5</v>
      </c>
      <c r="BS182" s="1267">
        <f>+BS181+BR181+BQ181+BN181</f>
        <v>104.45000000000002</v>
      </c>
      <c r="BT182" s="1267">
        <f>+BT181+BS181+BR181+BQ181</f>
        <v>100.4</v>
      </c>
      <c r="BU182" s="1470"/>
      <c r="BV182" s="206"/>
      <c r="BW182" s="1266">
        <f>+BW181+BT181+BS181+BR181</f>
        <v>97.300000000000011</v>
      </c>
      <c r="BX182" s="1267">
        <f>+BX181+BW181+BT181+BS181</f>
        <v>96.4</v>
      </c>
      <c r="BY182" s="1267">
        <f>+BY181+BX181+BW181+BT181</f>
        <v>97.2</v>
      </c>
      <c r="BZ182" s="1267">
        <f>+BZ181+BY181+BX181+BW181</f>
        <v>100</v>
      </c>
      <c r="CA182" s="1470"/>
      <c r="CB182" s="206"/>
      <c r="CC182" s="1266">
        <f>+CC181+BZ181+BY181+BX181</f>
        <v>99</v>
      </c>
      <c r="CD182" s="1267">
        <f>+CD181+CC181+BZ181+BY181</f>
        <v>97.75</v>
      </c>
      <c r="CE182" s="1267">
        <f>+CE181+CD181+CC181+BZ181</f>
        <v>96.500000000000014</v>
      </c>
      <c r="CF182" s="1267">
        <f>+CF181+CE181+CD181+CC181</f>
        <v>91.000000000000014</v>
      </c>
      <c r="CG182" s="1470"/>
      <c r="CH182" s="206"/>
      <c r="CI182" s="1266">
        <f>+CI181+CF181+CE181+CD181</f>
        <v>91.000000000000014</v>
      </c>
      <c r="CJ182" s="1267">
        <f>+CJ181+CI181+CF181+CE181</f>
        <v>89.250000000000014</v>
      </c>
      <c r="CK182" s="1267">
        <f>+CK181+CJ181+CI181+CF181</f>
        <v>87.500000000000014</v>
      </c>
      <c r="CL182" s="1267">
        <f>+CL181+CK181+CJ181+CI181</f>
        <v>84.000000000000014</v>
      </c>
      <c r="CM182" s="1470"/>
      <c r="CN182" s="206"/>
      <c r="CO182" s="1266">
        <f>+CO181+CL181+CK181+CJ181</f>
        <v>80.850000000000009</v>
      </c>
      <c r="CP182" s="1267">
        <f>+CP181+CO181+CL181+CK181</f>
        <v>77.7</v>
      </c>
      <c r="CQ182" s="1267">
        <f>+CQ181+CP181+CO181+CL181</f>
        <v>74.550000000000011</v>
      </c>
      <c r="CR182" s="1267">
        <f>+CR181+CQ181+CP181+CO181</f>
        <v>71.400000000000006</v>
      </c>
      <c r="CS182" s="1470"/>
      <c r="CT182" s="206"/>
      <c r="CU182" s="1266">
        <f>+CU181+CR181+CQ181+CP181</f>
        <v>69.650000000000006</v>
      </c>
      <c r="CV182" s="1267">
        <f>+CV181+CU181+CR181+CQ181</f>
        <v>67.900000000000006</v>
      </c>
      <c r="CW182" s="1267">
        <f>+CW181+CV181+CU181+CR181</f>
        <v>66.150000000000006</v>
      </c>
      <c r="CX182" s="1267">
        <f>+CX181+CW181+CV181+CU181</f>
        <v>64.400000000000006</v>
      </c>
      <c r="CY182" s="1470"/>
      <c r="CZ182" s="206"/>
      <c r="DA182"/>
      <c r="DB182"/>
      <c r="DC182"/>
      <c r="DD182" s="206"/>
      <c r="DE182" s="206"/>
      <c r="DF182" s="206"/>
      <c r="DG182" s="206"/>
      <c r="DH182" s="206"/>
      <c r="DI182" s="206"/>
      <c r="DJ182" s="206"/>
      <c r="DK182" s="206"/>
    </row>
    <row r="183" spans="1:115" s="5" customFormat="1" outlineLevel="1" x14ac:dyDescent="0.2">
      <c r="A183" s="1262" t="s">
        <v>545</v>
      </c>
      <c r="B183" s="48"/>
      <c r="C183" s="1128"/>
      <c r="D183" s="1129"/>
      <c r="E183" s="1129"/>
      <c r="F183" s="1129"/>
      <c r="G183" s="1463"/>
      <c r="H183" s="48"/>
      <c r="I183" s="1128"/>
      <c r="J183" s="1129"/>
      <c r="K183" s="1129"/>
      <c r="L183" s="1129"/>
      <c r="M183" s="1463"/>
      <c r="N183" s="48"/>
      <c r="O183" s="1128"/>
      <c r="P183" s="1129"/>
      <c r="Q183" s="1129"/>
      <c r="R183" s="1129"/>
      <c r="S183" s="1463"/>
      <c r="T183" s="48"/>
      <c r="U183" s="1128"/>
      <c r="V183" s="1129"/>
      <c r="W183" s="1129"/>
      <c r="X183" s="1129"/>
      <c r="Y183" s="1463"/>
      <c r="Z183" s="48"/>
      <c r="AA183" s="1128"/>
      <c r="AB183" s="1129"/>
      <c r="AC183" s="1129"/>
      <c r="AD183" s="1129"/>
      <c r="AE183" s="1463"/>
      <c r="AF183" s="48"/>
      <c r="AG183" s="1128">
        <f>+AVERAGE(AG180,AE180)</f>
        <v>0</v>
      </c>
      <c r="AH183" s="1129">
        <f>+AVERAGE(AH180,AG180)</f>
        <v>0</v>
      </c>
      <c r="AI183" s="1129">
        <f>+AVERAGE(AI180,AH180)</f>
        <v>0</v>
      </c>
      <c r="AJ183" s="1129">
        <f>+AVERAGE(AJ180,AI180)</f>
        <v>0</v>
      </c>
      <c r="AK183" s="1457">
        <f>+AVERAGE(AJ180,AE180)</f>
        <v>0</v>
      </c>
      <c r="AL183" s="48"/>
      <c r="AM183" s="1128">
        <f>+AVERAGE(AM180,AK180)</f>
        <v>0</v>
      </c>
      <c r="AN183" s="1129">
        <f>+AVERAGE(AN180,AM180)</f>
        <v>0</v>
      </c>
      <c r="AO183" s="1129">
        <f>+AVERAGE(AO180,AN180)</f>
        <v>5</v>
      </c>
      <c r="AP183" s="1129">
        <f>+AVERAGE(AP180,AO180)</f>
        <v>18.875</v>
      </c>
      <c r="AQ183" s="1457">
        <f>+AVERAGE(AP180,AK180)</f>
        <v>13.875</v>
      </c>
      <c r="AR183" s="48"/>
      <c r="AS183" s="1128">
        <f>+AVERAGE(AS180,AQ180)</f>
        <v>48.5</v>
      </c>
      <c r="AT183" s="1129">
        <f>+AVERAGE(AT180,AS180)</f>
        <v>54.5</v>
      </c>
      <c r="AU183" s="1129">
        <f>+AVERAGE(AU180,AT180)</f>
        <v>65.5</v>
      </c>
      <c r="AV183" s="1129">
        <f>+AVERAGE(AV180,AU180)</f>
        <v>78.833333333333343</v>
      </c>
      <c r="AW183" s="1457">
        <f>+AVERAGE(AV180,AQ180)</f>
        <v>64.833333333333343</v>
      </c>
      <c r="AX183" s="48"/>
      <c r="AY183" s="1128">
        <f>+AVERAGE(AY180,AW180)</f>
        <v>99.166666666666671</v>
      </c>
      <c r="AZ183" s="1129">
        <f>+AVERAGE(AZ180,AY180)</f>
        <v>129.16666666666669</v>
      </c>
      <c r="BA183" s="1129">
        <f>+AVERAGE(BA180,AZ180)</f>
        <v>159.16666666666669</v>
      </c>
      <c r="BB183" s="1129">
        <f>+AVERAGE(BB180,BA180)</f>
        <v>189.16666666666669</v>
      </c>
      <c r="BC183" s="1457">
        <f>+AVERAGE(BB180,AW180)</f>
        <v>144.16666666666669</v>
      </c>
      <c r="BD183" s="48"/>
      <c r="BE183" s="1128">
        <f>+AVERAGE(BE180,BC180)</f>
        <v>219.79166666666669</v>
      </c>
      <c r="BF183" s="1129">
        <f>+AVERAGE(BF180,BE180)</f>
        <v>251.04166666666669</v>
      </c>
      <c r="BG183" s="1129">
        <f>+AVERAGE(BG180,BF180)</f>
        <v>282.29166666666669</v>
      </c>
      <c r="BH183" s="1129">
        <f>+AVERAGE(BH180,BG180)</f>
        <v>313.54166666666669</v>
      </c>
      <c r="BI183" s="1457">
        <f>+AVERAGE(BH180,BC180)</f>
        <v>266.66666666666669</v>
      </c>
      <c r="BJ183" s="48"/>
      <c r="BK183" s="1128">
        <f>+AVERAGE(BK180,BI180)</f>
        <v>344.79166666666669</v>
      </c>
      <c r="BL183" s="1129">
        <f>+AVERAGE(BL180,BK180)</f>
        <v>376.04166666666669</v>
      </c>
      <c r="BM183" s="1129">
        <f>+AVERAGE(BM180,BL180)</f>
        <v>407.29166666666669</v>
      </c>
      <c r="BN183" s="1129">
        <f>+AVERAGE(BN180,BM180)</f>
        <v>438.54166666666669</v>
      </c>
      <c r="BO183" s="1457">
        <f>+AVERAGE(BN180,BI180)</f>
        <v>391.66666666666669</v>
      </c>
      <c r="BP183" s="48"/>
      <c r="BQ183" s="1128">
        <f>+AVERAGE(BQ180,BO180)</f>
        <v>466.7166666666667</v>
      </c>
      <c r="BR183" s="1129">
        <f>+AVERAGE(BR180,BQ180)</f>
        <v>491.7166666666667</v>
      </c>
      <c r="BS183" s="1129">
        <f>+AVERAGE(BS180,BR180)</f>
        <v>515.76666666666665</v>
      </c>
      <c r="BT183" s="1129">
        <f>+AVERAGE(BT180,BS180)</f>
        <v>540.9666666666667</v>
      </c>
      <c r="BU183" s="1457">
        <f>+AVERAGE(BT180,BO180)</f>
        <v>504.36666666666667</v>
      </c>
      <c r="BV183" s="48"/>
      <c r="BW183" s="1128">
        <f>+AVERAGE(BW180,BU180)</f>
        <v>565.56666666666672</v>
      </c>
      <c r="BX183" s="1129">
        <f>+AVERAGE(BX180,BW180)</f>
        <v>588.56666666666672</v>
      </c>
      <c r="BY183" s="1129">
        <f>+AVERAGE(BY180,BX180)</f>
        <v>612.56666666666672</v>
      </c>
      <c r="BZ183" s="1129">
        <f>+AVERAGE(BZ180,BY180)</f>
        <v>639.56666666666672</v>
      </c>
      <c r="CA183" s="1457">
        <f>+AVERAGE(BZ180,BU180)</f>
        <v>604.56666666666672</v>
      </c>
      <c r="CB183" s="48"/>
      <c r="CC183" s="1128">
        <f>+AVERAGE(CC180,CA180)</f>
        <v>665.06666666666672</v>
      </c>
      <c r="CD183" s="1129">
        <f>+AVERAGE(CD180,CC180)</f>
        <v>686.94166666666672</v>
      </c>
      <c r="CE183" s="1129">
        <f>+AVERAGE(CE180,CD180)</f>
        <v>709.69166666666672</v>
      </c>
      <c r="CF183" s="1129">
        <f>+AVERAGE(CF180,CE180)</f>
        <v>733.31666666666672</v>
      </c>
      <c r="CG183" s="1457">
        <f>+AVERAGE(CF180,CA180)</f>
        <v>700.06666666666672</v>
      </c>
      <c r="CH183" s="48"/>
      <c r="CI183" s="1128">
        <f>+AVERAGE(CI180,CG180)</f>
        <v>756.06666666666672</v>
      </c>
      <c r="CJ183" s="1129">
        <f>+AVERAGE(CJ180,CI180)</f>
        <v>777.06666666666672</v>
      </c>
      <c r="CK183" s="1129">
        <f>+AVERAGE(CK180,CJ180)</f>
        <v>798.06666666666672</v>
      </c>
      <c r="CL183" s="1129">
        <f>+AVERAGE(CL180,CK180)</f>
        <v>819.06666666666672</v>
      </c>
      <c r="CM183" s="1457">
        <f>+AVERAGE(CL180,CG180)</f>
        <v>787.56666666666672</v>
      </c>
      <c r="CN183" s="48"/>
      <c r="CO183" s="1128">
        <f>+AVERAGE(CO180,CM180)</f>
        <v>838.49166666666679</v>
      </c>
      <c r="CP183" s="1129">
        <f>+AVERAGE(CP180,CO180)</f>
        <v>856.3416666666667</v>
      </c>
      <c r="CQ183" s="1129">
        <f>+AVERAGE(CQ180,CP180)</f>
        <v>874.19166666666683</v>
      </c>
      <c r="CR183" s="1129">
        <f>+AVERAGE(CR180,CQ180)</f>
        <v>892.04166666666674</v>
      </c>
      <c r="CS183" s="1457">
        <f>+AVERAGE(CR180,CM180)</f>
        <v>865.26666666666677</v>
      </c>
      <c r="CT183" s="48"/>
      <c r="CU183" s="1128">
        <f>+AVERAGE(CU180,CS180)</f>
        <v>909.01666666666688</v>
      </c>
      <c r="CV183" s="1129">
        <f>+AVERAGE(CV180,CU180)</f>
        <v>925.11666666666679</v>
      </c>
      <c r="CW183" s="1129">
        <f>+AVERAGE(CW180,CV180)</f>
        <v>941.21666666666692</v>
      </c>
      <c r="CX183" s="1129">
        <f>+AVERAGE(CX180,CW180)</f>
        <v>957.31666666666683</v>
      </c>
      <c r="CY183" s="1457">
        <f>+AVERAGE(CX180,CS180)</f>
        <v>933.16666666666686</v>
      </c>
      <c r="CZ183" s="48"/>
      <c r="DA183"/>
      <c r="DB183"/>
      <c r="DC183"/>
      <c r="DD183" s="48"/>
      <c r="DE183" s="48"/>
      <c r="DF183" s="48"/>
      <c r="DG183" s="48"/>
      <c r="DH183" s="48"/>
      <c r="DI183" s="48"/>
      <c r="DJ183" s="48"/>
      <c r="DK183" s="48"/>
    </row>
    <row r="184" spans="1:115" s="5" customFormat="1" outlineLevel="1" x14ac:dyDescent="0.2">
      <c r="A184" s="1139" t="s">
        <v>535</v>
      </c>
      <c r="B184" s="961"/>
      <c r="C184" s="1128"/>
      <c r="D184" s="1129"/>
      <c r="E184" s="1129"/>
      <c r="F184" s="1129"/>
      <c r="G184" s="1463"/>
      <c r="H184" s="592"/>
      <c r="I184" s="1128"/>
      <c r="J184" s="1129"/>
      <c r="K184" s="1129"/>
      <c r="L184" s="1129"/>
      <c r="M184" s="1463"/>
      <c r="N184" s="592"/>
      <c r="O184" s="1128"/>
      <c r="P184" s="1129"/>
      <c r="Q184" s="1129"/>
      <c r="R184" s="1129"/>
      <c r="S184" s="1463"/>
      <c r="T184" s="591"/>
      <c r="U184" s="1128"/>
      <c r="V184" s="1129"/>
      <c r="W184" s="1129"/>
      <c r="X184" s="1129"/>
      <c r="Y184" s="1463"/>
      <c r="Z184" s="593"/>
      <c r="AA184" s="1128"/>
      <c r="AB184" s="1129"/>
      <c r="AC184" s="1129"/>
      <c r="AD184" s="1129"/>
      <c r="AE184" s="1463"/>
      <c r="AF184" s="592"/>
      <c r="AG184" s="1115">
        <f>+AG180/AG177</f>
        <v>0</v>
      </c>
      <c r="AH184" s="1114">
        <f>+AH180/AH177</f>
        <v>0</v>
      </c>
      <c r="AI184" s="1114">
        <f>+AI180/AI177</f>
        <v>0</v>
      </c>
      <c r="AJ184" s="1114">
        <f>+AJ180/AJ177</f>
        <v>0</v>
      </c>
      <c r="AK184" s="707">
        <f>+(AK180-AE180)/AK177</f>
        <v>0</v>
      </c>
      <c r="AL184" s="601"/>
      <c r="AM184" s="1115">
        <f>+AM180/AM177</f>
        <v>0</v>
      </c>
      <c r="AN184" s="1114">
        <f>+AN180/AN177</f>
        <v>0</v>
      </c>
      <c r="AO184" s="1114">
        <f>+AO180/AO177</f>
        <v>0.1951219512195122</v>
      </c>
      <c r="AP184" s="1114">
        <f>+AP180/AP177</f>
        <v>0.54146341463414638</v>
      </c>
      <c r="AQ184" s="707">
        <f>+(AQ180-AK180)/AQ177</f>
        <v>0.22195121951219512</v>
      </c>
      <c r="AR184" s="601"/>
      <c r="AS184" s="909">
        <v>0.6</v>
      </c>
      <c r="AT184" s="910">
        <v>0.6</v>
      </c>
      <c r="AU184" s="910">
        <v>0.6</v>
      </c>
      <c r="AV184" s="910">
        <v>0.6</v>
      </c>
      <c r="AW184" s="707">
        <f>+(AW180-AQ180)/AW177</f>
        <v>0.6</v>
      </c>
      <c r="AX184" s="592"/>
      <c r="AY184" s="909">
        <v>0.6</v>
      </c>
      <c r="AZ184" s="910">
        <v>0.6</v>
      </c>
      <c r="BA184" s="910">
        <v>0.6</v>
      </c>
      <c r="BB184" s="910">
        <v>0.6</v>
      </c>
      <c r="BC184" s="707">
        <f>+(BC180-AW180)/BC177</f>
        <v>0.60000000000000009</v>
      </c>
      <c r="BD184" s="601"/>
      <c r="BE184" s="909">
        <v>0.5</v>
      </c>
      <c r="BF184" s="910">
        <v>0.5</v>
      </c>
      <c r="BG184" s="910">
        <v>0.5</v>
      </c>
      <c r="BH184" s="910">
        <v>0.5</v>
      </c>
      <c r="BI184" s="707">
        <f>+(BI180-BC180)/BI177</f>
        <v>0.5</v>
      </c>
      <c r="BJ184" s="601"/>
      <c r="BK184" s="909">
        <v>0.5</v>
      </c>
      <c r="BL184" s="910">
        <v>0.5</v>
      </c>
      <c r="BM184" s="910">
        <v>0.5</v>
      </c>
      <c r="BN184" s="910">
        <v>0.5</v>
      </c>
      <c r="BO184" s="707">
        <f>+(BO180-BI180)/BO177</f>
        <v>0.5</v>
      </c>
      <c r="BP184" s="967"/>
      <c r="BQ184" s="909">
        <v>0.4</v>
      </c>
      <c r="BR184" s="910">
        <v>0.4</v>
      </c>
      <c r="BS184" s="910">
        <v>0.4</v>
      </c>
      <c r="BT184" s="910">
        <v>0.4</v>
      </c>
      <c r="BU184" s="707">
        <f>+(BU180-BO180)/BU177</f>
        <v>0.40000000000000013</v>
      </c>
      <c r="BV184" s="601"/>
      <c r="BW184" s="909">
        <v>0.4</v>
      </c>
      <c r="BX184" s="910">
        <v>0.4</v>
      </c>
      <c r="BY184" s="910">
        <v>0.4</v>
      </c>
      <c r="BZ184" s="910">
        <v>0.4</v>
      </c>
      <c r="CA184" s="707">
        <f>+(CA180-BU180)/CA177</f>
        <v>0.4</v>
      </c>
      <c r="CB184" s="601"/>
      <c r="CC184" s="909">
        <f>+BW184-0.05</f>
        <v>0.35000000000000003</v>
      </c>
      <c r="CD184" s="910">
        <f>+BX184-0.05</f>
        <v>0.35000000000000003</v>
      </c>
      <c r="CE184" s="910">
        <f>+BY184-0.05</f>
        <v>0.35000000000000003</v>
      </c>
      <c r="CF184" s="910">
        <f>+BZ184-0.05</f>
        <v>0.35000000000000003</v>
      </c>
      <c r="CG184" s="707">
        <f>+(CG180-CA180)/CG177</f>
        <v>0.35</v>
      </c>
      <c r="CH184" s="601"/>
      <c r="CI184" s="909">
        <f>+CC184</f>
        <v>0.35000000000000003</v>
      </c>
      <c r="CJ184" s="910">
        <f>+CD184</f>
        <v>0.35000000000000003</v>
      </c>
      <c r="CK184" s="910">
        <f>+CE184</f>
        <v>0.35000000000000003</v>
      </c>
      <c r="CL184" s="910">
        <f>+CF184</f>
        <v>0.35000000000000003</v>
      </c>
      <c r="CM184" s="707">
        <f>+(CM180-CG180)/CM177</f>
        <v>0.35</v>
      </c>
      <c r="CN184" s="601"/>
      <c r="CO184" s="909">
        <f>+CI184</f>
        <v>0.35000000000000003</v>
      </c>
      <c r="CP184" s="910">
        <f>+CJ184</f>
        <v>0.35000000000000003</v>
      </c>
      <c r="CQ184" s="910">
        <f>+CK184</f>
        <v>0.35000000000000003</v>
      </c>
      <c r="CR184" s="910">
        <f>+CL184</f>
        <v>0.35000000000000003</v>
      </c>
      <c r="CS184" s="707">
        <f>+(CS180-CM180)/CS177</f>
        <v>0.35000000000000042</v>
      </c>
      <c r="CT184" s="601"/>
      <c r="CU184" s="909">
        <f>+CO184</f>
        <v>0.35000000000000003</v>
      </c>
      <c r="CV184" s="910">
        <f>+CP184</f>
        <v>0.35000000000000003</v>
      </c>
      <c r="CW184" s="910">
        <f>+CQ184</f>
        <v>0.35000000000000003</v>
      </c>
      <c r="CX184" s="910">
        <f>+CR184</f>
        <v>0.35000000000000003</v>
      </c>
      <c r="CY184" s="707">
        <f>+(CY180-CS180)/CY177</f>
        <v>0.35000000000000048</v>
      </c>
      <c r="CZ184" s="48"/>
      <c r="DA184"/>
      <c r="DB184"/>
      <c r="DC184"/>
      <c r="DD184" s="48"/>
      <c r="DE184" s="48"/>
      <c r="DF184" s="48"/>
      <c r="DG184" s="48"/>
      <c r="DH184" s="48"/>
      <c r="DI184" s="48"/>
      <c r="DJ184" s="48"/>
      <c r="DK184" s="48"/>
    </row>
    <row r="185" spans="1:115" s="5" customFormat="1" outlineLevel="1" x14ac:dyDescent="0.2">
      <c r="A185" s="432" t="s">
        <v>543</v>
      </c>
      <c r="B185" s="590"/>
      <c r="C185" s="1128"/>
      <c r="D185" s="1129"/>
      <c r="E185" s="1129"/>
      <c r="F185" s="1129"/>
      <c r="G185" s="1463"/>
      <c r="H185" s="592"/>
      <c r="I185" s="1128"/>
      <c r="J185" s="1129"/>
      <c r="K185" s="1129"/>
      <c r="L185" s="1129"/>
      <c r="M185" s="1463"/>
      <c r="N185" s="592"/>
      <c r="O185" s="1128"/>
      <c r="P185" s="1129"/>
      <c r="Q185" s="1129"/>
      <c r="R185" s="1129"/>
      <c r="S185" s="1463"/>
      <c r="T185" s="591"/>
      <c r="U185" s="1128"/>
      <c r="V185" s="1129"/>
      <c r="W185" s="1129"/>
      <c r="X185" s="1129"/>
      <c r="Y185" s="1463"/>
      <c r="Z185" s="593"/>
      <c r="AA185" s="1128"/>
      <c r="AB185" s="1129"/>
      <c r="AC185" s="1129"/>
      <c r="AD185" s="1129"/>
      <c r="AE185" s="1463"/>
      <c r="AF185" s="592"/>
      <c r="AG185" s="53">
        <v>40</v>
      </c>
      <c r="AH185" s="51">
        <v>40</v>
      </c>
      <c r="AI185" s="51">
        <v>40</v>
      </c>
      <c r="AJ185" s="51">
        <v>40</v>
      </c>
      <c r="AK185" s="580">
        <f>+SUMPRODUCT(AG188:AJ188,AG$177:AJ$177,AG185:AJ185)/(AK177*AK188)</f>
        <v>40</v>
      </c>
      <c r="AL185" s="601"/>
      <c r="AM185" s="53">
        <v>50</v>
      </c>
      <c r="AN185" s="51">
        <v>65</v>
      </c>
      <c r="AO185" s="51">
        <v>65</v>
      </c>
      <c r="AP185" s="51">
        <v>70</v>
      </c>
      <c r="AQ185" s="580">
        <f>+SUMPRODUCT(AM188:AP188,AM$177:AP$177,AM185:AP185)/(AQ177*AQ188)</f>
        <v>62.5</v>
      </c>
      <c r="AR185" s="601"/>
      <c r="AS185" s="53">
        <v>70</v>
      </c>
      <c r="AT185" s="51">
        <v>70</v>
      </c>
      <c r="AU185" s="51">
        <v>70</v>
      </c>
      <c r="AV185" s="51">
        <v>70</v>
      </c>
      <c r="AW185" s="580">
        <f>+SUMPRODUCT(AS188:AV188,AS$177:AV$177,AS185:AV185)/(AW177*AW188)</f>
        <v>69.999999999999986</v>
      </c>
      <c r="AX185" s="592"/>
      <c r="AY185" s="19">
        <f>+AS185*(1+AY186)</f>
        <v>69.417927080771207</v>
      </c>
      <c r="AZ185" s="20">
        <f>+AT185*(1+AZ186)</f>
        <v>66.410711716404947</v>
      </c>
      <c r="BA185" s="20">
        <f>+AU185*(1+BA186)</f>
        <v>66.732557938279939</v>
      </c>
      <c r="BB185" s="20">
        <f>+AV185*(1+BB186)</f>
        <v>69.735255068476732</v>
      </c>
      <c r="BC185" s="580">
        <f>+SUMPRODUCT(AY188:BB188,AY$177:BB$177,AY185:BB185)/(BC177*BC188)</f>
        <v>68.074112950983206</v>
      </c>
      <c r="BD185" s="601"/>
      <c r="BE185" s="19">
        <f>+AY185*(1+BE186)</f>
        <v>69.010756988476246</v>
      </c>
      <c r="BF185" s="20">
        <f>+AZ185*(1+BF186)</f>
        <v>66.406952493075366</v>
      </c>
      <c r="BG185" s="20">
        <f>+BA185*(1+BG186)</f>
        <v>66.342580526994652</v>
      </c>
      <c r="BH185" s="20">
        <f>+BB185*(1+BH186)</f>
        <v>69.4789589086554</v>
      </c>
      <c r="BI185" s="580">
        <f>+SUMPRODUCT(BE188:BH188,BE$177:BH$177,BE185:BH185)/(BI177*BI188)</f>
        <v>67.80981222930042</v>
      </c>
      <c r="BJ185" s="601"/>
      <c r="BK185" s="19">
        <f>+BE185*(1+BK186)</f>
        <v>68.696637743191104</v>
      </c>
      <c r="BL185" s="20">
        <f>+BF185*(1+BL186)</f>
        <v>66.862070518372391</v>
      </c>
      <c r="BM185" s="20">
        <f>+BG185*(1+BM186)</f>
        <v>66.341261096158163</v>
      </c>
      <c r="BN185" s="20">
        <f>+BH185*(1+BN186)</f>
        <v>66.151236113596738</v>
      </c>
      <c r="BO185" s="580">
        <f>+SUMPRODUCT(BK188:BN188,BK$177:BN$177,BK185:BN185)/(BO177*BO188)</f>
        <v>67.012801367829596</v>
      </c>
      <c r="BP185" s="601"/>
      <c r="BQ185" s="19">
        <f>+BK185*(1+BQ186)</f>
        <v>63.287137646165043</v>
      </c>
      <c r="BR185" s="20">
        <f>+BL185*(1+BR186)</f>
        <v>61.207767274050788</v>
      </c>
      <c r="BS185" s="20">
        <f>+BM185*(1+BS186)</f>
        <v>60.436888858600092</v>
      </c>
      <c r="BT185" s="20">
        <f>+BN185*(1+BT186)</f>
        <v>61.983708238440144</v>
      </c>
      <c r="BU185" s="580">
        <f>+SUMPRODUCT(BQ188:BT188,BQ$177:BT$177,BQ185:BT185)/(BU177*BU188)</f>
        <v>61.759693681750015</v>
      </c>
      <c r="BV185" s="601"/>
      <c r="BW185" s="19">
        <f>+BQ185*(1+BW186)</f>
        <v>62.010532891781374</v>
      </c>
      <c r="BX185" s="20">
        <f>+BR185*(1+BX186)</f>
        <v>60.27845519416546</v>
      </c>
      <c r="BY185" s="20">
        <f>+BS185*(1+BY186)</f>
        <v>59.934719200389488</v>
      </c>
      <c r="BZ185" s="20">
        <f>+BT185*(1+BZ186)</f>
        <v>60.105166125342862</v>
      </c>
      <c r="CA185" s="580">
        <f>+SUMPRODUCT(BW188:BZ188,BW$177:BZ$177,BW185:BZ185)/(CA177*CA188)</f>
        <v>60.525028928487956</v>
      </c>
      <c r="CB185" s="601"/>
      <c r="CC185" s="19">
        <f>+BW185*(1+CC186)</f>
        <v>60.663029603554953</v>
      </c>
      <c r="CD185" s="20">
        <f>+BX185*(1+CD186)</f>
        <v>58.91827019078503</v>
      </c>
      <c r="CE185" s="20">
        <f>+BY185*(1+CE186)</f>
        <v>60.289892822401498</v>
      </c>
      <c r="CF185" s="20">
        <f>+BZ185*(1+CF186)</f>
        <v>61.516653173232953</v>
      </c>
      <c r="CG185" s="580">
        <f>+SUMPRODUCT(CC188:CF188,CC$181:CF$181,CC185:CF185)/(CG181*CG188)</f>
        <v>60.363377285372032</v>
      </c>
      <c r="CH185" s="601"/>
      <c r="CI185" s="19">
        <f>+CC185*(1+CI186)</f>
        <v>63.696181083732704</v>
      </c>
      <c r="CJ185" s="20">
        <f>+CD185*(1+CJ186)</f>
        <v>61.569592349370353</v>
      </c>
      <c r="CK185" s="20">
        <f>+CE185*(1+CK186)</f>
        <v>61.797140142961531</v>
      </c>
      <c r="CL185" s="20">
        <f>+CF185*(1+CL186)</f>
        <v>62.746986236697616</v>
      </c>
      <c r="CM185" s="580">
        <f>+SUMPRODUCT(CI188:CL188,CI$181:CL$181,CI185:CL185)/(CM181*CM188)</f>
        <v>62.452474953190553</v>
      </c>
      <c r="CN185" s="601"/>
      <c r="CO185" s="19">
        <f>+CI185*(1+CO186)</f>
        <v>63.696181083732704</v>
      </c>
      <c r="CP185" s="20">
        <f>+CJ185*(1+CP186)</f>
        <v>61.569592349370353</v>
      </c>
      <c r="CQ185" s="20">
        <f>+CK185*(1+CQ186)</f>
        <v>61.797140142961531</v>
      </c>
      <c r="CR185" s="20">
        <f>+CL185*(1+CR186)</f>
        <v>62.746986236697616</v>
      </c>
      <c r="CS185" s="580">
        <f>+SUMPRODUCT(CO188:CR188,CO$181:CR$181,CO185:CR185)/(CS181*CS188)</f>
        <v>62.452474953190553</v>
      </c>
      <c r="CT185" s="601"/>
      <c r="CU185" s="19">
        <f>+CO185*(1+CU186)</f>
        <v>63.696181083732704</v>
      </c>
      <c r="CV185" s="20">
        <f>+CP185*(1+CV186)</f>
        <v>61.569592349370353</v>
      </c>
      <c r="CW185" s="20">
        <f>+CQ185*(1+CW186)</f>
        <v>61.797140142961531</v>
      </c>
      <c r="CX185" s="20">
        <f>+CR185*(1+CX186)</f>
        <v>62.746986236697616</v>
      </c>
      <c r="CY185" s="580">
        <f>+SUMPRODUCT(CU188:CX188,CU$181:CX$181,CU185:CX185)/(CY181*CY188)</f>
        <v>62.452474953190553</v>
      </c>
      <c r="CZ185" s="48"/>
      <c r="DA185"/>
      <c r="DB185"/>
      <c r="DC185"/>
      <c r="DD185" s="48"/>
      <c r="DE185" s="48"/>
      <c r="DF185" s="48"/>
      <c r="DG185" s="48"/>
      <c r="DH185" s="48"/>
      <c r="DI185" s="48"/>
      <c r="DJ185" s="48"/>
      <c r="DK185" s="48"/>
    </row>
    <row r="186" spans="1:115" s="5" customFormat="1" outlineLevel="1" x14ac:dyDescent="0.2">
      <c r="A186" s="1139" t="s">
        <v>639</v>
      </c>
      <c r="B186" s="590"/>
      <c r="C186" s="1128"/>
      <c r="D186" s="1129"/>
      <c r="E186" s="1129"/>
      <c r="F186" s="1129"/>
      <c r="G186" s="1463"/>
      <c r="H186" s="592"/>
      <c r="I186" s="1128"/>
      <c r="J186" s="1129"/>
      <c r="K186" s="1129"/>
      <c r="L186" s="1129"/>
      <c r="M186" s="1463"/>
      <c r="N186" s="592"/>
      <c r="O186" s="1128"/>
      <c r="P186" s="1129"/>
      <c r="Q186" s="1129"/>
      <c r="R186" s="1129"/>
      <c r="S186" s="1463"/>
      <c r="T186" s="591"/>
      <c r="U186" s="1128"/>
      <c r="V186" s="1129"/>
      <c r="W186" s="1129"/>
      <c r="X186" s="1129"/>
      <c r="Y186" s="1463"/>
      <c r="Z186" s="593"/>
      <c r="AA186" s="1128"/>
      <c r="AB186" s="1129"/>
      <c r="AC186" s="1129"/>
      <c r="AD186" s="1129"/>
      <c r="AE186" s="1463"/>
      <c r="AF186" s="592"/>
      <c r="AG186" s="909">
        <v>0</v>
      </c>
      <c r="AH186" s="910">
        <v>0</v>
      </c>
      <c r="AI186" s="910">
        <v>0</v>
      </c>
      <c r="AJ186" s="910">
        <v>0</v>
      </c>
      <c r="AK186" s="1106">
        <v>0</v>
      </c>
      <c r="AL186" s="601"/>
      <c r="AM186" s="909">
        <v>0</v>
      </c>
      <c r="AN186" s="910">
        <v>0</v>
      </c>
      <c r="AO186" s="910">
        <v>0</v>
      </c>
      <c r="AP186" s="910">
        <v>0</v>
      </c>
      <c r="AQ186" s="1106">
        <v>0</v>
      </c>
      <c r="AR186" s="601"/>
      <c r="AS186" s="909">
        <v>0</v>
      </c>
      <c r="AT186" s="910">
        <v>0</v>
      </c>
      <c r="AU186" s="910">
        <v>0</v>
      </c>
      <c r="AV186" s="910">
        <v>0</v>
      </c>
      <c r="AW186" s="1261">
        <f>+AW185/AQ185-1</f>
        <v>0.11999999999999966</v>
      </c>
      <c r="AX186" s="592"/>
      <c r="AY186" s="1109">
        <f>+AY187+RevBuild!AY$59</f>
        <v>-8.3153274175541414E-3</v>
      </c>
      <c r="AZ186" s="1110">
        <f>+AZ187+RevBuild!AZ$59</f>
        <v>-5.127554690850078E-2</v>
      </c>
      <c r="BA186" s="1110">
        <f>+BA187+RevBuild!BA$59</f>
        <v>-4.6677743738858052E-2</v>
      </c>
      <c r="BB186" s="1110">
        <f>+BB187+RevBuild!BB$59</f>
        <v>-3.782070450332374E-3</v>
      </c>
      <c r="BC186" s="1261">
        <f>+BC185/AW185-1</f>
        <v>-2.7512672128811144E-2</v>
      </c>
      <c r="BD186" s="601"/>
      <c r="BE186" s="1109">
        <f>+BE187+RevBuild!BE$59</f>
        <v>-5.8654890662636905E-3</v>
      </c>
      <c r="BF186" s="1110">
        <f>+BF187+RevBuild!BF$59</f>
        <v>-5.660567749418699E-5</v>
      </c>
      <c r="BG186" s="1110">
        <f>+BG187+RevBuild!BG$59</f>
        <v>-5.8438852538213321E-3</v>
      </c>
      <c r="BH186" s="1110">
        <f>+BH187+RevBuild!BH$59</f>
        <v>-3.6752738563822912E-3</v>
      </c>
      <c r="BI186" s="1261">
        <f>+BI185/BC185-1</f>
        <v>-3.8825437486508241E-3</v>
      </c>
      <c r="BJ186" s="601"/>
      <c r="BK186" s="1109">
        <f>+BK187+RevBuild!BK$59</f>
        <v>-4.5517432208081604E-3</v>
      </c>
      <c r="BL186" s="1110">
        <f>+BL187+RevBuild!BL$59</f>
        <v>6.8534695270723658E-3</v>
      </c>
      <c r="BM186" s="1110">
        <f>+BM187+RevBuild!BM$59</f>
        <v>-1.9888144627576432E-5</v>
      </c>
      <c r="BN186" s="1110">
        <f>+BN187+RevBuild!BN$59</f>
        <v>-4.7895403836341902E-2</v>
      </c>
      <c r="BO186" s="1261">
        <f>+BO185/BI185-1</f>
        <v>-1.1753621419503646E-2</v>
      </c>
      <c r="BP186" s="601"/>
      <c r="BQ186" s="1109">
        <f>+BQ187+RevBuild!BQ$59</f>
        <v>-7.8744757745617941E-2</v>
      </c>
      <c r="BR186" s="1110">
        <f>+BR187+RevBuild!BR$59</f>
        <v>-8.4566678843245036E-2</v>
      </c>
      <c r="BS186" s="1110">
        <f>+BS187+RevBuild!BS$59</f>
        <v>-8.8999999999999996E-2</v>
      </c>
      <c r="BT186" s="1110">
        <f>+BT187+RevBuild!BT$59</f>
        <v>-6.3E-2</v>
      </c>
      <c r="BU186" s="1261">
        <f>+BU185/BO185-1</f>
        <v>-7.838961480278317E-2</v>
      </c>
      <c r="BV186" s="601"/>
      <c r="BW186" s="1109">
        <f>+BW187+RevBuild!BW$59</f>
        <v>-2.0171630474443241E-2</v>
      </c>
      <c r="BX186" s="1110">
        <f>+BX187+RevBuild!BX$59</f>
        <v>-1.5182910948612738E-2</v>
      </c>
      <c r="BY186" s="1110">
        <f>+BY187+RevBuild!BY$59</f>
        <v>-8.3089925324498076E-3</v>
      </c>
      <c r="BZ186" s="1110">
        <f>+BZ187+RevBuild!BZ$59</f>
        <v>-3.0307030129124765E-2</v>
      </c>
      <c r="CA186" s="1261">
        <f>+CA185/BU185-1</f>
        <v>-1.9991432593955749E-2</v>
      </c>
      <c r="CB186" s="601"/>
      <c r="CC186" s="1109">
        <f>+CC187+RevBuild!CC$59</f>
        <v>-2.1730232355494046E-2</v>
      </c>
      <c r="CD186" s="1110">
        <f>+CD187+RevBuild!CD$59</f>
        <v>-2.2565027570780882E-2</v>
      </c>
      <c r="CE186" s="1110">
        <f>+CE187+RevBuild!CE$59</f>
        <v>5.926007942483269E-3</v>
      </c>
      <c r="CF186" s="1110">
        <f>+CF187+RevBuild!CF$59</f>
        <v>2.3483622771237223E-2</v>
      </c>
      <c r="CG186" s="1261">
        <f>+CG185/CA185-1</f>
        <v>-2.6708230624212792E-3</v>
      </c>
      <c r="CH186" s="601"/>
      <c r="CI186" s="1109">
        <f>+CI187+RevBuild!CI$59</f>
        <v>0.05</v>
      </c>
      <c r="CJ186" s="1110">
        <f>+CJ187+RevBuild!CJ$59</f>
        <v>4.4999999999999998E-2</v>
      </c>
      <c r="CK186" s="1110">
        <f>+CK187+RevBuild!CK$59</f>
        <v>2.5000000000000001E-2</v>
      </c>
      <c r="CL186" s="1110">
        <f>+CL187+RevBuild!CL$59</f>
        <v>0.02</v>
      </c>
      <c r="CM186" s="1261">
        <f>+CM185/CG185-1</f>
        <v>3.4608694240916504E-2</v>
      </c>
      <c r="CN186" s="601"/>
      <c r="CO186" s="1109">
        <f>+CO187+RevBuild!CO$59</f>
        <v>0</v>
      </c>
      <c r="CP186" s="1110">
        <f>+CP187+RevBuild!CP$59</f>
        <v>0</v>
      </c>
      <c r="CQ186" s="1110">
        <f>+CQ187+RevBuild!CQ$59</f>
        <v>0</v>
      </c>
      <c r="CR186" s="1110">
        <f>+CR187+RevBuild!CR$59</f>
        <v>0</v>
      </c>
      <c r="CS186" s="1261">
        <f>+CS185/CM185-1</f>
        <v>0</v>
      </c>
      <c r="CT186" s="601"/>
      <c r="CU186" s="1109">
        <f>+CU187+RevBuild!CU$59</f>
        <v>0</v>
      </c>
      <c r="CV186" s="1110">
        <f>+CV187+RevBuild!CV$59</f>
        <v>0</v>
      </c>
      <c r="CW186" s="1110">
        <f>+CW187+RevBuild!CW$59</f>
        <v>0</v>
      </c>
      <c r="CX186" s="1110">
        <f>+CX187+RevBuild!CX$59</f>
        <v>0</v>
      </c>
      <c r="CY186" s="1261">
        <f>+CY185/CS185-1</f>
        <v>0</v>
      </c>
      <c r="CZ186" s="48"/>
      <c r="DA186"/>
      <c r="DB186"/>
      <c r="DC186"/>
      <c r="DD186" s="48"/>
      <c r="DE186" s="48"/>
      <c r="DF186" s="48"/>
      <c r="DG186" s="48"/>
      <c r="DH186" s="48"/>
      <c r="DI186" s="48"/>
      <c r="DJ186" s="48"/>
      <c r="DK186" s="48"/>
    </row>
    <row r="187" spans="1:115" s="5" customFormat="1" outlineLevel="1" x14ac:dyDescent="0.2">
      <c r="A187" s="1139" t="s">
        <v>227</v>
      </c>
      <c r="B187" s="590"/>
      <c r="C187" s="1128"/>
      <c r="D187" s="1129"/>
      <c r="E187" s="1129"/>
      <c r="F187" s="1129"/>
      <c r="G187" s="1463"/>
      <c r="H187" s="592"/>
      <c r="I187" s="1128"/>
      <c r="J187" s="1129"/>
      <c r="K187" s="1129"/>
      <c r="L187" s="1129"/>
      <c r="M187" s="1463"/>
      <c r="N187" s="592"/>
      <c r="O187" s="1128"/>
      <c r="P187" s="1129"/>
      <c r="Q187" s="1129"/>
      <c r="R187" s="1129"/>
      <c r="S187" s="1463"/>
      <c r="T187" s="591"/>
      <c r="U187" s="1128"/>
      <c r="V187" s="1129"/>
      <c r="W187" s="1129"/>
      <c r="X187" s="1129"/>
      <c r="Y187" s="1463"/>
      <c r="Z187" s="593"/>
      <c r="AA187" s="1128"/>
      <c r="AB187" s="1129"/>
      <c r="AC187" s="1129"/>
      <c r="AD187" s="1129"/>
      <c r="AE187" s="1463"/>
      <c r="AF187" s="592"/>
      <c r="AG187" s="909">
        <v>0</v>
      </c>
      <c r="AH187" s="910">
        <v>0</v>
      </c>
      <c r="AI187" s="910">
        <v>0</v>
      </c>
      <c r="AJ187" s="910">
        <v>0</v>
      </c>
      <c r="AK187" s="1106">
        <v>0</v>
      </c>
      <c r="AL187" s="601"/>
      <c r="AM187" s="909">
        <v>0</v>
      </c>
      <c r="AN187" s="910">
        <v>0</v>
      </c>
      <c r="AO187" s="910">
        <v>0</v>
      </c>
      <c r="AP187" s="910">
        <v>0</v>
      </c>
      <c r="AQ187" s="1106">
        <v>0</v>
      </c>
      <c r="AR187" s="601"/>
      <c r="AS187" s="909">
        <v>0</v>
      </c>
      <c r="AT187" s="910">
        <v>0</v>
      </c>
      <c r="AU187" s="910">
        <v>0</v>
      </c>
      <c r="AV187" s="910">
        <v>0</v>
      </c>
      <c r="AW187" s="1260">
        <f>+AW186-RevBuild!AW$59</f>
        <v>8.4302323549723751E-2</v>
      </c>
      <c r="AX187" s="592"/>
      <c r="AY187" s="909">
        <v>0</v>
      </c>
      <c r="AZ187" s="910">
        <v>0</v>
      </c>
      <c r="BA187" s="910">
        <v>0</v>
      </c>
      <c r="BB187" s="910">
        <v>0</v>
      </c>
      <c r="BC187" s="1259">
        <f>+BC186-RevBuild!BC$59</f>
        <v>7.0813872862923732E-5</v>
      </c>
      <c r="BD187" s="601"/>
      <c r="BE187" s="909">
        <v>0</v>
      </c>
      <c r="BF187" s="910">
        <v>0</v>
      </c>
      <c r="BG187" s="910">
        <v>0</v>
      </c>
      <c r="BH187" s="910">
        <v>0</v>
      </c>
      <c r="BI187" s="1259">
        <f>+BI186-RevBuild!BI$59</f>
        <v>4.722620561615834E-3</v>
      </c>
      <c r="BJ187" s="601"/>
      <c r="BK187" s="909">
        <v>0</v>
      </c>
      <c r="BL187" s="910">
        <v>0</v>
      </c>
      <c r="BM187" s="910">
        <v>0</v>
      </c>
      <c r="BN187" s="910">
        <v>0</v>
      </c>
      <c r="BO187" s="1259">
        <f>+BO186-RevBuild!BO$59</f>
        <v>-2.2140373462144272E-3</v>
      </c>
      <c r="BP187" s="601"/>
      <c r="BQ187" s="909">
        <v>0</v>
      </c>
      <c r="BR187" s="910">
        <v>0</v>
      </c>
      <c r="BS187" s="910">
        <v>0</v>
      </c>
      <c r="BT187" s="910">
        <v>0</v>
      </c>
      <c r="BU187" s="1259">
        <f>+BU186-RevBuild!BU$59</f>
        <v>1.8603851972167212E-3</v>
      </c>
      <c r="BV187" s="601"/>
      <c r="BW187" s="909">
        <v>0</v>
      </c>
      <c r="BX187" s="910">
        <v>0</v>
      </c>
      <c r="BY187" s="910">
        <v>0</v>
      </c>
      <c r="BZ187" s="910">
        <v>0</v>
      </c>
      <c r="CA187" s="1259">
        <f>+CA186-RevBuild!CA$59</f>
        <v>-1.2803513496045249E-3</v>
      </c>
      <c r="CB187" s="601"/>
      <c r="CC187" s="909">
        <v>0</v>
      </c>
      <c r="CD187" s="910">
        <v>0</v>
      </c>
      <c r="CE187" s="910">
        <v>0</v>
      </c>
      <c r="CF187" s="910">
        <v>0</v>
      </c>
      <c r="CG187" s="1259">
        <f>+CG186-RevBuild!CG$59</f>
        <v>1.05058424071733E-3</v>
      </c>
      <c r="CH187" s="601"/>
      <c r="CI187" s="909">
        <v>0</v>
      </c>
      <c r="CJ187" s="910">
        <v>0</v>
      </c>
      <c r="CK187" s="910">
        <v>0</v>
      </c>
      <c r="CL187" s="910">
        <v>0</v>
      </c>
      <c r="CM187" s="1259">
        <f>+CM186-RevBuild!CM$59</f>
        <v>-3.9130575908349202E-4</v>
      </c>
      <c r="CN187" s="601"/>
      <c r="CO187" s="909">
        <v>0</v>
      </c>
      <c r="CP187" s="910">
        <v>0</v>
      </c>
      <c r="CQ187" s="910">
        <v>0</v>
      </c>
      <c r="CR187" s="910">
        <v>0</v>
      </c>
      <c r="CS187" s="1259">
        <f>+CS186-RevBuild!CS$59</f>
        <v>0</v>
      </c>
      <c r="CT187" s="601"/>
      <c r="CU187" s="909">
        <v>0</v>
      </c>
      <c r="CV187" s="910">
        <v>0</v>
      </c>
      <c r="CW187" s="910">
        <v>0</v>
      </c>
      <c r="CX187" s="910">
        <v>0</v>
      </c>
      <c r="CY187" s="1259">
        <f>+CY186-RevBuild!CY$59</f>
        <v>0</v>
      </c>
      <c r="CZ187" s="48"/>
      <c r="DA187"/>
      <c r="DB187"/>
      <c r="DC187"/>
      <c r="DD187" s="48"/>
      <c r="DE187" s="48"/>
      <c r="DF187" s="48"/>
      <c r="DG187" s="48"/>
      <c r="DH187" s="48"/>
      <c r="DI187" s="48"/>
      <c r="DJ187" s="48"/>
      <c r="DK187" s="48"/>
    </row>
    <row r="188" spans="1:115" s="5" customFormat="1" outlineLevel="1" x14ac:dyDescent="0.2">
      <c r="A188" s="1139" t="s">
        <v>520</v>
      </c>
      <c r="B188" s="961"/>
      <c r="C188" s="1128"/>
      <c r="D188" s="1129"/>
      <c r="E188" s="1129"/>
      <c r="F188" s="1129"/>
      <c r="G188" s="1463"/>
      <c r="H188" s="592"/>
      <c r="I188" s="1128"/>
      <c r="J188" s="1129"/>
      <c r="K188" s="1129"/>
      <c r="L188" s="1129"/>
      <c r="M188" s="1463"/>
      <c r="N188" s="592"/>
      <c r="O188" s="1128"/>
      <c r="P188" s="1129"/>
      <c r="Q188" s="1129"/>
      <c r="R188" s="1129"/>
      <c r="S188" s="1463"/>
      <c r="T188" s="591"/>
      <c r="U188" s="1128"/>
      <c r="V188" s="1129"/>
      <c r="W188" s="1129"/>
      <c r="X188" s="1129"/>
      <c r="Y188" s="1463"/>
      <c r="Z188" s="593"/>
      <c r="AA188" s="1128"/>
      <c r="AB188" s="1129"/>
      <c r="AC188" s="1129"/>
      <c r="AD188" s="1129"/>
      <c r="AE188" s="1463"/>
      <c r="AF188" s="592"/>
      <c r="AG188" s="909">
        <v>0.5</v>
      </c>
      <c r="AH188" s="910">
        <v>0.5</v>
      </c>
      <c r="AI188" s="910">
        <v>0.5</v>
      </c>
      <c r="AJ188" s="910">
        <v>0.5</v>
      </c>
      <c r="AK188" s="707">
        <f>+SUMPRODUCT(AG188:AJ188,AG$177:AJ$177)/AK177</f>
        <v>0.5</v>
      </c>
      <c r="AL188" s="601"/>
      <c r="AM188" s="909">
        <v>0.5</v>
      </c>
      <c r="AN188" s="910">
        <v>0.5</v>
      </c>
      <c r="AO188" s="910">
        <v>0.5</v>
      </c>
      <c r="AP188" s="910">
        <v>0.5</v>
      </c>
      <c r="AQ188" s="707">
        <f>+SUMPRODUCT(AM188:AP188,AM$177:AP$177)/AQ177</f>
        <v>0.5</v>
      </c>
      <c r="AR188" s="601"/>
      <c r="AS188" s="909">
        <v>0.4</v>
      </c>
      <c r="AT188" s="910">
        <v>0.4</v>
      </c>
      <c r="AU188" s="910">
        <v>0.4</v>
      </c>
      <c r="AV188" s="910">
        <v>0.4</v>
      </c>
      <c r="AW188" s="707">
        <f>+SUMPRODUCT(AS188:AV188,AS$177:AV$177)/AW177</f>
        <v>0.4</v>
      </c>
      <c r="AX188" s="592"/>
      <c r="AY188" s="909">
        <v>0.5</v>
      </c>
      <c r="AZ188" s="910">
        <v>0.5</v>
      </c>
      <c r="BA188" s="910">
        <v>0.5</v>
      </c>
      <c r="BB188" s="910">
        <v>0.5</v>
      </c>
      <c r="BC188" s="707">
        <f>+SUMPRODUCT(AY188:BB188,AY$177:BB$177)/BC177</f>
        <v>0.5</v>
      </c>
      <c r="BD188" s="601"/>
      <c r="BE188" s="909">
        <v>0.5</v>
      </c>
      <c r="BF188" s="910">
        <v>0.5</v>
      </c>
      <c r="BG188" s="910">
        <v>0.5</v>
      </c>
      <c r="BH188" s="910">
        <v>0.5</v>
      </c>
      <c r="BI188" s="707">
        <f>+SUMPRODUCT(BE188:BH188,BE$177:BH$177)/BI177</f>
        <v>0.5</v>
      </c>
      <c r="BJ188" s="967"/>
      <c r="BK188" s="909">
        <v>0.4</v>
      </c>
      <c r="BL188" s="910">
        <v>0.4</v>
      </c>
      <c r="BM188" s="910">
        <v>0.4</v>
      </c>
      <c r="BN188" s="910">
        <v>0.4</v>
      </c>
      <c r="BO188" s="707">
        <f>+SUMPRODUCT(BK188:BN188,BK$177:BN$177)/BO177</f>
        <v>0.4</v>
      </c>
      <c r="BP188" s="601"/>
      <c r="BQ188" s="909">
        <v>0.4</v>
      </c>
      <c r="BR188" s="910">
        <v>0.4</v>
      </c>
      <c r="BS188" s="910">
        <v>0.4</v>
      </c>
      <c r="BT188" s="910">
        <v>0.4</v>
      </c>
      <c r="BU188" s="707">
        <f>+SUMPRODUCT(BQ188:BT188,BQ$177:BT$177)/BU177</f>
        <v>0.4</v>
      </c>
      <c r="BV188" s="601"/>
      <c r="BW188" s="909">
        <f>+BQ188-0.05</f>
        <v>0.35000000000000003</v>
      </c>
      <c r="BX188" s="910">
        <f>+BR188-0.05</f>
        <v>0.35000000000000003</v>
      </c>
      <c r="BY188" s="910">
        <f>+BS188-0.05</f>
        <v>0.35000000000000003</v>
      </c>
      <c r="BZ188" s="910">
        <f>+BT188-0.05</f>
        <v>0.35000000000000003</v>
      </c>
      <c r="CA188" s="707">
        <f>+SUMPRODUCT(BW188:BZ188,BW$177:BZ$177)/CA177</f>
        <v>0.35000000000000003</v>
      </c>
      <c r="CB188" s="601"/>
      <c r="CC188" s="909">
        <f>+BW188-0.05</f>
        <v>0.30000000000000004</v>
      </c>
      <c r="CD188" s="910">
        <f>+BX188-0.05</f>
        <v>0.30000000000000004</v>
      </c>
      <c r="CE188" s="910">
        <f>+BY188-0.05</f>
        <v>0.30000000000000004</v>
      </c>
      <c r="CF188" s="910">
        <f>+BZ188-0.05</f>
        <v>0.30000000000000004</v>
      </c>
      <c r="CG188" s="707">
        <f>+SUMPRODUCT(CC188:CF188,CC$177:CF$177)/CG177</f>
        <v>0.30000000000000004</v>
      </c>
      <c r="CH188" s="601"/>
      <c r="CI188" s="909">
        <f>+CC188</f>
        <v>0.30000000000000004</v>
      </c>
      <c r="CJ188" s="910">
        <f>+CD188</f>
        <v>0.30000000000000004</v>
      </c>
      <c r="CK188" s="910">
        <f>+CE188</f>
        <v>0.30000000000000004</v>
      </c>
      <c r="CL188" s="910">
        <f>+CF188</f>
        <v>0.30000000000000004</v>
      </c>
      <c r="CM188" s="707">
        <f>+SUMPRODUCT(CI188:CL188,CI$177:CL$177)/CM177</f>
        <v>0.30000000000000004</v>
      </c>
      <c r="CN188" s="601"/>
      <c r="CO188" s="909">
        <f>+CI188</f>
        <v>0.30000000000000004</v>
      </c>
      <c r="CP188" s="910">
        <f>+CJ188</f>
        <v>0.30000000000000004</v>
      </c>
      <c r="CQ188" s="910">
        <f>+CK188</f>
        <v>0.30000000000000004</v>
      </c>
      <c r="CR188" s="910">
        <f>+CL188</f>
        <v>0.30000000000000004</v>
      </c>
      <c r="CS188" s="707">
        <f>+SUMPRODUCT(CO188:CR188,CO$177:CR$177)/CS177</f>
        <v>0.30000000000000004</v>
      </c>
      <c r="CT188" s="601"/>
      <c r="CU188" s="909">
        <f>+CO188</f>
        <v>0.30000000000000004</v>
      </c>
      <c r="CV188" s="910">
        <f>+CP188</f>
        <v>0.30000000000000004</v>
      </c>
      <c r="CW188" s="910">
        <f>+CQ188</f>
        <v>0.30000000000000004</v>
      </c>
      <c r="CX188" s="910">
        <f>+CR188</f>
        <v>0.30000000000000004</v>
      </c>
      <c r="CY188" s="707">
        <f>+SUMPRODUCT(CU188:CX188,CU$177:CX$177)/CY177</f>
        <v>0.30000000000000004</v>
      </c>
      <c r="CZ188" s="48"/>
      <c r="DA188"/>
      <c r="DB188"/>
      <c r="DC188"/>
      <c r="DD188" s="48"/>
      <c r="DE188" s="48"/>
      <c r="DF188" s="48"/>
      <c r="DG188" s="48"/>
      <c r="DH188" s="48"/>
      <c r="DI188" s="48"/>
      <c r="DJ188" s="48"/>
      <c r="DK188" s="48"/>
    </row>
    <row r="189" spans="1:115" s="5" customFormat="1" outlineLevel="1" x14ac:dyDescent="0.2">
      <c r="A189" s="432" t="s">
        <v>544</v>
      </c>
      <c r="B189" s="590"/>
      <c r="C189" s="1128"/>
      <c r="D189" s="1129"/>
      <c r="E189" s="1129"/>
      <c r="F189" s="1129"/>
      <c r="G189" s="1463"/>
      <c r="H189" s="592"/>
      <c r="I189" s="1128"/>
      <c r="J189" s="1129"/>
      <c r="K189" s="1129"/>
      <c r="L189" s="1129"/>
      <c r="M189" s="1463"/>
      <c r="N189" s="592"/>
      <c r="O189" s="1128"/>
      <c r="P189" s="1129"/>
      <c r="Q189" s="1129"/>
      <c r="R189" s="1129"/>
      <c r="S189" s="1463"/>
      <c r="T189" s="591"/>
      <c r="U189" s="1128"/>
      <c r="V189" s="1129"/>
      <c r="W189" s="1129"/>
      <c r="X189" s="1129"/>
      <c r="Y189" s="1463"/>
      <c r="Z189" s="593"/>
      <c r="AA189" s="1128"/>
      <c r="AB189" s="1129"/>
      <c r="AC189" s="1129"/>
      <c r="AD189" s="1129"/>
      <c r="AE189" s="1463"/>
      <c r="AF189" s="592"/>
      <c r="AG189" s="53">
        <v>50</v>
      </c>
      <c r="AH189" s="51">
        <v>50</v>
      </c>
      <c r="AI189" s="51">
        <v>50</v>
      </c>
      <c r="AJ189" s="51">
        <v>50</v>
      </c>
      <c r="AK189" s="580">
        <f>+AJ189</f>
        <v>50</v>
      </c>
      <c r="AL189" s="601"/>
      <c r="AM189" s="53">
        <v>50</v>
      </c>
      <c r="AN189" s="51">
        <v>50</v>
      </c>
      <c r="AO189" s="51">
        <v>50</v>
      </c>
      <c r="AP189" s="51">
        <v>50</v>
      </c>
      <c r="AQ189" s="580">
        <f>+SUMPRODUCT(AM192:AP192,AM$181:AP$181,AM189:AP189)/(AQ181*AQ192)</f>
        <v>50</v>
      </c>
      <c r="AR189" s="601"/>
      <c r="AS189" s="53">
        <v>50</v>
      </c>
      <c r="AT189" s="51">
        <v>50</v>
      </c>
      <c r="AU189" s="51">
        <v>50</v>
      </c>
      <c r="AV189" s="51">
        <v>50</v>
      </c>
      <c r="AW189" s="580">
        <f>+SUMPRODUCT(AS192:AV192,AS$181:AV$181,AS189:AV189)/(AW181*AW192)</f>
        <v>49.999999999999993</v>
      </c>
      <c r="AX189" s="592"/>
      <c r="AY189" s="19">
        <f>+AS189*(1+AY190)</f>
        <v>49.584233629122295</v>
      </c>
      <c r="AZ189" s="20">
        <f>+AT189*(1+AZ190)</f>
        <v>47.436222654574962</v>
      </c>
      <c r="BA189" s="20">
        <f>+AU189*(1+BA190)</f>
        <v>47.666112813057097</v>
      </c>
      <c r="BB189" s="20">
        <f>+AV189*(1+BB190)</f>
        <v>49.810896477483382</v>
      </c>
      <c r="BC189" s="580">
        <f>+SUMPRODUCT(AY192:BB192,AY$181:BB$181,AY189:BB189)/(BC181*BC192)</f>
        <v>48.624366393559427</v>
      </c>
      <c r="BD189" s="601"/>
      <c r="BE189" s="19">
        <f>+AY189*(1+BE190)</f>
        <v>49.29339784891161</v>
      </c>
      <c r="BF189" s="20">
        <f>+AZ189*(1+BF190)</f>
        <v>47.433537495053834</v>
      </c>
      <c r="BG189" s="20">
        <f>+BA189*(1+BG190)</f>
        <v>47.387557519281891</v>
      </c>
      <c r="BH189" s="20">
        <f>+BB189*(1+BH190)</f>
        <v>49.627827791896721</v>
      </c>
      <c r="BI189" s="580">
        <f>+SUMPRODUCT(BE192:BH192,BE$181:BH$181,BE189:BH189)/(BI181*BI192)</f>
        <v>48.435580163786014</v>
      </c>
      <c r="BJ189" s="601"/>
      <c r="BK189" s="19">
        <f>+BE189*(1+BK190)</f>
        <v>49.069026959422224</v>
      </c>
      <c r="BL189" s="20">
        <f>+BF189*(1+BL190)</f>
        <v>47.758621798837432</v>
      </c>
      <c r="BM189" s="20">
        <f>+BG189*(1+BM190)</f>
        <v>47.386615068684399</v>
      </c>
      <c r="BN189" s="20">
        <f>+BH189*(1+BN190)</f>
        <v>47.250882938283397</v>
      </c>
      <c r="BO189" s="580">
        <f>+SUMPRODUCT(BK192:BN192,BK$181:BN$181,BK189:BN189)/(BO181*BO192)</f>
        <v>47.866286691306861</v>
      </c>
      <c r="BP189" s="601"/>
      <c r="BQ189" s="19">
        <f>+BK189*(1+BQ190)</f>
        <v>45.205098318689323</v>
      </c>
      <c r="BR189" s="20">
        <f>+BL189*(1+BR190)</f>
        <v>43.719833767179139</v>
      </c>
      <c r="BS189" s="20">
        <f>+BM189*(1+BS190)</f>
        <v>43.169206327571487</v>
      </c>
      <c r="BT189" s="20">
        <f>+BN189*(1+BT190)</f>
        <v>44.274077313171546</v>
      </c>
      <c r="BU189" s="580">
        <f>+SUMPRODUCT(BQ192:BT192,BQ$181:BT$181,BQ189:BT189)/(BU181*BU192)</f>
        <v>44.11406691553573</v>
      </c>
      <c r="BV189" s="601"/>
      <c r="BW189" s="19">
        <f>+BQ189*(1+BW190)</f>
        <v>44.293237779843849</v>
      </c>
      <c r="BX189" s="20">
        <f>+BR189*(1+BX190)</f>
        <v>43.056039424403906</v>
      </c>
      <c r="BY189" s="20">
        <f>+BS189*(1+BY190)</f>
        <v>42.810513714563911</v>
      </c>
      <c r="BZ189" s="20">
        <f>+BT189*(1+BZ190)</f>
        <v>42.932261518102059</v>
      </c>
      <c r="CA189" s="580">
        <f>+SUMPRODUCT(BW192:BZ192,BW$181:BZ$181,BW189:BZ189)/(CA181*CA192)</f>
        <v>43.232163520348543</v>
      </c>
      <c r="CB189" s="601"/>
      <c r="CC189" s="19">
        <f>+BW189*(1+CC190)</f>
        <v>43.330735431110696</v>
      </c>
      <c r="CD189" s="20">
        <f>+BX189*(1+CD190)</f>
        <v>42.084478707703603</v>
      </c>
      <c r="CE189" s="20">
        <f>+BY189*(1+CE190)</f>
        <v>43.064209158858205</v>
      </c>
      <c r="CF189" s="20">
        <f>+BZ189*(1+CF190)</f>
        <v>43.940466552309267</v>
      </c>
      <c r="CG189" s="580">
        <f>+SUMPRODUCT(CC192:CF192,CC$181:CF$181,CC189:CF189)/(CG181*CG192)</f>
        <v>43.116698060980028</v>
      </c>
      <c r="CH189" s="601"/>
      <c r="CI189" s="19">
        <f>+CC189*(1+CI190)</f>
        <v>45.497272202666231</v>
      </c>
      <c r="CJ189" s="20">
        <f>+CD189*(1+CJ190)</f>
        <v>43.978280249550259</v>
      </c>
      <c r="CK189" s="20">
        <f>+CE189*(1+CK190)</f>
        <v>44.140814387829657</v>
      </c>
      <c r="CL189" s="20">
        <f>+CF189*(1+CL190)</f>
        <v>44.819275883355452</v>
      </c>
      <c r="CM189" s="580">
        <f>+SUMPRODUCT(CI192:CL192,CI$181:CL$181,CI189:CL189)/(CM181*CM192)</f>
        <v>15.613118738297642</v>
      </c>
      <c r="CN189" s="601"/>
      <c r="CO189" s="19">
        <f>+CI189*(1+CO190)</f>
        <v>45.497272202666231</v>
      </c>
      <c r="CP189" s="20">
        <f>+CJ189*(1+CP190)</f>
        <v>43.978280249550259</v>
      </c>
      <c r="CQ189" s="20">
        <f>+CK189*(1+CQ190)</f>
        <v>44.140814387829657</v>
      </c>
      <c r="CR189" s="20">
        <f>+CL189*(1+CR190)</f>
        <v>44.819275883355452</v>
      </c>
      <c r="CS189" s="580">
        <f>+SUMPRODUCT(CO192:CR192,CO$181:CR$181,CO189:CR189)/(CS181*CS192)</f>
        <v>15.613118738297642</v>
      </c>
      <c r="CT189" s="601"/>
      <c r="CU189" s="19">
        <f>+CO189*(1+CU190)</f>
        <v>45.497272202666231</v>
      </c>
      <c r="CV189" s="20">
        <f>+CP189*(1+CV190)</f>
        <v>43.978280249550259</v>
      </c>
      <c r="CW189" s="20">
        <f>+CQ189*(1+CW190)</f>
        <v>44.140814387829657</v>
      </c>
      <c r="CX189" s="20">
        <f>+CR189*(1+CX190)</f>
        <v>44.819275883355452</v>
      </c>
      <c r="CY189" s="580">
        <f>+SUMPRODUCT(CU192:CX192,CU$181:CX$181,CU189:CX189)/(CY181*CY192)</f>
        <v>15.613118738297638</v>
      </c>
      <c r="CZ189" s="48"/>
      <c r="DA189"/>
      <c r="DB189"/>
      <c r="DC189"/>
      <c r="DD189" s="48"/>
      <c r="DE189" s="48"/>
      <c r="DF189" s="48"/>
      <c r="DG189" s="48"/>
      <c r="DH189" s="48"/>
      <c r="DI189" s="48"/>
      <c r="DJ189" s="48"/>
      <c r="DK189" s="48"/>
    </row>
    <row r="190" spans="1:115" s="5" customFormat="1" outlineLevel="1" x14ac:dyDescent="0.2">
      <c r="A190" s="1139" t="s">
        <v>639</v>
      </c>
      <c r="B190" s="590"/>
      <c r="C190" s="1128"/>
      <c r="D190" s="1129"/>
      <c r="E190" s="1129"/>
      <c r="F190" s="1129"/>
      <c r="G190" s="1463"/>
      <c r="H190" s="592"/>
      <c r="I190" s="1128"/>
      <c r="J190" s="1129"/>
      <c r="K190" s="1129"/>
      <c r="L190" s="1129"/>
      <c r="M190" s="1463"/>
      <c r="N190" s="592"/>
      <c r="O190" s="1128"/>
      <c r="P190" s="1129"/>
      <c r="Q190" s="1129"/>
      <c r="R190" s="1129"/>
      <c r="S190" s="1463"/>
      <c r="T190" s="591"/>
      <c r="U190" s="1128"/>
      <c r="V190" s="1129"/>
      <c r="W190" s="1129"/>
      <c r="X190" s="1129"/>
      <c r="Y190" s="1463"/>
      <c r="Z190" s="593"/>
      <c r="AA190" s="1128"/>
      <c r="AB190" s="1129"/>
      <c r="AC190" s="1129"/>
      <c r="AD190" s="1129"/>
      <c r="AE190" s="1463"/>
      <c r="AF190" s="592"/>
      <c r="AG190" s="909">
        <v>0</v>
      </c>
      <c r="AH190" s="910">
        <v>0</v>
      </c>
      <c r="AI190" s="910">
        <v>0</v>
      </c>
      <c r="AJ190" s="910">
        <v>0</v>
      </c>
      <c r="AK190" s="1106">
        <v>0</v>
      </c>
      <c r="AL190" s="601"/>
      <c r="AM190" s="909">
        <v>0</v>
      </c>
      <c r="AN190" s="910">
        <v>0</v>
      </c>
      <c r="AO190" s="910">
        <v>0</v>
      </c>
      <c r="AP190" s="910">
        <v>0</v>
      </c>
      <c r="AQ190" s="1106">
        <v>0</v>
      </c>
      <c r="AR190" s="601"/>
      <c r="AS190" s="909">
        <v>0</v>
      </c>
      <c r="AT190" s="910">
        <v>0</v>
      </c>
      <c r="AU190" s="910">
        <v>0</v>
      </c>
      <c r="AV190" s="910">
        <v>0</v>
      </c>
      <c r="AW190" s="1261">
        <f>+AW189/AQ189-1</f>
        <v>0</v>
      </c>
      <c r="AX190" s="592"/>
      <c r="AY190" s="1109">
        <f>+AY191+RevBuild!AY$59</f>
        <v>-8.3153274175541414E-3</v>
      </c>
      <c r="AZ190" s="1110">
        <f>+AZ191+RevBuild!AZ$59</f>
        <v>-5.127554690850078E-2</v>
      </c>
      <c r="BA190" s="1110">
        <f>+BA191+RevBuild!BA$59</f>
        <v>-4.6677743738858052E-2</v>
      </c>
      <c r="BB190" s="1110">
        <f>+BB191+RevBuild!BB$59</f>
        <v>-3.782070450332374E-3</v>
      </c>
      <c r="BC190" s="1261">
        <f>+BC189/AW189-1</f>
        <v>-2.7512672128811366E-2</v>
      </c>
      <c r="BD190" s="601"/>
      <c r="BE190" s="1109">
        <f>+BE191+RevBuild!BE$59</f>
        <v>-5.8654890662636905E-3</v>
      </c>
      <c r="BF190" s="1110">
        <f>+BF191+RevBuild!BF$59</f>
        <v>-5.660567749418699E-5</v>
      </c>
      <c r="BG190" s="1110">
        <f>+BG191+RevBuild!BG$59</f>
        <v>-5.8438852538213321E-3</v>
      </c>
      <c r="BH190" s="1110">
        <f>+BH191+RevBuild!BH$59</f>
        <v>-3.6752738563822912E-3</v>
      </c>
      <c r="BI190" s="1261">
        <f>+BI189/BC189-1</f>
        <v>-3.882543748650602E-3</v>
      </c>
      <c r="BJ190" s="601"/>
      <c r="BK190" s="1109">
        <f>+BK191+RevBuild!BK$59</f>
        <v>-4.5517432208081604E-3</v>
      </c>
      <c r="BL190" s="1110">
        <f>+BL191+RevBuild!BL$59</f>
        <v>6.8534695270723658E-3</v>
      </c>
      <c r="BM190" s="1110">
        <f>+BM191+RevBuild!BM$59</f>
        <v>-1.9888144627576432E-5</v>
      </c>
      <c r="BN190" s="1110">
        <f>+BN191+RevBuild!BN$59</f>
        <v>-4.7895403836341902E-2</v>
      </c>
      <c r="BO190" s="1261">
        <f>+BO189/BI189-1</f>
        <v>-1.1753621419503424E-2</v>
      </c>
      <c r="BP190" s="601"/>
      <c r="BQ190" s="1109">
        <f>+BQ191+RevBuild!BQ$59</f>
        <v>-7.8744757745617941E-2</v>
      </c>
      <c r="BR190" s="1110">
        <f>+BR191+RevBuild!BR$59</f>
        <v>-8.4566678843245036E-2</v>
      </c>
      <c r="BS190" s="1110">
        <f>+BS191+RevBuild!BS$59</f>
        <v>-8.8999999999999996E-2</v>
      </c>
      <c r="BT190" s="1110">
        <f>+BT191+RevBuild!BT$59</f>
        <v>-6.3E-2</v>
      </c>
      <c r="BU190" s="1261">
        <f>+BU189/BO189-1</f>
        <v>-7.838961480278317E-2</v>
      </c>
      <c r="BV190" s="601"/>
      <c r="BW190" s="1109">
        <f>+BW191+RevBuild!BW$59</f>
        <v>-2.0171630474443241E-2</v>
      </c>
      <c r="BX190" s="1110">
        <f>+BX191+RevBuild!BX$59</f>
        <v>-1.5182910948612738E-2</v>
      </c>
      <c r="BY190" s="1110">
        <f>+BY191+RevBuild!BY$59</f>
        <v>-8.3089925324498076E-3</v>
      </c>
      <c r="BZ190" s="1110">
        <f>+BZ191+RevBuild!BZ$59</f>
        <v>-3.0307030129124765E-2</v>
      </c>
      <c r="CA190" s="1261">
        <f>+CA189/BU189-1</f>
        <v>-1.9991432593955749E-2</v>
      </c>
      <c r="CB190" s="601"/>
      <c r="CC190" s="1109">
        <f>+CC191+RevBuild!CC$59</f>
        <v>-2.1730232355494046E-2</v>
      </c>
      <c r="CD190" s="1110">
        <f>+CD191+RevBuild!CD$59</f>
        <v>-2.2565027570780882E-2</v>
      </c>
      <c r="CE190" s="1110">
        <f>+CE191+RevBuild!CE$59</f>
        <v>5.926007942483269E-3</v>
      </c>
      <c r="CF190" s="1110">
        <f>+CF191+RevBuild!CF$59</f>
        <v>2.3483622771237223E-2</v>
      </c>
      <c r="CG190" s="1261">
        <f>+CG189/CA189-1</f>
        <v>-2.6708230624212792E-3</v>
      </c>
      <c r="CH190" s="601"/>
      <c r="CI190" s="1109">
        <f>+CI191+RevBuild!CI$59</f>
        <v>0.05</v>
      </c>
      <c r="CJ190" s="1110">
        <f>+CJ191+RevBuild!CJ$59</f>
        <v>4.4999999999999998E-2</v>
      </c>
      <c r="CK190" s="1110">
        <f>+CK191+RevBuild!CK$59</f>
        <v>2.5000000000000001E-2</v>
      </c>
      <c r="CL190" s="1110">
        <f>+CL191+RevBuild!CL$59</f>
        <v>0.02</v>
      </c>
      <c r="CM190" s="1261">
        <f>+CM189/CG189-1</f>
        <v>-0.63788695701567921</v>
      </c>
      <c r="CN190" s="601"/>
      <c r="CO190" s="1109">
        <f>+CO191+RevBuild!CO$59</f>
        <v>0</v>
      </c>
      <c r="CP190" s="1110">
        <f>+CP191+RevBuild!CP$59</f>
        <v>0</v>
      </c>
      <c r="CQ190" s="1110">
        <f>+CQ191+RevBuild!CQ$59</f>
        <v>0</v>
      </c>
      <c r="CR190" s="1110">
        <f>+CR191+RevBuild!CR$59</f>
        <v>0</v>
      </c>
      <c r="CS190" s="1261">
        <f>+CS189/CM189-1</f>
        <v>0</v>
      </c>
      <c r="CT190" s="601"/>
      <c r="CU190" s="1109">
        <f>+CU191+RevBuild!CU$59</f>
        <v>0</v>
      </c>
      <c r="CV190" s="1110">
        <f>+CV191+RevBuild!CV$59</f>
        <v>0</v>
      </c>
      <c r="CW190" s="1110">
        <f>+CW191+RevBuild!CW$59</f>
        <v>0</v>
      </c>
      <c r="CX190" s="1110">
        <f>+CX191+RevBuild!CX$59</f>
        <v>0</v>
      </c>
      <c r="CY190" s="1261">
        <f>+CY189/CS189-1</f>
        <v>0</v>
      </c>
      <c r="CZ190" s="48"/>
      <c r="DA190"/>
      <c r="DB190"/>
      <c r="DC190"/>
      <c r="DD190" s="48"/>
      <c r="DE190" s="48"/>
      <c r="DF190" s="48"/>
      <c r="DG190" s="48"/>
      <c r="DH190" s="48"/>
      <c r="DI190" s="48"/>
      <c r="DJ190" s="48"/>
      <c r="DK190" s="48"/>
    </row>
    <row r="191" spans="1:115" s="5" customFormat="1" outlineLevel="1" x14ac:dyDescent="0.2">
      <c r="A191" s="1139" t="s">
        <v>227</v>
      </c>
      <c r="B191" s="590"/>
      <c r="C191" s="1128"/>
      <c r="D191" s="1129"/>
      <c r="E191" s="1129"/>
      <c r="F191" s="1129"/>
      <c r="G191" s="1463"/>
      <c r="H191" s="592"/>
      <c r="I191" s="1128"/>
      <c r="J191" s="1129"/>
      <c r="K191" s="1129"/>
      <c r="L191" s="1129"/>
      <c r="M191" s="1463"/>
      <c r="N191" s="592"/>
      <c r="O191" s="1128"/>
      <c r="P191" s="1129"/>
      <c r="Q191" s="1129"/>
      <c r="R191" s="1129"/>
      <c r="S191" s="1463"/>
      <c r="T191" s="591"/>
      <c r="U191" s="1128"/>
      <c r="V191" s="1129"/>
      <c r="W191" s="1129"/>
      <c r="X191" s="1129"/>
      <c r="Y191" s="1463"/>
      <c r="Z191" s="593"/>
      <c r="AA191" s="1128"/>
      <c r="AB191" s="1129"/>
      <c r="AC191" s="1129"/>
      <c r="AD191" s="1129"/>
      <c r="AE191" s="1463"/>
      <c r="AF191" s="592"/>
      <c r="AG191" s="909">
        <v>0</v>
      </c>
      <c r="AH191" s="910">
        <v>0</v>
      </c>
      <c r="AI191" s="910">
        <v>0</v>
      </c>
      <c r="AJ191" s="910">
        <v>0</v>
      </c>
      <c r="AK191" s="1106">
        <v>0</v>
      </c>
      <c r="AL191" s="601"/>
      <c r="AM191" s="909">
        <v>0</v>
      </c>
      <c r="AN191" s="910">
        <v>0</v>
      </c>
      <c r="AO191" s="910">
        <v>0</v>
      </c>
      <c r="AP191" s="910">
        <v>0</v>
      </c>
      <c r="AQ191" s="1106">
        <v>0</v>
      </c>
      <c r="AR191" s="601"/>
      <c r="AS191" s="909">
        <v>0</v>
      </c>
      <c r="AT191" s="910">
        <v>0</v>
      </c>
      <c r="AU191" s="910">
        <v>0</v>
      </c>
      <c r="AV191" s="910">
        <v>0</v>
      </c>
      <c r="AW191" s="1260">
        <f>+AW190-RevBuild!AW$59</f>
        <v>-3.5697676450275918E-2</v>
      </c>
      <c r="AX191" s="592"/>
      <c r="AY191" s="909">
        <v>0</v>
      </c>
      <c r="AZ191" s="910">
        <v>0</v>
      </c>
      <c r="BA191" s="910">
        <v>0</v>
      </c>
      <c r="BB191" s="910">
        <v>0</v>
      </c>
      <c r="BC191" s="1259">
        <f>+BC190-RevBuild!BC$59</f>
        <v>7.0813872862701688E-5</v>
      </c>
      <c r="BD191" s="601"/>
      <c r="BE191" s="909">
        <v>0</v>
      </c>
      <c r="BF191" s="910">
        <v>0</v>
      </c>
      <c r="BG191" s="910">
        <v>0</v>
      </c>
      <c r="BH191" s="910">
        <v>0</v>
      </c>
      <c r="BI191" s="1259">
        <f>+BI190-RevBuild!BI$59</f>
        <v>4.722620561616056E-3</v>
      </c>
      <c r="BJ191" s="601"/>
      <c r="BK191" s="909">
        <v>0</v>
      </c>
      <c r="BL191" s="910">
        <v>0</v>
      </c>
      <c r="BM191" s="910">
        <v>0</v>
      </c>
      <c r="BN191" s="910">
        <v>0</v>
      </c>
      <c r="BO191" s="1259">
        <f>+BO190-RevBuild!BO$59</f>
        <v>-2.2140373462142052E-3</v>
      </c>
      <c r="BP191" s="601"/>
      <c r="BQ191" s="909">
        <v>0</v>
      </c>
      <c r="BR191" s="910">
        <v>0</v>
      </c>
      <c r="BS191" s="910">
        <v>0</v>
      </c>
      <c r="BT191" s="910">
        <v>0</v>
      </c>
      <c r="BU191" s="1259">
        <f>+BU190-RevBuild!BU$59</f>
        <v>1.8603851972167212E-3</v>
      </c>
      <c r="BV191" s="601"/>
      <c r="BW191" s="909">
        <v>0</v>
      </c>
      <c r="BX191" s="910">
        <v>0</v>
      </c>
      <c r="BY191" s="910">
        <v>0</v>
      </c>
      <c r="BZ191" s="910">
        <v>0</v>
      </c>
      <c r="CA191" s="1259">
        <f>+CA190-RevBuild!CA$59</f>
        <v>-1.2803513496045249E-3</v>
      </c>
      <c r="CB191" s="601"/>
      <c r="CC191" s="909">
        <v>0</v>
      </c>
      <c r="CD191" s="910">
        <v>0</v>
      </c>
      <c r="CE191" s="910">
        <v>0</v>
      </c>
      <c r="CF191" s="910">
        <v>0</v>
      </c>
      <c r="CG191" s="1259">
        <f>+CG190-RevBuild!CG$59</f>
        <v>1.05058424071733E-3</v>
      </c>
      <c r="CH191" s="601"/>
      <c r="CI191" s="909">
        <v>0</v>
      </c>
      <c r="CJ191" s="910">
        <v>0</v>
      </c>
      <c r="CK191" s="910">
        <v>0</v>
      </c>
      <c r="CL191" s="910">
        <v>0</v>
      </c>
      <c r="CM191" s="1259">
        <f>+CM190-RevBuild!CM$59</f>
        <v>-0.67288695701567924</v>
      </c>
      <c r="CN191" s="601"/>
      <c r="CO191" s="909">
        <v>0</v>
      </c>
      <c r="CP191" s="910">
        <v>0</v>
      </c>
      <c r="CQ191" s="910">
        <v>0</v>
      </c>
      <c r="CR191" s="910">
        <v>0</v>
      </c>
      <c r="CS191" s="1259">
        <f>+CS190-RevBuild!CS$59</f>
        <v>0</v>
      </c>
      <c r="CT191" s="601"/>
      <c r="CU191" s="909">
        <v>0</v>
      </c>
      <c r="CV191" s="910">
        <v>0</v>
      </c>
      <c r="CW191" s="910">
        <v>0</v>
      </c>
      <c r="CX191" s="910">
        <v>0</v>
      </c>
      <c r="CY191" s="1259">
        <f>+CY190-RevBuild!CY$59</f>
        <v>0</v>
      </c>
      <c r="CZ191" s="48"/>
      <c r="DA191"/>
      <c r="DB191"/>
      <c r="DC191"/>
      <c r="DD191" s="48"/>
      <c r="DE191" s="48"/>
      <c r="DF191" s="48"/>
      <c r="DG191" s="48"/>
      <c r="DH191" s="48"/>
      <c r="DI191" s="48"/>
      <c r="DJ191" s="48"/>
      <c r="DK191" s="48"/>
    </row>
    <row r="192" spans="1:115" s="5" customFormat="1" outlineLevel="1" x14ac:dyDescent="0.2">
      <c r="A192" s="1139" t="s">
        <v>521</v>
      </c>
      <c r="B192" s="590"/>
      <c r="C192" s="1128"/>
      <c r="D192" s="1129"/>
      <c r="E192" s="1129"/>
      <c r="F192" s="1129"/>
      <c r="G192" s="1463"/>
      <c r="H192" s="592"/>
      <c r="I192" s="1128"/>
      <c r="J192" s="1129"/>
      <c r="K192" s="1129"/>
      <c r="L192" s="1129"/>
      <c r="M192" s="1463"/>
      <c r="N192" s="592"/>
      <c r="O192" s="1128"/>
      <c r="P192" s="1129"/>
      <c r="Q192" s="1129"/>
      <c r="R192" s="1129"/>
      <c r="S192" s="1463"/>
      <c r="T192" s="591"/>
      <c r="U192" s="1128"/>
      <c r="V192" s="1129"/>
      <c r="W192" s="1129"/>
      <c r="X192" s="1129"/>
      <c r="Y192" s="1463"/>
      <c r="Z192" s="593"/>
      <c r="AA192" s="1128"/>
      <c r="AB192" s="1129"/>
      <c r="AC192" s="1129"/>
      <c r="AD192" s="1129"/>
      <c r="AE192" s="1463"/>
      <c r="AF192" s="592"/>
      <c r="AG192" s="909">
        <v>0.5</v>
      </c>
      <c r="AH192" s="910">
        <v>0.5</v>
      </c>
      <c r="AI192" s="910">
        <v>0.5</v>
      </c>
      <c r="AJ192" s="910">
        <v>0.5</v>
      </c>
      <c r="AK192" s="1106">
        <v>0</v>
      </c>
      <c r="AL192" s="601"/>
      <c r="AM192" s="909">
        <v>0.5</v>
      </c>
      <c r="AN192" s="910">
        <v>0.5</v>
      </c>
      <c r="AO192" s="910">
        <v>0.5</v>
      </c>
      <c r="AP192" s="910">
        <v>0.5</v>
      </c>
      <c r="AQ192" s="707">
        <f>+SUMPRODUCT(AM192:AP192,AM$181:AP$181)/AQ181</f>
        <v>0.5</v>
      </c>
      <c r="AR192" s="601"/>
      <c r="AS192" s="909">
        <v>0.4</v>
      </c>
      <c r="AT192" s="910">
        <v>0.4</v>
      </c>
      <c r="AU192" s="910">
        <v>0.4</v>
      </c>
      <c r="AV192" s="910">
        <v>0.4</v>
      </c>
      <c r="AW192" s="707">
        <f>+SUMPRODUCT(AS192:AV192,AS$181:AV$181)/AW181</f>
        <v>0.40000000000000008</v>
      </c>
      <c r="AX192" s="592"/>
      <c r="AY192" s="909">
        <v>0.5</v>
      </c>
      <c r="AZ192" s="910">
        <v>0.5</v>
      </c>
      <c r="BA192" s="910">
        <v>0.5</v>
      </c>
      <c r="BB192" s="910">
        <v>0.5</v>
      </c>
      <c r="BC192" s="707">
        <f>+SUMPRODUCT(AY192:BB192,AY$181:BB$181)/BC181</f>
        <v>0.5</v>
      </c>
      <c r="BD192" s="601"/>
      <c r="BE192" s="909">
        <v>0.5</v>
      </c>
      <c r="BF192" s="910">
        <v>0.5</v>
      </c>
      <c r="BG192" s="910">
        <v>0.5</v>
      </c>
      <c r="BH192" s="910">
        <v>0.5</v>
      </c>
      <c r="BI192" s="707">
        <f>+SUMPRODUCT(BE192:BH192,BE$181:BH$181)/BI181</f>
        <v>0.5</v>
      </c>
      <c r="BJ192" s="967"/>
      <c r="BK192" s="909">
        <v>0.4</v>
      </c>
      <c r="BL192" s="910">
        <v>0.4</v>
      </c>
      <c r="BM192" s="910">
        <v>0.4</v>
      </c>
      <c r="BN192" s="910">
        <v>0.4</v>
      </c>
      <c r="BO192" s="707">
        <f>+SUMPRODUCT(BK192:BN192,BK$181:BN$181)/BO181</f>
        <v>0.4</v>
      </c>
      <c r="BP192" s="601"/>
      <c r="BQ192" s="909">
        <v>0.4</v>
      </c>
      <c r="BR192" s="910">
        <v>0.4</v>
      </c>
      <c r="BS192" s="910">
        <v>0.4</v>
      </c>
      <c r="BT192" s="910">
        <v>0.4</v>
      </c>
      <c r="BU192" s="707">
        <f>+SUMPRODUCT(BQ192:BT192,BQ$181:BT$181)/BU181</f>
        <v>0.4</v>
      </c>
      <c r="BV192" s="601"/>
      <c r="BW192" s="909">
        <f>+BQ192-0.05</f>
        <v>0.35000000000000003</v>
      </c>
      <c r="BX192" s="910">
        <f>+BR192-0.05</f>
        <v>0.35000000000000003</v>
      </c>
      <c r="BY192" s="910">
        <f>+BS192-0.05</f>
        <v>0.35000000000000003</v>
      </c>
      <c r="BZ192" s="910">
        <f>+BT192-0.05</f>
        <v>0.35000000000000003</v>
      </c>
      <c r="CA192" s="707">
        <f>+SUMPRODUCT(BW192:BZ192,BW$181:BZ$181)/CA181</f>
        <v>0.35</v>
      </c>
      <c r="CB192" s="601"/>
      <c r="CC192" s="909">
        <f>+BW192-0.05</f>
        <v>0.30000000000000004</v>
      </c>
      <c r="CD192" s="910">
        <f>+BX192-0.05</f>
        <v>0.30000000000000004</v>
      </c>
      <c r="CE192" s="910">
        <f>+BY192-0.05</f>
        <v>0.30000000000000004</v>
      </c>
      <c r="CF192" s="910">
        <f>+BZ192-0.05</f>
        <v>0.30000000000000004</v>
      </c>
      <c r="CG192" s="707">
        <f>+SUMPRODUCT(CC192:CF192,CC$181:CF$181)/CG181</f>
        <v>0.30000000000000004</v>
      </c>
      <c r="CH192" s="601"/>
      <c r="CI192" s="909">
        <f>+CC192</f>
        <v>0.30000000000000004</v>
      </c>
      <c r="CJ192" s="910">
        <f>+CD192</f>
        <v>0.30000000000000004</v>
      </c>
      <c r="CK192" s="910">
        <f>+CE192</f>
        <v>0.30000000000000004</v>
      </c>
      <c r="CL192" s="910">
        <f>+CF192</f>
        <v>0.30000000000000004</v>
      </c>
      <c r="CM192" s="707">
        <f>+SUMPRODUCT(CI192:CL192,CI$177:CL$177)/CM181</f>
        <v>0.85714285714285721</v>
      </c>
      <c r="CN192" s="601"/>
      <c r="CO192" s="909">
        <f>+CI192</f>
        <v>0.30000000000000004</v>
      </c>
      <c r="CP192" s="910">
        <f>+CJ192</f>
        <v>0.30000000000000004</v>
      </c>
      <c r="CQ192" s="910">
        <f>+CK192</f>
        <v>0.30000000000000004</v>
      </c>
      <c r="CR192" s="910">
        <f>+CL192</f>
        <v>0.30000000000000004</v>
      </c>
      <c r="CS192" s="707">
        <f>+SUMPRODUCT(CO192:CR192,CO$177:CR$177)/CS181</f>
        <v>0.85714285714285721</v>
      </c>
      <c r="CT192" s="601"/>
      <c r="CU192" s="909">
        <f>+CO192</f>
        <v>0.30000000000000004</v>
      </c>
      <c r="CV192" s="910">
        <f>+CP192</f>
        <v>0.30000000000000004</v>
      </c>
      <c r="CW192" s="910">
        <f>+CQ192</f>
        <v>0.30000000000000004</v>
      </c>
      <c r="CX192" s="910">
        <f>+CR192</f>
        <v>0.30000000000000004</v>
      </c>
      <c r="CY192" s="707">
        <f>+SUMPRODUCT(CU192:CX192,CU$177:CX$177)/CY181</f>
        <v>0.85714285714285721</v>
      </c>
      <c r="CZ192" s="48"/>
      <c r="DA192"/>
      <c r="DB192"/>
      <c r="DC192"/>
      <c r="DD192" s="48"/>
      <c r="DE192" s="48"/>
      <c r="DF192" s="48"/>
      <c r="DG192" s="48"/>
      <c r="DH192" s="48"/>
      <c r="DI192" s="48"/>
      <c r="DJ192" s="48"/>
      <c r="DK192" s="48"/>
    </row>
    <row r="193" spans="1:115" s="5" customFormat="1" outlineLevel="1" x14ac:dyDescent="0.2">
      <c r="A193" s="1262" t="s">
        <v>536</v>
      </c>
      <c r="B193" s="590"/>
      <c r="C193" s="1128"/>
      <c r="D193" s="1129"/>
      <c r="E193" s="1129"/>
      <c r="F193" s="1129"/>
      <c r="G193" s="1463"/>
      <c r="H193" s="592"/>
      <c r="I193" s="1128"/>
      <c r="J193" s="1129"/>
      <c r="K193" s="1129"/>
      <c r="L193" s="1129"/>
      <c r="M193" s="1463"/>
      <c r="N193" s="592"/>
      <c r="O193" s="1128"/>
      <c r="P193" s="1129"/>
      <c r="Q193" s="1129"/>
      <c r="R193" s="1129"/>
      <c r="S193" s="1463"/>
      <c r="T193" s="591"/>
      <c r="U193" s="1128"/>
      <c r="V193" s="1129"/>
      <c r="W193" s="1129"/>
      <c r="X193" s="1129"/>
      <c r="Y193" s="1463"/>
      <c r="Z193" s="593"/>
      <c r="AA193" s="1128"/>
      <c r="AB193" s="1129"/>
      <c r="AC193" s="1129"/>
      <c r="AD193" s="1129"/>
      <c r="AE193" s="1463"/>
      <c r="AF193" s="592"/>
      <c r="AG193" s="53">
        <v>15</v>
      </c>
      <c r="AH193" s="51">
        <v>15</v>
      </c>
      <c r="AI193" s="51">
        <v>15</v>
      </c>
      <c r="AJ193" s="51">
        <v>15</v>
      </c>
      <c r="AK193" s="580">
        <f>+((AG179-AG183)*(AG193/4)+(AH179-AH183)*(AH193/4)+(AI179-AI183)*(AI193/4)+(AJ179-AJ183)*(AJ193/4))/(AK179-AK183)</f>
        <v>15</v>
      </c>
      <c r="AL193" s="601"/>
      <c r="AM193" s="53">
        <v>20</v>
      </c>
      <c r="AN193" s="51">
        <f>+AM193+2</f>
        <v>22</v>
      </c>
      <c r="AO193" s="51">
        <f>+AN193+2</f>
        <v>24</v>
      </c>
      <c r="AP193" s="51">
        <f>+AO193+2</f>
        <v>26</v>
      </c>
      <c r="AQ193" s="580">
        <f>+((AM179-AM183)*(AM193/4)+(AN179-AN183)*(AN193/4)+(AO179-AO183)*(AO193/4)+(AP179-AP183)*(AP193/4))/(AQ179-AQ183)</f>
        <v>23.869878183831673</v>
      </c>
      <c r="AR193" s="601"/>
      <c r="AS193" s="19">
        <f>+AM193*(1+AS194)</f>
        <v>30.392510326670802</v>
      </c>
      <c r="AT193" s="20">
        <f>+AN193*(1+AT194)</f>
        <v>31.409496265958097</v>
      </c>
      <c r="AU193" s="20">
        <f>+AO193*(1+AU194)</f>
        <v>31.034554621113529</v>
      </c>
      <c r="AV193" s="20">
        <f>+AP193*(1+AV194)</f>
        <v>29.978416960340002</v>
      </c>
      <c r="AW193" s="580">
        <f>+((AS179-AS183)*(AS193/4)+(AT179-AT183)*(AT193/4)+(AU179-AU183)*(AU193/4)+(AV179-AV183)*(AV193/4))/(AW179-AW183)</f>
        <v>30.553571615903209</v>
      </c>
      <c r="AX193" s="592"/>
      <c r="AY193" s="19">
        <f>+AS193*(1+AY194)</f>
        <v>34.698663201263763</v>
      </c>
      <c r="AZ193" s="20">
        <f>+AT193*(1+AZ194)</f>
        <v>34.510381606694295</v>
      </c>
      <c r="BA193" s="20">
        <f>+AU193*(1+BA194)</f>
        <v>34.241114826626628</v>
      </c>
      <c r="BB193" s="20">
        <f>+AV193*(1+BB194)</f>
        <v>34.361799019457557</v>
      </c>
      <c r="BC193" s="580">
        <f>+((AY179-AY183)*(AY193/4)+(AZ179-AZ183)*(AZ193/4)+(BA179-BA183)*(BA193/4)+(BB179-BB183)*(BB193/4))/(BC179-BC183)</f>
        <v>34.446726077904593</v>
      </c>
      <c r="BD193" s="601"/>
      <c r="BE193" s="19">
        <f>+AY193*(1+BE194)</f>
        <v>38.658978155794436</v>
      </c>
      <c r="BF193" s="20">
        <f>+AZ193*(1+BF194)</f>
        <v>38.649673915966183</v>
      </c>
      <c r="BG193" s="20">
        <f>+BA193*(1+BG194)</f>
        <v>38.149947459812097</v>
      </c>
      <c r="BH193" s="20">
        <f>+BB193*(1+BH194)</f>
        <v>38.358925880197994</v>
      </c>
      <c r="BI193" s="580">
        <f>+((BE179-BE183)*(BE193/4)+(BF179-BF183)*(BF193/4)+(BG179-BG183)*(BG193/4)+(BH179-BH183)*(BH193/4))/(BI179-BI183)</f>
        <v>38.445465656082902</v>
      </c>
      <c r="BJ193" s="601"/>
      <c r="BK193" s="19">
        <f>+BE193*(1+BK194)</f>
        <v>39.642781758724261</v>
      </c>
      <c r="BL193" s="20">
        <f>+BF193*(1+BL194)</f>
        <v>40.074048495859529</v>
      </c>
      <c r="BM193" s="20">
        <f>+BG193*(1+BM194)</f>
        <v>39.293687151933845</v>
      </c>
      <c r="BN193" s="20">
        <f>+BH193*(1+BN194)</f>
        <v>38.439655928447507</v>
      </c>
      <c r="BO193" s="580">
        <f>+((BK179-BK183)*(BK193/4)+(BL179-BL183)*(BL193/4)+(BM179-BM183)*(BM193/4)+(BN179-BN183)*(BN193/4))/(BO179-BO183)</f>
        <v>39.339318840752661</v>
      </c>
      <c r="BP193" s="601"/>
      <c r="BQ193" s="19">
        <f>+BK193*(1+BQ194)</f>
        <v>37.115762239151984</v>
      </c>
      <c r="BR193" s="20">
        <f>+BL193*(1+BR194)</f>
        <v>37.286230034199441</v>
      </c>
      <c r="BS193" s="20">
        <f>+BM193*(1+BS194)</f>
        <v>34.617738380853716</v>
      </c>
      <c r="BT193" s="20">
        <f>+BN193*(1+BT194)</f>
        <v>34.864767927101887</v>
      </c>
      <c r="BU193" s="580">
        <f>+((BQ179-BQ183)*(BQ193/4)+(BR179-BR183)*(BR193/4)+(BS179-BS183)*(BS193/4)+(BT179-BT183)*(BT193/4))/(BU179-BU183)</f>
        <v>35.886211827116661</v>
      </c>
      <c r="BV193" s="601"/>
      <c r="BW193" s="19">
        <f>+BQ193*(1+BW194)</f>
        <v>36.738234420878037</v>
      </c>
      <c r="BX193" s="20">
        <f>+BR193*(1+BX194)</f>
        <v>38.58442802569067</v>
      </c>
      <c r="BY193" s="20">
        <f>+BS193*(1+BY194)</f>
        <v>36.407164154008129</v>
      </c>
      <c r="BZ193" s="20">
        <f>+BT193*(1+BZ194)</f>
        <v>35.900006430716381</v>
      </c>
      <c r="CA193" s="580">
        <f>+((BW179-BW183)*(BW193/4)+(BX179-BX183)*(BX193/4)+(BY179-BY183)*(BY193/4)+(BZ179-BZ183)*(BZ193/4))/(CA179-CA183)</f>
        <v>36.723915728974895</v>
      </c>
      <c r="CB193" s="601"/>
      <c r="CC193" s="19">
        <f>+BW193*(1+CC194)</f>
        <v>38.144198115834428</v>
      </c>
      <c r="CD193" s="20">
        <f>+BX193*(1+CD194)</f>
        <v>41.572212146057218</v>
      </c>
      <c r="CE193" s="20">
        <f>+BY193*(1+CE194)</f>
        <v>40.263629713348884</v>
      </c>
      <c r="CF193" s="20">
        <f>+BZ193*(1+CF194)</f>
        <v>41.05106941090628</v>
      </c>
      <c r="CG193" s="580">
        <f>+((CC179-CC183)*(CC193/4)+(CD179-CD183)*(CD193/4)+(CE179-CE183)*(CE193/4)+(CF179-CF183)*(CF193/4))/(CG179-CG183)</f>
        <v>40.207589105628031</v>
      </c>
      <c r="CH193" s="601"/>
      <c r="CI193" s="19">
        <f>+CC193*(1+CI194)</f>
        <v>42.721501889734562</v>
      </c>
      <c r="CJ193" s="20">
        <f>+CD193*(1+CJ194)</f>
        <v>46.353016542853801</v>
      </c>
      <c r="CK193" s="20">
        <f>+CE193*(1+CK194)</f>
        <v>44.088674536117026</v>
      </c>
      <c r="CL193" s="20">
        <f>+CF193*(1+CL194)</f>
        <v>44.745665657887848</v>
      </c>
      <c r="CM193" s="580">
        <f>+((CI179-CI183)*(CI193/4)+(CJ179-CJ183)*(CJ193/4)+(CK179-CK183)*(CK193/4)+(CL179-CL183)*(CL193/4))/(CM179-CM183)</f>
        <v>44.490982284136798</v>
      </c>
      <c r="CN193" s="601"/>
      <c r="CO193" s="19">
        <f>+CI193*(1+CO194)</f>
        <v>45.712007022015982</v>
      </c>
      <c r="CP193" s="20">
        <f>+CJ193*(1+CP194)</f>
        <v>49.597727700853568</v>
      </c>
      <c r="CQ193" s="20">
        <f>+CK193*(1+CQ194)</f>
        <v>47.174881753645224</v>
      </c>
      <c r="CR193" s="20">
        <f>+CL193*(1+CR194)</f>
        <v>47.877862253940002</v>
      </c>
      <c r="CS193" s="580">
        <f>+((CO179-CO183)*(CO193/4)+(CP179-CP183)*(CP193/4)+(CQ179-CQ183)*(CQ193/4)+(CR179-CR183)*(CR193/4))/(CS179-CS183)</f>
        <v>47.601930892446731</v>
      </c>
      <c r="CT193" s="601"/>
      <c r="CU193" s="19">
        <f>+CO193*(1+CU194)</f>
        <v>48.911847513557106</v>
      </c>
      <c r="CV193" s="20">
        <f>+CP193*(1+CV194)</f>
        <v>53.069568639913321</v>
      </c>
      <c r="CW193" s="20">
        <f>+CQ193*(1+CW194)</f>
        <v>50.477123476400394</v>
      </c>
      <c r="CX193" s="20">
        <f>+CR193*(1+CX194)</f>
        <v>51.229312611715805</v>
      </c>
      <c r="CY193" s="580">
        <f>+((CU179-CU183)*(CU193/4)+(CV179-CV183)*(CV193/4)+(CW179-CW183)*(CW193/4)+(CX179-CX183)*(CX193/4))/(CY179-CY183)</f>
        <v>50.932029145199174</v>
      </c>
      <c r="CZ193" s="48"/>
      <c r="DA193"/>
      <c r="DB193"/>
      <c r="DC193"/>
      <c r="DD193" s="48"/>
      <c r="DE193" s="48"/>
      <c r="DF193" s="48"/>
      <c r="DG193" s="48"/>
      <c r="DH193" s="48"/>
      <c r="DI193" s="48"/>
      <c r="DJ193" s="48"/>
      <c r="DK193" s="48"/>
    </row>
    <row r="194" spans="1:115" s="5" customFormat="1" outlineLevel="1" x14ac:dyDescent="0.2">
      <c r="A194" s="1139" t="s">
        <v>639</v>
      </c>
      <c r="B194" s="590"/>
      <c r="C194" s="1128"/>
      <c r="D194" s="1129"/>
      <c r="E194" s="1129"/>
      <c r="F194" s="1129"/>
      <c r="G194" s="1463"/>
      <c r="H194" s="592"/>
      <c r="I194" s="1128"/>
      <c r="J194" s="1129"/>
      <c r="K194" s="1129"/>
      <c r="L194" s="1129"/>
      <c r="M194" s="1463"/>
      <c r="N194" s="592"/>
      <c r="O194" s="1128"/>
      <c r="P194" s="1129"/>
      <c r="Q194" s="1129"/>
      <c r="R194" s="1129"/>
      <c r="S194" s="1463"/>
      <c r="T194" s="591"/>
      <c r="U194" s="1128"/>
      <c r="V194" s="1129"/>
      <c r="W194" s="1129"/>
      <c r="X194" s="1129"/>
      <c r="Y194" s="1463"/>
      <c r="Z194" s="593"/>
      <c r="AA194" s="1128"/>
      <c r="AB194" s="1129"/>
      <c r="AC194" s="1129"/>
      <c r="AD194" s="1129"/>
      <c r="AE194" s="1463"/>
      <c r="AF194" s="592"/>
      <c r="AG194" s="909">
        <v>0</v>
      </c>
      <c r="AH194" s="910">
        <v>0</v>
      </c>
      <c r="AI194" s="910">
        <v>0</v>
      </c>
      <c r="AJ194" s="910">
        <v>0</v>
      </c>
      <c r="AK194" s="1106">
        <v>0</v>
      </c>
      <c r="AL194" s="601"/>
      <c r="AM194" s="909">
        <v>0</v>
      </c>
      <c r="AN194" s="910">
        <v>0</v>
      </c>
      <c r="AO194" s="910">
        <v>0</v>
      </c>
      <c r="AP194" s="910">
        <v>0</v>
      </c>
      <c r="AQ194" s="1106">
        <v>0</v>
      </c>
      <c r="AR194" s="601"/>
      <c r="AS194" s="1109">
        <f>+AS195+RevBuild!AS$59</f>
        <v>0.51962551633354015</v>
      </c>
      <c r="AT194" s="1110">
        <f>+AT195+RevBuild!AT$59</f>
        <v>0.42770437572536801</v>
      </c>
      <c r="AU194" s="1110">
        <f>+AU195+RevBuild!AU$59</f>
        <v>0.29310644254639695</v>
      </c>
      <c r="AV194" s="1110">
        <f>+AV195+RevBuild!AV$59</f>
        <v>0.15301603693615387</v>
      </c>
      <c r="AW194" s="1261">
        <f>+AW193/AQ193-1</f>
        <v>0.28000534316085246</v>
      </c>
      <c r="AX194" s="592"/>
      <c r="AY194" s="1109">
        <f>+AY195+RevBuild!AY$59</f>
        <v>0.14168467258244585</v>
      </c>
      <c r="AZ194" s="1110">
        <f>+AZ195+RevBuild!AZ$59</f>
        <v>9.8724453091499215E-2</v>
      </c>
      <c r="BA194" s="1110">
        <f>+BA195+RevBuild!BA$59</f>
        <v>0.10332225626114194</v>
      </c>
      <c r="BB194" s="1110">
        <f>+BB195+RevBuild!BB$59</f>
        <v>0.14621792954966761</v>
      </c>
      <c r="BC194" s="1261">
        <f>+BC193/AW193-1</f>
        <v>0.12742060113112896</v>
      </c>
      <c r="BD194" s="601"/>
      <c r="BE194" s="1109">
        <f>+BE195+RevBuild!BE$59</f>
        <v>0.11413451093373631</v>
      </c>
      <c r="BF194" s="1110">
        <f>+BF195+RevBuild!BF$59</f>
        <v>0.11994339432250581</v>
      </c>
      <c r="BG194" s="1110">
        <f>+BG195+RevBuild!BG$59</f>
        <v>0.11415611474617866</v>
      </c>
      <c r="BH194" s="1110">
        <f>+BH195+RevBuild!BH$59</f>
        <v>0.1163247261436177</v>
      </c>
      <c r="BI194" s="1261">
        <f>+BI193/BC193-1</f>
        <v>0.11608474979987293</v>
      </c>
      <c r="BJ194" s="601"/>
      <c r="BK194" s="1109">
        <f>+BK195+RevBuild!BK$59</f>
        <v>2.5448256779191838E-2</v>
      </c>
      <c r="BL194" s="1110">
        <f>+BL195+RevBuild!BL$59</f>
        <v>3.6853469527072365E-2</v>
      </c>
      <c r="BM194" s="1110">
        <f>+BM195+RevBuild!BM$59</f>
        <v>2.9980111855372422E-2</v>
      </c>
      <c r="BN194" s="1110">
        <f>+BN195+RevBuild!BN$59</f>
        <v>2.1045961636581012E-3</v>
      </c>
      <c r="BO194" s="1261">
        <f>+BO193/BI193-1</f>
        <v>2.324989877000827E-2</v>
      </c>
      <c r="BP194" s="601"/>
      <c r="BQ194" s="1109">
        <f>+BQ195+RevBuild!BQ$59</f>
        <v>-6.3744757745617942E-2</v>
      </c>
      <c r="BR194" s="1110">
        <f>+BR195+RevBuild!BR$59</f>
        <v>-6.9566678843245036E-2</v>
      </c>
      <c r="BS194" s="1110">
        <f>+BS195+RevBuild!BS$59</f>
        <v>-0.11899999999999999</v>
      </c>
      <c r="BT194" s="1110">
        <f>+BT195+RevBuild!BT$59</f>
        <v>-9.2999999999999999E-2</v>
      </c>
      <c r="BU194" s="1261">
        <f>+BU193/BO193-1</f>
        <v>-8.7777498833020773E-2</v>
      </c>
      <c r="BV194" s="601"/>
      <c r="BW194" s="1109">
        <f>+BW195+RevBuild!BW$59</f>
        <v>-1.0171630474443241E-2</v>
      </c>
      <c r="BX194" s="1110">
        <f>+BX195+RevBuild!BX$59</f>
        <v>3.4817089051387265E-2</v>
      </c>
      <c r="BY194" s="1110">
        <f>+BY195+RevBuild!BY$59</f>
        <v>5.169100746755019E-2</v>
      </c>
      <c r="BZ194" s="1110">
        <f>+BZ195+RevBuild!BZ$59</f>
        <v>2.9692969870875233E-2</v>
      </c>
      <c r="CA194" s="1261">
        <f>+CA193/BU193-1</f>
        <v>2.3343336039309603E-2</v>
      </c>
      <c r="CB194" s="601"/>
      <c r="CC194" s="1109">
        <f>+CC195+RevBuild!CC$59</f>
        <v>3.8269767644505952E-2</v>
      </c>
      <c r="CD194" s="1110">
        <f>+CD195+RevBuild!CD$59</f>
        <v>7.7434972429219123E-2</v>
      </c>
      <c r="CE194" s="1110">
        <f>+CE195+RevBuild!CE$59</f>
        <v>0.10592600794248327</v>
      </c>
      <c r="CF194" s="1110">
        <f>+CF195+RevBuild!CF$59</f>
        <v>0.14348362277123722</v>
      </c>
      <c r="CG194" s="1261">
        <f>+CG193/CA193-1</f>
        <v>9.48611635633545E-2</v>
      </c>
      <c r="CH194" s="601"/>
      <c r="CI194" s="1109">
        <f>+CI195+RevBuild!CI$59</f>
        <v>0.12000000000000001</v>
      </c>
      <c r="CJ194" s="1110">
        <f>+CJ195+RevBuild!CJ$59</f>
        <v>0.115</v>
      </c>
      <c r="CK194" s="1110">
        <f>+CK195+RevBuild!CK$59</f>
        <v>9.5000000000000001E-2</v>
      </c>
      <c r="CL194" s="1110">
        <f>+CL195+RevBuild!CL$59</f>
        <v>9.0000000000000011E-2</v>
      </c>
      <c r="CM194" s="1261">
        <f>+CM193/CG193-1</f>
        <v>0.10653195761765288</v>
      </c>
      <c r="CN194" s="601"/>
      <c r="CO194" s="1109">
        <f>+CO195+RevBuild!CO$59</f>
        <v>7.0000000000000007E-2</v>
      </c>
      <c r="CP194" s="1110">
        <f>+CP195+RevBuild!CP$59</f>
        <v>7.0000000000000007E-2</v>
      </c>
      <c r="CQ194" s="1110">
        <f>+CQ195+RevBuild!CQ$59</f>
        <v>7.0000000000000007E-2</v>
      </c>
      <c r="CR194" s="1110">
        <f>+CR195+RevBuild!CR$59</f>
        <v>7.0000000000000007E-2</v>
      </c>
      <c r="CS194" s="1261">
        <f>+CS193/CM193-1</f>
        <v>6.9923127083196368E-2</v>
      </c>
      <c r="CT194" s="601"/>
      <c r="CU194" s="1109">
        <f>+CU195+RevBuild!CU$59</f>
        <v>7.0000000000000007E-2</v>
      </c>
      <c r="CV194" s="1110">
        <f>+CV195+RevBuild!CV$59</f>
        <v>7.0000000000000007E-2</v>
      </c>
      <c r="CW194" s="1110">
        <f>+CW195+RevBuild!CW$59</f>
        <v>7.0000000000000007E-2</v>
      </c>
      <c r="CX194" s="1110">
        <f>+CX195+RevBuild!CX$59</f>
        <v>7.0000000000000007E-2</v>
      </c>
      <c r="CY194" s="1261">
        <f>+CY193/CS193-1</f>
        <v>6.9957209514810881E-2</v>
      </c>
      <c r="CZ194" s="48"/>
      <c r="DA194"/>
      <c r="DB194"/>
      <c r="DC194"/>
      <c r="DD194" s="48"/>
      <c r="DE194" s="48"/>
      <c r="DF194" s="48"/>
      <c r="DG194" s="48"/>
      <c r="DH194" s="48"/>
      <c r="DI194" s="48"/>
      <c r="DJ194" s="48"/>
      <c r="DK194" s="48"/>
    </row>
    <row r="195" spans="1:115" s="5" customFormat="1" outlineLevel="1" x14ac:dyDescent="0.2">
      <c r="A195" s="1265" t="s">
        <v>227</v>
      </c>
      <c r="B195" s="590"/>
      <c r="C195" s="1128"/>
      <c r="D195" s="1129"/>
      <c r="E195" s="1129"/>
      <c r="F195" s="1129"/>
      <c r="G195" s="1463"/>
      <c r="H195" s="592"/>
      <c r="I195" s="1128"/>
      <c r="J195" s="1129"/>
      <c r="K195" s="1129"/>
      <c r="L195" s="1129"/>
      <c r="M195" s="1463"/>
      <c r="N195" s="592"/>
      <c r="O195" s="1128"/>
      <c r="P195" s="1129"/>
      <c r="Q195" s="1129"/>
      <c r="R195" s="1129"/>
      <c r="S195" s="1463"/>
      <c r="T195" s="591"/>
      <c r="U195" s="1128"/>
      <c r="V195" s="1129"/>
      <c r="W195" s="1129"/>
      <c r="X195" s="1129"/>
      <c r="Y195" s="1463"/>
      <c r="Z195" s="593"/>
      <c r="AA195" s="1128"/>
      <c r="AB195" s="1129"/>
      <c r="AC195" s="1129"/>
      <c r="AD195" s="1129"/>
      <c r="AE195" s="1463"/>
      <c r="AF195" s="592"/>
      <c r="AG195" s="909">
        <v>0</v>
      </c>
      <c r="AH195" s="910">
        <v>0</v>
      </c>
      <c r="AI195" s="910">
        <v>0</v>
      </c>
      <c r="AJ195" s="910">
        <v>0</v>
      </c>
      <c r="AK195" s="1106">
        <v>0</v>
      </c>
      <c r="AL195" s="601"/>
      <c r="AM195" s="909">
        <v>0</v>
      </c>
      <c r="AN195" s="910">
        <v>0</v>
      </c>
      <c r="AO195" s="910">
        <v>0</v>
      </c>
      <c r="AP195" s="910">
        <v>0</v>
      </c>
      <c r="AQ195" s="1106">
        <v>0</v>
      </c>
      <c r="AR195" s="601"/>
      <c r="AS195" s="909">
        <v>0.5</v>
      </c>
      <c r="AT195" s="910">
        <f>1.36363636363636-1</f>
        <v>0.36363636363635998</v>
      </c>
      <c r="AU195" s="910">
        <f>1.25-1</f>
        <v>0.25</v>
      </c>
      <c r="AV195" s="910">
        <f>1.15384615384615-1</f>
        <v>0.15384615384614997</v>
      </c>
      <c r="AW195" s="1260">
        <f>+AW194-RevBuild!AW$59</f>
        <v>0.24430766671057655</v>
      </c>
      <c r="AX195" s="592"/>
      <c r="AY195" s="909">
        <v>0.15</v>
      </c>
      <c r="AZ195" s="910">
        <v>0.15</v>
      </c>
      <c r="BA195" s="910">
        <v>0.15</v>
      </c>
      <c r="BB195" s="910">
        <v>0.15</v>
      </c>
      <c r="BC195" s="1259">
        <f>+BC194-RevBuild!BC$59</f>
        <v>0.15500408713280303</v>
      </c>
      <c r="BD195" s="601"/>
      <c r="BE195" s="909">
        <v>0.12</v>
      </c>
      <c r="BF195" s="910">
        <v>0.12</v>
      </c>
      <c r="BG195" s="910">
        <v>0.12</v>
      </c>
      <c r="BH195" s="910">
        <v>0.12</v>
      </c>
      <c r="BI195" s="1259">
        <f>+BI194-RevBuild!BI$59</f>
        <v>0.12468991411013959</v>
      </c>
      <c r="BJ195" s="601"/>
      <c r="BK195" s="909">
        <v>0.03</v>
      </c>
      <c r="BL195" s="910">
        <v>0.03</v>
      </c>
      <c r="BM195" s="910">
        <v>0.03</v>
      </c>
      <c r="BN195" s="910">
        <v>0.05</v>
      </c>
      <c r="BO195" s="1259">
        <f>+BO194-RevBuild!BO$59</f>
        <v>3.2789482843297489E-2</v>
      </c>
      <c r="BP195" s="601"/>
      <c r="BQ195" s="909">
        <v>1.4999999999999999E-2</v>
      </c>
      <c r="BR195" s="910">
        <v>1.4999999999999999E-2</v>
      </c>
      <c r="BS195" s="910">
        <v>-0.03</v>
      </c>
      <c r="BT195" s="910">
        <v>-0.03</v>
      </c>
      <c r="BU195" s="1259">
        <f>+BU194-RevBuild!BU$59</f>
        <v>-7.527498833020882E-3</v>
      </c>
      <c r="BV195" s="601"/>
      <c r="BW195" s="909">
        <v>0.01</v>
      </c>
      <c r="BX195" s="910">
        <v>0.05</v>
      </c>
      <c r="BY195" s="910">
        <v>0.06</v>
      </c>
      <c r="BZ195" s="910">
        <v>0.06</v>
      </c>
      <c r="CA195" s="1259">
        <f>+CA194-RevBuild!CA$59</f>
        <v>4.2054417283660828E-2</v>
      </c>
      <c r="CB195" s="601"/>
      <c r="CC195" s="909">
        <v>0.06</v>
      </c>
      <c r="CD195" s="910">
        <v>0.1</v>
      </c>
      <c r="CE195" s="910">
        <v>0.1</v>
      </c>
      <c r="CF195" s="910">
        <v>0.12</v>
      </c>
      <c r="CG195" s="1259">
        <f>+CG194-RevBuild!CG$59</f>
        <v>9.8582570866493108E-2</v>
      </c>
      <c r="CH195" s="601"/>
      <c r="CI195" s="909">
        <v>7.0000000000000007E-2</v>
      </c>
      <c r="CJ195" s="910">
        <f>+CI195</f>
        <v>7.0000000000000007E-2</v>
      </c>
      <c r="CK195" s="910">
        <f>+CJ195</f>
        <v>7.0000000000000007E-2</v>
      </c>
      <c r="CL195" s="910">
        <f>+CK195</f>
        <v>7.0000000000000007E-2</v>
      </c>
      <c r="CM195" s="1259">
        <f>+CM194-RevBuild!CM$59</f>
        <v>7.153195761765288E-2</v>
      </c>
      <c r="CN195" s="601"/>
      <c r="CO195" s="909">
        <v>7.0000000000000007E-2</v>
      </c>
      <c r="CP195" s="910">
        <f t="shared" ref="CP195:CR195" si="33">+CO195</f>
        <v>7.0000000000000007E-2</v>
      </c>
      <c r="CQ195" s="910">
        <f t="shared" si="33"/>
        <v>7.0000000000000007E-2</v>
      </c>
      <c r="CR195" s="910">
        <f t="shared" si="33"/>
        <v>7.0000000000000007E-2</v>
      </c>
      <c r="CS195" s="1259">
        <f>+CS194-RevBuild!CS$59</f>
        <v>6.9923127083196368E-2</v>
      </c>
      <c r="CT195" s="601"/>
      <c r="CU195" s="909">
        <v>7.0000000000000007E-2</v>
      </c>
      <c r="CV195" s="910">
        <f t="shared" ref="CV195:CX195" si="34">+CU195</f>
        <v>7.0000000000000007E-2</v>
      </c>
      <c r="CW195" s="910">
        <f t="shared" si="34"/>
        <v>7.0000000000000007E-2</v>
      </c>
      <c r="CX195" s="910">
        <f t="shared" si="34"/>
        <v>7.0000000000000007E-2</v>
      </c>
      <c r="CY195" s="1259">
        <f>+CY194-RevBuild!CY$59</f>
        <v>6.9957209514810881E-2</v>
      </c>
      <c r="CZ195" s="48"/>
      <c r="DA195"/>
      <c r="DB195"/>
      <c r="DC195"/>
      <c r="DD195" s="48"/>
      <c r="DE195" s="48"/>
      <c r="DF195" s="48"/>
      <c r="DG195" s="48"/>
      <c r="DH195" s="48"/>
      <c r="DI195" s="48"/>
      <c r="DJ195" s="48"/>
      <c r="DK195" s="48"/>
    </row>
    <row r="196" spans="1:115" s="5" customFormat="1" outlineLevel="1" x14ac:dyDescent="0.2">
      <c r="A196" s="1262" t="s">
        <v>537</v>
      </c>
      <c r="B196" s="590"/>
      <c r="C196" s="1128"/>
      <c r="D196" s="1129"/>
      <c r="E196" s="1129"/>
      <c r="F196" s="1129"/>
      <c r="G196" s="1463"/>
      <c r="H196" s="592"/>
      <c r="I196" s="1128"/>
      <c r="J196" s="1129"/>
      <c r="K196" s="1129"/>
      <c r="L196" s="1129"/>
      <c r="M196" s="1463"/>
      <c r="N196" s="592"/>
      <c r="O196" s="1128"/>
      <c r="P196" s="1129"/>
      <c r="Q196" s="1129"/>
      <c r="R196" s="1129"/>
      <c r="S196" s="1463"/>
      <c r="T196" s="591"/>
      <c r="U196" s="1128"/>
      <c r="V196" s="1129"/>
      <c r="W196" s="1129"/>
      <c r="X196" s="1129"/>
      <c r="Y196" s="1463"/>
      <c r="Z196" s="593"/>
      <c r="AA196" s="1128"/>
      <c r="AB196" s="1129"/>
      <c r="AC196" s="1129"/>
      <c r="AD196" s="1129"/>
      <c r="AE196" s="1463"/>
      <c r="AF196" s="592"/>
      <c r="AG196" s="53">
        <v>0</v>
      </c>
      <c r="AH196" s="51">
        <v>0</v>
      </c>
      <c r="AI196" s="51">
        <v>0</v>
      </c>
      <c r="AJ196" s="51">
        <v>0</v>
      </c>
      <c r="AK196" s="580">
        <v>0</v>
      </c>
      <c r="AL196" s="601"/>
      <c r="AM196" s="53">
        <v>0</v>
      </c>
      <c r="AN196" s="51">
        <v>0</v>
      </c>
      <c r="AO196" s="51">
        <v>35</v>
      </c>
      <c r="AP196" s="51">
        <v>45</v>
      </c>
      <c r="AQ196" s="580">
        <f>+((AM183)*(AM196/4)+(AN183)*(AN196/4)+(AO183)*(AO196/4)+(AP183)*(AP196/4))/(AQ183)</f>
        <v>18.457207207207208</v>
      </c>
      <c r="AR196" s="601"/>
      <c r="AS196" s="53">
        <v>50</v>
      </c>
      <c r="AT196" s="51">
        <v>65</v>
      </c>
      <c r="AU196" s="20">
        <f>+AO196*(1+AU197)</f>
        <v>68.008725489123904</v>
      </c>
      <c r="AV196" s="20">
        <f>+AP196*(1+AV197)</f>
        <v>69.712644739050177</v>
      </c>
      <c r="AW196" s="580">
        <f>+((AS183)*(AS196/4)+(AT183)*(AT196/4)+(AU183)*(AU196/4)+(AV183)*(AV196/4))/(AW183)</f>
        <v>61.379505192028553</v>
      </c>
      <c r="AX196" s="592"/>
      <c r="AY196" s="19">
        <f>+AS196*(1+AY197)</f>
        <v>74.584233629122295</v>
      </c>
      <c r="AZ196" s="20">
        <f>+AT196*(1+AZ197)</f>
        <v>77.917089450947458</v>
      </c>
      <c r="BA196" s="20">
        <f>+AU196*(1+BA197)</f>
        <v>81.836413001017206</v>
      </c>
      <c r="BB196" s="20">
        <f>+AV196*(1+BB197)</f>
        <v>83.391515553178124</v>
      </c>
      <c r="BC196" s="580">
        <f>+((AY183)*(AY196/4)+(AZ183)*(AZ196/4)+(BA183)*(BA196/4)+(BB183)*(BB196/4))/(BC183)</f>
        <v>80.221534075907698</v>
      </c>
      <c r="BD196" s="601"/>
      <c r="BE196" s="19">
        <f>+AY196*(1+BE197)</f>
        <v>85.334395666623379</v>
      </c>
      <c r="BF196" s="20">
        <f>+AZ196*(1+BF197)</f>
        <v>87.262729635424407</v>
      </c>
      <c r="BG196" s="20">
        <f>+BA196*(1+BG197)</f>
        <v>91.178539953976994</v>
      </c>
      <c r="BH196" s="20">
        <f>+BB196*(1+BH197)</f>
        <v>93.092010762602811</v>
      </c>
      <c r="BI196" s="580">
        <f>+((BE183)*(BE196/4)+(BF183)*(BF196/4)+(BG183)*(BG196/4)+(BH183)*(BH196/4))/(BI183)</f>
        <v>89.615190327017601</v>
      </c>
      <c r="BJ196" s="601"/>
      <c r="BK196" s="19">
        <f>+BE196*(1+BK197)</f>
        <v>87.506007279644763</v>
      </c>
      <c r="BL196" s="20">
        <f>+BF196*(1+BL197)</f>
        <v>90.47866398289267</v>
      </c>
      <c r="BM196" s="20">
        <f>+BG196*(1+BM197)</f>
        <v>93.912082780606767</v>
      </c>
      <c r="BN196" s="20">
        <f>+BH196*(1+BN197)</f>
        <v>95.149772066573064</v>
      </c>
      <c r="BO196" s="580">
        <f>+((BK183)*(BK196/4)+(BL183)*(BL196/4)+(BM183)*(BM196/4)+(BN183)*(BN196/4))/(BO183)</f>
        <v>92.02457746983454</v>
      </c>
      <c r="BP196" s="601"/>
      <c r="BQ196" s="19">
        <f>+BK196*(1+BQ197)</f>
        <v>89.365968663087344</v>
      </c>
      <c r="BR196" s="20">
        <f>+BL196*(1+BR197)</f>
        <v>91.875050261974778</v>
      </c>
      <c r="BS196" s="20">
        <f>+BM196*(1+BS197)</f>
        <v>94.94511569119345</v>
      </c>
      <c r="BT196" s="20">
        <f>+BN196*(1+BT197)</f>
        <v>98.670313633036258</v>
      </c>
      <c r="BU196" s="580">
        <f>+((BQ183)*(BQ196/4)+(BR183)*(BR196/4)+(BS183)*(BS196/4)+(BT183)*(BT196/4))/(BU183)</f>
        <v>93.796819595798709</v>
      </c>
      <c r="BV196" s="601"/>
      <c r="BW196" s="19">
        <f>+BQ196*(1+BW197)</f>
        <v>96.499908232533613</v>
      </c>
      <c r="BX196" s="20">
        <f>+BR196*(1+BX197)</f>
        <v>99.66762458164537</v>
      </c>
      <c r="BY196" s="20">
        <f>+BS196*(1+BY197)</f>
        <v>103.65072900304207</v>
      </c>
      <c r="BZ196" s="20">
        <f>+BT196*(1+BZ197)</f>
        <v>105.54694082821327</v>
      </c>
      <c r="CA196" s="580">
        <f>+((BW183)*(BW196/4)+(BX183)*(BX196/4)+(BY183)*(BY196/4)+(BZ183)*(BZ196/4))/(CA183)</f>
        <v>100.99608246649588</v>
      </c>
      <c r="CB196" s="601"/>
      <c r="CC196" s="19">
        <f>+BW196*(1+CC197)</f>
        <v>104.05293362761016</v>
      </c>
      <c r="CD196" s="20">
        <f>+BX196*(1+CD197)</f>
        <v>107.38538434321084</v>
      </c>
      <c r="CE196" s="20">
        <f>+BY196*(1+CE197)</f>
        <v>114.63003694666249</v>
      </c>
      <c r="CF196" s="20">
        <f>+BZ196*(1+CF197)</f>
        <v>120.69119827066672</v>
      </c>
      <c r="CG196" s="580">
        <f>+((CC183)*(CC196/4)+(CD183)*(CD196/4)+(CE183)*(CE196/4)+(CF183)*(CF196/4))/(CG183)</f>
        <v>111.71310415801759</v>
      </c>
      <c r="CH196" s="601"/>
      <c r="CI196" s="19">
        <f>+CC196*(1+CI197)</f>
        <v>116.53928566292339</v>
      </c>
      <c r="CJ196" s="20">
        <f>+CD196*(1+CJ197)</f>
        <v>119.73470354268009</v>
      </c>
      <c r="CK196" s="20">
        <f>+CE196*(1+CK197)</f>
        <v>125.51989045659542</v>
      </c>
      <c r="CL196" s="20">
        <f>+CF196*(1+CL197)</f>
        <v>131.55340611502672</v>
      </c>
      <c r="CM196" s="580">
        <f>+((CI183)*(CI196/4)+(CJ183)*(CJ196/4)+(CK183)*(CK196/4)+(CL183)*(CL196/4))/(CM183)</f>
        <v>123.5062322635505</v>
      </c>
      <c r="CN196" s="601"/>
      <c r="CO196" s="19">
        <f t="shared" ref="CO196:CR196" si="35">+CI196*(1+CO197)</f>
        <v>124.69703565932804</v>
      </c>
      <c r="CP196" s="20">
        <f t="shared" si="35"/>
        <v>128.11613279066771</v>
      </c>
      <c r="CQ196" s="20">
        <f t="shared" si="35"/>
        <v>134.3062827885571</v>
      </c>
      <c r="CR196" s="20">
        <f t="shared" si="35"/>
        <v>140.76214454307859</v>
      </c>
      <c r="CS196" s="580">
        <f t="shared" ref="CS196" si="36">+((CO183)*(CO196/4)+(CP183)*(CP196/4)+(CQ183)*(CQ196/4)+(CR183)*(CR196/4))/(CS183)</f>
        <v>132.11064194730332</v>
      </c>
      <c r="CT196" s="601"/>
      <c r="CU196" s="19">
        <f t="shared" ref="CU196:CX196" si="37">+CO196*(1+CU197)</f>
        <v>133.42582815548101</v>
      </c>
      <c r="CV196" s="20">
        <f t="shared" si="37"/>
        <v>137.08426208601446</v>
      </c>
      <c r="CW196" s="20">
        <f t="shared" si="37"/>
        <v>143.70772258375609</v>
      </c>
      <c r="CX196" s="20">
        <f t="shared" si="37"/>
        <v>150.61549466109409</v>
      </c>
      <c r="CY196" s="580">
        <f t="shared" ref="CY196" si="38">+((CU183)*(CU196/4)+(CV183)*(CV196/4)+(CW183)*(CW196/4)+(CX183)*(CX196/4))/(CY183)</f>
        <v>141.33382677418973</v>
      </c>
      <c r="CZ196" s="48"/>
      <c r="DA196"/>
      <c r="DB196"/>
      <c r="DC196"/>
      <c r="DD196" s="48"/>
      <c r="DE196" s="48"/>
      <c r="DF196" s="48"/>
      <c r="DG196" s="48"/>
      <c r="DH196" s="48"/>
      <c r="DI196" s="48"/>
      <c r="DJ196" s="48"/>
      <c r="DK196" s="48"/>
    </row>
    <row r="197" spans="1:115" s="5" customFormat="1" outlineLevel="1" x14ac:dyDescent="0.2">
      <c r="A197" s="1139" t="s">
        <v>639</v>
      </c>
      <c r="B197" s="590"/>
      <c r="C197" s="1128"/>
      <c r="D197" s="1129"/>
      <c r="E197" s="1129"/>
      <c r="F197" s="1129"/>
      <c r="G197" s="1463"/>
      <c r="H197" s="592"/>
      <c r="I197" s="1128"/>
      <c r="J197" s="1129"/>
      <c r="K197" s="1129"/>
      <c r="L197" s="1129"/>
      <c r="M197" s="1463"/>
      <c r="N197" s="592"/>
      <c r="O197" s="1128"/>
      <c r="P197" s="1129"/>
      <c r="Q197" s="1129"/>
      <c r="R197" s="1129"/>
      <c r="S197" s="1463"/>
      <c r="T197" s="591"/>
      <c r="U197" s="1128"/>
      <c r="V197" s="1129"/>
      <c r="W197" s="1129"/>
      <c r="X197" s="1129"/>
      <c r="Y197" s="1463"/>
      <c r="Z197" s="593"/>
      <c r="AA197" s="1128"/>
      <c r="AB197" s="1129"/>
      <c r="AC197" s="1129"/>
      <c r="AD197" s="1129"/>
      <c r="AE197" s="1463"/>
      <c r="AF197" s="592"/>
      <c r="AG197" s="909">
        <v>0</v>
      </c>
      <c r="AH197" s="910">
        <v>0</v>
      </c>
      <c r="AI197" s="910">
        <v>0</v>
      </c>
      <c r="AJ197" s="910">
        <v>0</v>
      </c>
      <c r="AK197" s="1106">
        <v>0</v>
      </c>
      <c r="AL197" s="601"/>
      <c r="AM197" s="909">
        <v>0</v>
      </c>
      <c r="AN197" s="910">
        <v>0</v>
      </c>
      <c r="AO197" s="910">
        <v>0</v>
      </c>
      <c r="AP197" s="910">
        <v>0</v>
      </c>
      <c r="AQ197" s="1106">
        <v>0</v>
      </c>
      <c r="AR197" s="601"/>
      <c r="AS197" s="909">
        <v>0</v>
      </c>
      <c r="AT197" s="910">
        <v>0</v>
      </c>
      <c r="AU197" s="1110">
        <f>+AU198+RevBuild!AU$59</f>
        <v>0.94310644254639697</v>
      </c>
      <c r="AV197" s="1110">
        <f>+AV198+RevBuild!AV$59</f>
        <v>0.54916988309000392</v>
      </c>
      <c r="AW197" s="1261">
        <f>+AW196/AQ196-1</f>
        <v>2.3255033929543227</v>
      </c>
      <c r="AX197" s="592"/>
      <c r="AY197" s="1109">
        <f>+AY198+RevBuild!AY$59</f>
        <v>0.49168467258244586</v>
      </c>
      <c r="AZ197" s="1110">
        <f>+AZ198+RevBuild!AZ$59</f>
        <v>0.19872445309149922</v>
      </c>
      <c r="BA197" s="1110">
        <f>+BA198+RevBuild!BA$59</f>
        <v>0.20332225626114195</v>
      </c>
      <c r="BB197" s="1110">
        <f>+BB198+RevBuild!BB$59</f>
        <v>0.19621792954966763</v>
      </c>
      <c r="BC197" s="1261">
        <f>+BC196/AW196-1</f>
        <v>0.30697590058653956</v>
      </c>
      <c r="BD197" s="601"/>
      <c r="BE197" s="1109">
        <f>+BE198+RevBuild!BE$59</f>
        <v>0.1441345109337363</v>
      </c>
      <c r="BF197" s="1110">
        <f>+BF198+RevBuild!BF$59</f>
        <v>0.11994339432250581</v>
      </c>
      <c r="BG197" s="1110">
        <f>+BG198+RevBuild!BG$59</f>
        <v>0.11415611474617866</v>
      </c>
      <c r="BH197" s="1110">
        <f>+BH198+RevBuild!BH$59</f>
        <v>0.1163247261436177</v>
      </c>
      <c r="BI197" s="1261">
        <f>+BI196/BC196-1</f>
        <v>0.1170964424866443</v>
      </c>
      <c r="BJ197" s="601"/>
      <c r="BK197" s="1109">
        <f>+BK198+RevBuild!BK$59</f>
        <v>2.5448256779191838E-2</v>
      </c>
      <c r="BL197" s="1110">
        <f>+BL198+RevBuild!BL$59</f>
        <v>3.6853469527072365E-2</v>
      </c>
      <c r="BM197" s="1110">
        <f>+BM198+RevBuild!BM$59</f>
        <v>2.9980111855372422E-2</v>
      </c>
      <c r="BN197" s="1110">
        <f>+BN198+RevBuild!BN$59</f>
        <v>2.2104596163658105E-2</v>
      </c>
      <c r="BO197" s="1261">
        <f>+BO196/BI196-1</f>
        <v>2.6885923402324652E-2</v>
      </c>
      <c r="BP197" s="601"/>
      <c r="BQ197" s="1109">
        <f>+BQ198+RevBuild!BQ$59</f>
        <v>2.1255242254382065E-2</v>
      </c>
      <c r="BR197" s="1110">
        <f>+BR198+RevBuild!BR$59</f>
        <v>1.543332115675497E-2</v>
      </c>
      <c r="BS197" s="1110">
        <f>+BS198+RevBuild!BS$59</f>
        <v>1.100000000000001E-2</v>
      </c>
      <c r="BT197" s="1110">
        <f>+BT198+RevBuild!BT$59</f>
        <v>3.7000000000000005E-2</v>
      </c>
      <c r="BU197" s="1261">
        <f>+BU196/BO196-1</f>
        <v>1.9258356568331969E-2</v>
      </c>
      <c r="BV197" s="601"/>
      <c r="BW197" s="1109">
        <f>+BW198+RevBuild!BW$59</f>
        <v>7.9828369525556761E-2</v>
      </c>
      <c r="BX197" s="1110">
        <f>+BX198+RevBuild!BX$59</f>
        <v>8.4817089051387268E-2</v>
      </c>
      <c r="BY197" s="1110">
        <f>+BY198+RevBuild!BY$59</f>
        <v>9.1691007467550198E-2</v>
      </c>
      <c r="BZ197" s="1110">
        <f>+BZ198+RevBuild!BZ$59</f>
        <v>6.969296987087524E-2</v>
      </c>
      <c r="CA197" s="1261">
        <f>+CA196/BU196-1</f>
        <v>7.6753805744386172E-2</v>
      </c>
      <c r="CB197" s="601"/>
      <c r="CC197" s="1109">
        <f>+CC198+RevBuild!CC$59</f>
        <v>7.8269767644505966E-2</v>
      </c>
      <c r="CD197" s="1110">
        <f>+CD198+RevBuild!CD$59</f>
        <v>7.7434972429219123E-2</v>
      </c>
      <c r="CE197" s="1110">
        <f>+CE198+RevBuild!CE$59</f>
        <v>0.10592600794248327</v>
      </c>
      <c r="CF197" s="1110">
        <f>+CF198+RevBuild!CF$59</f>
        <v>0.14348362277123722</v>
      </c>
      <c r="CG197" s="1261">
        <f>+CG196/CA196-1</f>
        <v>0.10611324152178803</v>
      </c>
      <c r="CH197" s="601"/>
      <c r="CI197" s="1109">
        <f>+CI198+RevBuild!CI$59</f>
        <v>0.12000000000000001</v>
      </c>
      <c r="CJ197" s="1110">
        <f>+CJ198+RevBuild!CJ$59</f>
        <v>0.115</v>
      </c>
      <c r="CK197" s="1110">
        <f>+CK198+RevBuild!CK$59</f>
        <v>9.5000000000000001E-2</v>
      </c>
      <c r="CL197" s="1110">
        <f>+CL198+RevBuild!CL$59</f>
        <v>9.0000000000000011E-2</v>
      </c>
      <c r="CM197" s="1261">
        <f>+CM196/CG196-1</f>
        <v>0.10556620187414723</v>
      </c>
      <c r="CN197" s="601"/>
      <c r="CO197" s="1109">
        <f>+CO198+RevBuild!CO$59</f>
        <v>7.0000000000000007E-2</v>
      </c>
      <c r="CP197" s="1110">
        <f>+CP198+RevBuild!CP$59</f>
        <v>7.0000000000000007E-2</v>
      </c>
      <c r="CQ197" s="1110">
        <f>+CQ198+RevBuild!CQ$59</f>
        <v>7.0000000000000007E-2</v>
      </c>
      <c r="CR197" s="1110">
        <f>+CR198+RevBuild!CR$59</f>
        <v>7.0000000000000007E-2</v>
      </c>
      <c r="CS197" s="1261">
        <f t="shared" ref="CS197" si="39">+CS196/CM196-1</f>
        <v>6.9667817777744556E-2</v>
      </c>
      <c r="CT197" s="601"/>
      <c r="CU197" s="1109">
        <f>+CU198+RevBuild!CU$59</f>
        <v>7.0000000000000007E-2</v>
      </c>
      <c r="CV197" s="1110">
        <f>+CV198+RevBuild!CV$59</f>
        <v>7.0000000000000007E-2</v>
      </c>
      <c r="CW197" s="1110">
        <f>+CW198+RevBuild!CW$59</f>
        <v>7.0000000000000007E-2</v>
      </c>
      <c r="CX197" s="1110">
        <f>+CX198+RevBuild!CX$59</f>
        <v>7.0000000000000007E-2</v>
      </c>
      <c r="CY197" s="1261">
        <f t="shared" ref="CY197" si="40">+CY196/CS196-1</f>
        <v>6.9814094390407755E-2</v>
      </c>
      <c r="CZ197" s="48"/>
      <c r="DA197"/>
      <c r="DB197"/>
      <c r="DC197"/>
      <c r="DD197" s="48"/>
      <c r="DE197" s="48"/>
      <c r="DF197" s="48"/>
      <c r="DG197" s="48"/>
      <c r="DH197" s="48"/>
      <c r="DI197" s="48"/>
      <c r="DJ197" s="48"/>
      <c r="DK197" s="48"/>
    </row>
    <row r="198" spans="1:115" s="5" customFormat="1" outlineLevel="1" x14ac:dyDescent="0.2">
      <c r="A198" s="1265" t="s">
        <v>227</v>
      </c>
      <c r="B198" s="590"/>
      <c r="C198" s="1128"/>
      <c r="D198" s="1129"/>
      <c r="E198" s="1129"/>
      <c r="F198" s="1129"/>
      <c r="G198" s="1463"/>
      <c r="H198" s="592"/>
      <c r="I198" s="1128"/>
      <c r="J198" s="1129"/>
      <c r="K198" s="1129"/>
      <c r="L198" s="1129"/>
      <c r="M198" s="1463"/>
      <c r="N198" s="592"/>
      <c r="O198" s="1128"/>
      <c r="P198" s="1129"/>
      <c r="Q198" s="1129"/>
      <c r="R198" s="1129"/>
      <c r="S198" s="1463"/>
      <c r="T198" s="591"/>
      <c r="U198" s="1128"/>
      <c r="V198" s="1129"/>
      <c r="W198" s="1129"/>
      <c r="X198" s="1129"/>
      <c r="Y198" s="1463"/>
      <c r="Z198" s="593"/>
      <c r="AA198" s="1128"/>
      <c r="AB198" s="1129"/>
      <c r="AC198" s="1129"/>
      <c r="AD198" s="1129"/>
      <c r="AE198" s="1463"/>
      <c r="AF198" s="592"/>
      <c r="AG198" s="909">
        <v>0</v>
      </c>
      <c r="AH198" s="910">
        <v>0</v>
      </c>
      <c r="AI198" s="910">
        <v>0</v>
      </c>
      <c r="AJ198" s="910">
        <v>0</v>
      </c>
      <c r="AK198" s="1106">
        <v>0</v>
      </c>
      <c r="AL198" s="601"/>
      <c r="AM198" s="909">
        <v>0</v>
      </c>
      <c r="AN198" s="910">
        <v>0</v>
      </c>
      <c r="AO198" s="910">
        <v>0</v>
      </c>
      <c r="AP198" s="910">
        <v>0</v>
      </c>
      <c r="AQ198" s="1106">
        <v>0</v>
      </c>
      <c r="AR198" s="601"/>
      <c r="AS198" s="909">
        <v>0</v>
      </c>
      <c r="AT198" s="910">
        <v>0</v>
      </c>
      <c r="AU198" s="910">
        <v>0.9</v>
      </c>
      <c r="AV198" s="910">
        <v>0.55000000000000004</v>
      </c>
      <c r="AW198" s="1260">
        <f>+AW197-RevBuild!AW$59</f>
        <v>2.2898057165040466</v>
      </c>
      <c r="AX198" s="592"/>
      <c r="AY198" s="909">
        <v>0.5</v>
      </c>
      <c r="AZ198" s="910">
        <v>0.25</v>
      </c>
      <c r="BA198" s="910">
        <v>0.25</v>
      </c>
      <c r="BB198" s="910">
        <v>0.2</v>
      </c>
      <c r="BC198" s="1259">
        <f>+BC197-RevBuild!BC$59</f>
        <v>0.3345593865882136</v>
      </c>
      <c r="BD198" s="601"/>
      <c r="BE198" s="909">
        <v>0.15</v>
      </c>
      <c r="BF198" s="910">
        <v>0.12</v>
      </c>
      <c r="BG198" s="910">
        <v>0.12</v>
      </c>
      <c r="BH198" s="910">
        <v>0.12</v>
      </c>
      <c r="BI198" s="1259">
        <f>+BI197-RevBuild!BI$59</f>
        <v>0.12570160679691095</v>
      </c>
      <c r="BJ198" s="601"/>
      <c r="BK198" s="909">
        <v>0.03</v>
      </c>
      <c r="BL198" s="910">
        <v>0.03</v>
      </c>
      <c r="BM198" s="910">
        <v>0.03</v>
      </c>
      <c r="BN198" s="910">
        <v>7.0000000000000007E-2</v>
      </c>
      <c r="BO198" s="1259">
        <f>+BO197-RevBuild!BO$59</f>
        <v>3.6425507475613871E-2</v>
      </c>
      <c r="BP198" s="601"/>
      <c r="BQ198" s="909">
        <v>0.1</v>
      </c>
      <c r="BR198" s="910">
        <v>0.1</v>
      </c>
      <c r="BS198" s="910">
        <v>0.1</v>
      </c>
      <c r="BT198" s="910">
        <v>0.1</v>
      </c>
      <c r="BU198" s="1259">
        <f>+BU197-RevBuild!BU$59</f>
        <v>9.950835656833186E-2</v>
      </c>
      <c r="BV198" s="601"/>
      <c r="BW198" s="909">
        <v>0.1</v>
      </c>
      <c r="BX198" s="910">
        <v>0.1</v>
      </c>
      <c r="BY198" s="910">
        <v>0.1</v>
      </c>
      <c r="BZ198" s="910">
        <v>0.1</v>
      </c>
      <c r="CA198" s="1259">
        <f>+CA197-RevBuild!CA$59</f>
        <v>9.5464886988737396E-2</v>
      </c>
      <c r="CB198" s="601"/>
      <c r="CC198" s="909">
        <v>0.1</v>
      </c>
      <c r="CD198" s="910">
        <v>0.1</v>
      </c>
      <c r="CE198" s="910">
        <v>0.1</v>
      </c>
      <c r="CF198" s="910">
        <v>0.12</v>
      </c>
      <c r="CG198" s="1259">
        <f>+CG197-RevBuild!CG$59</f>
        <v>0.10983464882492663</v>
      </c>
      <c r="CH198" s="601"/>
      <c r="CI198" s="909">
        <v>7.0000000000000007E-2</v>
      </c>
      <c r="CJ198" s="910">
        <f>+CI198</f>
        <v>7.0000000000000007E-2</v>
      </c>
      <c r="CK198" s="910">
        <f>+CJ198</f>
        <v>7.0000000000000007E-2</v>
      </c>
      <c r="CL198" s="910">
        <f>+CK198</f>
        <v>7.0000000000000007E-2</v>
      </c>
      <c r="CM198" s="1259">
        <f>+CM197-RevBuild!CM$59</f>
        <v>7.0566201874147222E-2</v>
      </c>
      <c r="CN198" s="601"/>
      <c r="CO198" s="909">
        <v>7.0000000000000007E-2</v>
      </c>
      <c r="CP198" s="910">
        <f t="shared" ref="CP198:CR198" si="41">+CO198</f>
        <v>7.0000000000000007E-2</v>
      </c>
      <c r="CQ198" s="910">
        <f t="shared" si="41"/>
        <v>7.0000000000000007E-2</v>
      </c>
      <c r="CR198" s="910">
        <f t="shared" si="41"/>
        <v>7.0000000000000007E-2</v>
      </c>
      <c r="CS198" s="1259">
        <f>+CS197-RevBuild!CS$59</f>
        <v>6.9667817777744556E-2</v>
      </c>
      <c r="CT198" s="601"/>
      <c r="CU198" s="909">
        <v>7.0000000000000007E-2</v>
      </c>
      <c r="CV198" s="910">
        <f t="shared" ref="CV198:CX198" si="42">+CU198</f>
        <v>7.0000000000000007E-2</v>
      </c>
      <c r="CW198" s="910">
        <f t="shared" si="42"/>
        <v>7.0000000000000007E-2</v>
      </c>
      <c r="CX198" s="910">
        <f t="shared" si="42"/>
        <v>7.0000000000000007E-2</v>
      </c>
      <c r="CY198" s="1259">
        <f>+CY197-RevBuild!CY$59</f>
        <v>6.9814094390407755E-2</v>
      </c>
      <c r="CZ198" s="48"/>
      <c r="DA198"/>
      <c r="DB198"/>
      <c r="DC198"/>
      <c r="DD198" s="48"/>
      <c r="DE198" s="48"/>
      <c r="DF198" s="48"/>
      <c r="DG198" s="48"/>
      <c r="DH198" s="48"/>
      <c r="DI198" s="48"/>
      <c r="DJ198" s="48"/>
      <c r="DK198" s="48"/>
    </row>
    <row r="199" spans="1:115" s="5" customFormat="1" x14ac:dyDescent="0.2">
      <c r="A199" s="432" t="s">
        <v>594</v>
      </c>
      <c r="B199" s="590"/>
      <c r="C199" s="1128"/>
      <c r="D199" s="1129"/>
      <c r="E199" s="1129"/>
      <c r="F199" s="1129"/>
      <c r="G199" s="1463"/>
      <c r="H199" s="592"/>
      <c r="I199" s="1128"/>
      <c r="J199" s="1129"/>
      <c r="K199" s="1129"/>
      <c r="L199" s="1129"/>
      <c r="M199" s="1463"/>
      <c r="N199" s="592"/>
      <c r="O199" s="1128"/>
      <c r="P199" s="1129"/>
      <c r="Q199" s="1129"/>
      <c r="R199" s="1129"/>
      <c r="S199" s="1463"/>
      <c r="T199" s="591"/>
      <c r="U199" s="1128"/>
      <c r="V199" s="1129"/>
      <c r="W199" s="1129"/>
      <c r="X199" s="1129"/>
      <c r="Y199" s="1463"/>
      <c r="Z199" s="593"/>
      <c r="AA199" s="1128"/>
      <c r="AB199" s="1129"/>
      <c r="AC199" s="1129"/>
      <c r="AD199" s="1129"/>
      <c r="AE199" s="1463"/>
      <c r="AF199" s="592"/>
      <c r="AG199" s="581">
        <f>+((AG181*AG192*AG189)+(AG185*AG188*AG177))/(AG177*AG188)</f>
        <v>40</v>
      </c>
      <c r="AH199" s="550">
        <f>+((AH181*AH192*AH189)+(AH185*AH188*AH177))/(AH177*AH188)</f>
        <v>40</v>
      </c>
      <c r="AI199" s="550">
        <f>+((AI181*AI192*AI189)+(AI185*AI188*AI177))/(AI177*AI188)</f>
        <v>40</v>
      </c>
      <c r="AJ199" s="550">
        <f>+((AJ181*AJ192*AJ189)+(AJ185*AJ188*AJ177))/(AJ177*AJ188)</f>
        <v>40</v>
      </c>
      <c r="AK199" s="580">
        <f>+((AK181*AK192*AK189)+(AK185*AK188*AK177))/(AK177*AK188)</f>
        <v>40</v>
      </c>
      <c r="AL199" s="601"/>
      <c r="AM199" s="581">
        <f>+((AM181*AM192*AM189)+(AM185*AM188*AM177))/(AM177*AM188)</f>
        <v>50</v>
      </c>
      <c r="AN199" s="550">
        <f>+((AN181*AN192*AN189)+(AN185*AN188*AN177))/(AN177*AN188)</f>
        <v>65</v>
      </c>
      <c r="AO199" s="550">
        <f>+((AO181*AO192*AO189)+(AO185*AO188*AO177))/(AO177*AO188)</f>
        <v>74.756097560975604</v>
      </c>
      <c r="AP199" s="550">
        <f>+((AP181*AP192*AP189)+(AP185*AP188*AP177))/(AP177*AP188)</f>
        <v>87.317073170731703</v>
      </c>
      <c r="AQ199" s="580">
        <f>+((AQ181*AQ192*AQ189)+(AQ185*AQ188*AQ177))/(AQ177*AQ188)</f>
        <v>69.268292682926827</v>
      </c>
      <c r="AR199" s="601"/>
      <c r="AS199" s="581">
        <f>+((AS181*AS192*AS189)+(AS185*AS188*AS177))/(AS177*AS188)</f>
        <v>100</v>
      </c>
      <c r="AT199" s="550">
        <f>+((AT181*AT192*AT189)+(AT185*AT188*AT177))/(AT177*AT188)</f>
        <v>100</v>
      </c>
      <c r="AU199" s="550">
        <f>+((AU181*AU192*AU189)+(AU185*AU188*AU177))/(AU177*AU188)</f>
        <v>100</v>
      </c>
      <c r="AV199" s="550">
        <f>+((AV181*AV192*AV189)+(AV185*AV188*AV177))/(AV177*AV188)</f>
        <v>100</v>
      </c>
      <c r="AW199" s="580">
        <f>+((AW181*AW192*AW189)+(AW185*AW188*AW177))/(AW177*AW188)</f>
        <v>99.999999999999986</v>
      </c>
      <c r="AX199" s="592"/>
      <c r="AY199" s="581">
        <f>+((AY181*AY192*AY189)+(AY185*AY188*AY177))/(AY177*AY188)</f>
        <v>99.168467258244576</v>
      </c>
      <c r="AZ199" s="550">
        <f>+((AZ181*AZ192*AZ189)+(AZ185*AZ188*AZ177))/(AZ177*AZ188)</f>
        <v>94.87244530914991</v>
      </c>
      <c r="BA199" s="550">
        <f>+((BA181*BA192*BA189)+(BA185*BA188*BA177))/(BA177*BA188)</f>
        <v>95.332225626114194</v>
      </c>
      <c r="BB199" s="550">
        <f>+((BB181*BB192*BB189)+(BB185*BB188*BB177))/(BB177*BB188)</f>
        <v>99.621792954966764</v>
      </c>
      <c r="BC199" s="580">
        <f>+((BC181*BC192*BC189)+(BC185*BC188*BC177))/(BC177*BC188)</f>
        <v>97.248732787118854</v>
      </c>
      <c r="BD199" s="592"/>
      <c r="BE199" s="581">
        <f>+((BE181*BE192*BE189)+(BE185*BE188*BE177))/(BE177*BE188)</f>
        <v>93.657455912932051</v>
      </c>
      <c r="BF199" s="550">
        <f>+((BF181*BF192*BF189)+(BF185*BF188*BF177))/(BF177*BF188)</f>
        <v>90.123721240602293</v>
      </c>
      <c r="BG199" s="550">
        <f>+((BG181*BG192*BG189)+(BG185*BG188*BG177))/(BG177*BG188)</f>
        <v>90.036359286635602</v>
      </c>
      <c r="BH199" s="550">
        <f>+((BH181*BH192*BH189)+(BH185*BH188*BH177))/(BH177*BH188)</f>
        <v>94.292872804603775</v>
      </c>
      <c r="BI199" s="580">
        <f>+((BI181*BI192*BI189)+(BI185*BI188*BI177))/(BI177*BI188)</f>
        <v>92.027602311193419</v>
      </c>
      <c r="BJ199" s="592"/>
      <c r="BK199" s="581">
        <f>+((BK181*BK192*BK189)+(BK185*BK188*BK177))/(BK177*BK188)</f>
        <v>93.231151222902227</v>
      </c>
      <c r="BL199" s="550">
        <f>+((BL181*BL192*BL189)+(BL185*BL188*BL177))/(BL177*BL188)</f>
        <v>90.741381417791132</v>
      </c>
      <c r="BM199" s="550">
        <f>+((BM181*BM192*BM189)+(BM185*BM188*BM177))/(BM177*BM188)</f>
        <v>90.03456863050036</v>
      </c>
      <c r="BN199" s="550">
        <f>+((BN181*BN192*BN189)+(BN185*BN188*BN177))/(BN177*BN188)</f>
        <v>89.776677582738444</v>
      </c>
      <c r="BO199" s="580">
        <f>+((BO181*BO192*BO189)+(BO185*BO188*BO177))/(BO177*BO188)</f>
        <v>90.945944713483016</v>
      </c>
      <c r="BP199" s="592"/>
      <c r="BQ199" s="581">
        <f>+((BQ181*BQ192*BQ189)+(BQ185*BQ188*BQ177))/(BQ177*BQ188)</f>
        <v>81.369176973640776</v>
      </c>
      <c r="BR199" s="550">
        <f>+((BR181*BR192*BR189)+(BR185*BR188*BR177))/(BR177*BR188)</f>
        <v>78.695700780922451</v>
      </c>
      <c r="BS199" s="550">
        <f>+((BS181*BS192*BS189)+(BS185*BS188*BS177))/(BS177*BS188)</f>
        <v>77.704571389628683</v>
      </c>
      <c r="BT199" s="550">
        <f>+((BT181*BT192*BT189)+(BT185*BT188*BT177))/(BT177*BT188)</f>
        <v>79.693339163708771</v>
      </c>
      <c r="BU199" s="580">
        <f>+((BU181*BU192*BU189)+(BU185*BU188*BU177))/(BU177*BU188)</f>
        <v>79.4053204479643</v>
      </c>
      <c r="BV199" s="592"/>
      <c r="BW199" s="581">
        <f>+((BW181*BW192*BW189)+(BW185*BW188*BW177))/(BW177*BW188)</f>
        <v>79.727828003718912</v>
      </c>
      <c r="BX199" s="550">
        <f>+((BX181*BX192*BX189)+(BX185*BX188*BX177))/(BX177*BX188)</f>
        <v>77.500870963927014</v>
      </c>
      <c r="BY199" s="550">
        <f>+((BY181*BY192*BY189)+(BY185*BY188*BY177))/(BY177*BY188)</f>
        <v>77.05892468621505</v>
      </c>
      <c r="BZ199" s="550">
        <f>+((BZ181*BZ192*BZ189)+(BZ185*BZ188*BZ177))/(BZ177*BZ188)</f>
        <v>77.278070732583686</v>
      </c>
      <c r="CA199" s="580">
        <f>+((CA181*CA192*CA189)+(CA185*CA188*CA177))/(CA177*CA188)</f>
        <v>77.817894336627361</v>
      </c>
      <c r="CB199" s="592"/>
      <c r="CC199" s="581">
        <f>+((CC181*CC192*CC189)+(CC185*CC188*CC177))/(CC177*CC188)</f>
        <v>75.828787004443697</v>
      </c>
      <c r="CD199" s="550">
        <f>+((CD181*CD192*CD189)+(CD185*CD188*CD177))/(CD177*CD188)</f>
        <v>73.647837738481286</v>
      </c>
      <c r="CE199" s="550">
        <f>+((CE181*CE192*CE189)+(CE185*CE188*CE177))/(CE177*CE188)</f>
        <v>75.362366028001873</v>
      </c>
      <c r="CF199" s="550">
        <f>+((CF181*CF192*CF189)+(CF185*CF188*CF177))/(CF177*CF188)</f>
        <v>76.895816466541206</v>
      </c>
      <c r="CG199" s="580">
        <f>+((CG181*CG192*CG189)+(CG185*CG188*CG177))/(CG177*CG188)</f>
        <v>75.454221606715038</v>
      </c>
      <c r="CH199" s="592"/>
      <c r="CI199" s="581">
        <f>+((CI181*CI192*CI189)+(CI185*CI188*CI177))/(CI177*CI188)</f>
        <v>79.620226354665888</v>
      </c>
      <c r="CJ199" s="550">
        <f>+((CJ181*CJ192*CJ189)+(CJ185*CJ188*CJ177))/(CJ177*CJ188)</f>
        <v>76.961990436712938</v>
      </c>
      <c r="CK199" s="550">
        <f>+((CK181*CK192*CK189)+(CK185*CK188*CK177))/(CK177*CK188)</f>
        <v>77.246425178701912</v>
      </c>
      <c r="CL199" s="550">
        <f>+((CL181*CL192*CL189)+(CL185*CL188*CL177))/(CL177*CL188)</f>
        <v>78.433732795872032</v>
      </c>
      <c r="CM199" s="580">
        <f>+((CM181*CM192*CM189)+(CM185*CM188*CM177))/(CM177*CM188)</f>
        <v>78.065593691488189</v>
      </c>
      <c r="CN199" s="592"/>
      <c r="CO199" s="581">
        <f>+((CO181*CO192*CO189)+(CO185*CO188*CO177))/(CO177*CO188)</f>
        <v>79.620226354665888</v>
      </c>
      <c r="CP199" s="550">
        <f>+((CP181*CP192*CP189)+(CP185*CP188*CP177))/(CP177*CP188)</f>
        <v>76.961990436712952</v>
      </c>
      <c r="CQ199" s="550">
        <f>+((CQ181*CQ192*CQ189)+(CQ185*CQ188*CQ177))/(CQ177*CQ188)</f>
        <v>77.246425178701898</v>
      </c>
      <c r="CR199" s="550">
        <f>+((CR181*CR192*CR189)+(CR185*CR188*CR177))/(CR177*CR188)</f>
        <v>78.433732795872018</v>
      </c>
      <c r="CS199" s="580">
        <f>+((CS181*CS192*CS189)+(CS185*CS188*CS177))/(CS177*CS188)</f>
        <v>78.065593691488189</v>
      </c>
      <c r="CT199" s="592"/>
      <c r="CU199" s="581">
        <f>+((CU181*CU192*CU189)+(CU185*CU188*CU177))/(CU177*CU188)</f>
        <v>79.620226354665888</v>
      </c>
      <c r="CV199" s="550">
        <f>+((CV181*CV192*CV189)+(CV185*CV188*CV177))/(CV177*CV188)</f>
        <v>76.961990436712938</v>
      </c>
      <c r="CW199" s="550">
        <f>+((CW181*CW192*CW189)+(CW185*CW188*CW177))/(CW177*CW188)</f>
        <v>77.246425178701912</v>
      </c>
      <c r="CX199" s="550">
        <f>+((CX181*CX192*CX189)+(CX185*CX188*CX177))/(CX177*CX188)</f>
        <v>78.433732795872018</v>
      </c>
      <c r="CY199" s="580">
        <f>+((CY181*CY192*CY189)+(CY185*CY188*CY177))/(CY177*CY188)</f>
        <v>78.065593691488189</v>
      </c>
      <c r="CZ199" s="48"/>
      <c r="DA199"/>
      <c r="DB199"/>
      <c r="DC199"/>
      <c r="DD199" s="48"/>
      <c r="DE199" s="48"/>
      <c r="DF199" s="48"/>
      <c r="DG199" s="48"/>
      <c r="DH199" s="48"/>
      <c r="DI199" s="48"/>
      <c r="DJ199" s="48"/>
      <c r="DK199" s="48"/>
    </row>
    <row r="200" spans="1:115" s="5" customFormat="1" x14ac:dyDescent="0.2">
      <c r="A200" s="1139" t="s">
        <v>639</v>
      </c>
      <c r="B200" s="590"/>
      <c r="C200" s="1128"/>
      <c r="D200" s="1129"/>
      <c r="E200" s="1129"/>
      <c r="F200" s="1129"/>
      <c r="G200" s="1463"/>
      <c r="H200" s="592"/>
      <c r="I200" s="1128"/>
      <c r="J200" s="1129"/>
      <c r="K200" s="1129"/>
      <c r="L200" s="1129"/>
      <c r="M200" s="1463"/>
      <c r="N200" s="592"/>
      <c r="O200" s="1128"/>
      <c r="P200" s="1129"/>
      <c r="Q200" s="1129"/>
      <c r="R200" s="1129"/>
      <c r="S200" s="1463"/>
      <c r="T200" s="591"/>
      <c r="U200" s="1128"/>
      <c r="V200" s="1129"/>
      <c r="W200" s="1129"/>
      <c r="X200" s="1129"/>
      <c r="Y200" s="1463"/>
      <c r="Z200" s="593"/>
      <c r="AA200" s="1128"/>
      <c r="AB200" s="1129"/>
      <c r="AC200" s="1129"/>
      <c r="AD200" s="1129"/>
      <c r="AE200" s="1463"/>
      <c r="AF200" s="592"/>
      <c r="AG200" s="909"/>
      <c r="AH200" s="910"/>
      <c r="AI200" s="910"/>
      <c r="AJ200" s="910"/>
      <c r="AK200" s="1106"/>
      <c r="AL200" s="601"/>
      <c r="AM200" s="1115">
        <f>+AM199/AG199-1</f>
        <v>0.25</v>
      </c>
      <c r="AN200" s="1114">
        <f>+AN199/AH199-1</f>
        <v>0.625</v>
      </c>
      <c r="AO200" s="1114">
        <f>+AO199/AI199-1</f>
        <v>0.86890243902439002</v>
      </c>
      <c r="AP200" s="1114">
        <f>+AP199/AJ199-1</f>
        <v>1.1829268292682924</v>
      </c>
      <c r="AQ200" s="1117">
        <f>+AQ199/AK199-1</f>
        <v>0.73170731707317072</v>
      </c>
      <c r="AR200" s="601"/>
      <c r="AS200" s="1115">
        <f>+AS199/AM199-1</f>
        <v>1</v>
      </c>
      <c r="AT200" s="1114">
        <f>+AT199/AN199-1</f>
        <v>0.53846153846153855</v>
      </c>
      <c r="AU200" s="1114">
        <f>+AU199/AO199-1</f>
        <v>0.33768352365415999</v>
      </c>
      <c r="AV200" s="1114">
        <f>+AV199/AP199-1</f>
        <v>0.14525139664804465</v>
      </c>
      <c r="AW200" s="1117">
        <f>+AW199/AQ199-1</f>
        <v>0.44366197183098577</v>
      </c>
      <c r="AX200" s="592"/>
      <c r="AY200" s="1115">
        <f>+AY199/AS199-1</f>
        <v>-8.3153274175542524E-3</v>
      </c>
      <c r="AZ200" s="1114">
        <f>+AZ199/AT199-1</f>
        <v>-5.1275546908500891E-2</v>
      </c>
      <c r="BA200" s="1114">
        <f>+BA199/AU199-1</f>
        <v>-4.6677743738858024E-2</v>
      </c>
      <c r="BB200" s="1114">
        <f>+BB199/AV199-1</f>
        <v>-3.7820704503324087E-3</v>
      </c>
      <c r="BC200" s="1117">
        <f>+BC199/AW199-1</f>
        <v>-2.7512672128811366E-2</v>
      </c>
      <c r="BD200" s="601"/>
      <c r="BE200" s="1115">
        <f>+BE199/AY199-1</f>
        <v>-5.5572214612950477E-2</v>
      </c>
      <c r="BF200" s="1114">
        <f>+BF199/AZ199-1</f>
        <v>-5.0053775393619215E-2</v>
      </c>
      <c r="BG200" s="1114">
        <f>+BG199/BA199-1</f>
        <v>-5.5551690991130109E-2</v>
      </c>
      <c r="BH200" s="1114">
        <f>+BH199/BB199-1</f>
        <v>-5.3491510163563127E-2</v>
      </c>
      <c r="BI200" s="1117">
        <f>+BI199/BC199-1</f>
        <v>-5.3688416561218144E-2</v>
      </c>
      <c r="BJ200" s="601"/>
      <c r="BK200" s="1115">
        <f>+BK199/BE199-1</f>
        <v>-4.551743220808091E-3</v>
      </c>
      <c r="BL200" s="1114">
        <f>+BL199/BF199-1</f>
        <v>6.8534695270723311E-3</v>
      </c>
      <c r="BM200" s="1114">
        <f>+BM199/BG199-1</f>
        <v>-1.9888144627722149E-5</v>
      </c>
      <c r="BN200" s="1114">
        <f>+BN199/BH199-1</f>
        <v>-4.7895403836342054E-2</v>
      </c>
      <c r="BO200" s="1117">
        <f>+BO199/BI199-1</f>
        <v>-1.1753621419503646E-2</v>
      </c>
      <c r="BP200" s="601"/>
      <c r="BQ200" s="1115">
        <f>+BQ199/BK199-1</f>
        <v>-0.12723187575900663</v>
      </c>
      <c r="BR200" s="1114">
        <f>+BR199/BL199-1</f>
        <v>-0.13274737995675867</v>
      </c>
      <c r="BS200" s="1114">
        <f>+BS199/BM199-1</f>
        <v>-0.1369473684210526</v>
      </c>
      <c r="BT200" s="1114">
        <f>+BT199/BN199-1</f>
        <v>-0.11231578947368415</v>
      </c>
      <c r="BU200" s="1117">
        <f>+BU199/BO199-1</f>
        <v>-0.12689542455000502</v>
      </c>
      <c r="BV200" s="601"/>
      <c r="BW200" s="1115">
        <f>+BW199/BQ199-1</f>
        <v>-2.0171630474443369E-2</v>
      </c>
      <c r="BX200" s="1114">
        <f>+BX199/BR199-1</f>
        <v>-1.5182910948613015E-2</v>
      </c>
      <c r="BY200" s="1114">
        <f>+BY199/BS199-1</f>
        <v>-8.308992532449766E-3</v>
      </c>
      <c r="BZ200" s="1114">
        <f>+BZ199/BT199-1</f>
        <v>-3.0307030129124835E-2</v>
      </c>
      <c r="CA200" s="1117">
        <f>+CA199/BU199-1</f>
        <v>-1.9991432593955749E-2</v>
      </c>
      <c r="CB200" s="601"/>
      <c r="CC200" s="1115">
        <f>+CC199/BW199-1</f>
        <v>-4.8904392567841515E-2</v>
      </c>
      <c r="CD200" s="1114">
        <f>+CD199/BX199-1</f>
        <v>-4.9715999027148072E-2</v>
      </c>
      <c r="CE200" s="1114">
        <f>+CE199/BY199-1</f>
        <v>-2.2016381167030086E-2</v>
      </c>
      <c r="CF200" s="1114">
        <f>+CF199/BZ199-1</f>
        <v>-4.9464778612970939E-3</v>
      </c>
      <c r="CG200" s="1117">
        <f>+CG199/CA199-1</f>
        <v>-3.0374411310687299E-2</v>
      </c>
      <c r="CH200" s="601"/>
      <c r="CI200" s="1115">
        <f>+CI199/CC199-1</f>
        <v>5.0000000000000044E-2</v>
      </c>
      <c r="CJ200" s="1114">
        <f>+CJ199/CD199-1</f>
        <v>4.4999999999999929E-2</v>
      </c>
      <c r="CK200" s="1114">
        <f>+CK199/CE199-1</f>
        <v>2.4999999999999911E-2</v>
      </c>
      <c r="CL200" s="1114">
        <f>+CL199/CF199-1</f>
        <v>2.0000000000000018E-2</v>
      </c>
      <c r="CM200" s="1117">
        <f>+CM199/CG199-1</f>
        <v>3.4608694240916504E-2</v>
      </c>
      <c r="CN200" s="601"/>
      <c r="CO200" s="1115">
        <f>+CO199/CI199-1</f>
        <v>0</v>
      </c>
      <c r="CP200" s="1114">
        <f>+CP199/CJ199-1</f>
        <v>0</v>
      </c>
      <c r="CQ200" s="1114">
        <f>+CQ199/CK199-1</f>
        <v>0</v>
      </c>
      <c r="CR200" s="1114">
        <f>+CR199/CL199-1</f>
        <v>0</v>
      </c>
      <c r="CS200" s="1117">
        <f>+CS199/CM199-1</f>
        <v>0</v>
      </c>
      <c r="CT200" s="601"/>
      <c r="CU200" s="1115">
        <f>+CU199/CO199-1</f>
        <v>0</v>
      </c>
      <c r="CV200" s="1114">
        <f>+CV199/CP199-1</f>
        <v>0</v>
      </c>
      <c r="CW200" s="1114">
        <f>+CW199/CQ199-1</f>
        <v>0</v>
      </c>
      <c r="CX200" s="1114">
        <f>+CX199/CR199-1</f>
        <v>0</v>
      </c>
      <c r="CY200" s="1117">
        <f>+CY199/CS199-1</f>
        <v>0</v>
      </c>
      <c r="CZ200" s="48"/>
      <c r="DA200"/>
      <c r="DB200"/>
      <c r="DC200"/>
      <c r="DD200" s="48"/>
      <c r="DE200" s="48"/>
      <c r="DF200" s="48"/>
      <c r="DG200" s="48"/>
      <c r="DH200" s="48"/>
      <c r="DI200" s="48"/>
      <c r="DJ200" s="48"/>
      <c r="DK200" s="48"/>
    </row>
    <row r="201" spans="1:115" s="5" customFormat="1" x14ac:dyDescent="0.2">
      <c r="A201" s="1139" t="s">
        <v>227</v>
      </c>
      <c r="B201" s="590"/>
      <c r="C201" s="1128"/>
      <c r="D201" s="1129"/>
      <c r="E201" s="1129"/>
      <c r="F201" s="1129"/>
      <c r="G201" s="1463"/>
      <c r="H201" s="592"/>
      <c r="I201" s="1128"/>
      <c r="J201" s="1129"/>
      <c r="K201" s="1129"/>
      <c r="L201" s="1129"/>
      <c r="M201" s="1463"/>
      <c r="N201" s="592"/>
      <c r="O201" s="1128"/>
      <c r="P201" s="1129"/>
      <c r="Q201" s="1129"/>
      <c r="R201" s="1129"/>
      <c r="S201" s="1463"/>
      <c r="T201" s="591"/>
      <c r="U201" s="1128"/>
      <c r="V201" s="1129"/>
      <c r="W201" s="1129"/>
      <c r="X201" s="1129"/>
      <c r="Y201" s="1463"/>
      <c r="Z201" s="593"/>
      <c r="AA201" s="1128"/>
      <c r="AB201" s="1129"/>
      <c r="AC201" s="1129"/>
      <c r="AD201" s="1129"/>
      <c r="AE201" s="1463"/>
      <c r="AF201" s="592"/>
      <c r="AG201" s="909"/>
      <c r="AH201" s="910"/>
      <c r="AI201" s="910"/>
      <c r="AJ201" s="910"/>
      <c r="AK201" s="1106"/>
      <c r="AL201" s="601"/>
      <c r="AM201" s="1109">
        <f>+AM200-RevBuild!AM$59</f>
        <v>0.19342004137000812</v>
      </c>
      <c r="AN201" s="1110">
        <f>+AN200-RevBuild!AN$59</f>
        <v>0.64105273239061245</v>
      </c>
      <c r="AO201" s="1110">
        <f>+AO200-RevBuild!AO$59</f>
        <v>0.88245147834134041</v>
      </c>
      <c r="AP201" s="1110">
        <f>+AP200-RevBuild!AP$59</f>
        <v>1.1934603549379239</v>
      </c>
      <c r="AQ201" s="1259">
        <f>+AQ200-RevBuild!AQ$59</f>
        <v>0.73485637755394728</v>
      </c>
      <c r="AR201" s="601"/>
      <c r="AS201" s="1109">
        <f>+AS200-RevBuild!AS$59</f>
        <v>0.98037448366645985</v>
      </c>
      <c r="AT201" s="1110">
        <f>+AT200-RevBuild!AT$59</f>
        <v>0.47439352637253052</v>
      </c>
      <c r="AU201" s="1110">
        <f>+AU200-RevBuild!AU$59</f>
        <v>0.29457708110776304</v>
      </c>
      <c r="AV201" s="1110">
        <f>+AV200-RevBuild!AV$59</f>
        <v>0.14608151355804075</v>
      </c>
      <c r="AW201" s="1259">
        <f>+AW200-RevBuild!AW$59</f>
        <v>0.40796429538070983</v>
      </c>
      <c r="AX201" s="592"/>
      <c r="AY201" s="1109">
        <f>+AY200-RevBuild!AY$59</f>
        <v>-1.1102230246251565E-16</v>
      </c>
      <c r="AZ201" s="1110">
        <f>+AZ200-RevBuild!AZ$59</f>
        <v>-1.1102230246251565E-16</v>
      </c>
      <c r="BA201" s="1110">
        <f>+BA200-RevBuild!BA$59</f>
        <v>0</v>
      </c>
      <c r="BB201" s="1110">
        <f>+BB200-RevBuild!BB$59</f>
        <v>-3.4694469519536142E-17</v>
      </c>
      <c r="BC201" s="1259">
        <f>+BC200-RevBuild!BC$59</f>
        <v>7.0813872862701688E-5</v>
      </c>
      <c r="BD201" s="601"/>
      <c r="BE201" s="1109">
        <f>+BE200-RevBuild!BE$59</f>
        <v>-4.9706725546686786E-2</v>
      </c>
      <c r="BF201" s="1110">
        <f>+BF200-RevBuild!BF$59</f>
        <v>-4.9997169716125028E-2</v>
      </c>
      <c r="BG201" s="1110">
        <f>+BG200-RevBuild!BG$59</f>
        <v>-4.9707805737308777E-2</v>
      </c>
      <c r="BH201" s="1110">
        <f>+BH200-RevBuild!BH$59</f>
        <v>-4.9816236307180836E-2</v>
      </c>
      <c r="BI201" s="1259">
        <f>+BI200-RevBuild!BI$59</f>
        <v>-4.5083252250951486E-2</v>
      </c>
      <c r="BJ201" s="601"/>
      <c r="BK201" s="1109">
        <f>+BK200-RevBuild!BK$59</f>
        <v>6.9388939039072284E-17</v>
      </c>
      <c r="BL201" s="1110">
        <f>+BL200-RevBuild!BL$59</f>
        <v>-3.4694469519536142E-17</v>
      </c>
      <c r="BM201" s="1110">
        <f>+BM200-RevBuild!BM$59</f>
        <v>-1.457167719820518E-16</v>
      </c>
      <c r="BN201" s="1110">
        <f>+BN200-RevBuild!BN$59</f>
        <v>-1.5265566588595902E-16</v>
      </c>
      <c r="BO201" s="1259">
        <f>+BO200-RevBuild!BO$59</f>
        <v>-2.2140373462144272E-3</v>
      </c>
      <c r="BP201" s="601"/>
      <c r="BQ201" s="1109">
        <f>+BQ200-RevBuild!BQ$59</f>
        <v>-4.8487118013388689E-2</v>
      </c>
      <c r="BR201" s="1110">
        <f>+BR200-RevBuild!BR$59</f>
        <v>-4.8180701113513635E-2</v>
      </c>
      <c r="BS201" s="1110">
        <f>+BS200-RevBuild!BS$59</f>
        <v>-4.79473684210526E-2</v>
      </c>
      <c r="BT201" s="1110">
        <f>+BT200-RevBuild!BT$59</f>
        <v>-4.9315789473684146E-2</v>
      </c>
      <c r="BU201" s="1259">
        <f>+BU200-RevBuild!BU$59</f>
        <v>-4.664542455000513E-2</v>
      </c>
      <c r="BV201" s="601"/>
      <c r="BW201" s="1109">
        <f>+BW200-RevBuild!BW$59</f>
        <v>-1.2836953722228372E-16</v>
      </c>
      <c r="BX201" s="1110">
        <f>+BX200-RevBuild!BX$59</f>
        <v>-2.7755575615628914E-16</v>
      </c>
      <c r="BY201" s="1110">
        <f>+BY200-RevBuild!BY$59</f>
        <v>4.163336342344337E-17</v>
      </c>
      <c r="BZ201" s="1110">
        <f>+BZ200-RevBuild!BZ$59</f>
        <v>-6.9388939039072284E-17</v>
      </c>
      <c r="CA201" s="1259">
        <f>+CA200-RevBuild!CA$59</f>
        <v>-1.2803513496045249E-3</v>
      </c>
      <c r="CB201" s="601"/>
      <c r="CC201" s="1109">
        <f>+CC200-RevBuild!CC$59</f>
        <v>-2.7174160212347469E-2</v>
      </c>
      <c r="CD201" s="1110">
        <f>+CD200-RevBuild!CD$59</f>
        <v>-2.715097145636719E-2</v>
      </c>
      <c r="CE201" s="1110">
        <f>+CE200-RevBuild!CE$59</f>
        <v>-2.7942389109513355E-2</v>
      </c>
      <c r="CF201" s="1110">
        <f>+CF200-RevBuild!CF$59</f>
        <v>-2.8430100632534316E-2</v>
      </c>
      <c r="CG201" s="1259">
        <f>+CG200-RevBuild!CG$59</f>
        <v>-2.6653004007548692E-2</v>
      </c>
      <c r="CH201" s="601"/>
      <c r="CI201" s="1109">
        <f>+CI200-RevBuild!CI$59</f>
        <v>0</v>
      </c>
      <c r="CJ201" s="1110">
        <f>+CJ200-RevBuild!CJ$59</f>
        <v>-6.9388939039072284E-17</v>
      </c>
      <c r="CK201" s="1110">
        <f>+CK200-RevBuild!CK$59</f>
        <v>-9.0205620750793969E-17</v>
      </c>
      <c r="CL201" s="1110">
        <f>+CL200-RevBuild!CL$59</f>
        <v>0</v>
      </c>
      <c r="CM201" s="1259">
        <f>+CM200-RevBuild!CM$59</f>
        <v>-3.9130575908349202E-4</v>
      </c>
      <c r="CN201" s="601"/>
      <c r="CO201" s="1109">
        <f>+CO200-RevBuild!CO$59</f>
        <v>0</v>
      </c>
      <c r="CP201" s="1110">
        <f>+CP200-RevBuild!CP$59</f>
        <v>0</v>
      </c>
      <c r="CQ201" s="1110">
        <f>+CQ200-RevBuild!CQ$59</f>
        <v>0</v>
      </c>
      <c r="CR201" s="1110">
        <f>+CR200-RevBuild!CR$59</f>
        <v>0</v>
      </c>
      <c r="CS201" s="1259">
        <f>+CS200-RevBuild!CS$59</f>
        <v>0</v>
      </c>
      <c r="CT201" s="601"/>
      <c r="CU201" s="1109">
        <f>+CU200-RevBuild!CU$59</f>
        <v>0</v>
      </c>
      <c r="CV201" s="1110">
        <f>+CV200-RevBuild!CV$59</f>
        <v>0</v>
      </c>
      <c r="CW201" s="1110">
        <f>+CW200-RevBuild!CW$59</f>
        <v>0</v>
      </c>
      <c r="CX201" s="1110">
        <f>+CX200-RevBuild!CX$59</f>
        <v>0</v>
      </c>
      <c r="CY201" s="1259">
        <f>+CY200-RevBuild!CY$59</f>
        <v>0</v>
      </c>
      <c r="CZ201" s="48"/>
      <c r="DA201"/>
      <c r="DB201"/>
      <c r="DC201"/>
      <c r="DD201" s="48"/>
      <c r="DE201" s="48"/>
      <c r="DF201" s="48"/>
      <c r="DG201" s="48"/>
      <c r="DH201" s="48"/>
      <c r="DI201" s="48"/>
      <c r="DJ201" s="48"/>
      <c r="DK201" s="48"/>
    </row>
    <row r="202" spans="1:115" s="5" customFormat="1" x14ac:dyDescent="0.2">
      <c r="A202" s="432" t="s">
        <v>538</v>
      </c>
      <c r="B202" s="590"/>
      <c r="C202" s="1128"/>
      <c r="D202" s="1129"/>
      <c r="E202" s="1129"/>
      <c r="F202" s="1129"/>
      <c r="G202" s="1463"/>
      <c r="H202" s="592"/>
      <c r="I202" s="1128"/>
      <c r="J202" s="1129"/>
      <c r="K202" s="1129"/>
      <c r="L202" s="1129"/>
      <c r="M202" s="1463"/>
      <c r="N202" s="592"/>
      <c r="O202" s="1128"/>
      <c r="P202" s="1129"/>
      <c r="Q202" s="1129"/>
      <c r="R202" s="1129"/>
      <c r="S202" s="1463"/>
      <c r="T202" s="591"/>
      <c r="U202" s="1128"/>
      <c r="V202" s="1129"/>
      <c r="W202" s="1129"/>
      <c r="X202" s="1129"/>
      <c r="Y202" s="1463"/>
      <c r="Z202" s="593"/>
      <c r="AA202" s="1128"/>
      <c r="AB202" s="1129"/>
      <c r="AC202" s="1129"/>
      <c r="AD202" s="1129"/>
      <c r="AE202" s="1463"/>
      <c r="AF202" s="592"/>
      <c r="AG202" s="581">
        <f>+(AG205*1000*4)/AG179</f>
        <v>15</v>
      </c>
      <c r="AH202" s="550">
        <f>+(AH205*1000*4)/AH179</f>
        <v>15</v>
      </c>
      <c r="AI202" s="550">
        <f>+(AI205*1000*4)/AI179</f>
        <v>15</v>
      </c>
      <c r="AJ202" s="550">
        <f>+(AJ205*1000*4)/AJ179</f>
        <v>15</v>
      </c>
      <c r="AK202" s="580">
        <f>+(AK205*1000)/AK179</f>
        <v>15</v>
      </c>
      <c r="AL202" s="601"/>
      <c r="AM202" s="581">
        <f>+(AM205*1000*4)/AM179</f>
        <v>20</v>
      </c>
      <c r="AN202" s="550">
        <f>+(AN205*1000*4)/AN179</f>
        <v>22</v>
      </c>
      <c r="AO202" s="550">
        <f>+(AO205*1000*4)/AO179</f>
        <v>24.145454545454545</v>
      </c>
      <c r="AP202" s="550">
        <f>+(AP205*1000*4)/AP179</f>
        <v>26.835225618631732</v>
      </c>
      <c r="AQ202" s="580">
        <f>+(AQ205*1000)/AQ179</f>
        <v>23.656826241134755</v>
      </c>
      <c r="AR202" s="601"/>
      <c r="AS202" s="581">
        <f>+(AS205*1000*4)/AS179</f>
        <v>32.45982173788051</v>
      </c>
      <c r="AT202" s="550">
        <f>+(AT205*1000*4)/AT179</f>
        <v>35.304565315969342</v>
      </c>
      <c r="AU202" s="550">
        <f>+(AU205*1000*4)/AU179</f>
        <v>35.993888802385918</v>
      </c>
      <c r="AV202" s="550">
        <f>+(AV205*1000*4)/AV179</f>
        <v>36.113658442166958</v>
      </c>
      <c r="AW202" s="580">
        <f>+(AW205*1000)/AW179</f>
        <v>34.655494590058098</v>
      </c>
      <c r="AX202" s="592"/>
      <c r="AY202" s="581">
        <f>+(AY205*1000*4)/AY179</f>
        <v>41.518178834762558</v>
      </c>
      <c r="AZ202" s="550">
        <f>+(AZ205*1000*4)/AZ179</f>
        <v>43.409905040370546</v>
      </c>
      <c r="BA202" s="550">
        <f>+(BA205*1000*4)/BA179</f>
        <v>45.381680943426382</v>
      </c>
      <c r="BB202" s="550">
        <f>+(BB205*1000*4)/BB179</f>
        <v>47.066988121232171</v>
      </c>
      <c r="BC202" s="580">
        <f>+(BC205*1000)/BC179</f>
        <v>44.521842851001971</v>
      </c>
      <c r="BD202" s="601"/>
      <c r="BE202" s="581">
        <f>+(BE205*1000*4)/BE179</f>
        <v>51.70682274347979</v>
      </c>
      <c r="BF202" s="550">
        <f>+(BF205*1000*4)/BF179</f>
        <v>53.028351417671431</v>
      </c>
      <c r="BG202" s="550">
        <f>+(BG205*1000*4)/BG179</f>
        <v>54.577414956289786</v>
      </c>
      <c r="BH202" s="550">
        <f>+(BH205*1000*4)/BH179</f>
        <v>55.982651329068176</v>
      </c>
      <c r="BI202" s="580">
        <f>+(BI205*1000)/BI179</f>
        <v>53.951442829093409</v>
      </c>
      <c r="BJ202" s="601"/>
      <c r="BK202" s="581">
        <f>+(BK205*1000*4)/BK179</f>
        <v>55.568322216529531</v>
      </c>
      <c r="BL202" s="550">
        <f>+(BL205*1000*4)/BL179</f>
        <v>57.324774880784595</v>
      </c>
      <c r="BM202" s="550">
        <f>+(BM205*1000*4)/BM179</f>
        <v>58.450300616959957</v>
      </c>
      <c r="BN202" s="550">
        <f>+(BN205*1000*4)/BN179</f>
        <v>58.762229042297406</v>
      </c>
      <c r="BO202" s="580">
        <f>+(BO205*1000)/BO179</f>
        <v>57.600433557322347</v>
      </c>
      <c r="BP202" s="601"/>
      <c r="BQ202" s="581">
        <f>+(BQ205*1000*4)/BQ179</f>
        <v>56.072942046614322</v>
      </c>
      <c r="BR202" s="550">
        <f>+(BR205*1000*4)/BR179</f>
        <v>57.185948480806879</v>
      </c>
      <c r="BS202" s="550">
        <f>+(BS205*1000*4)/BS179</f>
        <v>56.700669753526697</v>
      </c>
      <c r="BT202" s="550">
        <f>+(BT205*1000*4)/BT179</f>
        <v>58.313594948424551</v>
      </c>
      <c r="BU202" s="580">
        <f>+(BU205*1000)/BU179</f>
        <v>57.043893974839179</v>
      </c>
      <c r="BV202" s="601"/>
      <c r="BW202" s="581">
        <f>+(BW205*1000*4)/BW179</f>
        <v>58.778802175738598</v>
      </c>
      <c r="BX202" s="550">
        <f>+(BX205*1000*4)/BX179</f>
        <v>61.181243479042699</v>
      </c>
      <c r="BY202" s="550">
        <f>+(BY205*1000*4)/BY179</f>
        <v>61.356386670274979</v>
      </c>
      <c r="BZ202" s="550">
        <f>+(BZ205*1000*4)/BZ179</f>
        <v>61.820202925426351</v>
      </c>
      <c r="CA202" s="580">
        <f>+(CA205*1000)/CA179</f>
        <v>60.547833327961563</v>
      </c>
      <c r="CB202" s="601"/>
      <c r="CC202" s="581">
        <f>+(CC205*1000*4)/CC179</f>
        <v>62.687144941720014</v>
      </c>
      <c r="CD202" s="550">
        <f>+(CD205*1000*4)/CD179</f>
        <v>66.02977784675133</v>
      </c>
      <c r="CE202" s="550">
        <f>+(CE205*1000*4)/CE179</f>
        <v>67.845139770010704</v>
      </c>
      <c r="CF202" s="550">
        <f>+(CF205*1000*4)/CF179</f>
        <v>70.531853776551571</v>
      </c>
      <c r="CG202" s="580">
        <f>+(CG205*1000)/CG179</f>
        <v>66.749809450808044</v>
      </c>
      <c r="CH202" s="601"/>
      <c r="CI202" s="581">
        <f>+(CI205*1000*4)/CI179</f>
        <v>69.999686502694303</v>
      </c>
      <c r="CJ202" s="550">
        <f>+(CJ205*1000*4)/CJ179</f>
        <v>73.429209758111014</v>
      </c>
      <c r="CK202" s="550">
        <f>+(CK205*1000*4)/CK179</f>
        <v>74.092155169667265</v>
      </c>
      <c r="CL202" s="550">
        <f>+(CL205*1000*4)/CL179</f>
        <v>76.686962431065695</v>
      </c>
      <c r="CM202" s="580">
        <f>+(CM205*1000)/CM179</f>
        <v>73.624773034193097</v>
      </c>
      <c r="CN202" s="601"/>
      <c r="CO202" s="581">
        <f>+(CO205*1000*4)/CO179</f>
        <v>74.740404262346544</v>
      </c>
      <c r="CP202" s="550">
        <f>+(CP205*1000*4)/CP179</f>
        <v>78.424558088257612</v>
      </c>
      <c r="CQ202" s="550">
        <f>+(CQ205*1000*4)/CQ179</f>
        <v>79.131896517526627</v>
      </c>
      <c r="CR202" s="550">
        <f>+(CR205*1000*4)/CR179</f>
        <v>81.912222484106508</v>
      </c>
      <c r="CS202" s="580">
        <f>+(CS205*1000)/CS179</f>
        <v>78.612351044580848</v>
      </c>
      <c r="CT202" s="601"/>
      <c r="CU202" s="581">
        <f>+(CU205*1000*4)/CU179</f>
        <v>79.852087936373408</v>
      </c>
      <c r="CV202" s="550">
        <f>+(CV205*1000*4)/CV179</f>
        <v>83.802424769560986</v>
      </c>
      <c r="CW202" s="550">
        <f>+(CW205*1000*4)/CW179</f>
        <v>84.554868611608811</v>
      </c>
      <c r="CX202" s="550">
        <f>+(CX205*1000*4)/CX179</f>
        <v>87.529979728174155</v>
      </c>
      <c r="CY202" s="580">
        <f>+(CY205*1000)/CY179</f>
        <v>83.988433594305647</v>
      </c>
      <c r="CZ202" s="48"/>
      <c r="DA202"/>
      <c r="DB202"/>
      <c r="DC202"/>
      <c r="DD202" s="48"/>
      <c r="DE202" s="48"/>
      <c r="DF202" s="48"/>
      <c r="DG202" s="48"/>
      <c r="DH202" s="48"/>
      <c r="DI202" s="48"/>
      <c r="DJ202" s="48"/>
      <c r="DK202" s="48"/>
    </row>
    <row r="203" spans="1:115" s="5" customFormat="1" x14ac:dyDescent="0.2">
      <c r="A203" s="1139" t="s">
        <v>639</v>
      </c>
      <c r="B203" s="590"/>
      <c r="C203" s="1128"/>
      <c r="D203" s="1129"/>
      <c r="E203" s="1129"/>
      <c r="F203" s="1129"/>
      <c r="G203" s="1463"/>
      <c r="H203" s="592"/>
      <c r="I203" s="1128"/>
      <c r="J203" s="1129"/>
      <c r="K203" s="1129"/>
      <c r="L203" s="1129"/>
      <c r="M203" s="1463"/>
      <c r="N203" s="592"/>
      <c r="O203" s="1128"/>
      <c r="P203" s="1129"/>
      <c r="Q203" s="1129"/>
      <c r="R203" s="1129"/>
      <c r="S203" s="1463"/>
      <c r="T203" s="591"/>
      <c r="U203" s="1128"/>
      <c r="V203" s="1129"/>
      <c r="W203" s="1129"/>
      <c r="X203" s="1129"/>
      <c r="Y203" s="1463"/>
      <c r="Z203" s="593"/>
      <c r="AA203" s="1128"/>
      <c r="AB203" s="1129"/>
      <c r="AC203" s="1129"/>
      <c r="AD203" s="1129"/>
      <c r="AE203" s="1463"/>
      <c r="AF203" s="592"/>
      <c r="AG203" s="909"/>
      <c r="AH203" s="910"/>
      <c r="AI203" s="910"/>
      <c r="AJ203" s="910"/>
      <c r="AK203" s="1106"/>
      <c r="AL203" s="601"/>
      <c r="AM203" s="1115">
        <f>+AM202/AG202-1</f>
        <v>0.33333333333333326</v>
      </c>
      <c r="AN203" s="1114">
        <f>+AN202/AH202-1</f>
        <v>0.46666666666666656</v>
      </c>
      <c r="AO203" s="1114">
        <f>+AO202/AI202-1</f>
        <v>0.60969696969696963</v>
      </c>
      <c r="AP203" s="1114">
        <f>+AP202/AJ202-1</f>
        <v>0.78901504124211552</v>
      </c>
      <c r="AQ203" s="1117">
        <f>+AQ202/AK202-1</f>
        <v>0.57712174940898375</v>
      </c>
      <c r="AR203" s="601"/>
      <c r="AS203" s="1115">
        <f>+AS202/AM202-1</f>
        <v>0.6229910868940256</v>
      </c>
      <c r="AT203" s="1114">
        <f>+AT202/AN202-1</f>
        <v>0.60475296890769736</v>
      </c>
      <c r="AU203" s="1114">
        <f>+AU202/AO202-1</f>
        <v>0.49071075612291071</v>
      </c>
      <c r="AV203" s="1114">
        <f>+AV202/AP202-1</f>
        <v>0.34575572254899156</v>
      </c>
      <c r="AW203" s="1117">
        <f>+AW202/AQ202-1</f>
        <v>0.46492577815864133</v>
      </c>
      <c r="AX203" s="592"/>
      <c r="AY203" s="1115">
        <f>+AY202/AS202-1</f>
        <v>0.27906367354787331</v>
      </c>
      <c r="AZ203" s="1114">
        <f>+AZ202/AT202-1</f>
        <v>0.22958333155669552</v>
      </c>
      <c r="BA203" s="1114">
        <f>+BA202/AU202-1</f>
        <v>0.26081627891282966</v>
      </c>
      <c r="BB203" s="1114">
        <f>+BB202/AV202-1</f>
        <v>0.30330158038699029</v>
      </c>
      <c r="BC203" s="1117">
        <f>+BC202/AW202-1</f>
        <v>0.2846979498533635</v>
      </c>
      <c r="BD203" s="601"/>
      <c r="BE203" s="1115">
        <f>+BE202/AY202-1</f>
        <v>0.24540199485306968</v>
      </c>
      <c r="BF203" s="1114">
        <f>+BF202/AZ202-1</f>
        <v>0.22157261962116426</v>
      </c>
      <c r="BG203" s="1114">
        <f>+BG202/BA202-1</f>
        <v>0.20263096962686267</v>
      </c>
      <c r="BH203" s="1114">
        <f>+BH202/BB202-1</f>
        <v>0.18942497839189554</v>
      </c>
      <c r="BI203" s="1117">
        <f>+BI202/BC202-1</f>
        <v>0.21179716234228674</v>
      </c>
      <c r="BJ203" s="601"/>
      <c r="BK203" s="1115">
        <f>+BK202/BE202-1</f>
        <v>7.4680656597424955E-2</v>
      </c>
      <c r="BL203" s="1114">
        <f>+BL202/BF202-1</f>
        <v>8.1021252749739592E-2</v>
      </c>
      <c r="BM203" s="1114">
        <f>+BM202/BG202-1</f>
        <v>7.0961324638990408E-2</v>
      </c>
      <c r="BN203" s="1114">
        <f>+BN202/BH202-1</f>
        <v>4.965069797946442E-2</v>
      </c>
      <c r="BO203" s="1117">
        <f>+BO202/BI202-1</f>
        <v>6.7634719979374092E-2</v>
      </c>
      <c r="BP203" s="601"/>
      <c r="BQ203" s="1115">
        <f>+BQ202/BK202-1</f>
        <v>9.0810701125449977E-3</v>
      </c>
      <c r="BR203" s="1114">
        <f>+BR202/BL202-1</f>
        <v>-2.4217522051578344E-3</v>
      </c>
      <c r="BS203" s="1114">
        <f>+BS202/BM202-1</f>
        <v>-2.9933650382725108E-2</v>
      </c>
      <c r="BT203" s="1114">
        <f>+BT202/BN202-1</f>
        <v>-7.6347358019711598E-3</v>
      </c>
      <c r="BU203" s="1117">
        <f>+BU202/BO202-1</f>
        <v>-9.6620728024436886E-3</v>
      </c>
      <c r="BV203" s="601"/>
      <c r="BW203" s="1115">
        <f>+BW202/BQ202-1</f>
        <v>4.8256075575182855E-2</v>
      </c>
      <c r="BX203" s="1114">
        <f>+BX202/BR202-1</f>
        <v>6.986497740046671E-2</v>
      </c>
      <c r="BY203" s="1114">
        <f>+BY202/BS202-1</f>
        <v>8.2110439558938486E-2</v>
      </c>
      <c r="BZ203" s="1114">
        <f>+BZ202/BT202-1</f>
        <v>6.0133627160239733E-2</v>
      </c>
      <c r="CA203" s="1117">
        <f>+CA202/BU202-1</f>
        <v>6.1425318451575173E-2</v>
      </c>
      <c r="CB203" s="601"/>
      <c r="CC203" s="1115">
        <f>+CC202/BW202-1</f>
        <v>6.6492385372130203E-2</v>
      </c>
      <c r="CD203" s="1114">
        <f>+CD202/BX202-1</f>
        <v>7.9248705845108791E-2</v>
      </c>
      <c r="CE203" s="1114">
        <f>+CE202/BY202-1</f>
        <v>0.10575513735197339</v>
      </c>
      <c r="CF203" s="1114">
        <f>+CF202/BZ202-1</f>
        <v>0.14091915650348286</v>
      </c>
      <c r="CG203" s="1117">
        <f>+CG202/CA202-1</f>
        <v>0.1024310166352782</v>
      </c>
      <c r="CH203" s="601"/>
      <c r="CI203" s="1115">
        <f>+CI202/CC202-1</f>
        <v>0.11665137354353483</v>
      </c>
      <c r="CJ203" s="1114">
        <f>+CJ202/CD202-1</f>
        <v>0.11206204462073233</v>
      </c>
      <c r="CK203" s="1114">
        <f>+CK202/CE202-1</f>
        <v>9.2077566953703949E-2</v>
      </c>
      <c r="CL203" s="1114">
        <f>+CL202/CF202-1</f>
        <v>8.7267076149931011E-2</v>
      </c>
      <c r="CM203" s="1117">
        <f>+CM202/CG202-1</f>
        <v>0.10299600313393587</v>
      </c>
      <c r="CN203" s="601"/>
      <c r="CO203" s="1115">
        <f>+CO202/CI202-1</f>
        <v>6.7724842731542445E-2</v>
      </c>
      <c r="CP203" s="1114">
        <f>+CP202/CJ202-1</f>
        <v>6.8029444230738312E-2</v>
      </c>
      <c r="CQ203" s="1114">
        <f>+CQ202/CK202-1</f>
        <v>6.8019904891666538E-2</v>
      </c>
      <c r="CR203" s="1114">
        <f>+CR202/CL202-1</f>
        <v>6.8137528041195106E-2</v>
      </c>
      <c r="CS203" s="1117">
        <f>+CS202/CM202-1</f>
        <v>6.7743203881543979E-2</v>
      </c>
      <c r="CT203" s="601"/>
      <c r="CU203" s="1115">
        <f>+CU202/CO202-1</f>
        <v>6.8392507700176797E-2</v>
      </c>
      <c r="CV203" s="1114">
        <f>+CV202/CP202-1</f>
        <v>6.8573758174719002E-2</v>
      </c>
      <c r="CW203" s="1114">
        <f>+CW202/CQ202-1</f>
        <v>6.8530798991795594E-2</v>
      </c>
      <c r="CX203" s="1114">
        <f>+CX202/CR202-1</f>
        <v>6.8582649496021997E-2</v>
      </c>
      <c r="CY203" s="1117">
        <f>+CY202/CS202-1</f>
        <v>6.8387250581986025E-2</v>
      </c>
      <c r="CZ203" s="48"/>
      <c r="DA203"/>
      <c r="DB203"/>
      <c r="DC203"/>
      <c r="DD203" s="48"/>
      <c r="DE203" s="48"/>
      <c r="DF203" s="48"/>
      <c r="DG203" s="48"/>
      <c r="DH203" s="48"/>
      <c r="DI203" s="48"/>
      <c r="DJ203" s="48"/>
      <c r="DK203" s="48"/>
    </row>
    <row r="204" spans="1:115" s="5" customFormat="1" x14ac:dyDescent="0.2">
      <c r="A204" s="1139" t="s">
        <v>227</v>
      </c>
      <c r="B204" s="590"/>
      <c r="C204" s="1128"/>
      <c r="D204" s="1129"/>
      <c r="E204" s="1129"/>
      <c r="F204" s="1129"/>
      <c r="G204" s="1463"/>
      <c r="H204" s="592"/>
      <c r="I204" s="1128"/>
      <c r="J204" s="1129"/>
      <c r="K204" s="1129"/>
      <c r="L204" s="1129"/>
      <c r="M204" s="1463"/>
      <c r="N204" s="592"/>
      <c r="O204" s="1128"/>
      <c r="P204" s="1129"/>
      <c r="Q204" s="1129"/>
      <c r="R204" s="1129"/>
      <c r="S204" s="1463"/>
      <c r="T204" s="591"/>
      <c r="U204" s="1128"/>
      <c r="V204" s="1129"/>
      <c r="W204" s="1129"/>
      <c r="X204" s="1129"/>
      <c r="Y204" s="1463"/>
      <c r="Z204" s="593"/>
      <c r="AA204" s="1128"/>
      <c r="AB204" s="1129"/>
      <c r="AC204" s="1129"/>
      <c r="AD204" s="1129"/>
      <c r="AE204" s="1463"/>
      <c r="AF204" s="592"/>
      <c r="AG204" s="909"/>
      <c r="AH204" s="910"/>
      <c r="AI204" s="910"/>
      <c r="AJ204" s="910"/>
      <c r="AK204" s="1106"/>
      <c r="AL204" s="601"/>
      <c r="AM204" s="1109">
        <f>+AM203-RevBuild!AM$59</f>
        <v>0.27675337470334138</v>
      </c>
      <c r="AN204" s="1110">
        <f>+AN203-RevBuild!AN$59</f>
        <v>0.48271939905727901</v>
      </c>
      <c r="AO204" s="1110">
        <f>+AO203-RevBuild!AO$59</f>
        <v>0.62324600901392002</v>
      </c>
      <c r="AP204" s="1110">
        <f>+AP203-RevBuild!AP$59</f>
        <v>0.79954856691174703</v>
      </c>
      <c r="AQ204" s="1259">
        <f>+AQ203-RevBuild!AQ$59</f>
        <v>0.58027080988976032</v>
      </c>
      <c r="AR204" s="601"/>
      <c r="AS204" s="1109">
        <f>+AS203-RevBuild!AS$59</f>
        <v>0.60336557056048545</v>
      </c>
      <c r="AT204" s="1110">
        <f>+AT203-RevBuild!AT$59</f>
        <v>0.54068495681868933</v>
      </c>
      <c r="AU204" s="1110">
        <f>+AU203-RevBuild!AU$59</f>
        <v>0.44760431357651376</v>
      </c>
      <c r="AV204" s="1110">
        <f>+AV203-RevBuild!AV$59</f>
        <v>0.34658583945898769</v>
      </c>
      <c r="AW204" s="1259">
        <f>+AW203-RevBuild!AW$59</f>
        <v>0.42922810170836539</v>
      </c>
      <c r="AX204" s="592"/>
      <c r="AY204" s="1109">
        <f>+AY203-RevBuild!AY$59</f>
        <v>0.28737900096542746</v>
      </c>
      <c r="AZ204" s="1110">
        <f>+AZ203-RevBuild!AZ$59</f>
        <v>0.2808588784651963</v>
      </c>
      <c r="BA204" s="1110">
        <f>+BA203-RevBuild!BA$59</f>
        <v>0.30749402265168768</v>
      </c>
      <c r="BB204" s="1110">
        <f>+BB203-RevBuild!BB$59</f>
        <v>0.30708365083732264</v>
      </c>
      <c r="BC204" s="1259">
        <f>+BC203-RevBuild!BC$59</f>
        <v>0.31228143585503754</v>
      </c>
      <c r="BD204" s="601"/>
      <c r="BE204" s="1109">
        <f>+BE203-RevBuild!BE$59</f>
        <v>0.2512674839193334</v>
      </c>
      <c r="BF204" s="1110">
        <f>+BF203-RevBuild!BF$59</f>
        <v>0.22162922529865844</v>
      </c>
      <c r="BG204" s="1110">
        <f>+BG203-RevBuild!BG$59</f>
        <v>0.20847485488068401</v>
      </c>
      <c r="BH204" s="1110">
        <f>+BH203-RevBuild!BH$59</f>
        <v>0.19310025224827781</v>
      </c>
      <c r="BI204" s="1259">
        <f>+BI203-RevBuild!BI$59</f>
        <v>0.22040232665255338</v>
      </c>
      <c r="BJ204" s="601"/>
      <c r="BK204" s="1109">
        <f>+BK203-RevBuild!BK$59</f>
        <v>7.9232399818233115E-2</v>
      </c>
      <c r="BL204" s="1110">
        <f>+BL203-RevBuild!BL$59</f>
        <v>7.4167783222667233E-2</v>
      </c>
      <c r="BM204" s="1110">
        <f>+BM203-RevBuild!BM$59</f>
        <v>7.0981212783617992E-2</v>
      </c>
      <c r="BN204" s="1110">
        <f>+BN203-RevBuild!BN$59</f>
        <v>9.7546101815806321E-2</v>
      </c>
      <c r="BO204" s="1259">
        <f>+BO203-RevBuild!BO$59</f>
        <v>7.7174304052663317E-2</v>
      </c>
      <c r="BP204" s="601"/>
      <c r="BQ204" s="1109">
        <f>+BQ203-RevBuild!BQ$59</f>
        <v>8.7825827858162939E-2</v>
      </c>
      <c r="BR204" s="1110">
        <f>+BR203-RevBuild!BR$59</f>
        <v>8.2144926638087201E-2</v>
      </c>
      <c r="BS204" s="1110">
        <f>+BS203-RevBuild!BS$59</f>
        <v>5.9066349617274888E-2</v>
      </c>
      <c r="BT204" s="1110">
        <f>+BT203-RevBuild!BT$59</f>
        <v>5.5365264198028841E-2</v>
      </c>
      <c r="BU204" s="1259">
        <f>+BU203-RevBuild!BU$59</f>
        <v>7.0587927197556202E-2</v>
      </c>
      <c r="BV204" s="601"/>
      <c r="BW204" s="1109">
        <f>+BW203-RevBuild!BW$59</f>
        <v>6.84277060496261E-2</v>
      </c>
      <c r="BX204" s="1110">
        <f>+BX203-RevBuild!BX$59</f>
        <v>8.5047888349079448E-2</v>
      </c>
      <c r="BY204" s="1110">
        <f>+BY203-RevBuild!BY$59</f>
        <v>9.0419432091388294E-2</v>
      </c>
      <c r="BZ204" s="1110">
        <f>+BZ203-RevBuild!BZ$59</f>
        <v>9.0440657289364498E-2</v>
      </c>
      <c r="CA204" s="1259">
        <f>+CA203-RevBuild!CA$59</f>
        <v>8.0136399695926397E-2</v>
      </c>
      <c r="CB204" s="601"/>
      <c r="CC204" s="1109">
        <f>+CC203-RevBuild!CC$59</f>
        <v>8.8222617727624242E-2</v>
      </c>
      <c r="CD204" s="1110">
        <f>+CD203-RevBuild!CD$59</f>
        <v>0.10181373341588967</v>
      </c>
      <c r="CE204" s="1110">
        <f>+CE203-RevBuild!CE$59</f>
        <v>9.9829129409490125E-2</v>
      </c>
      <c r="CF204" s="1110">
        <f>+CF203-RevBuild!CF$59</f>
        <v>0.11743553373224563</v>
      </c>
      <c r="CG204" s="1259">
        <f>+CG203-RevBuild!CG$59</f>
        <v>0.10615242393841681</v>
      </c>
      <c r="CH204" s="601"/>
      <c r="CI204" s="1109">
        <f>+CI203-RevBuild!CI$59</f>
        <v>6.6651373543534828E-2</v>
      </c>
      <c r="CJ204" s="1110">
        <f>+CJ203-RevBuild!CJ$59</f>
        <v>6.7062044620732328E-2</v>
      </c>
      <c r="CK204" s="1110">
        <f>+CK203-RevBuild!CK$59</f>
        <v>6.7077566953703954E-2</v>
      </c>
      <c r="CL204" s="1110">
        <f>+CL203-RevBuild!CL$59</f>
        <v>6.7267076149931007E-2</v>
      </c>
      <c r="CM204" s="1259">
        <f>+CM203-RevBuild!CM$59</f>
        <v>6.7996003133935862E-2</v>
      </c>
      <c r="CN204" s="601"/>
      <c r="CO204" s="1109">
        <f>+CO203-RevBuild!CO$59</f>
        <v>6.7724842731542445E-2</v>
      </c>
      <c r="CP204" s="1110">
        <f>+CP203-RevBuild!CP$59</f>
        <v>6.8029444230738312E-2</v>
      </c>
      <c r="CQ204" s="1110">
        <f>+CQ203-RevBuild!CQ$59</f>
        <v>6.8019904891666538E-2</v>
      </c>
      <c r="CR204" s="1110">
        <f>+CR203-RevBuild!CR$59</f>
        <v>6.8137528041195106E-2</v>
      </c>
      <c r="CS204" s="1259">
        <f>+CS203-RevBuild!CS$59</f>
        <v>6.7743203881543979E-2</v>
      </c>
      <c r="CT204" s="601"/>
      <c r="CU204" s="1109">
        <f>+CU203-RevBuild!CU$59</f>
        <v>6.8392507700176797E-2</v>
      </c>
      <c r="CV204" s="1110">
        <f>+CV203-RevBuild!CV$59</f>
        <v>6.8573758174719002E-2</v>
      </c>
      <c r="CW204" s="1110">
        <f>+CW203-RevBuild!CW$59</f>
        <v>6.8530798991795594E-2</v>
      </c>
      <c r="CX204" s="1110">
        <f>+CX203-RevBuild!CX$59</f>
        <v>6.8582649496021997E-2</v>
      </c>
      <c r="CY204" s="1259">
        <f>+CY203-RevBuild!CY$59</f>
        <v>6.8387250581986025E-2</v>
      </c>
      <c r="CZ204" s="48"/>
      <c r="DA204"/>
      <c r="DB204"/>
      <c r="DC204"/>
      <c r="DD204" s="48"/>
      <c r="DE204" s="48"/>
      <c r="DF204" s="48"/>
      <c r="DG204" s="48"/>
      <c r="DH204" s="48"/>
      <c r="DI204" s="48"/>
      <c r="DJ204" s="48"/>
      <c r="DK204" s="48"/>
    </row>
    <row r="205" spans="1:115" x14ac:dyDescent="0.2">
      <c r="A205" s="1247" t="s">
        <v>449</v>
      </c>
      <c r="B205" s="1184"/>
      <c r="C205" s="1189"/>
      <c r="D205" s="1190"/>
      <c r="E205" s="1190"/>
      <c r="F205" s="1191"/>
      <c r="G205" s="1192"/>
      <c r="H205" s="1184"/>
      <c r="I205" s="1189"/>
      <c r="J205" s="1190"/>
      <c r="K205" s="1190"/>
      <c r="L205" s="1191"/>
      <c r="M205" s="1192"/>
      <c r="N205" s="1184"/>
      <c r="O205" s="1189"/>
      <c r="P205" s="1190"/>
      <c r="Q205" s="1190"/>
      <c r="R205" s="1191"/>
      <c r="S205" s="1192"/>
      <c r="T205" s="1184"/>
      <c r="U205" s="1189"/>
      <c r="V205" s="1190"/>
      <c r="W205" s="1190"/>
      <c r="X205" s="1191"/>
      <c r="Y205" s="1192"/>
      <c r="Z205" s="1184"/>
      <c r="AA205" s="1189"/>
      <c r="AB205" s="1190"/>
      <c r="AC205" s="1190"/>
      <c r="AD205" s="1191"/>
      <c r="AE205" s="1192"/>
      <c r="AF205" s="1184"/>
      <c r="AG205" s="1189">
        <f>+((AG183*AG196)+(AG193*(AG179-AG183)))/(1000*4)</f>
        <v>0.609375</v>
      </c>
      <c r="AH205" s="1190">
        <f>+((AH183*AH196)+(AH193*(AH179-AH183)))/(1000*4)</f>
        <v>0.703125</v>
      </c>
      <c r="AI205" s="1190">
        <f>+((AI183*AI196)+(AI193*(AI179-AI183)))/(1000*4)</f>
        <v>0.796875</v>
      </c>
      <c r="AJ205" s="1191">
        <f>+((AJ183*AJ196)+(AJ193*(AJ179-AJ183)))/(1000*4)</f>
        <v>0.890625</v>
      </c>
      <c r="AK205" s="1192">
        <f>+SUM(AG205:AJ205)</f>
        <v>3</v>
      </c>
      <c r="AL205" s="1184"/>
      <c r="AM205" s="1189">
        <f>+((AM183*AM196)+(AM193*(AM179-AM183)))/(1000*4)</f>
        <v>1.378125</v>
      </c>
      <c r="AN205" s="1190">
        <f>+((AN183*AN196)+(AN193*(AN179-AN183)))/(1000*4)</f>
        <v>1.7978125</v>
      </c>
      <c r="AO205" s="1190">
        <f>+((AO183*AO196)+(AO193*(AO179-AO183)))/(1000*4)</f>
        <v>2.2825000000000002</v>
      </c>
      <c r="AP205" s="1191">
        <f>+((AP183*AP196)+(AP193*(AP179-AP183)))/(1000*4)</f>
        <v>2.8805937500000001</v>
      </c>
      <c r="AQ205" s="1192">
        <f>+SUM(AM205:AP205)</f>
        <v>8.3390312500000014</v>
      </c>
      <c r="AR205" s="1184"/>
      <c r="AS205" s="1189">
        <f>+((AS183*AS196)+(AS193*(AS179-AS183)))/(1000*4)</f>
        <v>3.7328794998562591</v>
      </c>
      <c r="AT205" s="1190">
        <f>+((AT183*AT196)+(AT193*(AT179-AT183)))/(1000*4)</f>
        <v>4.1482864246263977</v>
      </c>
      <c r="AU205" s="1190">
        <f>+((AU183*AU196)+(AU193*(AU179-AU183)))/(1000*4)</f>
        <v>4.3942539246246142</v>
      </c>
      <c r="AV205" s="1191">
        <f>+((AV183*AV196)+(AV193*(AV179-AV183)))/(1000*4)</f>
        <v>4.6095072372710328</v>
      </c>
      <c r="AW205" s="1192">
        <f>+SUM(AS205:AV205)</f>
        <v>16.884927086378305</v>
      </c>
      <c r="AX205" s="1184"/>
      <c r="AY205" s="1189">
        <f>+((AY183*AY196)+(AY193*(AY179-AY183)))/(1000*4)</f>
        <v>6.0201359310405715</v>
      </c>
      <c r="AZ205" s="1190">
        <f>+((AZ183*AZ196)+(AZ193*(AZ179-AZ183)))/(1000*4)</f>
        <v>6.8370600438583606</v>
      </c>
      <c r="BA205" s="1190">
        <f>+((BA183*BA196)+(BA193*(BA179-BA183)))/(1000*4)</f>
        <v>7.7148857603824856</v>
      </c>
      <c r="BB205" s="1191">
        <f>+((BB183*BB196)+(BB193*(BB179-BB183)))/(1000*4)</f>
        <v>8.5897253321248712</v>
      </c>
      <c r="BC205" s="1192">
        <f>+SUM(AY205:BB205)</f>
        <v>29.16180706740629</v>
      </c>
      <c r="BD205" s="1184"/>
      <c r="BE205" s="1189">
        <f>+((BE183*BE196)+(BE193*(BE179-BE183)))/(1000*4)</f>
        <v>10.163622345515247</v>
      </c>
      <c r="BF205" s="1190">
        <f>+((BF183*BF196)+(BF193*(BF179-BF183)))/(1000*4)</f>
        <v>11.251953316437158</v>
      </c>
      <c r="BG205" s="1190">
        <f>+((BG183*BG196)+(BG193*(BG179-BG183)))/(1000*4)</f>
        <v>12.433417344729767</v>
      </c>
      <c r="BH205" s="1191">
        <f>+((BH183*BH196)+(BH193*(BH179-BH183)))/(1000*4)</f>
        <v>13.628276682920033</v>
      </c>
      <c r="BI205" s="1192">
        <f>+SUM(BE205:BH205)</f>
        <v>47.477269689602203</v>
      </c>
      <c r="BJ205" s="1183"/>
      <c r="BK205" s="1189">
        <f>+((BK183*BK196)+(BK193*(BK179-BK183)))/(1000*4)</f>
        <v>14.395668474219681</v>
      </c>
      <c r="BL205" s="1190">
        <f>+((BL183*BL196)+(BL193*(BL179-BL183)))/(1000*4)</f>
        <v>15.746399100065519</v>
      </c>
      <c r="BM205" s="1190">
        <f>+((BM183*BM196)+(BM193*(BM179-BM183)))/(1000*4)</f>
        <v>16.968852897861186</v>
      </c>
      <c r="BN205" s="1191">
        <f>+((BN183*BN196)+(BN193*(BN179-BN183)))/(1000*4)</f>
        <v>17.977569447627861</v>
      </c>
      <c r="BO205" s="1192">
        <f>+SUM(BK205:BN205)</f>
        <v>65.088489919774247</v>
      </c>
      <c r="BP205" s="1184"/>
      <c r="BQ205" s="1189">
        <f>+((BQ183*BQ196)+(BQ193*(BQ179-BQ183)))/(1000*4)</f>
        <v>18.032707706303377</v>
      </c>
      <c r="BR205" s="1190">
        <f>+((BR183*BR196)+(BR193*(BR179-BR183)))/(1000*4)</f>
        <v>19.284174064262093</v>
      </c>
      <c r="BS205" s="1190">
        <f>+((BS183*BS196)+(BS193*(BS179-BS183)))/(1000*4)</f>
        <v>19.972810920679777</v>
      </c>
      <c r="BT205" s="1191">
        <f>+((BT183*BT196)+(BT193*(BT179-BT183)))/(1000*4)</f>
        <v>21.459402941020233</v>
      </c>
      <c r="BU205" s="1192">
        <f>+SUM(BQ205:BT205)</f>
        <v>78.74909563226548</v>
      </c>
      <c r="BV205" s="1184"/>
      <c r="BW205" s="1189">
        <f>+((BW183*BW196)+(BW193*(BW179-BW183)))/(1000*4)</f>
        <v>22.534323284123783</v>
      </c>
      <c r="BX205" s="1190">
        <f>+((BX183*BX196)+(BX193*(BX179-BX183)))/(1000*4)</f>
        <v>24.334839593789233</v>
      </c>
      <c r="BY205" s="1190">
        <f>+((BY183*BY196)+(BY193*(BY179-BY183)))/(1000*4)</f>
        <v>25.324848598155999</v>
      </c>
      <c r="BZ205" s="1191">
        <f>+((BZ183*BZ196)+(BZ193*(BZ179-BZ183)))/(1000*4)</f>
        <v>26.559504681836298</v>
      </c>
      <c r="CA205" s="1192">
        <f>+SUM(BW205:BZ205)</f>
        <v>98.75351615790531</v>
      </c>
      <c r="CB205" s="1184"/>
      <c r="CC205" s="1189">
        <f>+((CC183*CC196)+(CC193*(CC179-CC183)))/(1000*4)</f>
        <v>27.989810216477984</v>
      </c>
      <c r="CD205" s="1190">
        <f>+((CD183*CD196)+(CD193*(CD179-CD183)))/(1000*4)</f>
        <v>30.514011087429957</v>
      </c>
      <c r="CE205" s="1190">
        <f>+((CE183*CE196)+(CE193*(CE179-CE183)))/(1000*4)</f>
        <v>32.455418737478873</v>
      </c>
      <c r="CF205" s="1191">
        <f>+((CF183*CF196)+(CF193*(CF179-CF183)))/(1000*4)</f>
        <v>34.930900582837168</v>
      </c>
      <c r="CG205" s="1192">
        <f>+SUM(CC205:CF205)</f>
        <v>125.89014062422397</v>
      </c>
      <c r="CH205" s="1184"/>
      <c r="CI205" s="1189">
        <f>+((CI183*CI196)+(CI193*(CI179-CI183)))/(1000*4)</f>
        <v>35.804839646128137</v>
      </c>
      <c r="CJ205" s="1190">
        <f>+((CJ183*CJ196)+(CJ193*(CJ179-CJ183)))/(1000*4)</f>
        <v>38.660478937645451</v>
      </c>
      <c r="CK205" s="1190">
        <f>+((CK183*CK196)+(CK193*(CK179-CK183)))/(1000*4)</f>
        <v>40.120902024374821</v>
      </c>
      <c r="CL205" s="1191">
        <f>+((CL183*CL196)+(CL193*(CL179-CL183)))/(1000*4)</f>
        <v>42.676294592888055</v>
      </c>
      <c r="CM205" s="1192">
        <f>+SUM(CI205:CL205)</f>
        <v>157.26251520103648</v>
      </c>
      <c r="CN205" s="1184"/>
      <c r="CO205" s="1189">
        <f>+((CO183*CO196)+(CO193*(CO179-CO183)))/(1000*4)</f>
        <v>42.630058081135914</v>
      </c>
      <c r="CP205" s="1190">
        <f>+((CP183*CP196)+(CP193*(CP179-CP183)))/(1000*4)</f>
        <v>45.731320435215217</v>
      </c>
      <c r="CQ205" s="1190">
        <f>+((CQ183*CQ196)+(CQ193*(CQ179-CQ183)))/(1000*4)</f>
        <v>47.15271883738118</v>
      </c>
      <c r="CR205" s="1191">
        <f>+((CR183*CR196)+(CR193*(CR179-CR183)))/(1000*4)</f>
        <v>49.85382640938932</v>
      </c>
      <c r="CS205" s="1192">
        <f>+SUM(CO205:CR205)</f>
        <v>185.36792376312161</v>
      </c>
      <c r="CT205" s="1184"/>
      <c r="CU205" s="1189">
        <f>+((CU183*CU196)+(CU193*(CU179-CU183)))/(1000*4)</f>
        <v>49.568183586503793</v>
      </c>
      <c r="CV205" s="1190">
        <f>+((CV183*CV196)+(CV193*(CV179-CV183)))/(1000*4)</f>
        <v>52.984083060554937</v>
      </c>
      <c r="CW205" s="1190">
        <f>+((CW183*CW196)+(CW193*(CW179-CW183)))/(1000*4)</f>
        <v>54.432196668723172</v>
      </c>
      <c r="CX205" s="1191">
        <f>+((CX183*CX196)+(CX193*(CX179-CX183)))/(1000*4)</f>
        <v>57.354019216886108</v>
      </c>
      <c r="CY205" s="1192">
        <f>+SUM(CU205:CX205)</f>
        <v>214.33848253266802</v>
      </c>
      <c r="CZ205" s="48"/>
      <c r="DD205" s="48"/>
      <c r="DE205" s="48"/>
      <c r="DF205" s="48"/>
      <c r="DG205" s="48"/>
      <c r="DH205" s="48"/>
      <c r="DI205" s="48"/>
      <c r="DJ205" s="48"/>
      <c r="DK205" s="48"/>
    </row>
    <row r="206" spans="1:115" x14ac:dyDescent="0.2">
      <c r="A206" s="1248" t="s">
        <v>450</v>
      </c>
      <c r="B206" s="1233"/>
      <c r="C206" s="1236"/>
      <c r="D206" s="1237"/>
      <c r="E206" s="1237"/>
      <c r="F206" s="1238"/>
      <c r="G206" s="1239"/>
      <c r="H206" s="1233"/>
      <c r="I206" s="1236"/>
      <c r="J206" s="1237"/>
      <c r="K206" s="1237"/>
      <c r="L206" s="1238"/>
      <c r="M206" s="1239"/>
      <c r="N206" s="1233"/>
      <c r="O206" s="1236"/>
      <c r="P206" s="1237"/>
      <c r="Q206" s="1237"/>
      <c r="R206" s="1238"/>
      <c r="S206" s="1239"/>
      <c r="T206" s="1233"/>
      <c r="U206" s="1236"/>
      <c r="V206" s="1237"/>
      <c r="W206" s="1237"/>
      <c r="X206" s="1238"/>
      <c r="Y206" s="1239"/>
      <c r="Z206" s="1233"/>
      <c r="AA206" s="1236"/>
      <c r="AB206" s="1237"/>
      <c r="AC206" s="1237"/>
      <c r="AD206" s="1238"/>
      <c r="AE206" s="1239"/>
      <c r="AF206" s="1233"/>
      <c r="AG206" s="1236">
        <f>+(AG181*AG192*AG189)/1000+(AG185*AG188*AG177)/1000</f>
        <v>0.5</v>
      </c>
      <c r="AH206" s="1237">
        <f>+(AH181*AH192*AH189)/1000+(AH185*AH188*AH177)/1000</f>
        <v>0.5</v>
      </c>
      <c r="AI206" s="1237">
        <f>+(AI181*AI192*AI189)/1000+(AI185*AI188*AI177)/1000</f>
        <v>0.5</v>
      </c>
      <c r="AJ206" s="1238">
        <f>+(AJ181*AJ192*AJ189)/1000+(AJ185*AJ188*AJ177)/1000</f>
        <v>0.5</v>
      </c>
      <c r="AK206" s="1239">
        <f>+SUM(AG206:AJ206)</f>
        <v>2</v>
      </c>
      <c r="AL206" s="1233"/>
      <c r="AM206" s="1236">
        <f>+(AM181*AM192*AM189)/1000+(AM185*AM188*AM177)/1000</f>
        <v>1.28125</v>
      </c>
      <c r="AN206" s="1237">
        <f>+(AN181*AN192*AN189)/1000+(AN185*AN188*AN177)/1000</f>
        <v>1.6656249999999999</v>
      </c>
      <c r="AO206" s="1237">
        <f>+(AO181*AO192*AO189)/1000+(AO185*AO188*AO177)/1000</f>
        <v>1.9156249999999999</v>
      </c>
      <c r="AP206" s="1238">
        <f>+(AP181*AP192*AP189)/1000+(AP185*AP188*AP177)/1000</f>
        <v>2.2374999999999998</v>
      </c>
      <c r="AQ206" s="1239">
        <f>+SUM(AM206:AP206)</f>
        <v>7.1</v>
      </c>
      <c r="AR206" s="1233"/>
      <c r="AS206" s="1236">
        <f>+(AS181*AS192*AS189)/1000+(AS185*AS188*AS177)/1000</f>
        <v>0.4</v>
      </c>
      <c r="AT206" s="1237">
        <f>+(AT181*AT192*AT189)/1000+(AT185*AT188*AT177)/1000</f>
        <v>0.4</v>
      </c>
      <c r="AU206" s="1237">
        <f>+(AU181*AU192*AU189)/1000+(AU185*AU188*AU177)/1000</f>
        <v>1.0666666666666673</v>
      </c>
      <c r="AV206" s="1238">
        <f>+(AV181*AV192*AV189)/1000+(AV185*AV188*AV177)/1000</f>
        <v>0.71111111111111081</v>
      </c>
      <c r="AW206" s="1239">
        <f>+SUM(AS206:AV206)</f>
        <v>2.5777777777777784</v>
      </c>
      <c r="AX206" s="1233"/>
      <c r="AY206" s="1236">
        <f>+(AY181*AY192*AY189)/1000+(AY185*AY188*AY177)/1000</f>
        <v>2.4792116814561145</v>
      </c>
      <c r="AZ206" s="1237">
        <f>+(AZ181*AZ192*AZ189)/1000+(AZ185*AZ188*AZ177)/1000</f>
        <v>2.3718111327287481</v>
      </c>
      <c r="BA206" s="1237">
        <f>+(BA181*BA192*BA189)/1000+(BA185*BA188*BA177)/1000</f>
        <v>2.3833056406528552</v>
      </c>
      <c r="BB206" s="1238">
        <f>+(BB181*BB192*BB189)/1000+(BB185*BB188*BB177)/1000</f>
        <v>2.4905448238741692</v>
      </c>
      <c r="BC206" s="1239">
        <f>+SUM(AY206:BB206)</f>
        <v>9.7248732787118861</v>
      </c>
      <c r="BD206" s="1233"/>
      <c r="BE206" s="1236">
        <f>+(BE181*BE192*BE189)/1000+(BE185*BE188*BE177)/1000</f>
        <v>2.9267954972791266</v>
      </c>
      <c r="BF206" s="1237">
        <f>+(BF181*BF192*BF189)/1000+(BF185*BF188*BF177)/1000</f>
        <v>2.8163662887688212</v>
      </c>
      <c r="BG206" s="1237">
        <f>+(BG181*BG192*BG189)/1000+(BG185*BG188*BG177)/1000</f>
        <v>2.8136362277073625</v>
      </c>
      <c r="BH206" s="1238">
        <f>+(BH181*BH192*BH189)/1000+(BH185*BH188*BH177)/1000</f>
        <v>2.9466522751438675</v>
      </c>
      <c r="BI206" s="1239">
        <f>+SUM(BE206:BH206)</f>
        <v>11.503450288899177</v>
      </c>
      <c r="BJ206" s="1233"/>
      <c r="BK206" s="1236">
        <f>+(BK181*BK192*BK189)/1000+(BK185*BK188*BK177)/1000</f>
        <v>2.3307787805725555</v>
      </c>
      <c r="BL206" s="1237">
        <f>+(BL181*BL192*BL189)/1000+(BL185*BL188*BL177)/1000</f>
        <v>2.2685345354447777</v>
      </c>
      <c r="BM206" s="1237">
        <f>+(BM181*BM192*BM189)/1000+(BM185*BM188*BM177)/1000</f>
        <v>2.2508642157625092</v>
      </c>
      <c r="BN206" s="1238">
        <f>+(BN181*BN192*BN189)/1000+(BN185*BN188*BN177)/1000</f>
        <v>2.244416939568461</v>
      </c>
      <c r="BO206" s="1239">
        <f>+SUM(BK206:BN206)</f>
        <v>9.0945944713483033</v>
      </c>
      <c r="BP206" s="1233"/>
      <c r="BQ206" s="1236">
        <f>+(BQ181*BQ192*BQ189)/1000+(BQ185*BQ188*BQ177)/1000</f>
        <v>2.0423663420383837</v>
      </c>
      <c r="BR206" s="1237">
        <f>+(BR181*BR192*BR189)/1000+(BR185*BR188*BR177)/1000</f>
        <v>1.9595229494449691</v>
      </c>
      <c r="BS206" s="1237">
        <f>+(BS181*BS192*BS189)/1000+(BS185*BS188*BS177)/1000</f>
        <v>1.8027460562393858</v>
      </c>
      <c r="BT206" s="1238">
        <f>+(BT181*BT192*BT189)/1000+(BT185*BT188*BT177)/1000</f>
        <v>2.1676588252528783</v>
      </c>
      <c r="BU206" s="1239">
        <f>+SUM(BQ206:BT206)</f>
        <v>7.9722941729756176</v>
      </c>
      <c r="BV206" s="1233"/>
      <c r="BW206" s="1236">
        <f>+(BW181*BW192*BW189)/1000+(BW185*BW188*BW177)/1000</f>
        <v>1.534760689071589</v>
      </c>
      <c r="BX206" s="1237">
        <f>+(BX181*BX192*BX189)/1000+(BX185*BX188*BX177)/1000</f>
        <v>1.6275182902424676</v>
      </c>
      <c r="BY206" s="1237">
        <f>+(BY181*BY192*BY189)/1000+(BY185*BY188*BY177)/1000</f>
        <v>1.6182374184105164</v>
      </c>
      <c r="BZ206" s="1238">
        <f>+(BZ181*BZ192*BZ189)/1000+(BZ185*BZ188*BZ177)/1000</f>
        <v>2.0285493567303221</v>
      </c>
      <c r="CA206" s="1239">
        <f>+SUM(BW206:BZ206)</f>
        <v>6.8090657544548954</v>
      </c>
      <c r="CB206" s="1233"/>
      <c r="CC206" s="1236">
        <f>+(CC181*CC192*CC189)/1000+(CC185*CC188*CC177)/1000</f>
        <v>1.3649181660799869</v>
      </c>
      <c r="CD206" s="1237">
        <f>+(CD181*CD192*CD189)/1000+(CD185*CD188*CD177)/1000</f>
        <v>1.4361328359003853</v>
      </c>
      <c r="CE206" s="1237">
        <f>+(CE181*CE192*CE189)/1000+(CE185*CE188*CE177)/1000</f>
        <v>1.4695661375460367</v>
      </c>
      <c r="CF206" s="1238">
        <f>+(CF181*CF192*CF189)/1000+(CF185*CF188*CF177)/1000</f>
        <v>1.6148121457973654</v>
      </c>
      <c r="CG206" s="1239">
        <f>+SUM(CC206:CF206)</f>
        <v>5.8854292853237755</v>
      </c>
      <c r="CH206" s="1233"/>
      <c r="CI206" s="1236">
        <f>+(CI181*CI192*CI189)/1000+(CI185*CI188*CI177)/1000</f>
        <v>1.4331640743839862</v>
      </c>
      <c r="CJ206" s="1237">
        <f>+(CJ181*CJ192*CJ189)/1000+(CJ185*CJ188*CJ177)/1000</f>
        <v>1.3853158278608331</v>
      </c>
      <c r="CK206" s="1237">
        <f>+(CK181*CK192*CK189)/1000+(CK185*CK188*CK177)/1000</f>
        <v>1.3904356532166346</v>
      </c>
      <c r="CL206" s="1238">
        <f>+(CL181*CL192*CL189)/1000+(CL185*CL188*CL177)/1000</f>
        <v>1.4118071903256968</v>
      </c>
      <c r="CM206" s="1239">
        <f>+SUM(CI206:CL206)</f>
        <v>5.6207227457871509</v>
      </c>
      <c r="CN206" s="1233"/>
      <c r="CO206" s="1236">
        <f>+(CO181*CO192*CO189)/1000+(CO185*CO188*CO177)/1000</f>
        <v>1.2181894632263883</v>
      </c>
      <c r="CP206" s="1237">
        <f>+(CP181*CP192*CP189)/1000+(CP185*CP188*CP177)/1000</f>
        <v>1.1775184536817083</v>
      </c>
      <c r="CQ206" s="1237">
        <f>+(CQ181*CQ192*CQ189)/1000+(CQ185*CQ188*CQ177)/1000</f>
        <v>1.1818703052341393</v>
      </c>
      <c r="CR206" s="1238">
        <f>+(CR181*CR192*CR189)/1000+(CR185*CR188*CR177)/1000</f>
        <v>1.2000361117768421</v>
      </c>
      <c r="CS206" s="1239">
        <f>+SUM(CO206:CR206)</f>
        <v>4.777614333919078</v>
      </c>
      <c r="CT206" s="1233"/>
      <c r="CU206" s="1236">
        <f>+(CU181*CU192*CU189)/1000+(CU185*CU188*CU177)/1000</f>
        <v>1.0987591236943894</v>
      </c>
      <c r="CV206" s="1237">
        <f>+(CV181*CV192*CV189)/1000+(CV185*CV188*CV177)/1000</f>
        <v>1.0620754680266387</v>
      </c>
      <c r="CW206" s="1237">
        <f>+(CW181*CW192*CW189)/1000+(CW185*CW188*CW177)/1000</f>
        <v>1.0660006674660865</v>
      </c>
      <c r="CX206" s="1238">
        <f>+(CX181*CX192*CX189)/1000+(CX185*CX188*CX177)/1000</f>
        <v>1.0823855125830342</v>
      </c>
      <c r="CY206" s="1239">
        <f>+SUM(CU206:CX206)</f>
        <v>4.3092207717701489</v>
      </c>
      <c r="CZ206" s="48"/>
      <c r="DD206" s="48"/>
      <c r="DE206" s="48"/>
      <c r="DF206" s="48"/>
      <c r="DG206" s="48"/>
      <c r="DH206" s="48"/>
      <c r="DI206" s="48"/>
      <c r="DJ206" s="48"/>
      <c r="DK206" s="48"/>
    </row>
    <row r="207" spans="1:115" x14ac:dyDescent="0.2">
      <c r="A207" s="1240" t="s">
        <v>448</v>
      </c>
      <c r="B207" s="1194"/>
      <c r="C207" s="1243"/>
      <c r="D207" s="1244"/>
      <c r="E207" s="1244"/>
      <c r="F207" s="1245"/>
      <c r="G207" s="1246"/>
      <c r="H207" s="1194"/>
      <c r="I207" s="1243"/>
      <c r="J207" s="1244"/>
      <c r="K207" s="1244"/>
      <c r="L207" s="1245"/>
      <c r="M207" s="1246"/>
      <c r="N207" s="1194"/>
      <c r="O207" s="1243"/>
      <c r="P207" s="1244"/>
      <c r="Q207" s="1244"/>
      <c r="R207" s="1245"/>
      <c r="S207" s="1246"/>
      <c r="T207" s="1194"/>
      <c r="U207" s="1243"/>
      <c r="V207" s="1244"/>
      <c r="W207" s="1244"/>
      <c r="X207" s="1245"/>
      <c r="Y207" s="1246"/>
      <c r="Z207" s="1194"/>
      <c r="AA207" s="1243"/>
      <c r="AB207" s="1244"/>
      <c r="AC207" s="1244"/>
      <c r="AD207" s="1245"/>
      <c r="AE207" s="1246"/>
      <c r="AF207" s="1194"/>
      <c r="AG207" s="1243">
        <f>+AG205+AG206</f>
        <v>1.109375</v>
      </c>
      <c r="AH207" s="1244">
        <f>+AH205+AH206</f>
        <v>1.203125</v>
      </c>
      <c r="AI207" s="1244">
        <f>+AI205+AI206</f>
        <v>1.296875</v>
      </c>
      <c r="AJ207" s="1245">
        <f>+AJ205+AJ206</f>
        <v>1.390625</v>
      </c>
      <c r="AK207" s="1246">
        <f>+SUM(AG207:AJ207)</f>
        <v>5</v>
      </c>
      <c r="AL207" s="1194"/>
      <c r="AM207" s="1243">
        <f>+AM205+AM206</f>
        <v>2.6593749999999998</v>
      </c>
      <c r="AN207" s="1244">
        <f>+AN205+AN206</f>
        <v>3.4634374999999999</v>
      </c>
      <c r="AO207" s="1244">
        <f>+AO205+AO206</f>
        <v>4.1981250000000001</v>
      </c>
      <c r="AP207" s="1245">
        <f>+AP205+AP206</f>
        <v>5.1180937499999999</v>
      </c>
      <c r="AQ207" s="1246">
        <f>+SUM(AM207:AP207)</f>
        <v>15.439031249999999</v>
      </c>
      <c r="AR207" s="1194"/>
      <c r="AS207" s="1243">
        <f>+AS205+AS206</f>
        <v>4.1328794998562595</v>
      </c>
      <c r="AT207" s="1244">
        <f>+AT205+AT206</f>
        <v>4.5482864246263981</v>
      </c>
      <c r="AU207" s="1244">
        <f>+AU205+AU206</f>
        <v>5.4609205912912815</v>
      </c>
      <c r="AV207" s="1245">
        <f>+AV205+AV206</f>
        <v>5.3206183483821441</v>
      </c>
      <c r="AW207" s="1246">
        <f>+SUM(AS207:AV207)</f>
        <v>19.462704864156084</v>
      </c>
      <c r="AX207" s="1194"/>
      <c r="AY207" s="1243">
        <f>+AY205+AY206</f>
        <v>8.4993476124966865</v>
      </c>
      <c r="AZ207" s="1244">
        <f>+AZ205+AZ206</f>
        <v>9.2088711765871096</v>
      </c>
      <c r="BA207" s="1244">
        <f>+BA205+BA206</f>
        <v>10.09819140103534</v>
      </c>
      <c r="BB207" s="1245">
        <f>+BB205+BB206</f>
        <v>11.08027015599904</v>
      </c>
      <c r="BC207" s="1246">
        <f>+SUM(AY207:BB207)</f>
        <v>38.886680346118176</v>
      </c>
      <c r="BD207" s="1194"/>
      <c r="BE207" s="1243">
        <f>+BE205+BE206</f>
        <v>13.090417842794373</v>
      </c>
      <c r="BF207" s="1244">
        <f>+BF205+BF206</f>
        <v>14.068319605205978</v>
      </c>
      <c r="BG207" s="1244">
        <f>+BG205+BG206</f>
        <v>15.24705357243713</v>
      </c>
      <c r="BH207" s="1245">
        <f>+BH205+BH206</f>
        <v>16.5749289580639</v>
      </c>
      <c r="BI207" s="1246">
        <f>+SUM(BE207:BH207)</f>
        <v>58.980719978501384</v>
      </c>
      <c r="BJ207" s="1194"/>
      <c r="BK207" s="1243">
        <f>+BK205+BK206</f>
        <v>16.726447254792237</v>
      </c>
      <c r="BL207" s="1244">
        <f>+BL205+BL206</f>
        <v>18.014933635510296</v>
      </c>
      <c r="BM207" s="1244">
        <f>+BM205+BM206</f>
        <v>19.219717113623695</v>
      </c>
      <c r="BN207" s="1245">
        <f>+BN205+BN206</f>
        <v>20.221986387196321</v>
      </c>
      <c r="BO207" s="1246">
        <f>+SUM(BK207:BN207)</f>
        <v>74.183084391122549</v>
      </c>
      <c r="BP207" s="1194"/>
      <c r="BQ207" s="1243">
        <f>+BQ205+BQ206</f>
        <v>20.075074048341762</v>
      </c>
      <c r="BR207" s="1244">
        <f>+BR205+BR206</f>
        <v>21.243697013707063</v>
      </c>
      <c r="BS207" s="1244">
        <f>+BS205+BS206</f>
        <v>21.775556976919162</v>
      </c>
      <c r="BT207" s="1245">
        <f>+BT205+BT206</f>
        <v>23.627061766273112</v>
      </c>
      <c r="BU207" s="1246">
        <f>+SUM(BQ207:BT207)</f>
        <v>86.721389805241103</v>
      </c>
      <c r="BV207" s="1194"/>
      <c r="BW207" s="1243">
        <f>+BW205+BW206</f>
        <v>24.069083973195372</v>
      </c>
      <c r="BX207" s="1244">
        <f>+BX205+BX206</f>
        <v>25.9623578840317</v>
      </c>
      <c r="BY207" s="1244">
        <f>+BY205+BY206</f>
        <v>26.943086016566514</v>
      </c>
      <c r="BZ207" s="1245">
        <f>+BZ205+BZ206</f>
        <v>28.588054038566622</v>
      </c>
      <c r="CA207" s="1246">
        <f>+SUM(BW207:BZ207)</f>
        <v>105.56258191236022</v>
      </c>
      <c r="CB207" s="1194"/>
      <c r="CC207" s="1243">
        <f>+CC205+CC206</f>
        <v>29.354728382557973</v>
      </c>
      <c r="CD207" s="1244">
        <f>+CD205+CD206</f>
        <v>31.950143923330341</v>
      </c>
      <c r="CE207" s="1244">
        <f>+CE205+CE206</f>
        <v>33.924984875024911</v>
      </c>
      <c r="CF207" s="1245">
        <f>+CF205+CF206</f>
        <v>36.545712728634534</v>
      </c>
      <c r="CG207" s="1246">
        <f>+SUM(CC207:CF207)</f>
        <v>131.77556990954776</v>
      </c>
      <c r="CH207" s="1194"/>
      <c r="CI207" s="1243">
        <f>+CI205+CI206</f>
        <v>37.238003720512125</v>
      </c>
      <c r="CJ207" s="1244">
        <f>+CJ205+CJ206</f>
        <v>40.045794765506287</v>
      </c>
      <c r="CK207" s="1244">
        <f>+CK205+CK206</f>
        <v>41.511337677591456</v>
      </c>
      <c r="CL207" s="1245">
        <f>+CL205+CL206</f>
        <v>44.088101783213752</v>
      </c>
      <c r="CM207" s="1246">
        <f>+SUM(CI207:CL207)</f>
        <v>162.88323794682361</v>
      </c>
      <c r="CN207" s="1194"/>
      <c r="CO207" s="1243">
        <f>+CO205+CO206</f>
        <v>43.848247544362302</v>
      </c>
      <c r="CP207" s="1244">
        <f>+CP205+CP206</f>
        <v>46.908838888896923</v>
      </c>
      <c r="CQ207" s="1244">
        <f>+CQ205+CQ206</f>
        <v>48.334589142615322</v>
      </c>
      <c r="CR207" s="1245">
        <f>+CR205+CR206</f>
        <v>51.05386252116616</v>
      </c>
      <c r="CS207" s="1246">
        <f>+SUM(CO207:CR207)</f>
        <v>190.14553809704071</v>
      </c>
      <c r="CT207" s="1194"/>
      <c r="CU207" s="1243">
        <f>+CU205+CU206</f>
        <v>50.666942710198185</v>
      </c>
      <c r="CV207" s="1244">
        <f>+CV205+CV206</f>
        <v>54.046158528581579</v>
      </c>
      <c r="CW207" s="1244">
        <f>+CW205+CW206</f>
        <v>55.498197336189257</v>
      </c>
      <c r="CX207" s="1245">
        <f>+CX205+CX206</f>
        <v>58.436404729469146</v>
      </c>
      <c r="CY207" s="1246">
        <f>+SUM(CU207:CX207)</f>
        <v>218.64770330443815</v>
      </c>
      <c r="CZ207" s="48"/>
      <c r="DD207" s="48"/>
      <c r="DE207" s="48"/>
      <c r="DF207" s="48"/>
      <c r="DG207" s="48"/>
      <c r="DH207" s="48"/>
      <c r="DI207" s="48"/>
      <c r="DJ207" s="48"/>
      <c r="DK207" s="48"/>
    </row>
    <row r="208" spans="1:115" x14ac:dyDescent="0.2">
      <c r="A208" s="205" t="s">
        <v>639</v>
      </c>
      <c r="B208" s="48"/>
      <c r="C208" s="565"/>
      <c r="D208" s="970"/>
      <c r="E208" s="970"/>
      <c r="F208" s="970"/>
      <c r="G208" s="708"/>
      <c r="H208" s="48"/>
      <c r="I208" s="565"/>
      <c r="J208" s="970"/>
      <c r="K208" s="970"/>
      <c r="L208" s="970"/>
      <c r="M208" s="708"/>
      <c r="N208" s="48"/>
      <c r="O208" s="565"/>
      <c r="P208" s="970"/>
      <c r="Q208" s="970"/>
      <c r="R208" s="970"/>
      <c r="S208" s="708"/>
      <c r="T208" s="48"/>
      <c r="U208" s="565"/>
      <c r="V208" s="970"/>
      <c r="W208" s="970"/>
      <c r="X208" s="970"/>
      <c r="Y208" s="708"/>
      <c r="Z208" s="48"/>
      <c r="AA208" s="565"/>
      <c r="AB208" s="970"/>
      <c r="AC208" s="970"/>
      <c r="AD208" s="970"/>
      <c r="AE208" s="708"/>
      <c r="AF208" s="48"/>
      <c r="AG208" s="565"/>
      <c r="AH208" s="970"/>
      <c r="AI208" s="970"/>
      <c r="AJ208" s="970"/>
      <c r="AK208" s="708"/>
      <c r="AL208" s="48"/>
      <c r="AM208" s="565"/>
      <c r="AN208" s="970"/>
      <c r="AO208" s="970"/>
      <c r="AP208" s="970"/>
      <c r="AQ208" s="708"/>
      <c r="AR208" s="48"/>
      <c r="AS208" s="565"/>
      <c r="AT208" s="970"/>
      <c r="AU208" s="970"/>
      <c r="AV208" s="970"/>
      <c r="AW208" s="708"/>
      <c r="AX208" s="48"/>
      <c r="AY208" s="586">
        <f>AY207/AS207-1</f>
        <v>1.0565195798213551</v>
      </c>
      <c r="AZ208" s="587">
        <f>AZ207/AT207-1</f>
        <v>1.0246902496567238</v>
      </c>
      <c r="BA208" s="587">
        <f>BA207/AU207-1</f>
        <v>0.84917382192652169</v>
      </c>
      <c r="BB208" s="997">
        <f>BB207/AV207-1</f>
        <v>1.0825154954721099</v>
      </c>
      <c r="BC208" s="707">
        <f>BC207/AW207-1</f>
        <v>0.9980100719574021</v>
      </c>
      <c r="BD208" s="614"/>
      <c r="BE208" s="586">
        <f>BE207/AY207-1</f>
        <v>0.54016736808686172</v>
      </c>
      <c r="BF208" s="587">
        <f>BF207/AZ207-1</f>
        <v>0.52769208466871231</v>
      </c>
      <c r="BG208" s="587">
        <f>BG207/BA207-1</f>
        <v>0.50987963754320309</v>
      </c>
      <c r="BH208" s="997">
        <f>BH207/BB207-1</f>
        <v>0.4958957430374531</v>
      </c>
      <c r="BI208" s="707">
        <f>BI207/BC207-1</f>
        <v>0.51673322210927863</v>
      </c>
      <c r="BJ208" s="614"/>
      <c r="BK208" s="586">
        <f>BK207/BE207-1</f>
        <v>0.27776267004336441</v>
      </c>
      <c r="BL208" s="587">
        <f>BL207/BF207-1</f>
        <v>0.28053201384789928</v>
      </c>
      <c r="BM208" s="587">
        <f>BM207/BG207-1</f>
        <v>0.26055286828454194</v>
      </c>
      <c r="BN208" s="997">
        <f>BN207/BH207-1</f>
        <v>0.22003457380479952</v>
      </c>
      <c r="BO208" s="707">
        <f>BO207/BI207-1</f>
        <v>0.25775142145030561</v>
      </c>
      <c r="BP208" s="614"/>
      <c r="BQ208" s="586">
        <f>BQ207/BK207-1</f>
        <v>0.20019952489253923</v>
      </c>
      <c r="BR208" s="587">
        <f>BR207/BL207-1</f>
        <v>0.17922704815477974</v>
      </c>
      <c r="BS208" s="587">
        <f>BS207/BM207-1</f>
        <v>0.13298009789560261</v>
      </c>
      <c r="BT208" s="587">
        <f>BT207/BN207-1</f>
        <v>0.16838481214846124</v>
      </c>
      <c r="BU208" s="707">
        <f>BU207/BO207-1</f>
        <v>0.16901838899029387</v>
      </c>
      <c r="BV208" s="614"/>
      <c r="BW208" s="586">
        <f>BW207/BQ207-1</f>
        <v>0.19895368332071106</v>
      </c>
      <c r="BX208" s="587">
        <f>BX207/BR207-1</f>
        <v>0.22212051260569265</v>
      </c>
      <c r="BY208" s="587">
        <f>BY207/BS207-1</f>
        <v>0.2373086964032487</v>
      </c>
      <c r="BZ208" s="997">
        <f>BZ207/BT207-1</f>
        <v>0.20997076663062564</v>
      </c>
      <c r="CA208" s="707">
        <f>CA207/BU207-1</f>
        <v>0.21726118722765708</v>
      </c>
      <c r="CB208" s="614"/>
      <c r="CC208" s="586">
        <f>CC207/BW207-1</f>
        <v>0.21960305657036971</v>
      </c>
      <c r="CD208" s="587">
        <f>CD207/BX207-1</f>
        <v>0.23063336797238532</v>
      </c>
      <c r="CE208" s="587">
        <f>CE207/BY207-1</f>
        <v>0.25913508401247842</v>
      </c>
      <c r="CF208" s="997">
        <f>CF207/BZ207-1</f>
        <v>0.27835608115657884</v>
      </c>
      <c r="CG208" s="707">
        <f>CG207/CA207-1</f>
        <v>0.24831704115526465</v>
      </c>
      <c r="CH208" s="614"/>
      <c r="CI208" s="586">
        <f>CI207/CC207-1</f>
        <v>0.26855214721176734</v>
      </c>
      <c r="CJ208" s="587">
        <f>CJ207/CD207-1</f>
        <v>0.25338386148127534</v>
      </c>
      <c r="CK208" s="587">
        <f>CK207/CE207-1</f>
        <v>0.22362140559571797</v>
      </c>
      <c r="CL208" s="997">
        <f>CL207/CF207-1</f>
        <v>0.20638232206837093</v>
      </c>
      <c r="CM208" s="707">
        <f>CM207/CG207-1</f>
        <v>0.23606551698944278</v>
      </c>
      <c r="CN208" s="614"/>
      <c r="CO208" s="586">
        <f>CO207/CI207-1</f>
        <v>0.17751337782398369</v>
      </c>
      <c r="CP208" s="587">
        <f>CP207/CJ207-1</f>
        <v>0.17137989553155686</v>
      </c>
      <c r="CQ208" s="587">
        <f>CQ207/CK207-1</f>
        <v>0.16437079233674456</v>
      </c>
      <c r="CR208" s="997">
        <f>CR207/CL207-1</f>
        <v>0.15799638578689224</v>
      </c>
      <c r="CS208" s="707">
        <f>CS207/CM207-1</f>
        <v>0.16737326991938484</v>
      </c>
      <c r="CT208" s="614"/>
      <c r="CU208" s="586">
        <f>CU207/CO207-1</f>
        <v>0.1555066746723972</v>
      </c>
      <c r="CV208" s="587">
        <f>CV207/CP207-1</f>
        <v>0.15215298030695923</v>
      </c>
      <c r="CW208" s="587">
        <f>CW207/CQ207-1</f>
        <v>0.14820873251735112</v>
      </c>
      <c r="CX208" s="997">
        <f>CX207/CR207-1</f>
        <v>0.14460301030587641</v>
      </c>
      <c r="CY208" s="707">
        <f>CY207/CS207-1</f>
        <v>0.14989657655206923</v>
      </c>
      <c r="CZ208" s="48"/>
      <c r="DD208" s="48"/>
      <c r="DE208" s="48"/>
      <c r="DF208" s="48"/>
      <c r="DG208" s="48"/>
      <c r="DH208" s="48"/>
      <c r="DI208" s="48"/>
      <c r="DJ208" s="48"/>
      <c r="DK208" s="48"/>
    </row>
    <row r="209" spans="1:115" x14ac:dyDescent="0.2">
      <c r="A209" s="205" t="s">
        <v>227</v>
      </c>
      <c r="B209" s="48"/>
      <c r="C209" s="565"/>
      <c r="D209" s="970"/>
      <c r="E209" s="970"/>
      <c r="F209" s="970"/>
      <c r="G209" s="708"/>
      <c r="H209" s="48"/>
      <c r="I209" s="565"/>
      <c r="J209" s="970"/>
      <c r="K209" s="970"/>
      <c r="L209" s="970"/>
      <c r="M209" s="708"/>
      <c r="N209" s="48"/>
      <c r="O209" s="565"/>
      <c r="P209" s="970"/>
      <c r="Q209" s="970"/>
      <c r="R209" s="970"/>
      <c r="S209" s="708"/>
      <c r="T209" s="48"/>
      <c r="U209" s="565"/>
      <c r="V209" s="970"/>
      <c r="W209" s="970"/>
      <c r="X209" s="970"/>
      <c r="Y209" s="708"/>
      <c r="Z209" s="48"/>
      <c r="AA209" s="565"/>
      <c r="AB209" s="970"/>
      <c r="AC209" s="970"/>
      <c r="AD209" s="970"/>
      <c r="AE209" s="708"/>
      <c r="AF209" s="48"/>
      <c r="AG209" s="565"/>
      <c r="AH209" s="970"/>
      <c r="AI209" s="970"/>
      <c r="AJ209" s="970"/>
      <c r="AK209" s="708"/>
      <c r="AL209" s="48"/>
      <c r="AM209" s="565"/>
      <c r="AN209" s="970"/>
      <c r="AO209" s="970"/>
      <c r="AP209" s="970"/>
      <c r="AQ209" s="708"/>
      <c r="AR209" s="48"/>
      <c r="AS209" s="565"/>
      <c r="AT209" s="970"/>
      <c r="AU209" s="970"/>
      <c r="AV209" s="970"/>
      <c r="AW209" s="708"/>
      <c r="AX209" s="48"/>
      <c r="AY209" s="1109">
        <f>+AY208-RevBuild!AY$59</f>
        <v>1.0648349072389092</v>
      </c>
      <c r="AZ209" s="1110">
        <f>+AZ208-RevBuild!AZ$59</f>
        <v>1.0759657965652245</v>
      </c>
      <c r="BA209" s="1110">
        <f>+BA208-RevBuild!BA$59</f>
        <v>0.89585156566537971</v>
      </c>
      <c r="BB209" s="1110">
        <f>+BB208-RevBuild!BB$59</f>
        <v>1.0862975659224423</v>
      </c>
      <c r="BC209" s="1259">
        <f>+BC208-RevBuild!BC$59</f>
        <v>1.0255935579590763</v>
      </c>
      <c r="BD209" s="614"/>
      <c r="BE209" s="1109">
        <f>+BE208-RevBuild!BE$59</f>
        <v>0.54603285715312544</v>
      </c>
      <c r="BF209" s="1110">
        <f>+BF208-RevBuild!BF$59</f>
        <v>0.52774869034620653</v>
      </c>
      <c r="BG209" s="1110">
        <f>+BG208-RevBuild!BG$59</f>
        <v>0.51572352279702438</v>
      </c>
      <c r="BH209" s="1110">
        <f>+BH208-RevBuild!BH$59</f>
        <v>0.49957101689383537</v>
      </c>
      <c r="BI209" s="1259">
        <f>+BI208-RevBuild!BI$59</f>
        <v>0.52533838641954533</v>
      </c>
      <c r="BJ209" s="614"/>
      <c r="BK209" s="1109">
        <f>+BK208-RevBuild!BK$59</f>
        <v>0.28231441326417256</v>
      </c>
      <c r="BL209" s="1110">
        <f>+BL208-RevBuild!BL$59</f>
        <v>0.27367854432082689</v>
      </c>
      <c r="BM209" s="1110">
        <f>+BM208-RevBuild!BM$59</f>
        <v>0.26057275642916949</v>
      </c>
      <c r="BN209" s="1110">
        <f>+BN208-RevBuild!BN$59</f>
        <v>0.2679299776411414</v>
      </c>
      <c r="BO209" s="1259">
        <f>+BO208-RevBuild!BO$59</f>
        <v>0.2672910055235948</v>
      </c>
      <c r="BP209" s="614"/>
      <c r="BQ209" s="1109">
        <f>+BQ208-RevBuild!BQ$59</f>
        <v>0.27894428263815718</v>
      </c>
      <c r="BR209" s="1110">
        <f>+BR208-RevBuild!BR$59</f>
        <v>0.26379372699802478</v>
      </c>
      <c r="BS209" s="1110">
        <f>+BS208-RevBuild!BS$59</f>
        <v>0.22198009789560261</v>
      </c>
      <c r="BT209" s="1110">
        <f>+BT208-RevBuild!BT$59</f>
        <v>0.23138481214846124</v>
      </c>
      <c r="BU209" s="1259">
        <f>+BU208-RevBuild!BU$59</f>
        <v>0.24926838899029374</v>
      </c>
      <c r="BV209" s="614"/>
      <c r="BW209" s="1109">
        <f>+BW208-RevBuild!BW$59</f>
        <v>0.21912531379515429</v>
      </c>
      <c r="BX209" s="1110">
        <f>+BX208-RevBuild!BX$59</f>
        <v>0.23730342355430539</v>
      </c>
      <c r="BY209" s="1110">
        <f>+BY208-RevBuild!BY$59</f>
        <v>0.24561768893569852</v>
      </c>
      <c r="BZ209" s="1110">
        <f>+BZ208-RevBuild!BZ$59</f>
        <v>0.24027779675975042</v>
      </c>
      <c r="CA209" s="1259">
        <f>+CA208-RevBuild!CA$59</f>
        <v>0.23597226847200831</v>
      </c>
      <c r="CB209" s="614"/>
      <c r="CC209" s="1109">
        <f>+CC208-RevBuild!CC$59</f>
        <v>0.24133328892586375</v>
      </c>
      <c r="CD209" s="1110">
        <f>+CD208-RevBuild!CD$59</f>
        <v>0.2531983955431662</v>
      </c>
      <c r="CE209" s="1110">
        <f>+CE208-RevBuild!CE$59</f>
        <v>0.25320907606999515</v>
      </c>
      <c r="CF209" s="1110">
        <f>+CF208-RevBuild!CF$59</f>
        <v>0.25487245838534162</v>
      </c>
      <c r="CG209" s="1259">
        <f>+CG208-RevBuild!CG$59</f>
        <v>0.25203844845840329</v>
      </c>
      <c r="CH209" s="614"/>
      <c r="CI209" s="1109">
        <f>+CI208-RevBuild!CI$59</f>
        <v>0.21855214721176736</v>
      </c>
      <c r="CJ209" s="1110">
        <f>+CJ208-RevBuild!CJ$59</f>
        <v>0.20838386148127536</v>
      </c>
      <c r="CK209" s="1110">
        <f>+CK208-RevBuild!CK$59</f>
        <v>0.19862140559571798</v>
      </c>
      <c r="CL209" s="1110">
        <f>+CL208-RevBuild!CL$59</f>
        <v>0.18638232206837094</v>
      </c>
      <c r="CM209" s="1259">
        <f>+CM208-RevBuild!CM$59</f>
        <v>0.20106551698944278</v>
      </c>
      <c r="CN209" s="614"/>
      <c r="CO209" s="1109">
        <f>+CO208-RevBuild!CO$59</f>
        <v>0.17751337782398369</v>
      </c>
      <c r="CP209" s="1110">
        <f>+CP208-RevBuild!CP$59</f>
        <v>0.17137989553155686</v>
      </c>
      <c r="CQ209" s="1110">
        <f>+CQ208-RevBuild!CQ$59</f>
        <v>0.16437079233674456</v>
      </c>
      <c r="CR209" s="1110">
        <f>+CR208-RevBuild!CR$59</f>
        <v>0.15799638578689224</v>
      </c>
      <c r="CS209" s="1259">
        <f>+CS208-RevBuild!CS$59</f>
        <v>0.16737326991938484</v>
      </c>
      <c r="CT209" s="614"/>
      <c r="CU209" s="1109">
        <f>+CU208-RevBuild!CU$59</f>
        <v>0.1555066746723972</v>
      </c>
      <c r="CV209" s="1110">
        <f>+CV208-RevBuild!CV$59</f>
        <v>0.15215298030695923</v>
      </c>
      <c r="CW209" s="1110">
        <f>+CW208-RevBuild!CW$59</f>
        <v>0.14820873251735112</v>
      </c>
      <c r="CX209" s="1110">
        <f>+CX208-RevBuild!CX$59</f>
        <v>0.14460301030587641</v>
      </c>
      <c r="CY209" s="1259">
        <f>+CY208-RevBuild!CY$59</f>
        <v>0.14989657655206923</v>
      </c>
      <c r="CZ209" s="48"/>
      <c r="DD209" s="48"/>
      <c r="DE209" s="48"/>
      <c r="DF209" s="48"/>
      <c r="DG209" s="48"/>
      <c r="DH209" s="48"/>
      <c r="DI209" s="48"/>
      <c r="DJ209" s="48"/>
      <c r="DK209" s="48"/>
    </row>
    <row r="210" spans="1:115" x14ac:dyDescent="0.2">
      <c r="A210" s="1196" t="s">
        <v>425</v>
      </c>
      <c r="B210" s="1197"/>
      <c r="C210" s="1198"/>
      <c r="D210" s="1198"/>
      <c r="E210" s="1198"/>
      <c r="F210" s="1198"/>
      <c r="G210" s="1199"/>
      <c r="H210" s="1200"/>
      <c r="I210" s="1201"/>
      <c r="J210" s="1198"/>
      <c r="K210" s="1198"/>
      <c r="L210" s="1198"/>
      <c r="M210" s="1199"/>
      <c r="N210" s="1200"/>
      <c r="O210" s="1201"/>
      <c r="P210" s="1198"/>
      <c r="Q210" s="1198"/>
      <c r="R210" s="1198"/>
      <c r="S210" s="1199"/>
      <c r="T210" s="1198"/>
      <c r="U210" s="1201"/>
      <c r="V210" s="1198"/>
      <c r="W210" s="1198"/>
      <c r="X210" s="1198"/>
      <c r="Y210" s="1202"/>
      <c r="Z210" s="1203"/>
      <c r="AA210" s="1204"/>
      <c r="AB210" s="1205"/>
      <c r="AC210" s="1205"/>
      <c r="AD210" s="1206"/>
      <c r="AE210" s="1207"/>
      <c r="AF210" s="1200"/>
      <c r="AG210" s="1209">
        <f>AG207/AG$366</f>
        <v>5.0213186803238991E-3</v>
      </c>
      <c r="AH210" s="1210">
        <f>AH207/AH$366</f>
        <v>5.0097644864171625E-3</v>
      </c>
      <c r="AI210" s="1210">
        <f>AI207/AI$366</f>
        <v>4.9945312891137997E-3</v>
      </c>
      <c r="AJ210" s="1210">
        <f>AJ207/AJ$366</f>
        <v>4.8105695022433448E-3</v>
      </c>
      <c r="AK210" s="1208">
        <f>AK207/AK$366</f>
        <v>4.9513529571955537E-3</v>
      </c>
      <c r="AL210" s="1200"/>
      <c r="AM210" s="1209">
        <f>AM207/AM$366</f>
        <v>1.0059520206987336E-2</v>
      </c>
      <c r="AN210" s="1210">
        <f>AN207/AN$366</f>
        <v>1.3316261988792991E-2</v>
      </c>
      <c r="AO210" s="1210">
        <f>AO207/AO$366</f>
        <v>1.5303918459300736E-2</v>
      </c>
      <c r="AP210" s="1210">
        <f>AP207/AP$366</f>
        <v>1.7893430630139283E-2</v>
      </c>
      <c r="AQ210" s="1208">
        <f>AQ207/AQ$366</f>
        <v>1.4232095209620481E-2</v>
      </c>
      <c r="AR210" s="1200"/>
      <c r="AS210" s="1209">
        <f>AS207/AS$366</f>
        <v>1.5639148202963919E-2</v>
      </c>
      <c r="AT210" s="1210">
        <f>AT207/AT$366</f>
        <v>1.6118558297190763E-2</v>
      </c>
      <c r="AU210" s="1210">
        <f>AU207/AU$366</f>
        <v>1.8903441131561977E-2</v>
      </c>
      <c r="AV210" s="1210">
        <f>AV207/AV$366</f>
        <v>1.5909988482692851E-2</v>
      </c>
      <c r="AW210" s="1208">
        <f>AW207/AW$366</f>
        <v>1.663838835590609E-2</v>
      </c>
      <c r="AX210" s="1200"/>
      <c r="AY210" s="1209">
        <f>AY207/AY$366</f>
        <v>2.867313361524005E-2</v>
      </c>
      <c r="AZ210" s="1210">
        <f>AZ207/AZ$366</f>
        <v>2.9975525699065825E-2</v>
      </c>
      <c r="BA210" s="1210">
        <f>BA207/BA$366</f>
        <v>3.3186186161955705E-2</v>
      </c>
      <c r="BB210" s="1210">
        <f>BB207/BB$366</f>
        <v>3.1974738713882248E-2</v>
      </c>
      <c r="BC210" s="1208">
        <f>BC207/BC$366</f>
        <v>3.0998839613440549E-2</v>
      </c>
      <c r="BD210" s="1200"/>
      <c r="BE210" s="1209">
        <f>BE207/BE$366</f>
        <v>4.3120727075903142E-2</v>
      </c>
      <c r="BF210" s="1210">
        <f>BF207/BF$366</f>
        <v>4.4462029269452419E-2</v>
      </c>
      <c r="BG210" s="1210">
        <f>BG207/BG$366</f>
        <v>4.708627431568764E-2</v>
      </c>
      <c r="BH210" s="1210">
        <f>BH207/BH$366</f>
        <v>4.5713222990647437E-2</v>
      </c>
      <c r="BI210" s="1208">
        <f>BI207/BI$366</f>
        <v>4.5148072831955523E-2</v>
      </c>
      <c r="BJ210" s="1200"/>
      <c r="BK210" s="1209">
        <f>BK207/BK$366</f>
        <v>5.2702804759044528E-2</v>
      </c>
      <c r="BL210" s="1210">
        <f>BL207/BL$366</f>
        <v>5.4386839741666235E-2</v>
      </c>
      <c r="BM210" s="1210">
        <f>BM207/BM$366</f>
        <v>5.7072955019862079E-2</v>
      </c>
      <c r="BN210" s="1210">
        <f>BN207/BN$366</f>
        <v>5.6046080727242376E-2</v>
      </c>
      <c r="BO210" s="1208">
        <f>BO207/BO$366</f>
        <v>5.5106486287555469E-2</v>
      </c>
      <c r="BP210" s="1200"/>
      <c r="BQ210" s="1209">
        <f>BQ207/BQ$366</f>
        <v>6.7201624376413943E-2</v>
      </c>
      <c r="BR210" s="1210">
        <f>BR207/BR$366</f>
        <v>6.6499602492071083E-2</v>
      </c>
      <c r="BS210" s="1210">
        <f>BS207/BS$366</f>
        <v>6.9225228101764569E-2</v>
      </c>
      <c r="BT210" s="1210">
        <f>BT207/BT$366</f>
        <v>6.7796446962046231E-2</v>
      </c>
      <c r="BU210" s="1208">
        <f>BU207/BU$366</f>
        <v>6.7685198474954161E-2</v>
      </c>
      <c r="BV210" s="1200"/>
      <c r="BW210" s="1209">
        <f>BW207/BW$366</f>
        <v>8.0666145986129617E-2</v>
      </c>
      <c r="BX210" s="1210">
        <f>BX207/BX$366</f>
        <v>7.7635844060714637E-2</v>
      </c>
      <c r="BY210" s="1210">
        <f>BY207/BY$366</f>
        <v>7.955204988873589E-2</v>
      </c>
      <c r="BZ210" s="1210">
        <f>BZ207/BZ$366</f>
        <v>7.7999683610675205E-2</v>
      </c>
      <c r="CA210" s="1208">
        <f>CA207/CA$366</f>
        <v>7.8896331823129023E-2</v>
      </c>
      <c r="CB210" s="1200"/>
      <c r="CC210" s="1209">
        <f>CC207/CC$366</f>
        <v>9.521296498465151E-2</v>
      </c>
      <c r="CD210" s="1210">
        <f>CD207/CD$366</f>
        <v>9.1389003401916274E-2</v>
      </c>
      <c r="CE210" s="1210">
        <f>CE207/CE$366</f>
        <v>9.3098202181736867E-2</v>
      </c>
      <c r="CF210" s="1210">
        <f>CF207/CF$366</f>
        <v>9.2028497502309251E-2</v>
      </c>
      <c r="CG210" s="1208">
        <f>CG207/CG$366</f>
        <v>9.2837289683884508E-2</v>
      </c>
      <c r="CH210" s="1200"/>
      <c r="CI210" s="1209">
        <f>CI207/CI$366</f>
        <v>0.1088203787744354</v>
      </c>
      <c r="CJ210" s="1210">
        <f>CJ207/CJ$366</f>
        <v>0.10267948369216784</v>
      </c>
      <c r="CK210" s="1210">
        <f>CK207/CK$366</f>
        <v>0.10301121250531395</v>
      </c>
      <c r="CL210" s="1210">
        <f>CL207/CL$366</f>
        <v>0.10263555912136027</v>
      </c>
      <c r="CM210" s="1208">
        <f>CM207/CM$366</f>
        <v>0.10409582283797178</v>
      </c>
      <c r="CN210" s="1200"/>
      <c r="CO210" s="1209">
        <f>CO207/CO$366</f>
        <v>0.11541165688338463</v>
      </c>
      <c r="CP210" s="1210">
        <f>CP207/CP$366</f>
        <v>0.11182842083032703</v>
      </c>
      <c r="CQ210" s="1210">
        <f>CQ207/CQ$366</f>
        <v>0.11318312177486058</v>
      </c>
      <c r="CR210" s="1210">
        <f>CR207/CR$366</f>
        <v>0.10918243097374845</v>
      </c>
      <c r="CS210" s="1208">
        <f>CS207/CS$366</f>
        <v>0.1122431836635036</v>
      </c>
      <c r="CT210" s="1200"/>
      <c r="CU210" s="1209">
        <f>CU207/CU$366</f>
        <v>0.12045124961414035</v>
      </c>
      <c r="CV210" s="1210">
        <f>CV207/CV$366</f>
        <v>0.11705773944128153</v>
      </c>
      <c r="CW210" s="1210">
        <f>CW207/CW$366</f>
        <v>0.11833146719421744</v>
      </c>
      <c r="CX210" s="1210">
        <f>CX207/CX$366</f>
        <v>0.11389044678978368</v>
      </c>
      <c r="CY210" s="1208">
        <f>CY207/CY$366</f>
        <v>0.1172721330629858</v>
      </c>
      <c r="CZ210" s="48"/>
      <c r="DD210" s="48"/>
      <c r="DE210" s="48"/>
      <c r="DF210" s="48"/>
      <c r="DG210" s="48"/>
      <c r="DH210" s="48"/>
      <c r="DI210" s="48"/>
      <c r="DJ210" s="48"/>
      <c r="DK210" s="48"/>
    </row>
    <row r="211" spans="1:115" s="5" customFormat="1" outlineLevel="1" x14ac:dyDescent="0.2">
      <c r="A211" s="354" t="s">
        <v>480</v>
      </c>
      <c r="B211" s="58"/>
      <c r="C211" s="556"/>
      <c r="D211" s="556"/>
      <c r="E211" s="556"/>
      <c r="F211" s="556"/>
      <c r="G211" s="629"/>
      <c r="H211" s="557"/>
      <c r="I211" s="677"/>
      <c r="J211" s="556"/>
      <c r="K211" s="556"/>
      <c r="L211" s="556"/>
      <c r="M211" s="629"/>
      <c r="N211" s="557"/>
      <c r="O211" s="677"/>
      <c r="P211" s="556"/>
      <c r="Q211" s="556"/>
      <c r="R211" s="556"/>
      <c r="S211" s="629"/>
      <c r="T211" s="556"/>
      <c r="U211" s="677"/>
      <c r="V211" s="556"/>
      <c r="W211" s="556"/>
      <c r="X211" s="556"/>
      <c r="Y211" s="629"/>
      <c r="Z211" s="578"/>
      <c r="AA211" s="581"/>
      <c r="AB211" s="550"/>
      <c r="AC211" s="601"/>
      <c r="AD211" s="852"/>
      <c r="AE211" s="580"/>
      <c r="AF211" s="557"/>
      <c r="AG211" s="581">
        <f>+AG212*AG$205</f>
        <v>0.46312500000000001</v>
      </c>
      <c r="AH211" s="550">
        <f>+AH212*AH$205</f>
        <v>0.53437500000000004</v>
      </c>
      <c r="AI211" s="550">
        <f>+AI212*AI$205</f>
        <v>0.60562499999999997</v>
      </c>
      <c r="AJ211" s="582">
        <f>+AJ212*AJ$205</f>
        <v>0.676875</v>
      </c>
      <c r="AK211" s="580">
        <f>SUM(AG211:AJ211)</f>
        <v>2.2799999999999998</v>
      </c>
      <c r="AL211" s="557"/>
      <c r="AM211" s="581">
        <f>+AM212*AM$205</f>
        <v>1.0473749999999999</v>
      </c>
      <c r="AN211" s="550">
        <f>+AN212*AN$205</f>
        <v>1.3663375</v>
      </c>
      <c r="AO211" s="550">
        <f>+AO212*AO$205</f>
        <v>1.7347000000000001</v>
      </c>
      <c r="AP211" s="582">
        <f>+AP212*AP$205</f>
        <v>2.1892512499999999</v>
      </c>
      <c r="AQ211" s="580">
        <f>+SUM(AM211:AP211)</f>
        <v>6.3376637499999999</v>
      </c>
      <c r="AR211" s="557"/>
      <c r="AS211" s="581">
        <f>+AS212*AS205</f>
        <v>2.8369884198907571</v>
      </c>
      <c r="AT211" s="550">
        <f>+AT212*AT205</f>
        <v>3.1526976827160622</v>
      </c>
      <c r="AU211" s="550">
        <f>+AU212*AU205</f>
        <v>3.3396329827147069</v>
      </c>
      <c r="AV211" s="582">
        <f>+AV212*AV205</f>
        <v>3.5032255003259851</v>
      </c>
      <c r="AW211" s="580">
        <f>+SUM(AS211:AV211)</f>
        <v>12.832544585647511</v>
      </c>
      <c r="AX211" s="557"/>
      <c r="AY211" s="581">
        <f>+AY212*AY$205</f>
        <v>4.5753033075908345</v>
      </c>
      <c r="AZ211" s="550">
        <f>+AZ212*AZ$205</f>
        <v>5.1961656333323543</v>
      </c>
      <c r="BA211" s="550">
        <f>+BA212*BA$205</f>
        <v>5.8633131778906895</v>
      </c>
      <c r="BB211" s="582">
        <f>+BB212*BB$205</f>
        <v>6.5281912524149019</v>
      </c>
      <c r="BC211" s="580">
        <f>+SUM(AY211:BB211)</f>
        <v>22.16297337122878</v>
      </c>
      <c r="BD211" s="557"/>
      <c r="BE211" s="581">
        <f>+BE212*BE$205</f>
        <v>7.7243529825915873</v>
      </c>
      <c r="BF211" s="550">
        <f>+BF212*BF$205</f>
        <v>8.5514845204922398</v>
      </c>
      <c r="BG211" s="550">
        <f>+BG212*BG$205</f>
        <v>9.4493971819946232</v>
      </c>
      <c r="BH211" s="582">
        <f>+BH212*BH$205</f>
        <v>10.357490279019226</v>
      </c>
      <c r="BI211" s="580">
        <f>+SUM(BE211:BH211)</f>
        <v>36.082724964097679</v>
      </c>
      <c r="BJ211" s="628"/>
      <c r="BK211" s="581">
        <f>+BK212*BK$205</f>
        <v>10.940708040406959</v>
      </c>
      <c r="BL211" s="550">
        <f>+BL212*BL$205</f>
        <v>11.967263316049795</v>
      </c>
      <c r="BM211" s="550">
        <f>+BM212*BM$205</f>
        <v>12.896328202374502</v>
      </c>
      <c r="BN211" s="582">
        <f>+BN212*BN$205</f>
        <v>13.662952780197175</v>
      </c>
      <c r="BO211" s="580">
        <f>+SUM(BK211:BN211)</f>
        <v>49.467252339028434</v>
      </c>
      <c r="BP211" s="557"/>
      <c r="BQ211" s="581">
        <f>+BQ212*BQ$205</f>
        <v>13.704857856790566</v>
      </c>
      <c r="BR211" s="550">
        <f>+BR212*BR$205</f>
        <v>14.655972288839191</v>
      </c>
      <c r="BS211" s="550">
        <f>+BS212*BS$205</f>
        <v>15.179336299716631</v>
      </c>
      <c r="BT211" s="582">
        <f>+BT212*BT$205</f>
        <v>16.309146235175376</v>
      </c>
      <c r="BU211" s="580">
        <f>+SUM(BQ211:BT211)</f>
        <v>59.849312680521763</v>
      </c>
      <c r="BV211" s="557"/>
      <c r="BW211" s="581">
        <f>+BW212*BW$205</f>
        <v>17.126085695934076</v>
      </c>
      <c r="BX211" s="550">
        <f>+BX212*BX$205</f>
        <v>18.494478091279817</v>
      </c>
      <c r="BY211" s="550">
        <f>+BY212*BY$205</f>
        <v>19.246884934598558</v>
      </c>
      <c r="BZ211" s="582">
        <f>+BZ212*BZ$205</f>
        <v>20.185223558195588</v>
      </c>
      <c r="CA211" s="580">
        <f>+SUM(BW211:BZ211)</f>
        <v>75.052672280008039</v>
      </c>
      <c r="CB211" s="557"/>
      <c r="CC211" s="581">
        <f>+CC212*CC$205</f>
        <v>21.272255764523269</v>
      </c>
      <c r="CD211" s="550">
        <f>+CD212*CD$205</f>
        <v>23.190648426446767</v>
      </c>
      <c r="CE211" s="550">
        <f>+CE212*CE$205</f>
        <v>24.666118240483943</v>
      </c>
      <c r="CF211" s="582">
        <f>+CF212*CF$205</f>
        <v>26.547484442956247</v>
      </c>
      <c r="CG211" s="580">
        <f>+SUM(CC211:CF211)</f>
        <v>95.676506874410222</v>
      </c>
      <c r="CH211" s="557"/>
      <c r="CI211" s="581">
        <f>+CI212*CI$205</f>
        <v>27.211678131057383</v>
      </c>
      <c r="CJ211" s="550">
        <f>+CJ212*CJ$205</f>
        <v>29.381963992610544</v>
      </c>
      <c r="CK211" s="550">
        <f>+CK212*CK$205</f>
        <v>30.491885538524865</v>
      </c>
      <c r="CL211" s="582">
        <f>+CL212*CL$205</f>
        <v>32.433983890594924</v>
      </c>
      <c r="CM211" s="580">
        <f>+SUM(CI211:CL211)</f>
        <v>119.51951155278772</v>
      </c>
      <c r="CN211" s="557"/>
      <c r="CO211" s="581">
        <f>+CO212*CO$205</f>
        <v>32.398844141663297</v>
      </c>
      <c r="CP211" s="550">
        <f>+CP212*CP$205</f>
        <v>34.755803530763565</v>
      </c>
      <c r="CQ211" s="550">
        <f>+CQ212*CQ$205</f>
        <v>35.836066316409699</v>
      </c>
      <c r="CR211" s="582">
        <f>+CR212*CR$205</f>
        <v>37.888908071135887</v>
      </c>
      <c r="CS211" s="580">
        <f>+SUM(CO211:CR211)</f>
        <v>140.87962205997246</v>
      </c>
      <c r="CT211" s="557"/>
      <c r="CU211" s="581">
        <f>+CU212*CU$205</f>
        <v>37.671819525742883</v>
      </c>
      <c r="CV211" s="550">
        <f>+CV212*CV$205</f>
        <v>40.26790312602175</v>
      </c>
      <c r="CW211" s="550">
        <f>+CW212*CW$205</f>
        <v>41.368469468229613</v>
      </c>
      <c r="CX211" s="582">
        <f>+CX212*CX$205</f>
        <v>43.589054604833443</v>
      </c>
      <c r="CY211" s="580">
        <f>+SUM(CU211:CX211)</f>
        <v>162.89724672482771</v>
      </c>
      <c r="CZ211" s="48"/>
      <c r="DA211"/>
      <c r="DB211"/>
      <c r="DC211"/>
      <c r="DD211" s="48"/>
      <c r="DE211" s="48"/>
      <c r="DF211" s="48"/>
      <c r="DG211" s="48"/>
      <c r="DH211" s="48"/>
      <c r="DI211" s="48"/>
      <c r="DJ211" s="48"/>
      <c r="DK211" s="48"/>
    </row>
    <row r="212" spans="1:115" s="5" customFormat="1" outlineLevel="1" x14ac:dyDescent="0.2">
      <c r="A212" s="205" t="s">
        <v>471</v>
      </c>
      <c r="B212" s="58"/>
      <c r="C212" s="558"/>
      <c r="D212" s="558"/>
      <c r="E212" s="558"/>
      <c r="F212" s="558"/>
      <c r="G212" s="629"/>
      <c r="H212" s="557"/>
      <c r="I212" s="704"/>
      <c r="J212" s="558"/>
      <c r="K212" s="558"/>
      <c r="L212" s="558"/>
      <c r="M212" s="629"/>
      <c r="N212" s="557"/>
      <c r="O212" s="704"/>
      <c r="P212" s="558"/>
      <c r="Q212" s="558"/>
      <c r="R212" s="558"/>
      <c r="S212" s="707"/>
      <c r="T212" s="557"/>
      <c r="U212" s="704"/>
      <c r="V212" s="558"/>
      <c r="W212" s="558"/>
      <c r="X212" s="558"/>
      <c r="Y212" s="707"/>
      <c r="Z212" s="557"/>
      <c r="AA212" s="685"/>
      <c r="AB212" s="578"/>
      <c r="AC212" s="578"/>
      <c r="AD212" s="582"/>
      <c r="AE212" s="707"/>
      <c r="AF212" s="557"/>
      <c r="AG212" s="909">
        <v>0.76</v>
      </c>
      <c r="AH212" s="910">
        <v>0.76</v>
      </c>
      <c r="AI212" s="910">
        <v>0.76</v>
      </c>
      <c r="AJ212" s="910">
        <v>0.76</v>
      </c>
      <c r="AK212" s="707">
        <f>+AK211/AK$43</f>
        <v>9.031267793924689E-3</v>
      </c>
      <c r="AL212" s="557"/>
      <c r="AM212" s="909">
        <v>0.76</v>
      </c>
      <c r="AN212" s="910">
        <v>0.76</v>
      </c>
      <c r="AO212" s="910">
        <v>0.76</v>
      </c>
      <c r="AP212" s="910">
        <v>0.76</v>
      </c>
      <c r="AQ212" s="707">
        <f>+AQ211/AQ205</f>
        <v>0.7599999999999999</v>
      </c>
      <c r="AR212" s="557"/>
      <c r="AS212" s="909">
        <v>0.76</v>
      </c>
      <c r="AT212" s="910">
        <v>0.76</v>
      </c>
      <c r="AU212" s="910">
        <v>0.76</v>
      </c>
      <c r="AV212" s="910">
        <v>0.76</v>
      </c>
      <c r="AW212" s="1106">
        <v>0</v>
      </c>
      <c r="AX212" s="557"/>
      <c r="AY212" s="909">
        <v>0.76</v>
      </c>
      <c r="AZ212" s="910">
        <v>0.76</v>
      </c>
      <c r="BA212" s="910">
        <v>0.76</v>
      </c>
      <c r="BB212" s="910">
        <v>0.76</v>
      </c>
      <c r="BC212" s="707">
        <f>+BC211/BC205</f>
        <v>0.76</v>
      </c>
      <c r="BD212" s="557"/>
      <c r="BE212" s="909">
        <v>0.76</v>
      </c>
      <c r="BF212" s="910">
        <v>0.76</v>
      </c>
      <c r="BG212" s="910">
        <v>0.76</v>
      </c>
      <c r="BH212" s="910">
        <v>0.76</v>
      </c>
      <c r="BI212" s="707">
        <f>+BI211/BI205</f>
        <v>0.76000000000000012</v>
      </c>
      <c r="BJ212" s="629"/>
      <c r="BK212" s="909">
        <v>0.76</v>
      </c>
      <c r="BL212" s="910">
        <v>0.76</v>
      </c>
      <c r="BM212" s="910">
        <v>0.76</v>
      </c>
      <c r="BN212" s="910">
        <v>0.76</v>
      </c>
      <c r="BO212" s="707">
        <f>+BO211/BO205</f>
        <v>0.76000000000000012</v>
      </c>
      <c r="BP212" s="557"/>
      <c r="BQ212" s="909">
        <v>0.76</v>
      </c>
      <c r="BR212" s="910">
        <v>0.76</v>
      </c>
      <c r="BS212" s="910">
        <v>0.76</v>
      </c>
      <c r="BT212" s="910">
        <v>0.76</v>
      </c>
      <c r="BU212" s="707">
        <f>+BU211/BU205</f>
        <v>0.76</v>
      </c>
      <c r="BV212" s="557"/>
      <c r="BW212" s="909">
        <v>0.76</v>
      </c>
      <c r="BX212" s="910">
        <v>0.76</v>
      </c>
      <c r="BY212" s="910">
        <v>0.76</v>
      </c>
      <c r="BZ212" s="910">
        <v>0.76</v>
      </c>
      <c r="CA212" s="707">
        <f>+CA211/CA205</f>
        <v>0.76</v>
      </c>
      <c r="CB212" s="557"/>
      <c r="CC212" s="909">
        <v>0.76</v>
      </c>
      <c r="CD212" s="910">
        <v>0.76</v>
      </c>
      <c r="CE212" s="910">
        <v>0.76</v>
      </c>
      <c r="CF212" s="910">
        <v>0.76</v>
      </c>
      <c r="CG212" s="707">
        <f>+CG211/CG205</f>
        <v>0.76</v>
      </c>
      <c r="CH212" s="557"/>
      <c r="CI212" s="909">
        <v>0.76</v>
      </c>
      <c r="CJ212" s="910">
        <v>0.76</v>
      </c>
      <c r="CK212" s="910">
        <v>0.76</v>
      </c>
      <c r="CL212" s="910">
        <v>0.76</v>
      </c>
      <c r="CM212" s="707">
        <f>+CM211/CM205</f>
        <v>0.76</v>
      </c>
      <c r="CN212" s="557"/>
      <c r="CO212" s="909">
        <v>0.76</v>
      </c>
      <c r="CP212" s="910">
        <v>0.76</v>
      </c>
      <c r="CQ212" s="910">
        <v>0.76</v>
      </c>
      <c r="CR212" s="910">
        <v>0.76</v>
      </c>
      <c r="CS212" s="707">
        <f>+CS211/CS205</f>
        <v>0.76000000000000023</v>
      </c>
      <c r="CT212" s="557"/>
      <c r="CU212" s="909">
        <v>0.76</v>
      </c>
      <c r="CV212" s="910">
        <v>0.76</v>
      </c>
      <c r="CW212" s="910">
        <v>0.76</v>
      </c>
      <c r="CX212" s="910">
        <v>0.76</v>
      </c>
      <c r="CY212" s="707">
        <f>+CY211/CY205</f>
        <v>0.76</v>
      </c>
      <c r="CZ212" s="48"/>
      <c r="DA212"/>
      <c r="DB212"/>
      <c r="DC212"/>
      <c r="DD212" s="48"/>
      <c r="DE212" s="48"/>
      <c r="DF212" s="48"/>
      <c r="DG212" s="48"/>
      <c r="DH212" s="48"/>
      <c r="DI212" s="48"/>
      <c r="DJ212" s="48"/>
      <c r="DK212" s="48"/>
    </row>
    <row r="213" spans="1:115" s="5" customFormat="1" outlineLevel="1" x14ac:dyDescent="0.2">
      <c r="A213" s="354" t="s">
        <v>481</v>
      </c>
      <c r="B213" s="58"/>
      <c r="C213" s="558"/>
      <c r="D213" s="558"/>
      <c r="E213" s="558"/>
      <c r="F213" s="558"/>
      <c r="G213" s="629"/>
      <c r="H213" s="557"/>
      <c r="I213" s="704"/>
      <c r="J213" s="558"/>
      <c r="K213" s="558"/>
      <c r="L213" s="558"/>
      <c r="M213" s="629"/>
      <c r="N213" s="557"/>
      <c r="O213" s="704"/>
      <c r="P213" s="558"/>
      <c r="Q213" s="558"/>
      <c r="R213" s="558"/>
      <c r="S213" s="707"/>
      <c r="T213" s="557"/>
      <c r="U213" s="704"/>
      <c r="V213" s="558"/>
      <c r="W213" s="558"/>
      <c r="X213" s="558"/>
      <c r="Y213" s="707"/>
      <c r="Z213" s="557"/>
      <c r="AA213" s="685"/>
      <c r="AB213" s="578"/>
      <c r="AC213" s="578"/>
      <c r="AD213" s="582"/>
      <c r="AE213" s="707"/>
      <c r="AF213" s="557"/>
      <c r="AG213" s="581">
        <f>+AG214*AG$205</f>
        <v>0.27782963330511962</v>
      </c>
      <c r="AH213" s="550">
        <f>+AH214*AH$205</f>
        <v>0.29681878653874988</v>
      </c>
      <c r="AI213" s="550">
        <f>+AI214*AI$205</f>
        <v>0.32925310214550624</v>
      </c>
      <c r="AJ213" s="550">
        <f>+AJ214*AJ$205</f>
        <v>0.38175546524220344</v>
      </c>
      <c r="AK213" s="580">
        <f>SUM(AG213:AJ213)</f>
        <v>1.2856569872315793</v>
      </c>
      <c r="AL213" s="557"/>
      <c r="AM213" s="581">
        <f>+AM214*AM$205</f>
        <v>0.60951844280496892</v>
      </c>
      <c r="AN213" s="550">
        <f>+AN214*AN$205</f>
        <v>0.80382781542825144</v>
      </c>
      <c r="AO213" s="550">
        <f>+AO214*AO$205</f>
        <v>0.98921987966142499</v>
      </c>
      <c r="AP213" s="550">
        <f>+AP214*AP$205</f>
        <v>1.2554909781920713</v>
      </c>
      <c r="AQ213" s="580">
        <f>SUM(AM213:AP213)</f>
        <v>3.6580571160867166</v>
      </c>
      <c r="AR213" s="557"/>
      <c r="AS213" s="581">
        <f>+AS214*AS$205</f>
        <v>1.7246403782073572</v>
      </c>
      <c r="AT213" s="550">
        <f>+AT214*AT$205</f>
        <v>1.8951868392821412</v>
      </c>
      <c r="AU213" s="550">
        <f>+AU214*AU$205</f>
        <v>2.0366445472432435</v>
      </c>
      <c r="AV213" s="550">
        <f>+AV214*AV$205</f>
        <v>1.8664689305042821</v>
      </c>
      <c r="AW213" s="580">
        <f>SUM(AS213:AV213)</f>
        <v>7.5229406952370237</v>
      </c>
      <c r="AX213" s="557"/>
      <c r="AY213" s="581">
        <f>+AY214*AY$205</f>
        <v>2.6367981887737098</v>
      </c>
      <c r="AZ213" s="550">
        <f>+AZ214*AZ$205</f>
        <v>2.9619109615933183</v>
      </c>
      <c r="BA213" s="550">
        <f>+BA214*BA$205</f>
        <v>3.4353189177072929</v>
      </c>
      <c r="BB213" s="550">
        <f>+BB214*BB$205</f>
        <v>3.5736983465754277</v>
      </c>
      <c r="BC213" s="580">
        <f>SUM(AY213:BB213)</f>
        <v>12.607726414649749</v>
      </c>
      <c r="BD213" s="557"/>
      <c r="BE213" s="581">
        <f>+BE214*BE$205</f>
        <v>4.5771274887608371</v>
      </c>
      <c r="BF213" s="550">
        <f>+BF214*BF$205</f>
        <v>4.8032852903922354</v>
      </c>
      <c r="BG213" s="550">
        <f>+BG214*BG$205</f>
        <v>5.2539146561099646</v>
      </c>
      <c r="BH213" s="550">
        <f>+BH214*BH$205</f>
        <v>5.588023344854796</v>
      </c>
      <c r="BI213" s="580">
        <f>SUM(BE213:BH213)</f>
        <v>20.222350780117832</v>
      </c>
      <c r="BJ213" s="557"/>
      <c r="BK213" s="581">
        <f>+BK214*BK$205</f>
        <v>6.5734410242007657</v>
      </c>
      <c r="BL213" s="550">
        <f>+BL214*BL$205</f>
        <v>6.9486323373790899</v>
      </c>
      <c r="BM213" s="550">
        <f>+BM214*BM$205</f>
        <v>7.4658189491296447</v>
      </c>
      <c r="BN213" s="550">
        <f>+BN214*BN$205</f>
        <v>8.0570668249283752</v>
      </c>
      <c r="BO213" s="580">
        <f>SUM(BK213:BN213)</f>
        <v>29.044959135637875</v>
      </c>
      <c r="BP213" s="557"/>
      <c r="BQ213" s="581">
        <f>+BQ214*BQ$205</f>
        <v>8.2968574225210272</v>
      </c>
      <c r="BR213" s="550">
        <f>+BR214*BR$205</f>
        <v>8.0491237654974377</v>
      </c>
      <c r="BS213" s="550">
        <f>+BS214*BS$205</f>
        <v>8.2895303309141362</v>
      </c>
      <c r="BT213" s="550">
        <f>+BT214*BT$205</f>
        <v>8.5362217653797483</v>
      </c>
      <c r="BU213" s="580">
        <f>SUM(BQ213:BT213)</f>
        <v>33.171733284312346</v>
      </c>
      <c r="BV213" s="557"/>
      <c r="BW213" s="581">
        <f>+BW214*BW$205</f>
        <v>10.742021188186825</v>
      </c>
      <c r="BX213" s="550">
        <f>+BX214*BX$205</f>
        <v>11.258023677083328</v>
      </c>
      <c r="BY213" s="550">
        <f>+BY214*BY$205</f>
        <v>10.784423240299798</v>
      </c>
      <c r="BZ213" s="550">
        <f>+BZ214*BZ$205</f>
        <v>9.9274155292079982</v>
      </c>
      <c r="CA213" s="580">
        <f>SUM(BW213:BZ213)</f>
        <v>42.711883634777955</v>
      </c>
      <c r="CB213" s="557"/>
      <c r="CC213" s="581">
        <f>+CC214*CC$205</f>
        <v>13.127809362440377</v>
      </c>
      <c r="CD213" s="550">
        <f>+CD214*CD$205</f>
        <v>12.900540708552688</v>
      </c>
      <c r="CE213" s="550">
        <f>+CE214*CE$205</f>
        <v>13.353134869499456</v>
      </c>
      <c r="CF213" s="550">
        <f>+CF214*CF$205</f>
        <v>12.748086166780832</v>
      </c>
      <c r="CG213" s="580">
        <f>SUM(CC213:CF213)</f>
        <v>52.12957110727335</v>
      </c>
      <c r="CH213" s="557"/>
      <c r="CI213" s="581">
        <f>+CI214*CI$205</f>
        <v>17.170344756032343</v>
      </c>
      <c r="CJ213" s="550">
        <f>+CJ214*CJ$205</f>
        <v>16.901020715091153</v>
      </c>
      <c r="CK213" s="550">
        <f>+CK214*CK$205</f>
        <v>17.289506940711611</v>
      </c>
      <c r="CL213" s="550">
        <f>+CL214*CL$205</f>
        <v>16.432974214087466</v>
      </c>
      <c r="CM213" s="580">
        <f>SUM(CI213:CL213)</f>
        <v>67.793846625922583</v>
      </c>
      <c r="CN213" s="557"/>
      <c r="CO213" s="581">
        <f>+CO214*CO$205</f>
        <v>19.335022271533717</v>
      </c>
      <c r="CP213" s="550">
        <f>+CP214*CP$205</f>
        <v>19.717759491047111</v>
      </c>
      <c r="CQ213" s="550">
        <f>+CQ214*CQ$205</f>
        <v>19.56532047392415</v>
      </c>
      <c r="CR213" s="550">
        <f>+CR214*CR$205</f>
        <v>18.897638421000767</v>
      </c>
      <c r="CS213" s="580">
        <f>SUM(CO213:CR213)</f>
        <v>77.515740657505745</v>
      </c>
      <c r="CT213" s="557"/>
      <c r="CU213" s="581">
        <f>+CU214*CU$205</f>
        <v>21.738312288051056</v>
      </c>
      <c r="CV213" s="550">
        <f>+CV214*CV$205</f>
        <v>22.050137976314826</v>
      </c>
      <c r="CW213" s="550">
        <f>+CW214*CW$205</f>
        <v>21.769348751341806</v>
      </c>
      <c r="CX213" s="550">
        <f>+CX214*CX$205</f>
        <v>20.880358286540659</v>
      </c>
      <c r="CY213" s="580">
        <f>SUM(CU213:CX213)</f>
        <v>86.438157302248342</v>
      </c>
      <c r="CZ213" s="48"/>
      <c r="DA213"/>
      <c r="DB213"/>
      <c r="DC213"/>
      <c r="DD213" s="48"/>
      <c r="DE213" s="48"/>
      <c r="DF213" s="48"/>
      <c r="DG213" s="48"/>
      <c r="DH213" s="48"/>
      <c r="DI213" s="48"/>
      <c r="DJ213" s="48"/>
      <c r="DK213" s="48"/>
    </row>
    <row r="214" spans="1:115" s="5" customFormat="1" outlineLevel="1" x14ac:dyDescent="0.2">
      <c r="A214" s="205" t="s">
        <v>473</v>
      </c>
      <c r="B214" s="58"/>
      <c r="C214" s="558"/>
      <c r="D214" s="558"/>
      <c r="E214" s="558"/>
      <c r="F214" s="558"/>
      <c r="G214" s="629"/>
      <c r="H214" s="557"/>
      <c r="I214" s="704"/>
      <c r="J214" s="558"/>
      <c r="K214" s="558"/>
      <c r="L214" s="558"/>
      <c r="M214" s="629"/>
      <c r="N214" s="557"/>
      <c r="O214" s="704"/>
      <c r="P214" s="558"/>
      <c r="Q214" s="558"/>
      <c r="R214" s="558"/>
      <c r="S214" s="707"/>
      <c r="T214" s="557"/>
      <c r="U214" s="704"/>
      <c r="V214" s="558"/>
      <c r="W214" s="558"/>
      <c r="X214" s="558"/>
      <c r="Y214" s="707"/>
      <c r="Z214" s="557"/>
      <c r="AA214" s="685"/>
      <c r="AB214" s="578"/>
      <c r="AC214" s="578"/>
      <c r="AD214" s="582"/>
      <c r="AE214" s="707"/>
      <c r="AF214" s="557"/>
      <c r="AG214" s="1115">
        <f>+AG$445</f>
        <v>0.45592555209045271</v>
      </c>
      <c r="AH214" s="1114">
        <f>+AH$445</f>
        <v>0.42214227418844424</v>
      </c>
      <c r="AI214" s="1114">
        <f>+AI$445</f>
        <v>0.41318036347671372</v>
      </c>
      <c r="AJ214" s="1114">
        <f>+AJ$445</f>
        <v>0.42863771535966699</v>
      </c>
      <c r="AK214" s="707">
        <f>+AK213/AK$43</f>
        <v>5.0925932205345649E-3</v>
      </c>
      <c r="AL214" s="557"/>
      <c r="AM214" s="1115">
        <f>+AM$445</f>
        <v>0.44228095623036295</v>
      </c>
      <c r="AN214" s="1114">
        <f>+AN$445</f>
        <v>0.44711437673742477</v>
      </c>
      <c r="AO214" s="1114">
        <f>+AO$445</f>
        <v>0.43339315647817084</v>
      </c>
      <c r="AP214" s="1114">
        <f>+AP$445</f>
        <v>0.43584451233085936</v>
      </c>
      <c r="AQ214" s="707">
        <f>+AQ213/AQ205</f>
        <v>0.43866691542698272</v>
      </c>
      <c r="AR214" s="557"/>
      <c r="AS214" s="1115">
        <f>+AS$445</f>
        <v>0.46201340768534516</v>
      </c>
      <c r="AT214" s="1114">
        <f>+AT$445</f>
        <v>0.45686016954647124</v>
      </c>
      <c r="AU214" s="1114">
        <f>+AU$445</f>
        <v>0.4634790301557794</v>
      </c>
      <c r="AV214" s="1114">
        <f>+AV$445</f>
        <v>0.4049172361445923</v>
      </c>
      <c r="AW214" s="707">
        <f>+AW213/AW205</f>
        <v>0.44554179338482652</v>
      </c>
      <c r="AX214" s="557"/>
      <c r="AY214" s="1115">
        <f>+AY$445</f>
        <v>0.43799645373089491</v>
      </c>
      <c r="AZ214" s="1114">
        <f>+AZ$445</f>
        <v>0.43321412165364309</v>
      </c>
      <c r="BA214" s="1114">
        <f>+BA$445</f>
        <v>0.44528448306368412</v>
      </c>
      <c r="BB214" s="1114">
        <f>+BB$445</f>
        <v>0.41604337838488126</v>
      </c>
      <c r="BC214" s="707">
        <f>+BC213/BC205</f>
        <v>0.43233693939156514</v>
      </c>
      <c r="BD214" s="557"/>
      <c r="BE214" s="1115">
        <f>+BE$445</f>
        <v>0.45034411287236775</v>
      </c>
      <c r="BF214" s="1114">
        <f>+BF$445</f>
        <v>0.42688457331008178</v>
      </c>
      <c r="BG214" s="1114">
        <f>+BG$445</f>
        <v>0.4225640071783624</v>
      </c>
      <c r="BH214" s="1114">
        <f>+BH$445</f>
        <v>0.41003154506380995</v>
      </c>
      <c r="BI214" s="707">
        <f>+BI213/BI205</f>
        <v>0.4259375257323747</v>
      </c>
      <c r="BJ214" s="557"/>
      <c r="BK214" s="1115">
        <f>+BK$445</f>
        <v>0.45662631339230531</v>
      </c>
      <c r="BL214" s="1114">
        <f>+BL$445</f>
        <v>0.44128389565270054</v>
      </c>
      <c r="BM214" s="1114">
        <f>+BM$445</f>
        <v>0.43997192939722302</v>
      </c>
      <c r="BN214" s="1114">
        <f>+BN$445</f>
        <v>0.4481733111030482</v>
      </c>
      <c r="BO214" s="707">
        <f>+BO213/BO205</f>
        <v>0.44623802413357039</v>
      </c>
      <c r="BP214" s="557"/>
      <c r="BQ214" s="1115">
        <f>+BQ$445</f>
        <v>0.46010047729109704</v>
      </c>
      <c r="BR214" s="1114">
        <f>+BR$445</f>
        <v>0.41739530760688748</v>
      </c>
      <c r="BS214" s="1114">
        <f>+BS$445</f>
        <v>0.415040745333006</v>
      </c>
      <c r="BT214" s="1114">
        <f>+BT$445</f>
        <v>0.39778468156085223</v>
      </c>
      <c r="BU214" s="707">
        <f>+BU213/BU205</f>
        <v>0.42123319662252801</v>
      </c>
      <c r="BV214" s="557"/>
      <c r="BW214" s="1115">
        <f>+BW$445</f>
        <v>0.47669597408123432</v>
      </c>
      <c r="BX214" s="1114">
        <f>+BX$445</f>
        <v>0.46262986997278643</v>
      </c>
      <c r="BY214" s="1114">
        <f>+BY$445</f>
        <v>0.42584354249940332</v>
      </c>
      <c r="BZ214" s="1114">
        <f>+BZ$445</f>
        <v>0.37378014568160334</v>
      </c>
      <c r="CA214" s="707">
        <f>+CA213/CA205</f>
        <v>0.43251000365883002</v>
      </c>
      <c r="CB214" s="557"/>
      <c r="CC214" s="1115">
        <f>+CC$445</f>
        <v>0.46902102089680681</v>
      </c>
      <c r="CD214" s="1114">
        <f>+CD$445</f>
        <v>0.42277433378357065</v>
      </c>
      <c r="CE214" s="1114">
        <f>+CE$445</f>
        <v>0.41143005972310942</v>
      </c>
      <c r="CF214" s="1114">
        <f>+CF$445</f>
        <v>0.36495154588268569</v>
      </c>
      <c r="CG214" s="707">
        <f>+CG213/CG205</f>
        <v>0.41408779789100097</v>
      </c>
      <c r="CH214" s="557"/>
      <c r="CI214" s="1115">
        <f>+CI$445</f>
        <v>0.4795537398221279</v>
      </c>
      <c r="CJ214" s="1114">
        <f>+CJ$445</f>
        <v>0.43716532178378853</v>
      </c>
      <c r="CK214" s="1114">
        <f>+CK$445</f>
        <v>0.43093515021690298</v>
      </c>
      <c r="CL214" s="1114">
        <f>+CL$445</f>
        <v>0.38506094240023353</v>
      </c>
      <c r="CM214" s="707">
        <f>+CM213/CM205</f>
        <v>0.43108713185248465</v>
      </c>
      <c r="CN214" s="557"/>
      <c r="CO214" s="1115">
        <f>+CO$445</f>
        <v>0.45355373982212788</v>
      </c>
      <c r="CP214" s="1114">
        <f>+CP$445</f>
        <v>0.43116532178378852</v>
      </c>
      <c r="CQ214" s="1114">
        <f>+CQ$445</f>
        <v>0.41493515021690297</v>
      </c>
      <c r="CR214" s="1114">
        <f>+CR$445</f>
        <v>0.37906094240023352</v>
      </c>
      <c r="CS214" s="707">
        <f>+CS213/CS205</f>
        <v>0.41817235195751418</v>
      </c>
      <c r="CT214" s="557"/>
      <c r="CU214" s="1115">
        <f>+CU$445</f>
        <v>0.43855373982212792</v>
      </c>
      <c r="CV214" s="1114">
        <f>+CV$445</f>
        <v>0.41616532178378857</v>
      </c>
      <c r="CW214" s="1114">
        <f>+CW$445</f>
        <v>0.39993515021690296</v>
      </c>
      <c r="CX214" s="1114">
        <f>+CX$445</f>
        <v>0.36406094240023351</v>
      </c>
      <c r="CY214" s="707">
        <f>+CY213/CY205</f>
        <v>0.40327875928240753</v>
      </c>
      <c r="CZ214" s="48"/>
      <c r="DA214"/>
      <c r="DB214"/>
      <c r="DC214"/>
      <c r="DD214" s="48"/>
      <c r="DE214" s="48"/>
      <c r="DF214" s="48"/>
      <c r="DG214" s="48"/>
      <c r="DH214" s="48"/>
      <c r="DI214" s="48"/>
      <c r="DJ214" s="48"/>
      <c r="DK214" s="48"/>
    </row>
    <row r="215" spans="1:115" s="5" customFormat="1" outlineLevel="1" x14ac:dyDescent="0.2">
      <c r="A215" s="354" t="s">
        <v>482</v>
      </c>
      <c r="B215" s="58"/>
      <c r="C215" s="558"/>
      <c r="D215" s="558"/>
      <c r="E215" s="558"/>
      <c r="F215" s="558"/>
      <c r="G215" s="629"/>
      <c r="H215" s="557"/>
      <c r="I215" s="704"/>
      <c r="J215" s="558"/>
      <c r="K215" s="558"/>
      <c r="L215" s="558"/>
      <c r="M215" s="629"/>
      <c r="N215" s="557"/>
      <c r="O215" s="704"/>
      <c r="P215" s="558"/>
      <c r="Q215" s="558"/>
      <c r="R215" s="558"/>
      <c r="S215" s="707"/>
      <c r="T215" s="557"/>
      <c r="U215" s="704"/>
      <c r="V215" s="558"/>
      <c r="W215" s="558"/>
      <c r="X215" s="558"/>
      <c r="Y215" s="707"/>
      <c r="Z215" s="557"/>
      <c r="AA215" s="685"/>
      <c r="AB215" s="578"/>
      <c r="AC215" s="578"/>
      <c r="AD215" s="582"/>
      <c r="AE215" s="707"/>
      <c r="AF215" s="557"/>
      <c r="AG215" s="581">
        <f>+AG211-AG213</f>
        <v>0.18529536669488039</v>
      </c>
      <c r="AH215" s="550">
        <f>+AH211-AH213</f>
        <v>0.23755621346125017</v>
      </c>
      <c r="AI215" s="550">
        <f>+AI211-AI213</f>
        <v>0.27637189785449373</v>
      </c>
      <c r="AJ215" s="550">
        <f>+AJ211-AJ213</f>
        <v>0.29511953475779656</v>
      </c>
      <c r="AK215" s="580">
        <f>+AK211-AK213</f>
        <v>0.99434301276842052</v>
      </c>
      <c r="AL215" s="557"/>
      <c r="AM215" s="581">
        <f>+AM211-AM213</f>
        <v>0.43785655719503103</v>
      </c>
      <c r="AN215" s="550">
        <f>+AN211-AN213</f>
        <v>0.56250968457174855</v>
      </c>
      <c r="AO215" s="550">
        <f>+AO211-AO213</f>
        <v>0.74548012033857514</v>
      </c>
      <c r="AP215" s="550">
        <f>+AP211-AP213</f>
        <v>0.93376027180792853</v>
      </c>
      <c r="AQ215" s="580">
        <f>+AQ211-AQ213</f>
        <v>2.6796066339132834</v>
      </c>
      <c r="AR215" s="557"/>
      <c r="AS215" s="581">
        <f>+AS211-AS213</f>
        <v>1.1123480416834</v>
      </c>
      <c r="AT215" s="550">
        <f>+AT211-AT213</f>
        <v>1.2575108434339211</v>
      </c>
      <c r="AU215" s="550">
        <f>+AU211-AU213</f>
        <v>1.3029884354714634</v>
      </c>
      <c r="AV215" s="550">
        <f>+AV211-AV213</f>
        <v>1.636756569821703</v>
      </c>
      <c r="AW215" s="580">
        <f>+AW211-AW213</f>
        <v>5.3096038904104876</v>
      </c>
      <c r="AX215" s="557"/>
      <c r="AY215" s="581">
        <f>+AY211-AY213</f>
        <v>1.9385051188171247</v>
      </c>
      <c r="AZ215" s="550">
        <f>+AZ211-AZ213</f>
        <v>2.2342546717390359</v>
      </c>
      <c r="BA215" s="550">
        <f>+BA211-BA213</f>
        <v>2.4279942601833966</v>
      </c>
      <c r="BB215" s="550">
        <f>+BB211-BB213</f>
        <v>2.9544929058394742</v>
      </c>
      <c r="BC215" s="580">
        <f>+BC211-BC213</f>
        <v>9.5552469565790314</v>
      </c>
      <c r="BD215" s="557"/>
      <c r="BE215" s="581">
        <f>+BE211-BE213</f>
        <v>3.1472254938307502</v>
      </c>
      <c r="BF215" s="550">
        <f>+BF211-BF213</f>
        <v>3.7481992301000044</v>
      </c>
      <c r="BG215" s="550">
        <f>+BG211-BG213</f>
        <v>4.1954825258846586</v>
      </c>
      <c r="BH215" s="550">
        <f>+BH211-BH213</f>
        <v>4.7694669341644298</v>
      </c>
      <c r="BI215" s="580">
        <f>+BI211-BI213</f>
        <v>15.860374183979847</v>
      </c>
      <c r="BJ215" s="557"/>
      <c r="BK215" s="581">
        <f>+BK211-BK213</f>
        <v>4.3672670162061928</v>
      </c>
      <c r="BL215" s="550">
        <f>+BL211-BL213</f>
        <v>5.0186309786707053</v>
      </c>
      <c r="BM215" s="550">
        <f>+BM211-BM213</f>
        <v>5.4305092532448569</v>
      </c>
      <c r="BN215" s="550">
        <f>+BN211-BN213</f>
        <v>5.6058859552687998</v>
      </c>
      <c r="BO215" s="580">
        <f>+BO211-BO213</f>
        <v>20.422293203390559</v>
      </c>
      <c r="BP215" s="557"/>
      <c r="BQ215" s="581">
        <f>+BQ211-BQ213</f>
        <v>5.4080004342695389</v>
      </c>
      <c r="BR215" s="550">
        <f>+BR211-BR213</f>
        <v>6.6068485233417533</v>
      </c>
      <c r="BS215" s="550">
        <f>+BS211-BS213</f>
        <v>6.8898059688024951</v>
      </c>
      <c r="BT215" s="550">
        <f>+BT211-BT213</f>
        <v>7.7729244697956279</v>
      </c>
      <c r="BU215" s="580">
        <f>+BU211-BU213</f>
        <v>26.677579396209417</v>
      </c>
      <c r="BV215" s="557"/>
      <c r="BW215" s="581">
        <f>+BW211-BW213</f>
        <v>6.3840645077472509</v>
      </c>
      <c r="BX215" s="550">
        <f>+BX211-BX213</f>
        <v>7.2364544141964888</v>
      </c>
      <c r="BY215" s="550">
        <f>+BY211-BY213</f>
        <v>8.4624616942987601</v>
      </c>
      <c r="BZ215" s="550">
        <f>+BZ211-BZ213</f>
        <v>10.25780802898759</v>
      </c>
      <c r="CA215" s="580">
        <f>+CA211-CA213</f>
        <v>32.340788645230084</v>
      </c>
      <c r="CB215" s="557"/>
      <c r="CC215" s="581">
        <f>+CC211-CC213</f>
        <v>8.1444464020828917</v>
      </c>
      <c r="CD215" s="550">
        <f>+CD211-CD213</f>
        <v>10.290107717894079</v>
      </c>
      <c r="CE215" s="550">
        <f>+CE211-CE213</f>
        <v>11.312983370984487</v>
      </c>
      <c r="CF215" s="550">
        <f>+CF211-CF213</f>
        <v>13.799398276175415</v>
      </c>
      <c r="CG215" s="580">
        <f>+CG211-CG213</f>
        <v>43.546935767136873</v>
      </c>
      <c r="CH215" s="557"/>
      <c r="CI215" s="581">
        <f>+CI211-CI213</f>
        <v>10.04133337502504</v>
      </c>
      <c r="CJ215" s="550">
        <f>+CJ211-CJ213</f>
        <v>12.48094327751939</v>
      </c>
      <c r="CK215" s="550">
        <f>+CK211-CK213</f>
        <v>13.202378597813254</v>
      </c>
      <c r="CL215" s="550">
        <f>+CL211-CL213</f>
        <v>16.001009676507458</v>
      </c>
      <c r="CM215" s="580">
        <f>+CM211-CM213</f>
        <v>51.725664926865136</v>
      </c>
      <c r="CN215" s="557"/>
      <c r="CO215" s="581">
        <f>+CO211-CO213</f>
        <v>13.06382187012958</v>
      </c>
      <c r="CP215" s="550">
        <f>+CP211-CP213</f>
        <v>15.038044039716453</v>
      </c>
      <c r="CQ215" s="550">
        <f>+CQ211-CQ213</f>
        <v>16.27074584248555</v>
      </c>
      <c r="CR215" s="550">
        <f>+CR211-CR213</f>
        <v>18.99126965013512</v>
      </c>
      <c r="CS215" s="580">
        <f>+CS211-CS213</f>
        <v>63.363881402466717</v>
      </c>
      <c r="CT215" s="557"/>
      <c r="CU215" s="581">
        <f>+CU211-CU213</f>
        <v>15.933507237691828</v>
      </c>
      <c r="CV215" s="550">
        <f>+CV211-CV213</f>
        <v>18.217765149706924</v>
      </c>
      <c r="CW215" s="550">
        <f>+CW211-CW213</f>
        <v>19.599120716887807</v>
      </c>
      <c r="CX215" s="550">
        <f>+CX211-CX213</f>
        <v>22.708696318292784</v>
      </c>
      <c r="CY215" s="580">
        <f>+CY211-CY213</f>
        <v>76.459089422579368</v>
      </c>
      <c r="CZ215" s="48"/>
      <c r="DA215"/>
      <c r="DB215"/>
      <c r="DC215"/>
      <c r="DD215" s="48"/>
      <c r="DE215" s="48"/>
      <c r="DF215" s="48"/>
      <c r="DG215" s="48"/>
      <c r="DH215" s="48"/>
      <c r="DI215" s="48"/>
      <c r="DJ215" s="48"/>
      <c r="DK215" s="48"/>
    </row>
    <row r="216" spans="1:115" s="5" customFormat="1" outlineLevel="1" x14ac:dyDescent="0.2">
      <c r="A216" s="205" t="s">
        <v>476</v>
      </c>
      <c r="B216" s="961"/>
      <c r="C216" s="565"/>
      <c r="D216" s="566"/>
      <c r="E216" s="566"/>
      <c r="F216" s="566"/>
      <c r="G216" s="584"/>
      <c r="H216" s="592"/>
      <c r="I216" s="565"/>
      <c r="J216" s="566"/>
      <c r="K216" s="566"/>
      <c r="L216" s="566"/>
      <c r="M216" s="584"/>
      <c r="N216" s="592"/>
      <c r="O216" s="565"/>
      <c r="P216" s="566"/>
      <c r="Q216" s="566"/>
      <c r="R216" s="566"/>
      <c r="S216" s="584"/>
      <c r="T216" s="591"/>
      <c r="U216" s="565"/>
      <c r="V216" s="566"/>
      <c r="W216" s="566"/>
      <c r="X216" s="566"/>
      <c r="Y216" s="584"/>
      <c r="Z216" s="593"/>
      <c r="AA216" s="909">
        <v>0</v>
      </c>
      <c r="AB216" s="910">
        <v>0</v>
      </c>
      <c r="AC216" s="910">
        <v>0</v>
      </c>
      <c r="AD216" s="910">
        <v>0</v>
      </c>
      <c r="AE216" s="584"/>
      <c r="AF216" s="592"/>
      <c r="AG216" s="909">
        <v>0</v>
      </c>
      <c r="AH216" s="910">
        <v>0</v>
      </c>
      <c r="AI216" s="910">
        <v>0</v>
      </c>
      <c r="AJ216" s="910">
        <v>0</v>
      </c>
      <c r="AK216" s="707">
        <f>+AK215/AK$43</f>
        <v>3.9386745733901241E-3</v>
      </c>
      <c r="AL216" s="592"/>
      <c r="AM216" s="909">
        <v>0</v>
      </c>
      <c r="AN216" s="910">
        <v>0</v>
      </c>
      <c r="AO216" s="910">
        <v>0</v>
      </c>
      <c r="AP216" s="910">
        <v>0</v>
      </c>
      <c r="AQ216" s="707">
        <f>+AQ215/AQ205</f>
        <v>0.32133308457301712</v>
      </c>
      <c r="AR216" s="592"/>
      <c r="AS216" s="909">
        <v>0</v>
      </c>
      <c r="AT216" s="910">
        <v>0</v>
      </c>
      <c r="AU216" s="910">
        <v>0</v>
      </c>
      <c r="AV216" s="910">
        <v>0</v>
      </c>
      <c r="AW216" s="707">
        <f>+AW215/AW205</f>
        <v>0.31445820661517343</v>
      </c>
      <c r="AX216" s="592"/>
      <c r="AY216" s="909">
        <v>0</v>
      </c>
      <c r="AZ216" s="910">
        <v>0</v>
      </c>
      <c r="BA216" s="910">
        <v>0</v>
      </c>
      <c r="BB216" s="910">
        <v>0</v>
      </c>
      <c r="BC216" s="707">
        <f>+BC215/BC205</f>
        <v>0.32766306060843486</v>
      </c>
      <c r="BD216" s="592"/>
      <c r="BE216" s="909">
        <v>0</v>
      </c>
      <c r="BF216" s="910">
        <v>0</v>
      </c>
      <c r="BG216" s="910">
        <v>0</v>
      </c>
      <c r="BH216" s="910">
        <v>0</v>
      </c>
      <c r="BI216" s="707">
        <f>+BI215/BI205</f>
        <v>0.33406247426762536</v>
      </c>
      <c r="BJ216" s="592"/>
      <c r="BK216" s="909">
        <v>0</v>
      </c>
      <c r="BL216" s="910">
        <v>0</v>
      </c>
      <c r="BM216" s="910">
        <v>0</v>
      </c>
      <c r="BN216" s="910">
        <v>0</v>
      </c>
      <c r="BO216" s="707">
        <f>+BO215/BO205</f>
        <v>0.31376197586642968</v>
      </c>
      <c r="BP216" s="592"/>
      <c r="BQ216" s="909">
        <v>0</v>
      </c>
      <c r="BR216" s="910">
        <v>0</v>
      </c>
      <c r="BS216" s="910">
        <v>0</v>
      </c>
      <c r="BT216" s="910">
        <v>0</v>
      </c>
      <c r="BU216" s="707">
        <f>+BU215/BU205</f>
        <v>0.338766803377472</v>
      </c>
      <c r="BV216" s="592"/>
      <c r="BW216" s="909">
        <v>0</v>
      </c>
      <c r="BX216" s="910">
        <v>0</v>
      </c>
      <c r="BY216" s="910">
        <v>0</v>
      </c>
      <c r="BZ216" s="910">
        <v>0</v>
      </c>
      <c r="CA216" s="707">
        <f>+CA215/CA205</f>
        <v>0.32748999634117004</v>
      </c>
      <c r="CB216" s="592"/>
      <c r="CC216" s="909">
        <v>0</v>
      </c>
      <c r="CD216" s="910">
        <v>0</v>
      </c>
      <c r="CE216" s="910">
        <v>0</v>
      </c>
      <c r="CF216" s="910">
        <v>0</v>
      </c>
      <c r="CG216" s="707">
        <f>+CG215/CG205</f>
        <v>0.34591220210899903</v>
      </c>
      <c r="CH216" s="592"/>
      <c r="CI216" s="909">
        <v>0</v>
      </c>
      <c r="CJ216" s="910">
        <v>0</v>
      </c>
      <c r="CK216" s="910">
        <v>0</v>
      </c>
      <c r="CL216" s="910">
        <v>0</v>
      </c>
      <c r="CM216" s="707">
        <f>+CM215/CM205</f>
        <v>0.3289128681475153</v>
      </c>
      <c r="CN216" s="592"/>
      <c r="CO216" s="909">
        <v>0</v>
      </c>
      <c r="CP216" s="910">
        <v>0</v>
      </c>
      <c r="CQ216" s="910">
        <v>0</v>
      </c>
      <c r="CR216" s="910">
        <v>0</v>
      </c>
      <c r="CS216" s="707">
        <f>+CS215/CS205</f>
        <v>0.34182764804248605</v>
      </c>
      <c r="CT216" s="592"/>
      <c r="CU216" s="909">
        <v>0</v>
      </c>
      <c r="CV216" s="910">
        <v>0</v>
      </c>
      <c r="CW216" s="910">
        <v>0</v>
      </c>
      <c r="CX216" s="910">
        <v>0</v>
      </c>
      <c r="CY216" s="707">
        <f>+CY215/CY205</f>
        <v>0.35672124071759254</v>
      </c>
      <c r="CZ216" s="48"/>
      <c r="DA216"/>
      <c r="DB216"/>
      <c r="DC216"/>
      <c r="DD216" s="48"/>
      <c r="DE216" s="48"/>
      <c r="DF216" s="48"/>
      <c r="DG216" s="48"/>
      <c r="DH216" s="48"/>
      <c r="DI216" s="48"/>
      <c r="DJ216" s="48"/>
      <c r="DK216" s="48"/>
    </row>
    <row r="217" spans="1:115" s="5" customFormat="1" outlineLevel="1" x14ac:dyDescent="0.2">
      <c r="A217" s="354" t="s">
        <v>483</v>
      </c>
      <c r="B217" s="961"/>
      <c r="C217" s="565"/>
      <c r="D217" s="566"/>
      <c r="E217" s="566"/>
      <c r="F217" s="566"/>
      <c r="G217" s="584"/>
      <c r="H217" s="592"/>
      <c r="I217" s="565"/>
      <c r="J217" s="566"/>
      <c r="K217" s="566"/>
      <c r="L217" s="566"/>
      <c r="M217" s="584"/>
      <c r="N217" s="592"/>
      <c r="O217" s="565"/>
      <c r="P217" s="566"/>
      <c r="Q217" s="566"/>
      <c r="R217" s="566"/>
      <c r="S217" s="584"/>
      <c r="T217" s="591"/>
      <c r="U217" s="565"/>
      <c r="V217" s="566"/>
      <c r="W217" s="566"/>
      <c r="X217" s="566"/>
      <c r="Y217" s="584"/>
      <c r="Z217" s="593"/>
      <c r="AA217" s="909"/>
      <c r="AB217" s="910"/>
      <c r="AC217" s="910"/>
      <c r="AD217" s="910"/>
      <c r="AE217" s="584"/>
      <c r="AF217" s="557"/>
      <c r="AG217" s="581">
        <f>+AG218*AG$206</f>
        <v>0.22500000000000001</v>
      </c>
      <c r="AH217" s="550">
        <f>+AH218*AH$206</f>
        <v>0.22500000000000001</v>
      </c>
      <c r="AI217" s="550">
        <f>+AI218*AI$206</f>
        <v>0.22500000000000001</v>
      </c>
      <c r="AJ217" s="582">
        <f>+AJ218*AJ$206</f>
        <v>0.22500000000000001</v>
      </c>
      <c r="AK217" s="580">
        <f>SUM(AG217:AJ217)</f>
        <v>0.9</v>
      </c>
      <c r="AL217" s="557"/>
      <c r="AM217" s="581">
        <f>+AM218*AM$206</f>
        <v>0.57656249999999998</v>
      </c>
      <c r="AN217" s="550">
        <f>+AN218*AN$206</f>
        <v>0.74953124999999998</v>
      </c>
      <c r="AO217" s="550">
        <f>+AO218*AO$206</f>
        <v>0.86203125000000003</v>
      </c>
      <c r="AP217" s="582">
        <f>+AP218*AP$206</f>
        <v>1.006875</v>
      </c>
      <c r="AQ217" s="580">
        <f>SUM(AM217:AP217)</f>
        <v>3.1950000000000003</v>
      </c>
      <c r="AR217" s="557"/>
      <c r="AS217" s="581">
        <f>+AS218*AS$206</f>
        <v>0.18000000000000002</v>
      </c>
      <c r="AT217" s="550">
        <f>+AT218*AT$206</f>
        <v>0.18000000000000002</v>
      </c>
      <c r="AU217" s="550">
        <f>+AU218*AU$206</f>
        <v>0.48000000000000032</v>
      </c>
      <c r="AV217" s="582">
        <f>+AV218*AV$206</f>
        <v>0.3199999999999999</v>
      </c>
      <c r="AW217" s="580">
        <f>SUM(AS217:AV217)</f>
        <v>1.1600000000000001</v>
      </c>
      <c r="AX217" s="557"/>
      <c r="AY217" s="581">
        <f>+AY218*AY$206</f>
        <v>1.1156452566552515</v>
      </c>
      <c r="AZ217" s="550">
        <f>+AZ218*AZ$206</f>
        <v>1.0673150097279367</v>
      </c>
      <c r="BA217" s="550">
        <f>+BA218*BA$206</f>
        <v>1.0724875382937848</v>
      </c>
      <c r="BB217" s="582">
        <f>+BB218*BB$206</f>
        <v>1.1207451707433762</v>
      </c>
      <c r="BC217" s="580">
        <f>SUM(AY217:BB217)</f>
        <v>4.3761929754203486</v>
      </c>
      <c r="BD217" s="557"/>
      <c r="BE217" s="581">
        <f>+BE218*BE$206</f>
        <v>1.317057973775607</v>
      </c>
      <c r="BF217" s="550">
        <f>+BF218*BF$206</f>
        <v>1.2673648299459697</v>
      </c>
      <c r="BG217" s="550">
        <f>+BG218*BG$206</f>
        <v>1.2661363024683132</v>
      </c>
      <c r="BH217" s="582">
        <f>+BH218*BH$206</f>
        <v>1.3259935238147404</v>
      </c>
      <c r="BI217" s="580">
        <f>SUM(BE217:BH217)</f>
        <v>5.1765526300046298</v>
      </c>
      <c r="BJ217" s="628"/>
      <c r="BK217" s="581">
        <f>+BK218*BK$206</f>
        <v>1.04885045125765</v>
      </c>
      <c r="BL217" s="550">
        <f>+BL218*BL$206</f>
        <v>1.02084054095015</v>
      </c>
      <c r="BM217" s="550">
        <f>+BM218*BM$206</f>
        <v>1.0128888970931291</v>
      </c>
      <c r="BN217" s="582">
        <f>+BN218*BN$206</f>
        <v>1.0099876228058076</v>
      </c>
      <c r="BO217" s="580">
        <f>SUM(BK217:BN217)</f>
        <v>4.0925675121067364</v>
      </c>
      <c r="BP217" s="557"/>
      <c r="BQ217" s="581">
        <f>+BQ218*BQ$206</f>
        <v>0.91906485391727266</v>
      </c>
      <c r="BR217" s="550">
        <f>+BR218*BR$206</f>
        <v>0.88178532725023606</v>
      </c>
      <c r="BS217" s="550">
        <f>+BS218*BS$206</f>
        <v>0.81123572530772359</v>
      </c>
      <c r="BT217" s="582">
        <f>+BT218*BT$206</f>
        <v>0.97544647136379525</v>
      </c>
      <c r="BU217" s="580">
        <f>SUM(BQ217:BT217)</f>
        <v>3.5875323778390276</v>
      </c>
      <c r="BV217" s="557"/>
      <c r="BW217" s="581">
        <f>+BW218*BW$206</f>
        <v>0.69064231008221511</v>
      </c>
      <c r="BX217" s="550">
        <f>+BX218*BX$206</f>
        <v>0.73238323060911048</v>
      </c>
      <c r="BY217" s="550">
        <f>+BY218*BY$206</f>
        <v>0.72820683828473243</v>
      </c>
      <c r="BZ217" s="582">
        <f>+BZ218*BZ$206</f>
        <v>0.91284721052864493</v>
      </c>
      <c r="CA217" s="580">
        <f>SUM(BW217:BZ217)</f>
        <v>3.0640795895047028</v>
      </c>
      <c r="CB217" s="557"/>
      <c r="CC217" s="581">
        <f>+CC218*CC$206</f>
        <v>0.61421317473599413</v>
      </c>
      <c r="CD217" s="550">
        <f>+CD218*CD$206</f>
        <v>0.64625977615517338</v>
      </c>
      <c r="CE217" s="550">
        <f>+CE218*CE$206</f>
        <v>0.66130476189571652</v>
      </c>
      <c r="CF217" s="582">
        <f>+CF218*CF$206</f>
        <v>0.72666546560881451</v>
      </c>
      <c r="CG217" s="580">
        <f>SUM(CC217:CF217)</f>
        <v>2.6484431783956985</v>
      </c>
      <c r="CH217" s="557"/>
      <c r="CI217" s="581">
        <f>+CI218*CI$206</f>
        <v>0.64492383347279381</v>
      </c>
      <c r="CJ217" s="550">
        <f>+CJ218*CJ$206</f>
        <v>0.62339212253737486</v>
      </c>
      <c r="CK217" s="550">
        <f>+CK218*CK$206</f>
        <v>0.62569604394748557</v>
      </c>
      <c r="CL217" s="582">
        <f>+CL218*CL$206</f>
        <v>0.63531323564656361</v>
      </c>
      <c r="CM217" s="580">
        <f>SUM(CI217:CL217)</f>
        <v>2.529325235604218</v>
      </c>
      <c r="CN217" s="557"/>
      <c r="CO217" s="581">
        <f>+CO218*CO$206</f>
        <v>0.54818525845187471</v>
      </c>
      <c r="CP217" s="550">
        <f>+CP218*CP$206</f>
        <v>0.52988330415676876</v>
      </c>
      <c r="CQ217" s="550">
        <f>+CQ218*CQ$206</f>
        <v>0.53184163735536272</v>
      </c>
      <c r="CR217" s="582">
        <f>+CR218*CR$206</f>
        <v>0.540016250299579</v>
      </c>
      <c r="CS217" s="580">
        <f>SUM(CO217:CR217)</f>
        <v>2.1499264502635853</v>
      </c>
      <c r="CT217" s="557"/>
      <c r="CU217" s="581">
        <f>+CU218*CU$206</f>
        <v>0.49444160566247525</v>
      </c>
      <c r="CV217" s="550">
        <f>+CV218*CV$206</f>
        <v>0.4779339606119874</v>
      </c>
      <c r="CW217" s="550">
        <f>+CW218*CW$206</f>
        <v>0.47970030035973893</v>
      </c>
      <c r="CX217" s="582">
        <f>+CX218*CX$206</f>
        <v>0.48707348066236539</v>
      </c>
      <c r="CY217" s="580">
        <f>SUM(CU217:CX217)</f>
        <v>1.9391493472965668</v>
      </c>
      <c r="CZ217" s="48"/>
      <c r="DA217"/>
      <c r="DB217"/>
      <c r="DC217"/>
      <c r="DD217" s="48"/>
      <c r="DE217" s="48"/>
      <c r="DF217" s="48"/>
      <c r="DG217" s="48"/>
      <c r="DH217" s="48"/>
      <c r="DI217" s="48"/>
      <c r="DJ217" s="48"/>
      <c r="DK217" s="48"/>
    </row>
    <row r="218" spans="1:115" s="5" customFormat="1" outlineLevel="1" x14ac:dyDescent="0.2">
      <c r="A218" s="205" t="s">
        <v>471</v>
      </c>
      <c r="B218" s="961"/>
      <c r="C218" s="565"/>
      <c r="D218" s="566"/>
      <c r="E218" s="566"/>
      <c r="F218" s="566"/>
      <c r="G218" s="584"/>
      <c r="H218" s="592"/>
      <c r="I218" s="565"/>
      <c r="J218" s="566"/>
      <c r="K218" s="566"/>
      <c r="L218" s="566"/>
      <c r="M218" s="584"/>
      <c r="N218" s="592"/>
      <c r="O218" s="565"/>
      <c r="P218" s="566"/>
      <c r="Q218" s="566"/>
      <c r="R218" s="566"/>
      <c r="S218" s="584"/>
      <c r="T218" s="591"/>
      <c r="U218" s="565"/>
      <c r="V218" s="566"/>
      <c r="W218" s="566"/>
      <c r="X218" s="566"/>
      <c r="Y218" s="584"/>
      <c r="Z218" s="593"/>
      <c r="AA218" s="909"/>
      <c r="AB218" s="910"/>
      <c r="AC218" s="910"/>
      <c r="AD218" s="910"/>
      <c r="AE218" s="584"/>
      <c r="AF218" s="557"/>
      <c r="AG218" s="909">
        <v>0.45</v>
      </c>
      <c r="AH218" s="910">
        <v>0.45</v>
      </c>
      <c r="AI218" s="910">
        <v>0.45</v>
      </c>
      <c r="AJ218" s="910">
        <v>0.45</v>
      </c>
      <c r="AK218" s="707">
        <f>+AK217/AK$43</f>
        <v>3.5649741291807987E-3</v>
      </c>
      <c r="AL218" s="557"/>
      <c r="AM218" s="909">
        <v>0.45</v>
      </c>
      <c r="AN218" s="910">
        <v>0.45</v>
      </c>
      <c r="AO218" s="910">
        <v>0.45</v>
      </c>
      <c r="AP218" s="910">
        <v>0.45</v>
      </c>
      <c r="AQ218" s="707">
        <f>+AQ217/AQ206</f>
        <v>0.45000000000000007</v>
      </c>
      <c r="AR218" s="557"/>
      <c r="AS218" s="909">
        <v>0.45</v>
      </c>
      <c r="AT218" s="910">
        <v>0.45</v>
      </c>
      <c r="AU218" s="910">
        <v>0.45</v>
      </c>
      <c r="AV218" s="910">
        <v>0.45</v>
      </c>
      <c r="AW218" s="707">
        <f>+AW217/AW206</f>
        <v>0.44999999999999996</v>
      </c>
      <c r="AX218" s="557"/>
      <c r="AY218" s="909">
        <v>0.45</v>
      </c>
      <c r="AZ218" s="910">
        <v>0.45</v>
      </c>
      <c r="BA218" s="910">
        <v>0.45</v>
      </c>
      <c r="BB218" s="910">
        <v>0.45</v>
      </c>
      <c r="BC218" s="707">
        <f>+BC217/BC206</f>
        <v>0.44999999999999996</v>
      </c>
      <c r="BD218" s="557"/>
      <c r="BE218" s="909">
        <v>0.45</v>
      </c>
      <c r="BF218" s="910">
        <v>0.45</v>
      </c>
      <c r="BG218" s="910">
        <v>0.45</v>
      </c>
      <c r="BH218" s="910">
        <v>0.45</v>
      </c>
      <c r="BI218" s="707">
        <f>+BI217/BI206</f>
        <v>0.45</v>
      </c>
      <c r="BJ218" s="629"/>
      <c r="BK218" s="909">
        <v>0.45</v>
      </c>
      <c r="BL218" s="910">
        <v>0.45</v>
      </c>
      <c r="BM218" s="910">
        <v>0.45</v>
      </c>
      <c r="BN218" s="910">
        <v>0.45</v>
      </c>
      <c r="BO218" s="707">
        <f>+BO217/BO206</f>
        <v>0.45</v>
      </c>
      <c r="BP218" s="557"/>
      <c r="BQ218" s="909">
        <v>0.45</v>
      </c>
      <c r="BR218" s="910">
        <v>0.45</v>
      </c>
      <c r="BS218" s="910">
        <v>0.45</v>
      </c>
      <c r="BT218" s="910">
        <v>0.45</v>
      </c>
      <c r="BU218" s="707">
        <f>+BU217/BU206</f>
        <v>0.44999999999999996</v>
      </c>
      <c r="BV218" s="557"/>
      <c r="BW218" s="909">
        <v>0.45</v>
      </c>
      <c r="BX218" s="910">
        <v>0.45</v>
      </c>
      <c r="BY218" s="910">
        <v>0.45</v>
      </c>
      <c r="BZ218" s="910">
        <v>0.45</v>
      </c>
      <c r="CA218" s="707">
        <f>+CA217/CA206</f>
        <v>0.45</v>
      </c>
      <c r="CB218" s="557"/>
      <c r="CC218" s="909">
        <v>0.45</v>
      </c>
      <c r="CD218" s="910">
        <v>0.45</v>
      </c>
      <c r="CE218" s="910">
        <v>0.45</v>
      </c>
      <c r="CF218" s="910">
        <v>0.45</v>
      </c>
      <c r="CG218" s="707">
        <f>+CG217/CG206</f>
        <v>0.4499999999999999</v>
      </c>
      <c r="CH218" s="557"/>
      <c r="CI218" s="909">
        <v>0.45</v>
      </c>
      <c r="CJ218" s="910">
        <v>0.45</v>
      </c>
      <c r="CK218" s="910">
        <v>0.45</v>
      </c>
      <c r="CL218" s="910">
        <v>0.45</v>
      </c>
      <c r="CM218" s="707">
        <f>+CM217/CM206</f>
        <v>0.45</v>
      </c>
      <c r="CN218" s="557"/>
      <c r="CO218" s="909">
        <v>0.45</v>
      </c>
      <c r="CP218" s="910">
        <v>0.45</v>
      </c>
      <c r="CQ218" s="910">
        <v>0.45</v>
      </c>
      <c r="CR218" s="910">
        <v>0.45</v>
      </c>
      <c r="CS218" s="707">
        <f>+CS217/CS206</f>
        <v>0.45000000000000007</v>
      </c>
      <c r="CT218" s="557"/>
      <c r="CU218" s="909">
        <v>0.45</v>
      </c>
      <c r="CV218" s="910">
        <v>0.45</v>
      </c>
      <c r="CW218" s="910">
        <v>0.45</v>
      </c>
      <c r="CX218" s="910">
        <v>0.45</v>
      </c>
      <c r="CY218" s="707">
        <f>+CY217/CY206</f>
        <v>0.44999999999999996</v>
      </c>
      <c r="CZ218" s="48"/>
      <c r="DA218"/>
      <c r="DB218"/>
      <c r="DC218"/>
      <c r="DD218" s="48"/>
      <c r="DE218" s="48"/>
      <c r="DF218" s="48"/>
      <c r="DG218" s="48"/>
      <c r="DH218" s="48"/>
      <c r="DI218" s="48"/>
      <c r="DJ218" s="48"/>
      <c r="DK218" s="48"/>
    </row>
    <row r="219" spans="1:115" s="5" customFormat="1" outlineLevel="1" x14ac:dyDescent="0.2">
      <c r="A219" s="354" t="s">
        <v>484</v>
      </c>
      <c r="B219" s="961"/>
      <c r="C219" s="565"/>
      <c r="D219" s="566"/>
      <c r="E219" s="566"/>
      <c r="F219" s="566"/>
      <c r="G219" s="584"/>
      <c r="H219" s="592"/>
      <c r="I219" s="565"/>
      <c r="J219" s="566"/>
      <c r="K219" s="566"/>
      <c r="L219" s="566"/>
      <c r="M219" s="584"/>
      <c r="N219" s="592"/>
      <c r="O219" s="565"/>
      <c r="P219" s="566"/>
      <c r="Q219" s="566"/>
      <c r="R219" s="566"/>
      <c r="S219" s="584"/>
      <c r="T219" s="591"/>
      <c r="U219" s="565"/>
      <c r="V219" s="566"/>
      <c r="W219" s="566"/>
      <c r="X219" s="566"/>
      <c r="Y219" s="584"/>
      <c r="Z219" s="593"/>
      <c r="AA219" s="909"/>
      <c r="AB219" s="910"/>
      <c r="AC219" s="910"/>
      <c r="AD219" s="910"/>
      <c r="AE219" s="584"/>
      <c r="AF219" s="557"/>
      <c r="AG219" s="581">
        <f>+AG220*AG$206</f>
        <v>0.22796277604522636</v>
      </c>
      <c r="AH219" s="550">
        <f>+AH220*AH$206</f>
        <v>0.21107113709422212</v>
      </c>
      <c r="AI219" s="550">
        <f>+AI220*AI$206</f>
        <v>0.20659018173835686</v>
      </c>
      <c r="AJ219" s="582">
        <f>+AJ220*AJ$206</f>
        <v>0.2143188576798335</v>
      </c>
      <c r="AK219" s="580">
        <f>SUM(AG219:AJ219)</f>
        <v>0.85994295255763886</v>
      </c>
      <c r="AL219" s="557"/>
      <c r="AM219" s="581">
        <f>+AM220*AM$206</f>
        <v>0.56667247517015251</v>
      </c>
      <c r="AN219" s="550">
        <f>+AN220*AN$206</f>
        <v>0.74472488375327306</v>
      </c>
      <c r="AO219" s="550">
        <f>+AO220*AO$206</f>
        <v>0.83021876537849593</v>
      </c>
      <c r="AP219" s="582">
        <f>+AP220*AP$206</f>
        <v>0.97520209634029775</v>
      </c>
      <c r="AQ219" s="580">
        <f>SUM(AM219:AP219)</f>
        <v>3.1168182206422195</v>
      </c>
      <c r="AR219" s="557"/>
      <c r="AS219" s="581">
        <f>+AS220*AS206</f>
        <v>0.18480536307413808</v>
      </c>
      <c r="AT219" s="550">
        <f>+AT220*AT206</f>
        <v>0.18274406781858851</v>
      </c>
      <c r="AU219" s="550">
        <f>+AU220*AU206</f>
        <v>0.49437763216616498</v>
      </c>
      <c r="AV219" s="582">
        <f>+AV220*AV206</f>
        <v>0.28794114570282109</v>
      </c>
      <c r="AW219" s="580">
        <f>SUM(AS219:AV219)</f>
        <v>1.1498682087617127</v>
      </c>
      <c r="AX219" s="557"/>
      <c r="AY219" s="581">
        <f>+AY220*AY$206</f>
        <v>1.0858859245259873</v>
      </c>
      <c r="AZ219" s="550">
        <f>+AZ220*AZ$206</f>
        <v>1.0275020765934169</v>
      </c>
      <c r="BA219" s="550">
        <f>+BA220*BA$206</f>
        <v>1.0612490201808691</v>
      </c>
      <c r="BB219" s="582">
        <f>+BB220*BB$206</f>
        <v>1.0361746825435885</v>
      </c>
      <c r="BC219" s="580">
        <f>SUM(AY219:BB219)</f>
        <v>4.2108117038438619</v>
      </c>
      <c r="BD219" s="557"/>
      <c r="BE219" s="581">
        <f>+BE220*BE$206</f>
        <v>1.3180651217810087</v>
      </c>
      <c r="BF219" s="550">
        <f>+BF220*BF$206</f>
        <v>1.2022633214659768</v>
      </c>
      <c r="BG219" s="550">
        <f>+BG220*BG$206</f>
        <v>1.1889413991222344</v>
      </c>
      <c r="BH219" s="582">
        <f>+BH220*BH$206</f>
        <v>1.2082203851430309</v>
      </c>
      <c r="BI219" s="580">
        <f>SUM(BE219:BH219)</f>
        <v>4.9174902275122507</v>
      </c>
      <c r="BJ219" s="557"/>
      <c r="BK219" s="581">
        <f>+BK220*BK$206</f>
        <v>1.0642949219058588</v>
      </c>
      <c r="BL219" s="550">
        <f>+BL220*BL$206</f>
        <v>1.0010677572237607</v>
      </c>
      <c r="BM219" s="550">
        <f>+BM220*BM$206</f>
        <v>0.99031707182019846</v>
      </c>
      <c r="BN219" s="582">
        <f>+BN220*BN$206</f>
        <v>1.0058877713021672</v>
      </c>
      <c r="BO219" s="580">
        <f>SUM(BK219:BN219)</f>
        <v>4.0615675222519849</v>
      </c>
      <c r="BP219" s="557"/>
      <c r="BQ219" s="581">
        <f>+BQ220*BQ$206</f>
        <v>0.93969372877513235</v>
      </c>
      <c r="BR219" s="550">
        <f>+BR220*BR$206</f>
        <v>0.81789568424633829</v>
      </c>
      <c r="BS219" s="550">
        <f>+BS220*BS$206</f>
        <v>0.74821306682773181</v>
      </c>
      <c r="BT219" s="582">
        <f>+BT220*BT$206</f>
        <v>0.86226147553578725</v>
      </c>
      <c r="BU219" s="580">
        <f>SUM(BQ219:BT219)</f>
        <v>3.3680639553849896</v>
      </c>
      <c r="BV219" s="557"/>
      <c r="BW219" s="581">
        <f>+BW220*BW$206</f>
        <v>0.73161424165856748</v>
      </c>
      <c r="BX219" s="550">
        <f>+BX220*BX$206</f>
        <v>0.75293857499320449</v>
      </c>
      <c r="BY219" s="550">
        <f>+BY220*BY$206</f>
        <v>0.68911595486102339</v>
      </c>
      <c r="BZ219" s="582">
        <f>+BZ220*BZ$206</f>
        <v>0.75823147408098257</v>
      </c>
      <c r="CA219" s="580">
        <f>SUM(BW219:BZ219)</f>
        <v>2.9319002455937779</v>
      </c>
      <c r="CB219" s="557"/>
      <c r="CC219" s="581">
        <f>+CC220*CC$206</f>
        <v>0.64017531169543274</v>
      </c>
      <c r="CD219" s="550">
        <f>+CD220*CD$206</f>
        <v>0.60716010292249545</v>
      </c>
      <c r="CE219" s="550">
        <f>+CE220*CE$206</f>
        <v>0.60462368373762509</v>
      </c>
      <c r="CF219" s="582">
        <f>+CF220*CF$206</f>
        <v>0.58932818891888539</v>
      </c>
      <c r="CG219" s="580">
        <f>SUM(CC219:CF219)</f>
        <v>2.4412872872744384</v>
      </c>
      <c r="CH219" s="557"/>
      <c r="CI219" s="581">
        <f>+CI220*CI$206</f>
        <v>0.68727919164955886</v>
      </c>
      <c r="CJ219" s="550">
        <f>+CJ220*CJ$206</f>
        <v>0.60561203965895649</v>
      </c>
      <c r="CK219" s="550">
        <f>+CK220*CK$206</f>
        <v>0.59918759708584812</v>
      </c>
      <c r="CL219" s="582">
        <f>+CL220*CL$206</f>
        <v>0.54363180719423865</v>
      </c>
      <c r="CM219" s="580">
        <f>SUM(CI219:CL219)</f>
        <v>2.435710635588602</v>
      </c>
      <c r="CN219" s="557"/>
      <c r="CO219" s="581">
        <f>+CO220*CO$206</f>
        <v>0.55251438685823895</v>
      </c>
      <c r="CP219" s="550">
        <f>+CP220*CP$206</f>
        <v>0.50770512298802284</v>
      </c>
      <c r="CQ219" s="550">
        <f>+CQ220*CQ$206</f>
        <v>0.49039953263922453</v>
      </c>
      <c r="CR219" s="582">
        <f>+CR220*CR$206</f>
        <v>0.45488681944444176</v>
      </c>
      <c r="CS219" s="580">
        <f>SUM(CO219:CR219)</f>
        <v>2.0055058619299277</v>
      </c>
      <c r="CT219" s="557"/>
      <c r="CU219" s="581">
        <f>+CU220*CU$206</f>
        <v>0.48186492285985855</v>
      </c>
      <c r="CV219" s="550">
        <f>+CV220*CV$206</f>
        <v>0.44199897890997392</v>
      </c>
      <c r="CW219" s="550">
        <f>+CW220*CW$206</f>
        <v>0.42633113707436809</v>
      </c>
      <c r="CX219" s="582">
        <f>+CX220*CX$206</f>
        <v>0.39405428975133922</v>
      </c>
      <c r="CY219" s="580">
        <f>SUM(CU219:CX219)</f>
        <v>1.7442493285955398</v>
      </c>
      <c r="CZ219" s="48"/>
      <c r="DA219"/>
      <c r="DB219"/>
      <c r="DC219"/>
      <c r="DD219" s="48"/>
      <c r="DE219" s="48"/>
      <c r="DF219" s="48"/>
      <c r="DG219" s="48"/>
      <c r="DH219" s="48"/>
      <c r="DI219" s="48"/>
      <c r="DJ219" s="48"/>
      <c r="DK219" s="48"/>
    </row>
    <row r="220" spans="1:115" s="5" customFormat="1" outlineLevel="1" x14ac:dyDescent="0.2">
      <c r="A220" s="205" t="s">
        <v>473</v>
      </c>
      <c r="B220" s="961"/>
      <c r="C220" s="565"/>
      <c r="D220" s="566"/>
      <c r="E220" s="566"/>
      <c r="F220" s="566"/>
      <c r="G220" s="584"/>
      <c r="H220" s="592"/>
      <c r="I220" s="565"/>
      <c r="J220" s="566"/>
      <c r="K220" s="566"/>
      <c r="L220" s="566"/>
      <c r="M220" s="584"/>
      <c r="N220" s="592"/>
      <c r="O220" s="565"/>
      <c r="P220" s="566"/>
      <c r="Q220" s="566"/>
      <c r="R220" s="566"/>
      <c r="S220" s="584"/>
      <c r="T220" s="591"/>
      <c r="U220" s="565"/>
      <c r="V220" s="566"/>
      <c r="W220" s="566"/>
      <c r="X220" s="566"/>
      <c r="Y220" s="584"/>
      <c r="Z220" s="593"/>
      <c r="AA220" s="909"/>
      <c r="AB220" s="910"/>
      <c r="AC220" s="910"/>
      <c r="AD220" s="910"/>
      <c r="AE220" s="584"/>
      <c r="AF220" s="557"/>
      <c r="AG220" s="1115">
        <f>+AG$445</f>
        <v>0.45592555209045271</v>
      </c>
      <c r="AH220" s="1114">
        <f>+AH$445</f>
        <v>0.42214227418844424</v>
      </c>
      <c r="AI220" s="1114">
        <f>+AI$445</f>
        <v>0.41318036347671372</v>
      </c>
      <c r="AJ220" s="1114">
        <f>+AJ$445</f>
        <v>0.42863771535966699</v>
      </c>
      <c r="AK220" s="707">
        <f>+AK219/AK$43</f>
        <v>3.4063048649325928E-3</v>
      </c>
      <c r="AL220" s="557"/>
      <c r="AM220" s="1115">
        <f>+AM$445</f>
        <v>0.44228095623036295</v>
      </c>
      <c r="AN220" s="1114">
        <f>+AN$445</f>
        <v>0.44711437673742477</v>
      </c>
      <c r="AO220" s="1114">
        <f>+AO$445</f>
        <v>0.43339315647817084</v>
      </c>
      <c r="AP220" s="1114">
        <f>+AP$445</f>
        <v>0.43584451233085936</v>
      </c>
      <c r="AQ220" s="707">
        <f>+AQ219/AQ206</f>
        <v>0.4389884817805943</v>
      </c>
      <c r="AR220" s="557"/>
      <c r="AS220" s="1115">
        <f>+AS$445</f>
        <v>0.46201340768534516</v>
      </c>
      <c r="AT220" s="1114">
        <f>+AT$445</f>
        <v>0.45686016954647124</v>
      </c>
      <c r="AU220" s="1114">
        <f>+AU$445</f>
        <v>0.4634790301557794</v>
      </c>
      <c r="AV220" s="1114">
        <f>+AV$445</f>
        <v>0.4049172361445923</v>
      </c>
      <c r="AW220" s="707">
        <f>+AW219/AW206</f>
        <v>0.44606956374376777</v>
      </c>
      <c r="AX220" s="557"/>
      <c r="AY220" s="1115">
        <f>+AY$445</f>
        <v>0.43799645373089491</v>
      </c>
      <c r="AZ220" s="1114">
        <f>+AZ$445</f>
        <v>0.43321412165364309</v>
      </c>
      <c r="BA220" s="1114">
        <f>+BA$445</f>
        <v>0.44528448306368412</v>
      </c>
      <c r="BB220" s="1114">
        <f>+BB$445</f>
        <v>0.41604337838488126</v>
      </c>
      <c r="BC220" s="707">
        <f>+BC219/BC206</f>
        <v>0.4329939921234231</v>
      </c>
      <c r="BD220" s="557"/>
      <c r="BE220" s="1115">
        <f>+BE$445</f>
        <v>0.45034411287236775</v>
      </c>
      <c r="BF220" s="1114">
        <f>+BF$445</f>
        <v>0.42688457331008178</v>
      </c>
      <c r="BG220" s="1114">
        <f>+BG$445</f>
        <v>0.4225640071783624</v>
      </c>
      <c r="BH220" s="1114">
        <f>+BH$445</f>
        <v>0.41003154506380995</v>
      </c>
      <c r="BI220" s="707">
        <f>+BI219/BI206</f>
        <v>0.427479591254254</v>
      </c>
      <c r="BJ220" s="557"/>
      <c r="BK220" s="1115">
        <f>+BK$445</f>
        <v>0.45662631339230531</v>
      </c>
      <c r="BL220" s="1114">
        <f>+BL$445</f>
        <v>0.44128389565270054</v>
      </c>
      <c r="BM220" s="1114">
        <f>+BM$445</f>
        <v>0.43997192939722302</v>
      </c>
      <c r="BN220" s="1114">
        <f>+BN$445</f>
        <v>0.4481733111030482</v>
      </c>
      <c r="BO220" s="707">
        <f>+BO219/BO206</f>
        <v>0.44659138294154682</v>
      </c>
      <c r="BP220" s="557"/>
      <c r="BQ220" s="1115">
        <f>+BQ$445</f>
        <v>0.46010047729109704</v>
      </c>
      <c r="BR220" s="1114">
        <f>+BR$445</f>
        <v>0.41739530760688748</v>
      </c>
      <c r="BS220" s="1114">
        <f>+BS$445</f>
        <v>0.415040745333006</v>
      </c>
      <c r="BT220" s="1114">
        <f>+BT$445</f>
        <v>0.39778468156085223</v>
      </c>
      <c r="BU220" s="707">
        <f>+BU219/BU206</f>
        <v>0.42247110835448226</v>
      </c>
      <c r="BV220" s="557"/>
      <c r="BW220" s="1115">
        <f>+BW$445</f>
        <v>0.47669597408123432</v>
      </c>
      <c r="BX220" s="1114">
        <f>+BX$445</f>
        <v>0.46262986997278643</v>
      </c>
      <c r="BY220" s="1114">
        <f>+BY$445</f>
        <v>0.42584354249940332</v>
      </c>
      <c r="BZ220" s="1114">
        <f>+BZ$445</f>
        <v>0.37378014568160334</v>
      </c>
      <c r="CA220" s="707">
        <f>+CA219/CA206</f>
        <v>0.43058774159664337</v>
      </c>
      <c r="CB220" s="557"/>
      <c r="CC220" s="1115">
        <f>+CC$445</f>
        <v>0.46902102089680681</v>
      </c>
      <c r="CD220" s="1114">
        <f>+CD$445</f>
        <v>0.42277433378357065</v>
      </c>
      <c r="CE220" s="1114">
        <f>+CE$445</f>
        <v>0.41143005972310942</v>
      </c>
      <c r="CF220" s="1114">
        <f>+CF$445</f>
        <v>0.36495154588268569</v>
      </c>
      <c r="CG220" s="707">
        <f>+CG219/CG206</f>
        <v>0.41480190635578007</v>
      </c>
      <c r="CH220" s="557"/>
      <c r="CI220" s="1115">
        <f>+CI$445</f>
        <v>0.4795537398221279</v>
      </c>
      <c r="CJ220" s="1114">
        <f>+CJ$445</f>
        <v>0.43716532178378853</v>
      </c>
      <c r="CK220" s="1114">
        <f>+CK$445</f>
        <v>0.43093515021690298</v>
      </c>
      <c r="CL220" s="1114">
        <f>+CL$445</f>
        <v>0.38506094240023353</v>
      </c>
      <c r="CM220" s="707">
        <f>+CM219/CM206</f>
        <v>0.43334473976931492</v>
      </c>
      <c r="CN220" s="557"/>
      <c r="CO220" s="1115">
        <f>+CO$445</f>
        <v>0.45355373982212788</v>
      </c>
      <c r="CP220" s="1114">
        <f>+CP$445</f>
        <v>0.43116532178378852</v>
      </c>
      <c r="CQ220" s="1114">
        <f>+CQ$445</f>
        <v>0.41493515021690297</v>
      </c>
      <c r="CR220" s="1114">
        <f>+CR$445</f>
        <v>0.37906094240023352</v>
      </c>
      <c r="CS220" s="707">
        <f>+CS219/CS206</f>
        <v>0.41977140090435278</v>
      </c>
      <c r="CT220" s="557"/>
      <c r="CU220" s="1115">
        <f>+CU$445</f>
        <v>0.43855373982212792</v>
      </c>
      <c r="CV220" s="1114">
        <f>+CV$445</f>
        <v>0.41616532178378857</v>
      </c>
      <c r="CW220" s="1114">
        <f>+CW$445</f>
        <v>0.39993515021690296</v>
      </c>
      <c r="CX220" s="1114">
        <f>+CX$445</f>
        <v>0.36406094240023351</v>
      </c>
      <c r="CY220" s="707">
        <f>+CY219/CY206</f>
        <v>0.40477140090435287</v>
      </c>
      <c r="CZ220" s="48"/>
      <c r="DA220"/>
      <c r="DB220"/>
      <c r="DC220"/>
      <c r="DD220" s="48"/>
      <c r="DE220" s="48"/>
      <c r="DF220" s="48"/>
      <c r="DG220" s="48"/>
      <c r="DH220" s="48"/>
      <c r="DI220" s="48"/>
      <c r="DJ220" s="48"/>
      <c r="DK220" s="48"/>
    </row>
    <row r="221" spans="1:115" s="5" customFormat="1" outlineLevel="1" x14ac:dyDescent="0.2">
      <c r="A221" s="354" t="s">
        <v>485</v>
      </c>
      <c r="B221" s="961"/>
      <c r="C221" s="565"/>
      <c r="D221" s="566"/>
      <c r="E221" s="566"/>
      <c r="F221" s="566"/>
      <c r="G221" s="584"/>
      <c r="H221" s="592"/>
      <c r="I221" s="565"/>
      <c r="J221" s="566"/>
      <c r="K221" s="566"/>
      <c r="L221" s="566"/>
      <c r="M221" s="584"/>
      <c r="N221" s="592"/>
      <c r="O221" s="565"/>
      <c r="P221" s="566"/>
      <c r="Q221" s="566"/>
      <c r="R221" s="566"/>
      <c r="S221" s="584"/>
      <c r="T221" s="591"/>
      <c r="U221" s="565"/>
      <c r="V221" s="566"/>
      <c r="W221" s="566"/>
      <c r="X221" s="566"/>
      <c r="Y221" s="584"/>
      <c r="Z221" s="593"/>
      <c r="AA221" s="909"/>
      <c r="AB221" s="910"/>
      <c r="AC221" s="910"/>
      <c r="AD221" s="910"/>
      <c r="AE221" s="584"/>
      <c r="AF221" s="557"/>
      <c r="AG221" s="581">
        <f>+AG217-AG219</f>
        <v>-2.9627760452263507E-3</v>
      </c>
      <c r="AH221" s="550">
        <f>+AH217-AH219</f>
        <v>1.3928862905777883E-2</v>
      </c>
      <c r="AI221" s="550">
        <f>+AI217-AI219</f>
        <v>1.8409818261643146E-2</v>
      </c>
      <c r="AJ221" s="550">
        <f>+AJ217-AJ219</f>
        <v>1.0681142320166509E-2</v>
      </c>
      <c r="AK221" s="580">
        <f>+AK217-AK219</f>
        <v>4.005704744236116E-2</v>
      </c>
      <c r="AL221" s="557"/>
      <c r="AM221" s="581">
        <f>+AM217-AM219</f>
        <v>9.8900248298474658E-3</v>
      </c>
      <c r="AN221" s="550">
        <f>+AN217-AN219</f>
        <v>4.806366246726923E-3</v>
      </c>
      <c r="AO221" s="550">
        <f>+AO217-AO219</f>
        <v>3.18124846215041E-2</v>
      </c>
      <c r="AP221" s="550">
        <f>+AP217-AP219</f>
        <v>3.1672903659702212E-2</v>
      </c>
      <c r="AQ221" s="580">
        <f>+AQ217-AQ219</f>
        <v>7.8181779357780812E-2</v>
      </c>
      <c r="AR221" s="557"/>
      <c r="AS221" s="581">
        <f>+AS217-AS219</f>
        <v>-4.8053630741380637E-3</v>
      </c>
      <c r="AT221" s="550">
        <f>+AT217-AT219</f>
        <v>-2.7440678185884915E-3</v>
      </c>
      <c r="AU221" s="550">
        <f>+AU217-AU219</f>
        <v>-1.4377632166164667E-2</v>
      </c>
      <c r="AV221" s="550">
        <f>+AV217-AV219</f>
        <v>3.2058854297178807E-2</v>
      </c>
      <c r="AW221" s="580">
        <f>+AW217-AW219</f>
        <v>1.0131791238287446E-2</v>
      </c>
      <c r="AX221" s="557"/>
      <c r="AY221" s="581">
        <f>+AY217-AY219</f>
        <v>2.9759332129264182E-2</v>
      </c>
      <c r="AZ221" s="550">
        <f>+AZ217-AZ219</f>
        <v>3.9812933134519835E-2</v>
      </c>
      <c r="BA221" s="550">
        <f>+BA217-BA219</f>
        <v>1.1238518112915763E-2</v>
      </c>
      <c r="BB221" s="550">
        <f>+BB217-BB219</f>
        <v>8.4570488199787741E-2</v>
      </c>
      <c r="BC221" s="580">
        <f>+BC217-BC219</f>
        <v>0.16538127157648663</v>
      </c>
      <c r="BD221" s="557"/>
      <c r="BE221" s="581">
        <f>+BE217-BE219</f>
        <v>-1.0071480054016924E-3</v>
      </c>
      <c r="BF221" s="550">
        <f>+BF217-BF219</f>
        <v>6.5101508479992853E-2</v>
      </c>
      <c r="BG221" s="550">
        <f>+BG217-BG219</f>
        <v>7.7194903346078814E-2</v>
      </c>
      <c r="BH221" s="550">
        <f>+BH217-BH219</f>
        <v>0.11777313867170958</v>
      </c>
      <c r="BI221" s="580">
        <f>+BI217-BI219</f>
        <v>0.25906240249237911</v>
      </c>
      <c r="BJ221" s="557"/>
      <c r="BK221" s="581">
        <f>+BK217-BK219</f>
        <v>-1.5444470648208863E-2</v>
      </c>
      <c r="BL221" s="550">
        <f>+BL217-BL219</f>
        <v>1.9772783726389243E-2</v>
      </c>
      <c r="BM221" s="550">
        <f>+BM217-BM219</f>
        <v>2.2571825272930668E-2</v>
      </c>
      <c r="BN221" s="550">
        <f>+BN217-BN219</f>
        <v>4.0998515036403393E-3</v>
      </c>
      <c r="BO221" s="580">
        <f>+BO217-BO219</f>
        <v>3.0999989854751497E-2</v>
      </c>
      <c r="BP221" s="557"/>
      <c r="BQ221" s="581">
        <f>+BQ217-BQ219</f>
        <v>-2.0628874857859691E-2</v>
      </c>
      <c r="BR221" s="550">
        <f>+BR217-BR219</f>
        <v>6.3889643003897767E-2</v>
      </c>
      <c r="BS221" s="550">
        <f>+BS217-BS219</f>
        <v>6.3022658479991778E-2</v>
      </c>
      <c r="BT221" s="550">
        <f>+BT217-BT219</f>
        <v>0.11318499582800801</v>
      </c>
      <c r="BU221" s="580">
        <f>+BU217-BU219</f>
        <v>0.21946842245403797</v>
      </c>
      <c r="BV221" s="557"/>
      <c r="BW221" s="581">
        <f>+BW217-BW219</f>
        <v>-4.0971931576352372E-2</v>
      </c>
      <c r="BX221" s="550">
        <f>+BX217-BX219</f>
        <v>-2.055534438409401E-2</v>
      </c>
      <c r="BY221" s="550">
        <f>+BY217-BY219</f>
        <v>3.9090883423709033E-2</v>
      </c>
      <c r="BZ221" s="550">
        <f>+BZ217-BZ219</f>
        <v>0.15461573644766236</v>
      </c>
      <c r="CA221" s="580">
        <f>+CA217-CA219</f>
        <v>0.1321793439109249</v>
      </c>
      <c r="CB221" s="557"/>
      <c r="CC221" s="581">
        <f>+CC217-CC219</f>
        <v>-2.5962136959438609E-2</v>
      </c>
      <c r="CD221" s="550">
        <f>+CD217-CD219</f>
        <v>3.9099673232677934E-2</v>
      </c>
      <c r="CE221" s="550">
        <f>+CE217-CE219</f>
        <v>5.6681078158091425E-2</v>
      </c>
      <c r="CF221" s="550">
        <f>+CF217-CF219</f>
        <v>0.13733727668992912</v>
      </c>
      <c r="CG221" s="580">
        <f>+CG217-CG219</f>
        <v>0.20715589112126009</v>
      </c>
      <c r="CH221" s="557"/>
      <c r="CI221" s="581">
        <f>+CI217-CI219</f>
        <v>-4.2355358176765057E-2</v>
      </c>
      <c r="CJ221" s="550">
        <f>+CJ217-CJ219</f>
        <v>1.7780082878418368E-2</v>
      </c>
      <c r="CK221" s="550">
        <f>+CK217-CK219</f>
        <v>2.6508446861637447E-2</v>
      </c>
      <c r="CL221" s="550">
        <f>+CL217-CL219</f>
        <v>9.1681428452324965E-2</v>
      </c>
      <c r="CM221" s="580">
        <f>+CM217-CM219</f>
        <v>9.3614600015615945E-2</v>
      </c>
      <c r="CN221" s="557"/>
      <c r="CO221" s="581">
        <f>+CO217-CO219</f>
        <v>-4.3291284063642355E-3</v>
      </c>
      <c r="CP221" s="550">
        <f>+CP217-CP219</f>
        <v>2.2178181168745925E-2</v>
      </c>
      <c r="CQ221" s="550">
        <f>+CQ217-CQ219</f>
        <v>4.1442104716138184E-2</v>
      </c>
      <c r="CR221" s="550">
        <f>+CR217-CR219</f>
        <v>8.5129430855137245E-2</v>
      </c>
      <c r="CS221" s="580">
        <f>+CS217-CS219</f>
        <v>0.14442058833365756</v>
      </c>
      <c r="CT221" s="557"/>
      <c r="CU221" s="581">
        <f>+CU217-CU219</f>
        <v>1.2576682802616701E-2</v>
      </c>
      <c r="CV221" s="550">
        <f>+CV217-CV219</f>
        <v>3.593498170201348E-2</v>
      </c>
      <c r="CW221" s="550">
        <f>+CW217-CW219</f>
        <v>5.3369163285370835E-2</v>
      </c>
      <c r="CX221" s="550">
        <f>+CX217-CX219</f>
        <v>9.3019190911026173E-2</v>
      </c>
      <c r="CY221" s="580">
        <f>+CY217-CY219</f>
        <v>0.19490001870102702</v>
      </c>
      <c r="CZ221" s="48"/>
      <c r="DA221"/>
      <c r="DB221"/>
      <c r="DC221"/>
      <c r="DD221" s="48"/>
      <c r="DE221" s="48"/>
      <c r="DF221" s="48"/>
      <c r="DG221" s="48"/>
      <c r="DH221" s="48"/>
      <c r="DI221" s="48"/>
      <c r="DJ221" s="48"/>
      <c r="DK221" s="48"/>
    </row>
    <row r="222" spans="1:115" s="5" customFormat="1" outlineLevel="1" x14ac:dyDescent="0.2">
      <c r="A222" s="205" t="s">
        <v>476</v>
      </c>
      <c r="B222" s="961"/>
      <c r="C222" s="565"/>
      <c r="D222" s="566"/>
      <c r="E222" s="566"/>
      <c r="F222" s="566"/>
      <c r="G222" s="584"/>
      <c r="H222" s="592"/>
      <c r="I222" s="565"/>
      <c r="J222" s="566"/>
      <c r="K222" s="566"/>
      <c r="L222" s="566"/>
      <c r="M222" s="584"/>
      <c r="N222" s="592"/>
      <c r="O222" s="565"/>
      <c r="P222" s="566"/>
      <c r="Q222" s="566"/>
      <c r="R222" s="566"/>
      <c r="S222" s="584"/>
      <c r="T222" s="591"/>
      <c r="U222" s="565"/>
      <c r="V222" s="566"/>
      <c r="W222" s="566"/>
      <c r="X222" s="566"/>
      <c r="Y222" s="584"/>
      <c r="Z222" s="593"/>
      <c r="AA222" s="909">
        <v>0</v>
      </c>
      <c r="AB222" s="910">
        <v>0</v>
      </c>
      <c r="AC222" s="910">
        <v>0</v>
      </c>
      <c r="AD222" s="910">
        <v>0</v>
      </c>
      <c r="AE222" s="584"/>
      <c r="AF222" s="592"/>
      <c r="AG222" s="1131">
        <f>+AG221/AG206</f>
        <v>-5.9255520904527015E-3</v>
      </c>
      <c r="AH222" s="1132">
        <f>+AH221/AH206</f>
        <v>2.7857725811555767E-2</v>
      </c>
      <c r="AI222" s="1132">
        <f>+AI221/AI206</f>
        <v>3.6819636523286292E-2</v>
      </c>
      <c r="AJ222" s="1213">
        <f>+AJ221/AJ206</f>
        <v>2.1362284640333018E-2</v>
      </c>
      <c r="AK222" s="707">
        <f>+AK221/AK206</f>
        <v>2.002852372118058E-2</v>
      </c>
      <c r="AL222" s="592"/>
      <c r="AM222" s="1131">
        <f>+AM221/AM206</f>
        <v>7.7190437696370469E-3</v>
      </c>
      <c r="AN222" s="1132">
        <f>+AN221/AN206</f>
        <v>2.8856232625752635E-3</v>
      </c>
      <c r="AO222" s="1132">
        <f>+AO221/AO206</f>
        <v>1.6606843521829222E-2</v>
      </c>
      <c r="AP222" s="1213">
        <f>+AP221/AP206</f>
        <v>1.4155487669140654E-2</v>
      </c>
      <c r="AQ222" s="707">
        <f>+AQ221/AQ206</f>
        <v>1.1011518219405748E-2</v>
      </c>
      <c r="AR222" s="592"/>
      <c r="AS222" s="1131">
        <f>+AS221/AS206</f>
        <v>-1.2013407685345159E-2</v>
      </c>
      <c r="AT222" s="1132">
        <f>+AT221/AT206</f>
        <v>-6.8601695464712287E-3</v>
      </c>
      <c r="AU222" s="1132">
        <f>+AU221/AU206</f>
        <v>-1.3479030155779366E-2</v>
      </c>
      <c r="AV222" s="1213">
        <f>+AV221/AV206</f>
        <v>4.5082763855407715E-2</v>
      </c>
      <c r="AW222" s="707">
        <f>+AW221/AW206</f>
        <v>3.9304362562321985E-3</v>
      </c>
      <c r="AX222" s="592"/>
      <c r="AY222" s="1131">
        <f>+AY221/AY206</f>
        <v>1.2003546269105042E-2</v>
      </c>
      <c r="AZ222" s="1132">
        <f>+AZ221/AZ206</f>
        <v>1.6785878346356947E-2</v>
      </c>
      <c r="BA222" s="1132">
        <f>+BA221/BA206</f>
        <v>4.7155169363159036E-3</v>
      </c>
      <c r="BB222" s="1213">
        <f>+BB221/BB206</f>
        <v>3.3956621615118754E-2</v>
      </c>
      <c r="BC222" s="707">
        <f>+BC221/BC206</f>
        <v>1.7006007876576908E-2</v>
      </c>
      <c r="BD222" s="592"/>
      <c r="BE222" s="1131">
        <f>+BE221/BE206</f>
        <v>-3.441128723677414E-4</v>
      </c>
      <c r="BF222" s="1132">
        <f>+BF221/BF206</f>
        <v>2.3115426689918263E-2</v>
      </c>
      <c r="BG222" s="1132">
        <f>+BG221/BG206</f>
        <v>2.7435992821637643E-2</v>
      </c>
      <c r="BH222" s="1213">
        <f>+BH221/BH206</f>
        <v>3.9968454936190057E-2</v>
      </c>
      <c r="BI222" s="707">
        <f>+BI221/BI206</f>
        <v>2.2520408745745974E-2</v>
      </c>
      <c r="BJ222" s="592"/>
      <c r="BK222" s="1131">
        <f>+BK221/BK206</f>
        <v>-6.6263133923052673E-3</v>
      </c>
      <c r="BL222" s="1132">
        <f>+BL221/BL206</f>
        <v>8.7161043472994849E-3</v>
      </c>
      <c r="BM222" s="1132">
        <f>+BM221/BM206</f>
        <v>1.0028070602776974E-2</v>
      </c>
      <c r="BN222" s="1213">
        <f>+BN221/BN206</f>
        <v>1.8266888969518413E-3</v>
      </c>
      <c r="BO222" s="707">
        <f>+BO221/BO206</f>
        <v>3.408617058453146E-3</v>
      </c>
      <c r="BP222" s="592"/>
      <c r="BQ222" s="1131">
        <f>+BQ221/BQ206</f>
        <v>-1.0100477291097072E-2</v>
      </c>
      <c r="BR222" s="1132">
        <f>+BR221/BR206</f>
        <v>3.2604692393112505E-2</v>
      </c>
      <c r="BS222" s="1132">
        <f>+BS221/BS206</f>
        <v>3.4959254666994004E-2</v>
      </c>
      <c r="BT222" s="1213">
        <f>+BT221/BT206</f>
        <v>5.221531843914777E-2</v>
      </c>
      <c r="BU222" s="707">
        <f>+BU221/BU206</f>
        <v>2.7528891645517705E-2</v>
      </c>
      <c r="BV222" s="592"/>
      <c r="BW222" s="1131">
        <f>+BW221/BW206</f>
        <v>-2.669597408123426E-2</v>
      </c>
      <c r="BX222" s="1132">
        <f>+BX221/BX206</f>
        <v>-1.2629869972786404E-2</v>
      </c>
      <c r="BY222" s="1132">
        <f>+BY221/BY206</f>
        <v>2.4156457500596747E-2</v>
      </c>
      <c r="BZ222" s="1213">
        <f>+BZ221/BZ206</f>
        <v>7.6219854318396632E-2</v>
      </c>
      <c r="CA222" s="707">
        <f>+CA221/CA206</f>
        <v>1.9412258403356631E-2</v>
      </c>
      <c r="CB222" s="592"/>
      <c r="CC222" s="1131">
        <f>+CC221/CC206</f>
        <v>-1.9021020896806771E-2</v>
      </c>
      <c r="CD222" s="1132">
        <f>+CD221/CD206</f>
        <v>2.7225666216429308E-2</v>
      </c>
      <c r="CE222" s="1132">
        <f>+CE221/CE206</f>
        <v>3.8569940276890598E-2</v>
      </c>
      <c r="CF222" s="1213">
        <f>+CF221/CF206</f>
        <v>8.504845411731432E-2</v>
      </c>
      <c r="CG222" s="707">
        <f>+CG221/CG206</f>
        <v>3.5198093644219837E-2</v>
      </c>
      <c r="CH222" s="592"/>
      <c r="CI222" s="1131">
        <f>+CI221/CI206</f>
        <v>-2.9553739822127882E-2</v>
      </c>
      <c r="CJ222" s="1132">
        <f>+CJ221/CJ206</f>
        <v>1.2834678216211452E-2</v>
      </c>
      <c r="CK222" s="1132">
        <f>+CK221/CK206</f>
        <v>1.9064849783096968E-2</v>
      </c>
      <c r="CL222" s="1213">
        <f>+CL221/CL206</f>
        <v>6.4939057599766523E-2</v>
      </c>
      <c r="CM222" s="707">
        <f>+CM221/CM206</f>
        <v>1.6655260230685108E-2</v>
      </c>
      <c r="CN222" s="592"/>
      <c r="CO222" s="1131">
        <f>+CO221/CO206</f>
        <v>-3.5537398221279068E-3</v>
      </c>
      <c r="CP222" s="1132">
        <f>+CP221/CP206</f>
        <v>1.8834678216211504E-2</v>
      </c>
      <c r="CQ222" s="1132">
        <f>+CQ221/CQ206</f>
        <v>3.5064849783097075E-2</v>
      </c>
      <c r="CR222" s="1213">
        <f>+CR221/CR206</f>
        <v>7.0939057599766514E-2</v>
      </c>
      <c r="CS222" s="707">
        <f>+CS221/CS206</f>
        <v>3.0228599095647245E-2</v>
      </c>
      <c r="CT222" s="592"/>
      <c r="CU222" s="1131">
        <f>+CU221/CU206</f>
        <v>1.1446260177872069E-2</v>
      </c>
      <c r="CV222" s="1132">
        <f>+CV221/CV206</f>
        <v>3.3834678216211438E-2</v>
      </c>
      <c r="CW222" s="1132">
        <f>+CW221/CW206</f>
        <v>5.0064849783097075E-2</v>
      </c>
      <c r="CX222" s="1213">
        <f>+CX221/CX206</f>
        <v>8.5939057599766513E-2</v>
      </c>
      <c r="CY222" s="707">
        <f>+CY221/CY206</f>
        <v>4.5228599095647089E-2</v>
      </c>
      <c r="CZ222" s="48"/>
      <c r="DA222"/>
      <c r="DB222"/>
      <c r="DC222"/>
      <c r="DD222" s="48"/>
      <c r="DE222" s="48"/>
      <c r="DF222" s="48"/>
      <c r="DG222" s="48"/>
      <c r="DH222" s="48"/>
      <c r="DI222" s="48"/>
      <c r="DJ222" s="48"/>
      <c r="DK222" s="48"/>
    </row>
    <row r="223" spans="1:115" s="5" customFormat="1" outlineLevel="1" x14ac:dyDescent="0.2">
      <c r="A223" s="354" t="s">
        <v>489</v>
      </c>
      <c r="B223" s="961"/>
      <c r="C223" s="565"/>
      <c r="D223" s="566"/>
      <c r="E223" s="566"/>
      <c r="F223" s="566"/>
      <c r="G223" s="584"/>
      <c r="H223" s="592"/>
      <c r="I223" s="565"/>
      <c r="J223" s="566"/>
      <c r="K223" s="566"/>
      <c r="L223" s="566"/>
      <c r="M223" s="584"/>
      <c r="N223" s="592"/>
      <c r="O223" s="565"/>
      <c r="P223" s="566"/>
      <c r="Q223" s="566"/>
      <c r="R223" s="566"/>
      <c r="S223" s="584"/>
      <c r="T223" s="591"/>
      <c r="U223" s="565"/>
      <c r="V223" s="566"/>
      <c r="W223" s="566"/>
      <c r="X223" s="566"/>
      <c r="Y223" s="584"/>
      <c r="Z223" s="593"/>
      <c r="AA223" s="909"/>
      <c r="AB223" s="910"/>
      <c r="AC223" s="910"/>
      <c r="AD223" s="910"/>
      <c r="AE223" s="584"/>
      <c r="AF223" s="557"/>
      <c r="AG223" s="581">
        <f>+AG211+AG217</f>
        <v>0.68812499999999999</v>
      </c>
      <c r="AH223" s="550">
        <f>+AH211+AH217</f>
        <v>0.75937500000000002</v>
      </c>
      <c r="AI223" s="550">
        <f>+AI211+AI217</f>
        <v>0.83062499999999995</v>
      </c>
      <c r="AJ223" s="582">
        <f>+AJ211+AJ217</f>
        <v>0.90187499999999998</v>
      </c>
      <c r="AK223" s="580">
        <f>+AK211+AK217</f>
        <v>3.1799999999999997</v>
      </c>
      <c r="AL223" s="557"/>
      <c r="AM223" s="581">
        <f>+AM211+AM217</f>
        <v>1.6239374999999998</v>
      </c>
      <c r="AN223" s="550">
        <f>+AN211+AN217</f>
        <v>2.1158687499999997</v>
      </c>
      <c r="AO223" s="550">
        <f>+AO211+AO217</f>
        <v>2.5967312500000004</v>
      </c>
      <c r="AP223" s="582">
        <f>+AP211+AP217</f>
        <v>3.1961262499999998</v>
      </c>
      <c r="AQ223" s="580">
        <f>+AQ211+AQ217</f>
        <v>9.5326637500000011</v>
      </c>
      <c r="AR223" s="557"/>
      <c r="AS223" s="581">
        <f>+AS211+AS217</f>
        <v>3.0169884198907573</v>
      </c>
      <c r="AT223" s="550">
        <f>+AT211+AT217</f>
        <v>3.3326976827160624</v>
      </c>
      <c r="AU223" s="550">
        <f>+AU211+AU217</f>
        <v>3.8196329827147073</v>
      </c>
      <c r="AV223" s="582">
        <f>+AV211+AV217</f>
        <v>3.823225500325985</v>
      </c>
      <c r="AW223" s="580">
        <f>+AW211+AW217</f>
        <v>13.992544585647511</v>
      </c>
      <c r="AX223" s="557"/>
      <c r="AY223" s="581">
        <f>+AY211+AY217</f>
        <v>5.690948564246086</v>
      </c>
      <c r="AZ223" s="550">
        <f>+AZ211+AZ217</f>
        <v>6.2634806430602907</v>
      </c>
      <c r="BA223" s="550">
        <f>+BA211+BA217</f>
        <v>6.9358007161844739</v>
      </c>
      <c r="BB223" s="582">
        <f>+BB211+BB217</f>
        <v>7.6489364231582782</v>
      </c>
      <c r="BC223" s="580">
        <f>+BC211+BC217</f>
        <v>26.539166346649129</v>
      </c>
      <c r="BD223" s="557"/>
      <c r="BE223" s="581">
        <f>+BE211+BE217</f>
        <v>9.0414109563671943</v>
      </c>
      <c r="BF223" s="550">
        <f>+BF211+BF217</f>
        <v>9.8188493504382102</v>
      </c>
      <c r="BG223" s="550">
        <f>+BG211+BG217</f>
        <v>10.715533484462936</v>
      </c>
      <c r="BH223" s="582">
        <f>+BH211+BH217</f>
        <v>11.683483802833965</v>
      </c>
      <c r="BI223" s="580">
        <f>+BI211+BI217</f>
        <v>41.259277594102308</v>
      </c>
      <c r="BJ223" s="628"/>
      <c r="BK223" s="581">
        <f>+BK211+BK217</f>
        <v>11.989558491664608</v>
      </c>
      <c r="BL223" s="550">
        <f>+BL211+BL217</f>
        <v>12.988103856999945</v>
      </c>
      <c r="BM223" s="550">
        <f>+BM211+BM217</f>
        <v>13.909217099467631</v>
      </c>
      <c r="BN223" s="582">
        <f>+BN211+BN217</f>
        <v>14.672940403002983</v>
      </c>
      <c r="BO223" s="580">
        <f>+BO211+BO217</f>
        <v>53.559819851135174</v>
      </c>
      <c r="BP223" s="557"/>
      <c r="BQ223" s="581">
        <f>+BQ211+BQ217</f>
        <v>14.62392271070784</v>
      </c>
      <c r="BR223" s="550">
        <f>+BR211+BR217</f>
        <v>15.537757616089428</v>
      </c>
      <c r="BS223" s="550">
        <f>+BS211+BS217</f>
        <v>15.990572025024354</v>
      </c>
      <c r="BT223" s="582">
        <f>+BT211+BT217</f>
        <v>17.284592706539172</v>
      </c>
      <c r="BU223" s="580">
        <f>+BU211+BU217</f>
        <v>63.436845058360788</v>
      </c>
      <c r="BV223" s="557"/>
      <c r="BW223" s="581">
        <f>+BW211+BW217</f>
        <v>17.816728006016291</v>
      </c>
      <c r="BX223" s="550">
        <f>+BX211+BX217</f>
        <v>19.226861321888926</v>
      </c>
      <c r="BY223" s="550">
        <f>+BY211+BY217</f>
        <v>19.975091772883289</v>
      </c>
      <c r="BZ223" s="582">
        <f>+BZ211+BZ217</f>
        <v>21.098070768724234</v>
      </c>
      <c r="CA223" s="580">
        <f>+CA211+CA217</f>
        <v>78.11675186951274</v>
      </c>
      <c r="CB223" s="557"/>
      <c r="CC223" s="581">
        <f>+CC211+CC217</f>
        <v>21.886468939259263</v>
      </c>
      <c r="CD223" s="550">
        <f>+CD211+CD217</f>
        <v>23.83690820260194</v>
      </c>
      <c r="CE223" s="550">
        <f>+CE211+CE217</f>
        <v>25.32742300237966</v>
      </c>
      <c r="CF223" s="582">
        <f>+CF211+CF217</f>
        <v>27.274149908565061</v>
      </c>
      <c r="CG223" s="580">
        <f>+CG211+CG217</f>
        <v>98.324950052805917</v>
      </c>
      <c r="CH223" s="557"/>
      <c r="CI223" s="581">
        <f>+CI211+CI217</f>
        <v>27.856601964530178</v>
      </c>
      <c r="CJ223" s="550">
        <f>+CJ211+CJ217</f>
        <v>30.005356115147919</v>
      </c>
      <c r="CK223" s="550">
        <f>+CK211+CK217</f>
        <v>31.117581582472351</v>
      </c>
      <c r="CL223" s="582">
        <f>+CL211+CL217</f>
        <v>33.069297126241487</v>
      </c>
      <c r="CM223" s="580">
        <f>+CM211+CM217</f>
        <v>122.04883678839194</v>
      </c>
      <c r="CN223" s="557"/>
      <c r="CO223" s="581">
        <f>+CO211+CO217</f>
        <v>32.94702940011517</v>
      </c>
      <c r="CP223" s="550">
        <f>+CP211+CP217</f>
        <v>35.285686834920334</v>
      </c>
      <c r="CQ223" s="550">
        <f>+CQ211+CQ217</f>
        <v>36.367907953765062</v>
      </c>
      <c r="CR223" s="582">
        <f>+CR211+CR217</f>
        <v>38.428924321435467</v>
      </c>
      <c r="CS223" s="580">
        <f>+CS211+CS217</f>
        <v>143.02954851023605</v>
      </c>
      <c r="CT223" s="557"/>
      <c r="CU223" s="581">
        <f>+CU211+CU217</f>
        <v>38.166261131405356</v>
      </c>
      <c r="CV223" s="550">
        <f>+CV211+CV217</f>
        <v>40.745837086633735</v>
      </c>
      <c r="CW223" s="550">
        <f>+CW211+CW217</f>
        <v>41.848169768589351</v>
      </c>
      <c r="CX223" s="582">
        <f>+CX211+CX217</f>
        <v>44.07612808549581</v>
      </c>
      <c r="CY223" s="580">
        <f>+CY211+CY217</f>
        <v>164.83639607212427</v>
      </c>
      <c r="CZ223" s="48"/>
      <c r="DA223"/>
      <c r="DB223"/>
      <c r="DC223"/>
      <c r="DD223" s="48"/>
      <c r="DE223" s="48"/>
      <c r="DF223" s="48"/>
      <c r="DG223" s="48"/>
      <c r="DH223" s="48"/>
      <c r="DI223" s="48"/>
      <c r="DJ223" s="48"/>
      <c r="DK223" s="48"/>
    </row>
    <row r="224" spans="1:115" s="5" customFormat="1" outlineLevel="1" x14ac:dyDescent="0.2">
      <c r="A224" s="205" t="s">
        <v>471</v>
      </c>
      <c r="B224" s="961"/>
      <c r="C224" s="565"/>
      <c r="D224" s="566"/>
      <c r="E224" s="566"/>
      <c r="F224" s="566"/>
      <c r="G224" s="584"/>
      <c r="H224" s="592"/>
      <c r="I224" s="565"/>
      <c r="J224" s="566"/>
      <c r="K224" s="566"/>
      <c r="L224" s="566"/>
      <c r="M224" s="584"/>
      <c r="N224" s="592"/>
      <c r="O224" s="565"/>
      <c r="P224" s="566"/>
      <c r="Q224" s="566"/>
      <c r="R224" s="566"/>
      <c r="S224" s="584"/>
      <c r="T224" s="591"/>
      <c r="U224" s="565"/>
      <c r="V224" s="566"/>
      <c r="W224" s="566"/>
      <c r="X224" s="566"/>
      <c r="Y224" s="584"/>
      <c r="Z224" s="593"/>
      <c r="AA224" s="909"/>
      <c r="AB224" s="910"/>
      <c r="AC224" s="910"/>
      <c r="AD224" s="910"/>
      <c r="AE224" s="584"/>
      <c r="AF224" s="557"/>
      <c r="AG224" s="1131">
        <f>+AG223/AG207</f>
        <v>0.62028169014084511</v>
      </c>
      <c r="AH224" s="1132">
        <f>+AH223/AH207</f>
        <v>0.63116883116883116</v>
      </c>
      <c r="AI224" s="1132">
        <f>+AI223/AI207</f>
        <v>0.64048192771084334</v>
      </c>
      <c r="AJ224" s="1213">
        <f>+AJ223/AJ207</f>
        <v>0.64853932584269658</v>
      </c>
      <c r="AK224" s="707">
        <f>+AK223/AK$207</f>
        <v>0.6359999999999999</v>
      </c>
      <c r="AL224" s="557"/>
      <c r="AM224" s="1131">
        <f>+AM223/AM207</f>
        <v>0.61064629847238538</v>
      </c>
      <c r="AN224" s="1132">
        <f>+AN223/AN207</f>
        <v>0.61091581701705311</v>
      </c>
      <c r="AO224" s="1132">
        <f>+AO223/AO207</f>
        <v>0.61854548161381573</v>
      </c>
      <c r="AP224" s="1213">
        <f>+AP223/AP207</f>
        <v>0.62447590960990118</v>
      </c>
      <c r="AQ224" s="707">
        <f>+AQ223/AQ$207</f>
        <v>0.61743924185657706</v>
      </c>
      <c r="AR224" s="557"/>
      <c r="AS224" s="1131">
        <f>+AS223/AS207</f>
        <v>0.72999670568563335</v>
      </c>
      <c r="AT224" s="1132">
        <f>+AT223/AT207</f>
        <v>0.73273698522401531</v>
      </c>
      <c r="AU224" s="1132">
        <f>+AU223/AU207</f>
        <v>0.69944854880439167</v>
      </c>
      <c r="AV224" s="1213">
        <f>+AV223/AV207</f>
        <v>0.71856789004393151</v>
      </c>
      <c r="AW224" s="707">
        <f>+AW223/AW$207</f>
        <v>0.71894141555921076</v>
      </c>
      <c r="AX224" s="557"/>
      <c r="AY224" s="1131">
        <f>+AY223/AY$207</f>
        <v>0.66957475134663513</v>
      </c>
      <c r="AZ224" s="1132">
        <f>+AZ223/AZ$207</f>
        <v>0.68015726607021476</v>
      </c>
      <c r="BA224" s="1132">
        <f>+BA223/BA$207</f>
        <v>0.68683593336063775</v>
      </c>
      <c r="BB224" s="1213">
        <f>+BB223/BB$207</f>
        <v>0.6903203907006743</v>
      </c>
      <c r="BC224" s="707">
        <f>+BC223/BC$207</f>
        <v>0.68247446453213056</v>
      </c>
      <c r="BD224" s="557"/>
      <c r="BE224" s="1131">
        <f>+BE223/BE$207</f>
        <v>0.69068925567903416</v>
      </c>
      <c r="BF224" s="1132">
        <f>+BF223/BF$207</f>
        <v>0.6979404524478352</v>
      </c>
      <c r="BG224" s="1132">
        <f>+BG223/BG$207</f>
        <v>0.70279371903263643</v>
      </c>
      <c r="BH224" s="1213">
        <f>+BH223/BH$207</f>
        <v>0.70488892184058571</v>
      </c>
      <c r="BI224" s="707">
        <f>+BI223/BI$207</f>
        <v>0.69953838490173426</v>
      </c>
      <c r="BJ224" s="629"/>
      <c r="BK224" s="1131">
        <f>+BK223/BK$207</f>
        <v>0.71680245715237112</v>
      </c>
      <c r="BL224" s="1132">
        <f>+BL223/BL$207</f>
        <v>0.72096318086891698</v>
      </c>
      <c r="BM224" s="1132">
        <f>+BM223/BM$207</f>
        <v>0.72369520410933774</v>
      </c>
      <c r="BN224" s="1213">
        <f>+BN223/BN$207</f>
        <v>0.72559342697872886</v>
      </c>
      <c r="BO224" s="707">
        <f>+BO223/BO$207</f>
        <v>0.72199505171214817</v>
      </c>
      <c r="BP224" s="557"/>
      <c r="BQ224" s="1131">
        <f>+BQ223/BQ$207</f>
        <v>0.7284617070648266</v>
      </c>
      <c r="BR224" s="1132">
        <f>+BR223/BR$207</f>
        <v>0.73140553671350172</v>
      </c>
      <c r="BS224" s="1132">
        <f>+BS223/BS$207</f>
        <v>0.73433584463412072</v>
      </c>
      <c r="BT224" s="1213">
        <f>+BT223/BT$207</f>
        <v>0.73155912815246393</v>
      </c>
      <c r="BU224" s="707">
        <f>+BU223/BU$207</f>
        <v>0.73150171140969089</v>
      </c>
      <c r="BV224" s="557"/>
      <c r="BW224" s="1131">
        <f>+BW223/BW$207</f>
        <v>0.74023290732035996</v>
      </c>
      <c r="BX224" s="1132">
        <f>+BX223/BX$207</f>
        <v>0.74056683941309198</v>
      </c>
      <c r="BY224" s="1132">
        <f>+BY223/BY$207</f>
        <v>0.74138098956449128</v>
      </c>
      <c r="BZ224" s="1213">
        <f>+BZ223/BZ$207</f>
        <v>0.73800303932061795</v>
      </c>
      <c r="CA224" s="707">
        <f>+CA223/CA$207</f>
        <v>0.74000418002627621</v>
      </c>
      <c r="CB224" s="557"/>
      <c r="CC224" s="1131">
        <f>+CC223/CC$207</f>
        <v>0.7455858100279269</v>
      </c>
      <c r="CD224" s="1132">
        <f>+CD223/CD$207</f>
        <v>0.74606575356288052</v>
      </c>
      <c r="CE224" s="1132">
        <f>+CE223/CE$207</f>
        <v>0.74657138671343515</v>
      </c>
      <c r="CF224" s="1213">
        <f>+CF223/CF$207</f>
        <v>0.74630231215042198</v>
      </c>
      <c r="CG224" s="707">
        <f>+CG223/CG$207</f>
        <v>0.74615461819134821</v>
      </c>
      <c r="CH224" s="557"/>
      <c r="CI224" s="1131">
        <f>+CI223/CI$207</f>
        <v>0.74806915466270518</v>
      </c>
      <c r="CJ224" s="1132">
        <f>+CJ223/CJ$207</f>
        <v>0.74927607981932809</v>
      </c>
      <c r="CK224" s="1132">
        <f>+CK223/CK$207</f>
        <v>0.74961644994808641</v>
      </c>
      <c r="CL224" s="1213">
        <f>+CL223/CL$207</f>
        <v>0.75007305347023123</v>
      </c>
      <c r="CM224" s="707">
        <f>+CM223/CM$207</f>
        <v>0.74930261902232775</v>
      </c>
      <c r="CN224" s="557"/>
      <c r="CO224" s="1131">
        <f>+CO223/CO$207</f>
        <v>0.75138759802844768</v>
      </c>
      <c r="CP224" s="1132">
        <f>+CP223/CP$207</f>
        <v>0.75221829554327924</v>
      </c>
      <c r="CQ224" s="1132">
        <f>+CQ223/CQ$207</f>
        <v>0.75241992533459745</v>
      </c>
      <c r="CR224" s="1213">
        <f>+CR223/CR$207</f>
        <v>0.75271335847514798</v>
      </c>
      <c r="CS224" s="707">
        <f>+CS223/CS$207</f>
        <v>0.75221091139798912</v>
      </c>
      <c r="CT224" s="557"/>
      <c r="CU224" s="1131">
        <f>+CU223/CU$207</f>
        <v>0.753277365672259</v>
      </c>
      <c r="CV224" s="1132">
        <f>+CV223/CV$207</f>
        <v>0.75390810736503777</v>
      </c>
      <c r="CW224" s="1132">
        <f>+CW223/CW$207</f>
        <v>0.75404556863509153</v>
      </c>
      <c r="CX224" s="1213">
        <f>+CX223/CX$207</f>
        <v>0.75425803982202333</v>
      </c>
      <c r="CY224" s="707">
        <f>+CY223/CY$207</f>
        <v>0.75389036143961363</v>
      </c>
      <c r="CZ224" s="48"/>
      <c r="DA224"/>
      <c r="DB224"/>
      <c r="DC224"/>
      <c r="DD224" s="48"/>
      <c r="DE224" s="48"/>
      <c r="DF224" s="48"/>
      <c r="DG224" s="48"/>
      <c r="DH224" s="48"/>
      <c r="DI224" s="48"/>
      <c r="DJ224" s="48"/>
      <c r="DK224" s="48"/>
    </row>
    <row r="225" spans="1:115" s="5" customFormat="1" outlineLevel="1" x14ac:dyDescent="0.2">
      <c r="A225" s="354" t="s">
        <v>490</v>
      </c>
      <c r="B225" s="961"/>
      <c r="C225" s="565"/>
      <c r="D225" s="566"/>
      <c r="E225" s="566"/>
      <c r="F225" s="566"/>
      <c r="G225" s="584"/>
      <c r="H225" s="592"/>
      <c r="I225" s="565"/>
      <c r="J225" s="566"/>
      <c r="K225" s="566"/>
      <c r="L225" s="566"/>
      <c r="M225" s="584"/>
      <c r="N225" s="592"/>
      <c r="O225" s="565"/>
      <c r="P225" s="566"/>
      <c r="Q225" s="566"/>
      <c r="R225" s="566"/>
      <c r="S225" s="584"/>
      <c r="T225" s="591"/>
      <c r="U225" s="565"/>
      <c r="V225" s="566"/>
      <c r="W225" s="566"/>
      <c r="X225" s="566"/>
      <c r="Y225" s="584"/>
      <c r="Z225" s="593"/>
      <c r="AA225" s="909"/>
      <c r="AB225" s="910"/>
      <c r="AC225" s="910"/>
      <c r="AD225" s="910"/>
      <c r="AE225" s="584"/>
      <c r="AF225" s="557"/>
      <c r="AG225" s="581">
        <f>+AG213+AG219</f>
        <v>0.50579240935034597</v>
      </c>
      <c r="AH225" s="550">
        <f>+AH213+AH219</f>
        <v>0.50788992363297203</v>
      </c>
      <c r="AI225" s="550">
        <f>+AI213+AI219</f>
        <v>0.53584328388386315</v>
      </c>
      <c r="AJ225" s="582">
        <f>+AJ213+AJ219</f>
        <v>0.59607432292203688</v>
      </c>
      <c r="AK225" s="580">
        <f>+AK213+AK219</f>
        <v>2.1455999397892183</v>
      </c>
      <c r="AL225" s="557"/>
      <c r="AM225" s="581">
        <f>+AM213+AM219</f>
        <v>1.1761909179751213</v>
      </c>
      <c r="AN225" s="550">
        <f>+AN213+AN219</f>
        <v>1.5485526991815246</v>
      </c>
      <c r="AO225" s="550">
        <f>+AO213+AO219</f>
        <v>1.8194386450399209</v>
      </c>
      <c r="AP225" s="582">
        <f>+AP213+AP219</f>
        <v>2.2306930745323692</v>
      </c>
      <c r="AQ225" s="580">
        <f>+AQ213+AQ219</f>
        <v>6.774875336728936</v>
      </c>
      <c r="AR225" s="557"/>
      <c r="AS225" s="581">
        <f>+AS213+AS219</f>
        <v>1.9094457412814951</v>
      </c>
      <c r="AT225" s="550">
        <f>+AT213+AT219</f>
        <v>2.0779309071007295</v>
      </c>
      <c r="AU225" s="550">
        <f>+AU213+AU219</f>
        <v>2.5310221794094083</v>
      </c>
      <c r="AV225" s="582">
        <f>+AV213+AV219</f>
        <v>2.1544100762071032</v>
      </c>
      <c r="AW225" s="580">
        <f>+AW213+AW219</f>
        <v>8.6728089039987371</v>
      </c>
      <c r="AX225" s="557"/>
      <c r="AY225" s="581">
        <f>+AY213+AY219</f>
        <v>3.7226841132996968</v>
      </c>
      <c r="AZ225" s="550">
        <f>+AZ213+AZ219</f>
        <v>3.9894130381867354</v>
      </c>
      <c r="BA225" s="550">
        <f>+BA213+BA219</f>
        <v>4.4965679378881624</v>
      </c>
      <c r="BB225" s="582">
        <f>+BB213+BB219</f>
        <v>4.609873029119016</v>
      </c>
      <c r="BC225" s="580">
        <f>+BC213+BC219</f>
        <v>16.81853811849361</v>
      </c>
      <c r="BD225" s="557"/>
      <c r="BE225" s="581">
        <f>+BE213+BE219</f>
        <v>5.8951926105418462</v>
      </c>
      <c r="BF225" s="550">
        <f>+BF213+BF219</f>
        <v>6.0055486118582122</v>
      </c>
      <c r="BG225" s="550">
        <f>+BG213+BG219</f>
        <v>6.4428560552321992</v>
      </c>
      <c r="BH225" s="582">
        <f>+BH213+BH219</f>
        <v>6.7962437299978271</v>
      </c>
      <c r="BI225" s="580">
        <f>+BI213+BI219</f>
        <v>25.139841007630082</v>
      </c>
      <c r="BJ225" s="557"/>
      <c r="BK225" s="581">
        <f>+BK213+BK219</f>
        <v>7.6377359461066243</v>
      </c>
      <c r="BL225" s="550">
        <f>+BL213+BL219</f>
        <v>7.9497000946028509</v>
      </c>
      <c r="BM225" s="550">
        <f>+BM213+BM219</f>
        <v>8.4561360209498435</v>
      </c>
      <c r="BN225" s="582">
        <f>+BN213+BN219</f>
        <v>9.0629545962305418</v>
      </c>
      <c r="BO225" s="580">
        <f>+BO213+BO219</f>
        <v>33.106526657889859</v>
      </c>
      <c r="BP225" s="557"/>
      <c r="BQ225" s="581">
        <f>+BQ213+BQ219</f>
        <v>9.23655115129616</v>
      </c>
      <c r="BR225" s="550">
        <f>+BR213+BR219</f>
        <v>8.8670194497437755</v>
      </c>
      <c r="BS225" s="550">
        <f>+BS213+BS219</f>
        <v>9.0377433977418686</v>
      </c>
      <c r="BT225" s="582">
        <f>+BT213+BT219</f>
        <v>9.3984832409155352</v>
      </c>
      <c r="BU225" s="580">
        <f>+BU213+BU219</f>
        <v>36.539797239697336</v>
      </c>
      <c r="BV225" s="557"/>
      <c r="BW225" s="581">
        <f>+BW213+BW219</f>
        <v>11.473635429845393</v>
      </c>
      <c r="BX225" s="550">
        <f>+BX213+BX219</f>
        <v>12.010962252076531</v>
      </c>
      <c r="BY225" s="550">
        <f>+BY213+BY219</f>
        <v>11.473539195160821</v>
      </c>
      <c r="BZ225" s="582">
        <f>+BZ213+BZ219</f>
        <v>10.685647003288981</v>
      </c>
      <c r="CA225" s="580">
        <f>+CA213+CA219</f>
        <v>45.643783880371736</v>
      </c>
      <c r="CB225" s="557"/>
      <c r="CC225" s="581">
        <f>+CC213+CC219</f>
        <v>13.767984674135811</v>
      </c>
      <c r="CD225" s="550">
        <f>+CD213+CD219</f>
        <v>13.507700811475184</v>
      </c>
      <c r="CE225" s="550">
        <f>+CE213+CE219</f>
        <v>13.957758553237081</v>
      </c>
      <c r="CF225" s="582">
        <f>+CF213+CF219</f>
        <v>13.337414355699718</v>
      </c>
      <c r="CG225" s="580">
        <f>+CG213+CG219</f>
        <v>54.570858394547791</v>
      </c>
      <c r="CH225" s="557"/>
      <c r="CI225" s="581">
        <f>+CI213+CI219</f>
        <v>17.857623947681901</v>
      </c>
      <c r="CJ225" s="550">
        <f>+CJ213+CJ219</f>
        <v>17.506632754750111</v>
      </c>
      <c r="CK225" s="550">
        <f>+CK213+CK219</f>
        <v>17.888694537797459</v>
      </c>
      <c r="CL225" s="582">
        <f>+CL213+CL219</f>
        <v>16.976606021281704</v>
      </c>
      <c r="CM225" s="580">
        <f>+CM213+CM219</f>
        <v>70.229557261511189</v>
      </c>
      <c r="CN225" s="557"/>
      <c r="CO225" s="581">
        <f>+CO213+CO219</f>
        <v>19.887536658391955</v>
      </c>
      <c r="CP225" s="550">
        <f>+CP213+CP219</f>
        <v>20.225464614035133</v>
      </c>
      <c r="CQ225" s="550">
        <f>+CQ213+CQ219</f>
        <v>20.055720006563373</v>
      </c>
      <c r="CR225" s="582">
        <f>+CR213+CR219</f>
        <v>19.35252524044521</v>
      </c>
      <c r="CS225" s="580">
        <f>+CS213+CS219</f>
        <v>79.521246519435678</v>
      </c>
      <c r="CT225" s="557"/>
      <c r="CU225" s="581">
        <f>+CU213+CU219</f>
        <v>22.220177210910915</v>
      </c>
      <c r="CV225" s="550">
        <f>+CV213+CV219</f>
        <v>22.492136955224801</v>
      </c>
      <c r="CW225" s="550">
        <f>+CW213+CW219</f>
        <v>22.195679888416173</v>
      </c>
      <c r="CX225" s="582">
        <f>+CX213+CX219</f>
        <v>21.274412576291997</v>
      </c>
      <c r="CY225" s="580">
        <f>+CY213+CY219</f>
        <v>88.182406630843886</v>
      </c>
      <c r="CZ225" s="48"/>
      <c r="DA225"/>
      <c r="DB225"/>
      <c r="DC225"/>
      <c r="DD225" s="48"/>
      <c r="DE225" s="48"/>
      <c r="DF225" s="48"/>
      <c r="DG225" s="48"/>
      <c r="DH225" s="48"/>
      <c r="DI225" s="48"/>
      <c r="DJ225" s="48"/>
      <c r="DK225" s="48"/>
    </row>
    <row r="226" spans="1:115" s="5" customFormat="1" outlineLevel="1" x14ac:dyDescent="0.2">
      <c r="A226" s="205" t="s">
        <v>473</v>
      </c>
      <c r="B226" s="961"/>
      <c r="C226" s="565"/>
      <c r="D226" s="566"/>
      <c r="E226" s="566"/>
      <c r="F226" s="566"/>
      <c r="G226" s="584"/>
      <c r="H226" s="592"/>
      <c r="I226" s="565"/>
      <c r="J226" s="566"/>
      <c r="K226" s="566"/>
      <c r="L226" s="566"/>
      <c r="M226" s="584"/>
      <c r="N226" s="592"/>
      <c r="O226" s="565"/>
      <c r="P226" s="566"/>
      <c r="Q226" s="566"/>
      <c r="R226" s="566"/>
      <c r="S226" s="584"/>
      <c r="T226" s="591"/>
      <c r="U226" s="565"/>
      <c r="V226" s="566"/>
      <c r="W226" s="566"/>
      <c r="X226" s="566"/>
      <c r="Y226" s="584"/>
      <c r="Z226" s="593"/>
      <c r="AA226" s="909"/>
      <c r="AB226" s="910"/>
      <c r="AC226" s="910"/>
      <c r="AD226" s="910"/>
      <c r="AE226" s="584"/>
      <c r="AF226" s="557"/>
      <c r="AG226" s="1131">
        <f>+AG225/AG207</f>
        <v>0.45592555209045271</v>
      </c>
      <c r="AH226" s="1132">
        <f>+AH225/AH207</f>
        <v>0.4221422741884443</v>
      </c>
      <c r="AI226" s="1132">
        <f>+AI225/AI207</f>
        <v>0.41318036347671377</v>
      </c>
      <c r="AJ226" s="1213">
        <f>+AJ225/AJ207</f>
        <v>0.42863771535966699</v>
      </c>
      <c r="AK226" s="707">
        <f>+AK225/AK$207</f>
        <v>0.42911998795784367</v>
      </c>
      <c r="AL226" s="557"/>
      <c r="AM226" s="1131">
        <f>+AM225/AM207</f>
        <v>0.4422809562303629</v>
      </c>
      <c r="AN226" s="1132">
        <f>+AN225/AN207</f>
        <v>0.44711437673742477</v>
      </c>
      <c r="AO226" s="1132">
        <f>+AO225/AO207</f>
        <v>0.43339315647817084</v>
      </c>
      <c r="AP226" s="1213">
        <f>+AP225/AP207</f>
        <v>0.43584451233085936</v>
      </c>
      <c r="AQ226" s="707">
        <f>+AQ225/AQ$207</f>
        <v>0.43881479524364175</v>
      </c>
      <c r="AR226" s="557"/>
      <c r="AS226" s="1131">
        <f>+AS225/AS207</f>
        <v>0.4620134076853451</v>
      </c>
      <c r="AT226" s="1132">
        <f>+AT225/AT207</f>
        <v>0.45686016954647118</v>
      </c>
      <c r="AU226" s="1132">
        <f>+AU225/AU207</f>
        <v>0.46347903015577935</v>
      </c>
      <c r="AV226" s="1213">
        <f>+AV225/AV207</f>
        <v>0.4049172361445923</v>
      </c>
      <c r="AW226" s="707">
        <f>+AW225/AW$207</f>
        <v>0.44561169501014247</v>
      </c>
      <c r="AX226" s="557"/>
      <c r="AY226" s="1131">
        <f>+AY225/AY$207</f>
        <v>0.43799645373089491</v>
      </c>
      <c r="AZ226" s="1132">
        <f>+AZ225/AZ$207</f>
        <v>0.43321412165364309</v>
      </c>
      <c r="BA226" s="1132">
        <f>+BA225/BA$207</f>
        <v>0.44528448306368423</v>
      </c>
      <c r="BB226" s="1213">
        <f>+BB225/BB$207</f>
        <v>0.41604337838488126</v>
      </c>
      <c r="BC226" s="707">
        <f>+BC225/BC$207</f>
        <v>0.43250125669759065</v>
      </c>
      <c r="BD226" s="557"/>
      <c r="BE226" s="1131">
        <f>+BE225/BE$207</f>
        <v>0.45034411287236775</v>
      </c>
      <c r="BF226" s="1132">
        <f>+BF225/BF$207</f>
        <v>0.42688457331008178</v>
      </c>
      <c r="BG226" s="1132">
        <f>+BG225/BG$207</f>
        <v>0.4225640071783624</v>
      </c>
      <c r="BH226" s="1213">
        <f>+BH225/BH$207</f>
        <v>0.41003154506381001</v>
      </c>
      <c r="BI226" s="707">
        <f>+BI225/BI$207</f>
        <v>0.42623828628734295</v>
      </c>
      <c r="BJ226" s="557"/>
      <c r="BK226" s="1131">
        <f>+BK225/BK$207</f>
        <v>0.45662631339230525</v>
      </c>
      <c r="BL226" s="1132">
        <f>+BL225/BL$207</f>
        <v>0.44128389565270054</v>
      </c>
      <c r="BM226" s="1132">
        <f>+BM225/BM$207</f>
        <v>0.43997192939722302</v>
      </c>
      <c r="BN226" s="1213">
        <f>+BN225/BN$207</f>
        <v>0.4481733111030482</v>
      </c>
      <c r="BO226" s="707">
        <f>+BO225/BO$207</f>
        <v>0.44628134472461622</v>
      </c>
      <c r="BP226" s="557"/>
      <c r="BQ226" s="1131">
        <f>+BQ225/BQ$207</f>
        <v>0.46010047729109704</v>
      </c>
      <c r="BR226" s="1132">
        <f>+BR225/BR$207</f>
        <v>0.41739530760688742</v>
      </c>
      <c r="BS226" s="1132">
        <f>+BS225/BS$207</f>
        <v>0.415040745333006</v>
      </c>
      <c r="BT226" s="1213">
        <f>+BT225/BT$207</f>
        <v>0.39778468156085217</v>
      </c>
      <c r="BU226" s="707">
        <f>+BU225/BU$207</f>
        <v>0.42134699780248464</v>
      </c>
      <c r="BV226" s="557"/>
      <c r="BW226" s="1131">
        <f>+BW225/BW$207</f>
        <v>0.47669597408123426</v>
      </c>
      <c r="BX226" s="1132">
        <f>+BX225/BX$207</f>
        <v>0.46262986997278638</v>
      </c>
      <c r="BY226" s="1132">
        <f>+BY225/BY$207</f>
        <v>0.42584354249940332</v>
      </c>
      <c r="BZ226" s="1213">
        <f>+BZ225/BZ$207</f>
        <v>0.37378014568160334</v>
      </c>
      <c r="CA226" s="707">
        <f>+CA225/CA$207</f>
        <v>0.43238601267128868</v>
      </c>
      <c r="CB226" s="557"/>
      <c r="CC226" s="1131">
        <f>+CC225/CC$207</f>
        <v>0.46902102089680681</v>
      </c>
      <c r="CD226" s="1132">
        <f>+CD225/CD$207</f>
        <v>0.42277433378357065</v>
      </c>
      <c r="CE226" s="1132">
        <f>+CE225/CE$207</f>
        <v>0.41143005972310936</v>
      </c>
      <c r="CF226" s="1213">
        <f>+CF225/CF$207</f>
        <v>0.36495154588268569</v>
      </c>
      <c r="CG226" s="707">
        <f>+CG225/CG$207</f>
        <v>0.41411969177599345</v>
      </c>
      <c r="CH226" s="557"/>
      <c r="CI226" s="1131">
        <f>+CI225/CI$207</f>
        <v>0.47955373982212784</v>
      </c>
      <c r="CJ226" s="1132">
        <f>+CJ225/CJ$207</f>
        <v>0.43716532178378853</v>
      </c>
      <c r="CK226" s="1132">
        <f>+CK225/CK$207</f>
        <v>0.43093515021690298</v>
      </c>
      <c r="CL226" s="1213">
        <f>+CL225/CL$207</f>
        <v>0.38506094240023353</v>
      </c>
      <c r="CM226" s="707">
        <f>+CM225/CM$207</f>
        <v>0.43116503666533806</v>
      </c>
      <c r="CN226" s="557"/>
      <c r="CO226" s="1131">
        <f>+CO225/CO$207</f>
        <v>0.45355373982212782</v>
      </c>
      <c r="CP226" s="1132">
        <f>+CP225/CP$207</f>
        <v>0.43116532178378847</v>
      </c>
      <c r="CQ226" s="1132">
        <f>+CQ225/CQ$207</f>
        <v>0.41493515021690291</v>
      </c>
      <c r="CR226" s="1213">
        <f>+CR225/CR$207</f>
        <v>0.37906094240023358</v>
      </c>
      <c r="CS226" s="707">
        <f>+CS225/CS$207</f>
        <v>0.41821252980888796</v>
      </c>
      <c r="CT226" s="557"/>
      <c r="CU226" s="1131">
        <f>+CU225/CU$207</f>
        <v>0.43855373982212792</v>
      </c>
      <c r="CV226" s="1132">
        <f>+CV225/CV$207</f>
        <v>0.41616532178378857</v>
      </c>
      <c r="CW226" s="1132">
        <f>+CW225/CW$207</f>
        <v>0.39993515021690296</v>
      </c>
      <c r="CX226" s="1213">
        <f>+CX225/CX$207</f>
        <v>0.36406094240023346</v>
      </c>
      <c r="CY226" s="707">
        <f>+CY225/CY$207</f>
        <v>0.40330817702695687</v>
      </c>
      <c r="CZ226" s="48"/>
      <c r="DA226"/>
      <c r="DB226"/>
      <c r="DC226"/>
      <c r="DD226" s="48"/>
      <c r="DE226" s="48"/>
      <c r="DF226" s="48"/>
      <c r="DG226" s="48"/>
      <c r="DH226" s="48"/>
      <c r="DI226" s="48"/>
      <c r="DJ226" s="48"/>
      <c r="DK226" s="48"/>
    </row>
    <row r="227" spans="1:115" s="5" customFormat="1" x14ac:dyDescent="0.2">
      <c r="A227" s="354" t="s">
        <v>491</v>
      </c>
      <c r="B227" s="961"/>
      <c r="C227" s="565"/>
      <c r="D227" s="566"/>
      <c r="E227" s="566"/>
      <c r="F227" s="566"/>
      <c r="G227" s="584"/>
      <c r="H227" s="592"/>
      <c r="I227" s="565"/>
      <c r="J227" s="566"/>
      <c r="K227" s="566"/>
      <c r="L227" s="566"/>
      <c r="M227" s="584"/>
      <c r="N227" s="592"/>
      <c r="O227" s="565"/>
      <c r="P227" s="566"/>
      <c r="Q227" s="566"/>
      <c r="R227" s="566"/>
      <c r="S227" s="584"/>
      <c r="T227" s="591"/>
      <c r="U227" s="565"/>
      <c r="V227" s="566"/>
      <c r="W227" s="566"/>
      <c r="X227" s="566"/>
      <c r="Y227" s="584"/>
      <c r="Z227" s="593"/>
      <c r="AA227" s="909"/>
      <c r="AB227" s="910"/>
      <c r="AC227" s="910"/>
      <c r="AD227" s="910"/>
      <c r="AE227" s="584"/>
      <c r="AF227" s="557"/>
      <c r="AG227" s="581">
        <f>+AG215+AG221</f>
        <v>0.18233259064965404</v>
      </c>
      <c r="AH227" s="550">
        <f>+AH215+AH221</f>
        <v>0.25148507636702805</v>
      </c>
      <c r="AI227" s="550">
        <f>+AI215+AI221</f>
        <v>0.2947817161161369</v>
      </c>
      <c r="AJ227" s="582">
        <f>+AJ215+AJ221</f>
        <v>0.3058006770779631</v>
      </c>
      <c r="AK227" s="580">
        <f>+AK215+AK221</f>
        <v>1.0344000602107817</v>
      </c>
      <c r="AL227" s="557"/>
      <c r="AM227" s="581">
        <f>+AM215+AM221</f>
        <v>0.44774658202487849</v>
      </c>
      <c r="AN227" s="550">
        <f>+AN215+AN221</f>
        <v>0.56731605081847547</v>
      </c>
      <c r="AO227" s="550">
        <f>+AO215+AO221</f>
        <v>0.77729260496007924</v>
      </c>
      <c r="AP227" s="582">
        <f>+AP215+AP221</f>
        <v>0.96543317546763074</v>
      </c>
      <c r="AQ227" s="580">
        <f>+AQ215+AQ221</f>
        <v>2.7577884132710642</v>
      </c>
      <c r="AR227" s="557"/>
      <c r="AS227" s="581">
        <f>+AS215+AS221</f>
        <v>1.1075426786092619</v>
      </c>
      <c r="AT227" s="550">
        <f>+AT215+AT221</f>
        <v>1.2547667756153325</v>
      </c>
      <c r="AU227" s="550">
        <f>+AU215+AU221</f>
        <v>1.2886108033052988</v>
      </c>
      <c r="AV227" s="582">
        <f>+AV215+AV221</f>
        <v>1.6688154241188817</v>
      </c>
      <c r="AW227" s="580">
        <f>+AW215+AW221</f>
        <v>5.3197356816487753</v>
      </c>
      <c r="AX227" s="557"/>
      <c r="AY227" s="581">
        <f>+AY215+AY221</f>
        <v>1.9682644509463889</v>
      </c>
      <c r="AZ227" s="550">
        <f>+AZ215+AZ221</f>
        <v>2.2740676048735557</v>
      </c>
      <c r="BA227" s="550">
        <f>+BA215+BA221</f>
        <v>2.4392327782963124</v>
      </c>
      <c r="BB227" s="582">
        <f>+BB215+BB221</f>
        <v>3.0390633940392622</v>
      </c>
      <c r="BC227" s="580">
        <f>+BC215+BC221</f>
        <v>9.720628228155519</v>
      </c>
      <c r="BD227" s="557"/>
      <c r="BE227" s="581">
        <f>+BE215+BE221</f>
        <v>3.1462183458253485</v>
      </c>
      <c r="BF227" s="550">
        <f>+BF215+BF221</f>
        <v>3.8133007385799971</v>
      </c>
      <c r="BG227" s="550">
        <f>+BG215+BG221</f>
        <v>4.2726774292307379</v>
      </c>
      <c r="BH227" s="582">
        <f>+BH215+BH221</f>
        <v>4.8872400728361391</v>
      </c>
      <c r="BI227" s="580">
        <f>+BI215+BI221</f>
        <v>16.119436586472226</v>
      </c>
      <c r="BJ227" s="557"/>
      <c r="BK227" s="581">
        <f>+BK215+BK221</f>
        <v>4.351822545557984</v>
      </c>
      <c r="BL227" s="550">
        <f>+BL215+BL221</f>
        <v>5.0384037623970945</v>
      </c>
      <c r="BM227" s="550">
        <f>+BM215+BM221</f>
        <v>5.4530810785177879</v>
      </c>
      <c r="BN227" s="582">
        <f>+BN215+BN221</f>
        <v>5.60998580677244</v>
      </c>
      <c r="BO227" s="580">
        <f>+BO215+BO221</f>
        <v>20.453293193245312</v>
      </c>
      <c r="BP227" s="557"/>
      <c r="BQ227" s="581">
        <f>+BQ215+BQ221</f>
        <v>5.3873715594116796</v>
      </c>
      <c r="BR227" s="550">
        <f>+BR215+BR221</f>
        <v>6.6707381663456511</v>
      </c>
      <c r="BS227" s="550">
        <f>+BS215+BS221</f>
        <v>6.9528286272824866</v>
      </c>
      <c r="BT227" s="582">
        <f>+BT215+BT221</f>
        <v>7.8861094656236359</v>
      </c>
      <c r="BU227" s="580">
        <f>+BU215+BU221</f>
        <v>26.897047818663456</v>
      </c>
      <c r="BV227" s="557"/>
      <c r="BW227" s="581">
        <f>+BW215+BW221</f>
        <v>6.3430925761708981</v>
      </c>
      <c r="BX227" s="550">
        <f>+BX215+BX221</f>
        <v>7.2158990698123944</v>
      </c>
      <c r="BY227" s="550">
        <f>+BY215+BY221</f>
        <v>8.5015525777224692</v>
      </c>
      <c r="BZ227" s="582">
        <f>+BZ215+BZ221</f>
        <v>10.412423765435252</v>
      </c>
      <c r="CA227" s="580">
        <f>+CA215+CA221</f>
        <v>32.472967989141011</v>
      </c>
      <c r="CB227" s="557"/>
      <c r="CC227" s="581">
        <f>+CC215+CC221</f>
        <v>8.1184842651234526</v>
      </c>
      <c r="CD227" s="550">
        <f>+CD215+CD221</f>
        <v>10.329207391126758</v>
      </c>
      <c r="CE227" s="550">
        <f>+CE215+CE221</f>
        <v>11.369664449142578</v>
      </c>
      <c r="CF227" s="582">
        <f>+CF215+CF221</f>
        <v>13.936735552865343</v>
      </c>
      <c r="CG227" s="580">
        <f>+CG215+CG221</f>
        <v>43.754091658258133</v>
      </c>
      <c r="CH227" s="557"/>
      <c r="CI227" s="581">
        <f>+CI215+CI221</f>
        <v>9.9989780168482749</v>
      </c>
      <c r="CJ227" s="550">
        <f>+CJ215+CJ221</f>
        <v>12.498723360397809</v>
      </c>
      <c r="CK227" s="550">
        <f>+CK215+CK221</f>
        <v>13.228887044674892</v>
      </c>
      <c r="CL227" s="582">
        <f>+CL215+CL221</f>
        <v>16.092691104959783</v>
      </c>
      <c r="CM227" s="580">
        <f>+CM215+CM221</f>
        <v>51.819279526880749</v>
      </c>
      <c r="CN227" s="557"/>
      <c r="CO227" s="581">
        <f>+CO215+CO221</f>
        <v>13.059492741723215</v>
      </c>
      <c r="CP227" s="550">
        <f>+CP215+CP221</f>
        <v>15.060222220885199</v>
      </c>
      <c r="CQ227" s="550">
        <f>+CQ215+CQ221</f>
        <v>16.312187947201689</v>
      </c>
      <c r="CR227" s="582">
        <f>+CR215+CR221</f>
        <v>19.076399080990257</v>
      </c>
      <c r="CS227" s="580">
        <f>+CS215+CS221</f>
        <v>63.508301990800376</v>
      </c>
      <c r="CT227" s="557"/>
      <c r="CU227" s="581">
        <f>+CU215+CU221</f>
        <v>15.946083920494445</v>
      </c>
      <c r="CV227" s="550">
        <f>+CV215+CV221</f>
        <v>18.253700131408937</v>
      </c>
      <c r="CW227" s="550">
        <f>+CW215+CW221</f>
        <v>19.652489880173178</v>
      </c>
      <c r="CX227" s="582">
        <f>+CX215+CX221</f>
        <v>22.80171550920381</v>
      </c>
      <c r="CY227" s="580">
        <f>+CY215+CY221</f>
        <v>76.653989441280402</v>
      </c>
      <c r="CZ227" s="48"/>
      <c r="DA227"/>
      <c r="DB227"/>
      <c r="DC227"/>
      <c r="DD227" s="48"/>
      <c r="DE227" s="48"/>
      <c r="DF227" s="48"/>
      <c r="DG227" s="48"/>
      <c r="DH227" s="48"/>
      <c r="DI227" s="48"/>
      <c r="DJ227" s="48"/>
      <c r="DK227" s="48"/>
    </row>
    <row r="228" spans="1:115" s="5" customFormat="1" x14ac:dyDescent="0.2">
      <c r="A228" s="205" t="s">
        <v>476</v>
      </c>
      <c r="B228" s="961"/>
      <c r="C228" s="565"/>
      <c r="D228" s="566"/>
      <c r="E228" s="566"/>
      <c r="F228" s="566"/>
      <c r="G228" s="584"/>
      <c r="H228" s="592"/>
      <c r="I228" s="565"/>
      <c r="J228" s="566"/>
      <c r="K228" s="566"/>
      <c r="L228" s="566"/>
      <c r="M228" s="584"/>
      <c r="N228" s="592"/>
      <c r="O228" s="565"/>
      <c r="P228" s="566"/>
      <c r="Q228" s="566"/>
      <c r="R228" s="566"/>
      <c r="S228" s="584"/>
      <c r="T228" s="591"/>
      <c r="U228" s="565"/>
      <c r="V228" s="566"/>
      <c r="W228" s="566"/>
      <c r="X228" s="566"/>
      <c r="Y228" s="584"/>
      <c r="Z228" s="593"/>
      <c r="AA228" s="909"/>
      <c r="AB228" s="910"/>
      <c r="AC228" s="910"/>
      <c r="AD228" s="910"/>
      <c r="AE228" s="584"/>
      <c r="AF228" s="592"/>
      <c r="AG228" s="1131">
        <f>+AG227/AG207</f>
        <v>0.16435613805039237</v>
      </c>
      <c r="AH228" s="1132">
        <f>+AH227/AH207</f>
        <v>0.20902655698038694</v>
      </c>
      <c r="AI228" s="1132">
        <f>+AI227/AI207</f>
        <v>0.22730156423412967</v>
      </c>
      <c r="AJ228" s="1213">
        <f>+AJ227/AJ207</f>
        <v>0.21990161048302964</v>
      </c>
      <c r="AK228" s="707">
        <f>+AK227/AK$207</f>
        <v>0.20688001204215634</v>
      </c>
      <c r="AL228" s="592"/>
      <c r="AM228" s="1131">
        <f>+AM227/AM207</f>
        <v>0.16836534224202249</v>
      </c>
      <c r="AN228" s="1132">
        <f>+AN227/AN207</f>
        <v>0.1638014402796284</v>
      </c>
      <c r="AO228" s="1132">
        <f>+AO227/AO207</f>
        <v>0.18515232513564489</v>
      </c>
      <c r="AP228" s="1213">
        <f>+AP227/AP207</f>
        <v>0.1886313972790418</v>
      </c>
      <c r="AQ228" s="707">
        <f>+AQ227/AQ$207</f>
        <v>0.17862444661293528</v>
      </c>
      <c r="AR228" s="592"/>
      <c r="AS228" s="1131">
        <f>+AS227/AS207</f>
        <v>0.26798329800028819</v>
      </c>
      <c r="AT228" s="1132">
        <f>+AT227/AT207</f>
        <v>0.27587681567754402</v>
      </c>
      <c r="AU228" s="1132">
        <f>+AU227/AU207</f>
        <v>0.23596951864861226</v>
      </c>
      <c r="AV228" s="1213">
        <f>+AV227/AV207</f>
        <v>0.31365065389933922</v>
      </c>
      <c r="AW228" s="707">
        <f>+AW227/AW$207</f>
        <v>0.27332972054906834</v>
      </c>
      <c r="AX228" s="592"/>
      <c r="AY228" s="1131">
        <f>+AY227/AY$207</f>
        <v>0.23157829761574025</v>
      </c>
      <c r="AZ228" s="1132">
        <f>+AZ227/AZ$207</f>
        <v>0.24694314441657175</v>
      </c>
      <c r="BA228" s="1132">
        <f>+BA227/BA$207</f>
        <v>0.24155145029695363</v>
      </c>
      <c r="BB228" s="1213">
        <f>+BB227/BB$207</f>
        <v>0.27427701231579299</v>
      </c>
      <c r="BC228" s="707">
        <f>+BC227/BC$207</f>
        <v>0.24997320783453997</v>
      </c>
      <c r="BD228" s="592"/>
      <c r="BE228" s="1131">
        <f>+BE227/BE$207</f>
        <v>0.24034514280666647</v>
      </c>
      <c r="BF228" s="1132">
        <f>+BF227/BF$207</f>
        <v>0.27105587913775331</v>
      </c>
      <c r="BG228" s="1132">
        <f>+BG227/BG$207</f>
        <v>0.28022971185427414</v>
      </c>
      <c r="BH228" s="1213">
        <f>+BH227/BH$207</f>
        <v>0.29485737677677581</v>
      </c>
      <c r="BI228" s="707">
        <f>+BI227/BI$207</f>
        <v>0.27330009861439125</v>
      </c>
      <c r="BJ228" s="592"/>
      <c r="BK228" s="1131">
        <f>+BK227/BK$207</f>
        <v>0.26017614376006587</v>
      </c>
      <c r="BL228" s="1132">
        <f>+BL227/BL$207</f>
        <v>0.27967928521621643</v>
      </c>
      <c r="BM228" s="1132">
        <f>+BM227/BM$207</f>
        <v>0.28372327471211473</v>
      </c>
      <c r="BN228" s="1213">
        <f>+BN227/BN$207</f>
        <v>0.27742011587568066</v>
      </c>
      <c r="BO228" s="707">
        <f>+BO227/BO$207</f>
        <v>0.27571370698753189</v>
      </c>
      <c r="BP228" s="592"/>
      <c r="BQ228" s="1131">
        <f>+BQ227/BQ$207</f>
        <v>0.26836122977372961</v>
      </c>
      <c r="BR228" s="1132">
        <f>+BR227/BR$207</f>
        <v>0.31401022910661419</v>
      </c>
      <c r="BS228" s="1132">
        <f>+BS227/BS$207</f>
        <v>0.31929509930111477</v>
      </c>
      <c r="BT228" s="1213">
        <f>+BT227/BT$207</f>
        <v>0.33377444659161171</v>
      </c>
      <c r="BU228" s="707">
        <f>+BU227/BU$207</f>
        <v>0.31015471360720631</v>
      </c>
      <c r="BV228" s="592"/>
      <c r="BW228" s="1131">
        <f>+BW227/BW$207</f>
        <v>0.26353693323912564</v>
      </c>
      <c r="BX228" s="1132">
        <f>+BX227/BX$207</f>
        <v>0.27793696944030555</v>
      </c>
      <c r="BY228" s="1132">
        <f>+BY227/BY$207</f>
        <v>0.31553744706508802</v>
      </c>
      <c r="BZ228" s="1213">
        <f>+BZ227/BZ$207</f>
        <v>0.36422289363901456</v>
      </c>
      <c r="CA228" s="707">
        <f>+CA227/CA$207</f>
        <v>0.30761816735498759</v>
      </c>
      <c r="CB228" s="592"/>
      <c r="CC228" s="1131">
        <f>+CC227/CC$207</f>
        <v>0.27656478913112015</v>
      </c>
      <c r="CD228" s="1132">
        <f>+CD227/CD$207</f>
        <v>0.32329141977930992</v>
      </c>
      <c r="CE228" s="1132">
        <f>+CE227/CE$207</f>
        <v>0.33514132699032573</v>
      </c>
      <c r="CF228" s="1213">
        <f>+CF227/CF$207</f>
        <v>0.38135076626773629</v>
      </c>
      <c r="CG228" s="707">
        <f>+CG227/CG$207</f>
        <v>0.33203492641535481</v>
      </c>
      <c r="CH228" s="592"/>
      <c r="CI228" s="1131">
        <f>+CI227/CI$207</f>
        <v>0.26851541484057734</v>
      </c>
      <c r="CJ228" s="1132">
        <f>+CJ227/CJ$207</f>
        <v>0.31211075803553956</v>
      </c>
      <c r="CK228" s="1132">
        <f>+CK227/CK$207</f>
        <v>0.31868129973118348</v>
      </c>
      <c r="CL228" s="1213">
        <f>+CL227/CL$207</f>
        <v>0.36501211106999776</v>
      </c>
      <c r="CM228" s="707">
        <f>+CM227/CM$207</f>
        <v>0.31813758235698969</v>
      </c>
      <c r="CN228" s="592"/>
      <c r="CO228" s="1131">
        <f>+CO227/CO$207</f>
        <v>0.29783385820631986</v>
      </c>
      <c r="CP228" s="1132">
        <f>+CP227/CP$207</f>
        <v>0.32105297375949066</v>
      </c>
      <c r="CQ228" s="1132">
        <f>+CQ227/CQ$207</f>
        <v>0.33748477511769448</v>
      </c>
      <c r="CR228" s="1213">
        <f>+CR227/CR$207</f>
        <v>0.3736524160749144</v>
      </c>
      <c r="CS228" s="707">
        <f>+CS227/CS$207</f>
        <v>0.33399838158910117</v>
      </c>
      <c r="CT228" s="592"/>
      <c r="CU228" s="1131">
        <f>+CU227/CU$207</f>
        <v>0.31472362585013119</v>
      </c>
      <c r="CV228" s="1132">
        <f>+CV227/CV$207</f>
        <v>0.33774278558124932</v>
      </c>
      <c r="CW228" s="1132">
        <f>+CW227/CW$207</f>
        <v>0.35411041841818858</v>
      </c>
      <c r="CX228" s="1213">
        <f>+CX227/CX$207</f>
        <v>0.39019709742178976</v>
      </c>
      <c r="CY228" s="707">
        <f>+CY227/CY$207</f>
        <v>0.35058218441265676</v>
      </c>
      <c r="CZ228" s="48"/>
      <c r="DA228"/>
      <c r="DB228"/>
      <c r="DC228"/>
      <c r="DD228" s="48"/>
      <c r="DE228" s="48"/>
      <c r="DF228" s="48"/>
      <c r="DG228" s="48"/>
      <c r="DH228" s="48"/>
      <c r="DI228" s="48"/>
      <c r="DJ228" s="48"/>
      <c r="DK228" s="48"/>
    </row>
    <row r="229" spans="1:115" x14ac:dyDescent="0.2">
      <c r="A229" s="1161" t="s">
        <v>427</v>
      </c>
      <c r="B229" s="1162"/>
      <c r="C229" s="1163"/>
      <c r="D229" s="1163"/>
      <c r="E229" s="1163"/>
      <c r="F229" s="1163"/>
      <c r="G229" s="1164"/>
      <c r="H229" s="1165"/>
      <c r="I229" s="1166"/>
      <c r="J229" s="1163"/>
      <c r="K229" s="1163"/>
      <c r="L229" s="1163"/>
      <c r="M229" s="1164"/>
      <c r="N229" s="1165"/>
      <c r="O229" s="1166"/>
      <c r="P229" s="1163"/>
      <c r="Q229" s="1163"/>
      <c r="R229" s="1163"/>
      <c r="S229" s="1164"/>
      <c r="T229" s="1163"/>
      <c r="U229" s="1166"/>
      <c r="V229" s="1163"/>
      <c r="W229" s="1163"/>
      <c r="X229" s="1163"/>
      <c r="Y229" s="1164"/>
      <c r="Z229" s="1167"/>
      <c r="AA229" s="1168"/>
      <c r="AB229" s="1169"/>
      <c r="AC229" s="1169"/>
      <c r="AD229" s="1170"/>
      <c r="AE229" s="1171"/>
      <c r="AF229" s="1165"/>
      <c r="AG229" s="1172"/>
      <c r="AH229" s="1173"/>
      <c r="AI229" s="1173"/>
      <c r="AJ229" s="1174"/>
      <c r="AK229" s="1171"/>
      <c r="AL229" s="1175"/>
      <c r="AM229" s="1176"/>
      <c r="AN229" s="1177"/>
      <c r="AO229" s="1177"/>
      <c r="AP229" s="1177"/>
      <c r="AQ229" s="1171"/>
      <c r="AR229" s="1178"/>
      <c r="AS229" s="1172"/>
      <c r="AT229" s="1173"/>
      <c r="AU229" s="1173"/>
      <c r="AV229" s="1173"/>
      <c r="AW229" s="1171"/>
      <c r="AX229" s="1173"/>
      <c r="AY229" s="1172"/>
      <c r="AZ229" s="1173"/>
      <c r="BA229" s="1173"/>
      <c r="BB229" s="1173"/>
      <c r="BC229" s="1171"/>
      <c r="BD229" s="1178"/>
      <c r="BE229" s="1172"/>
      <c r="BF229" s="1173"/>
      <c r="BG229" s="1173"/>
      <c r="BH229" s="1173"/>
      <c r="BI229" s="1171"/>
      <c r="BJ229" s="1179"/>
      <c r="BK229" s="1180"/>
      <c r="BL229" s="1173"/>
      <c r="BM229" s="1173"/>
      <c r="BN229" s="1173"/>
      <c r="BO229" s="1171"/>
      <c r="BP229" s="1178"/>
      <c r="BQ229" s="1172"/>
      <c r="BR229" s="1173"/>
      <c r="BS229" s="1173"/>
      <c r="BT229" s="1173"/>
      <c r="BU229" s="1290"/>
      <c r="BV229" s="1178"/>
      <c r="BW229" s="1172"/>
      <c r="BX229" s="1173"/>
      <c r="BY229" s="1173"/>
      <c r="BZ229" s="1173"/>
      <c r="CA229" s="1290"/>
      <c r="CB229" s="1178"/>
      <c r="CC229" s="1172"/>
      <c r="CD229" s="1173"/>
      <c r="CE229" s="1173"/>
      <c r="CF229" s="1173"/>
      <c r="CG229" s="1171"/>
      <c r="CH229" s="1178"/>
      <c r="CI229" s="1172"/>
      <c r="CJ229" s="1173"/>
      <c r="CK229" s="1173"/>
      <c r="CL229" s="1173"/>
      <c r="CM229" s="1171"/>
      <c r="CN229" s="1178"/>
      <c r="CO229" s="1172"/>
      <c r="CP229" s="1173"/>
      <c r="CQ229" s="1173"/>
      <c r="CR229" s="1173"/>
      <c r="CS229" s="1171"/>
      <c r="CT229" s="1178"/>
      <c r="CU229" s="1172"/>
      <c r="CV229" s="1173"/>
      <c r="CW229" s="1173"/>
      <c r="CX229" s="1173"/>
      <c r="CY229" s="1171"/>
      <c r="CZ229" s="48"/>
      <c r="DD229" s="48"/>
      <c r="DE229" s="48"/>
      <c r="DF229" s="48"/>
      <c r="DG229" s="48"/>
      <c r="DH229" s="48"/>
      <c r="DI229" s="48"/>
      <c r="DJ229" s="48"/>
      <c r="DK229" s="48"/>
    </row>
    <row r="230" spans="1:115" x14ac:dyDescent="0.2">
      <c r="A230" s="1141"/>
      <c r="B230" s="1268"/>
      <c r="C230" s="1146"/>
      <c r="D230" s="1143"/>
      <c r="E230" s="1143"/>
      <c r="F230" s="1143"/>
      <c r="G230" s="1144"/>
      <c r="H230" s="1145"/>
      <c r="I230" s="1146"/>
      <c r="J230" s="1143"/>
      <c r="K230" s="1143"/>
      <c r="L230" s="1143"/>
      <c r="M230" s="1144"/>
      <c r="N230" s="1145"/>
      <c r="O230" s="1146"/>
      <c r="P230" s="1143"/>
      <c r="Q230" s="1143"/>
      <c r="R230" s="1143"/>
      <c r="S230" s="1144"/>
      <c r="T230" s="1143"/>
      <c r="U230" s="1146"/>
      <c r="V230" s="1143"/>
      <c r="W230" s="1143"/>
      <c r="X230" s="1143"/>
      <c r="Y230" s="1144"/>
      <c r="Z230" s="1147"/>
      <c r="AA230" s="1148"/>
      <c r="AB230" s="1149"/>
      <c r="AC230" s="1149"/>
      <c r="AD230" s="1149"/>
      <c r="AE230" s="1151"/>
      <c r="AF230" s="1145"/>
      <c r="AG230" s="1152"/>
      <c r="AH230" s="1153"/>
      <c r="AI230" s="1153"/>
      <c r="AJ230" s="1153"/>
      <c r="AK230" s="1151"/>
      <c r="AL230" s="1155"/>
      <c r="AM230" s="1156"/>
      <c r="AN230" s="1157"/>
      <c r="AO230" s="1157"/>
      <c r="AP230" s="1157"/>
      <c r="AQ230" s="1151"/>
      <c r="AR230" s="1158"/>
      <c r="AS230" s="1152"/>
      <c r="AT230" s="1153"/>
      <c r="AU230" s="1153"/>
      <c r="AV230" s="1153"/>
      <c r="AW230" s="1151"/>
      <c r="AX230" s="1153"/>
      <c r="AY230" s="1152"/>
      <c r="AZ230" s="1153"/>
      <c r="BA230" s="1153"/>
      <c r="BB230" s="1153"/>
      <c r="BC230" s="1269">
        <f>+RevBuild!BC$6</f>
        <v>2012</v>
      </c>
      <c r="BD230" s="1158"/>
      <c r="BE230" s="1152"/>
      <c r="BF230" s="1153"/>
      <c r="BG230" s="1153"/>
      <c r="BH230" s="1153"/>
      <c r="BI230" s="1269">
        <f>+RevBuild!BI$6</f>
        <v>2013</v>
      </c>
      <c r="BJ230" s="1159"/>
      <c r="BK230" s="1160"/>
      <c r="BL230" s="1153"/>
      <c r="BM230" s="1153"/>
      <c r="BN230" s="1153"/>
      <c r="BO230" s="1269">
        <f>+RevBuild!BO$6</f>
        <v>2014</v>
      </c>
      <c r="BP230" s="1158"/>
      <c r="BQ230" s="1152"/>
      <c r="BR230" s="1153"/>
      <c r="BS230" s="1153"/>
      <c r="BT230" s="1153"/>
      <c r="BU230" s="1270">
        <f>+RevBuild!BU$6</f>
        <v>2015</v>
      </c>
      <c r="BV230" s="1158"/>
      <c r="BW230" s="1152"/>
      <c r="BX230" s="1153"/>
      <c r="BY230" s="1153"/>
      <c r="BZ230" s="1153"/>
      <c r="CA230" s="1270">
        <f>+RevBuild!CA$6</f>
        <v>2016</v>
      </c>
      <c r="CB230" s="1158"/>
      <c r="CC230" s="1152"/>
      <c r="CD230" s="1153"/>
      <c r="CE230" s="1153"/>
      <c r="CF230" s="1153"/>
      <c r="CG230" s="1270">
        <f>+RevBuild!CG$6</f>
        <v>2017</v>
      </c>
      <c r="CH230" s="1158"/>
      <c r="CI230" s="1152"/>
      <c r="CJ230" s="1153"/>
      <c r="CK230" s="1153"/>
      <c r="CL230" s="1153"/>
      <c r="CM230" s="1270">
        <f>+RevBuild!CM$6</f>
        <v>2018</v>
      </c>
      <c r="CN230" s="1158"/>
      <c r="CO230" s="1152"/>
      <c r="CP230" s="1153"/>
      <c r="CQ230" s="1153"/>
      <c r="CR230" s="1153"/>
      <c r="CS230" s="1270">
        <f>+RevBuild!CS$6</f>
        <v>2019</v>
      </c>
      <c r="CT230" s="1158"/>
      <c r="CU230" s="1152"/>
      <c r="CV230" s="1153"/>
      <c r="CW230" s="1153"/>
      <c r="CX230" s="1153"/>
      <c r="CY230" s="1270">
        <f>+RevBuild!CY$6</f>
        <v>2020</v>
      </c>
      <c r="CZ230" s="48"/>
      <c r="DD230" s="48"/>
      <c r="DE230" s="48"/>
      <c r="DF230" s="48"/>
      <c r="DG230" s="48"/>
      <c r="DH230" s="48"/>
      <c r="DI230" s="48"/>
      <c r="DJ230" s="48"/>
      <c r="DK230" s="48"/>
    </row>
    <row r="231" spans="1:115" s="5" customFormat="1" outlineLevel="1" x14ac:dyDescent="0.2">
      <c r="A231" s="205" t="s">
        <v>635</v>
      </c>
      <c r="B231" s="39"/>
      <c r="C231" s="565"/>
      <c r="D231" s="566"/>
      <c r="E231" s="566"/>
      <c r="F231" s="566"/>
      <c r="G231" s="584"/>
      <c r="H231" s="592"/>
      <c r="I231" s="565"/>
      <c r="J231" s="566"/>
      <c r="K231" s="566"/>
      <c r="L231" s="566"/>
      <c r="M231" s="584"/>
      <c r="N231" s="592"/>
      <c r="O231" s="565"/>
      <c r="P231" s="566"/>
      <c r="Q231" s="566"/>
      <c r="R231" s="566"/>
      <c r="S231" s="584"/>
      <c r="T231" s="591"/>
      <c r="U231" s="565"/>
      <c r="V231" s="566"/>
      <c r="W231" s="566"/>
      <c r="X231" s="566"/>
      <c r="Y231" s="584"/>
      <c r="Z231" s="593"/>
      <c r="AA231" s="909">
        <v>0.25</v>
      </c>
      <c r="AB231" s="910">
        <v>0.25</v>
      </c>
      <c r="AC231" s="910">
        <v>0.25</v>
      </c>
      <c r="AD231" s="910">
        <v>0.25</v>
      </c>
      <c r="AE231" s="584"/>
      <c r="AF231" s="592"/>
      <c r="AG231" s="909">
        <v>0.25</v>
      </c>
      <c r="AH231" s="910">
        <v>0.25</v>
      </c>
      <c r="AI231" s="910">
        <v>0.25</v>
      </c>
      <c r="AJ231" s="910">
        <v>0.25</v>
      </c>
      <c r="AK231" s="584"/>
      <c r="AL231" s="592"/>
      <c r="AM231" s="909">
        <v>0.25</v>
      </c>
      <c r="AN231" s="910">
        <v>0.25</v>
      </c>
      <c r="AO231" s="910">
        <v>0.25</v>
      </c>
      <c r="AP231" s="910">
        <v>0.25</v>
      </c>
      <c r="AQ231" s="584"/>
      <c r="AR231" s="592"/>
      <c r="AS231" s="909">
        <v>0.25</v>
      </c>
      <c r="AT231" s="910">
        <v>0.25</v>
      </c>
      <c r="AU231" s="910">
        <v>0.25</v>
      </c>
      <c r="AV231" s="910">
        <v>0.25</v>
      </c>
      <c r="AW231" s="584"/>
      <c r="AX231" s="592"/>
      <c r="AY231" s="909">
        <v>0.25</v>
      </c>
      <c r="AZ231" s="910">
        <v>0.25</v>
      </c>
      <c r="BA231" s="910">
        <v>0.25</v>
      </c>
      <c r="BB231" s="910">
        <v>0.25</v>
      </c>
      <c r="BC231" s="562">
        <f>+BB231</f>
        <v>0.25</v>
      </c>
      <c r="BD231" s="557"/>
      <c r="BE231" s="909">
        <v>0.25</v>
      </c>
      <c r="BF231" s="910">
        <v>0.25</v>
      </c>
      <c r="BG231" s="910">
        <v>0.25</v>
      </c>
      <c r="BH231" s="910">
        <v>0.25</v>
      </c>
      <c r="BI231" s="562">
        <f>+BH231</f>
        <v>0.25</v>
      </c>
      <c r="BJ231" s="629"/>
      <c r="BK231" s="909">
        <v>0.25</v>
      </c>
      <c r="BL231" s="910">
        <v>0.25</v>
      </c>
      <c r="BM231" s="910">
        <v>0.25</v>
      </c>
      <c r="BN231" s="910">
        <v>0.25</v>
      </c>
      <c r="BO231" s="562">
        <f>+BN231</f>
        <v>0.25</v>
      </c>
      <c r="BP231" s="557"/>
      <c r="BQ231" s="909">
        <v>0.25</v>
      </c>
      <c r="BR231" s="910">
        <v>0.25</v>
      </c>
      <c r="BS231" s="910">
        <v>0.25</v>
      </c>
      <c r="BT231" s="910">
        <v>0.25</v>
      </c>
      <c r="BU231" s="562">
        <f>+BT231</f>
        <v>0.25</v>
      </c>
      <c r="BV231" s="557"/>
      <c r="BW231" s="1308">
        <v>0.25</v>
      </c>
      <c r="BX231" s="1118">
        <v>0.25</v>
      </c>
      <c r="BY231" s="1118">
        <v>0.25</v>
      </c>
      <c r="BZ231" s="1118">
        <v>0.25</v>
      </c>
      <c r="CA231" s="562">
        <f>+BZ231</f>
        <v>0.25</v>
      </c>
      <c r="CB231" s="557"/>
      <c r="CC231" s="1308">
        <v>0.4</v>
      </c>
      <c r="CD231" s="1118">
        <v>0.4</v>
      </c>
      <c r="CE231" s="1118">
        <v>0.4</v>
      </c>
      <c r="CF231" s="1118">
        <v>0.4</v>
      </c>
      <c r="CG231" s="562">
        <f>+CF231</f>
        <v>0.4</v>
      </c>
      <c r="CH231" s="557"/>
      <c r="CI231" s="1308">
        <v>0.4</v>
      </c>
      <c r="CJ231" s="1118">
        <v>0.4</v>
      </c>
      <c r="CK231" s="1118">
        <v>0.4</v>
      </c>
      <c r="CL231" s="1118">
        <v>0.4</v>
      </c>
      <c r="CM231" s="562">
        <f>+CL231</f>
        <v>0.4</v>
      </c>
      <c r="CN231" s="557"/>
      <c r="CO231" s="1308">
        <v>0.4</v>
      </c>
      <c r="CP231" s="1118">
        <v>0.4</v>
      </c>
      <c r="CQ231" s="1118">
        <v>0.4</v>
      </c>
      <c r="CR231" s="1118">
        <v>0.4</v>
      </c>
      <c r="CS231" s="562">
        <f>+CR231</f>
        <v>0.4</v>
      </c>
      <c r="CT231" s="557"/>
      <c r="CU231" s="1308">
        <v>0.4</v>
      </c>
      <c r="CV231" s="1118">
        <v>0.4</v>
      </c>
      <c r="CW231" s="1118">
        <v>0.4</v>
      </c>
      <c r="CX231" s="1118">
        <v>0.4</v>
      </c>
      <c r="CY231" s="562">
        <f>+CX231</f>
        <v>0.4</v>
      </c>
      <c r="CZ231" s="48"/>
      <c r="DA231"/>
      <c r="DB231"/>
      <c r="DC231"/>
      <c r="DD231" s="48"/>
      <c r="DE231" s="48"/>
      <c r="DF231" s="48"/>
      <c r="DG231" s="48"/>
      <c r="DH231" s="48"/>
      <c r="DI231" s="48"/>
      <c r="DJ231" s="48"/>
      <c r="DK231" s="48"/>
    </row>
    <row r="232" spans="1:115" s="5" customFormat="1" outlineLevel="1" x14ac:dyDescent="0.2">
      <c r="A232" s="205" t="s">
        <v>636</v>
      </c>
      <c r="B232" s="39"/>
      <c r="C232" s="565"/>
      <c r="D232" s="566"/>
      <c r="E232" s="566"/>
      <c r="F232" s="566"/>
      <c r="G232" s="584"/>
      <c r="H232" s="592"/>
      <c r="I232" s="565"/>
      <c r="J232" s="566"/>
      <c r="K232" s="566"/>
      <c r="L232" s="566"/>
      <c r="M232" s="584"/>
      <c r="N232" s="592"/>
      <c r="O232" s="565"/>
      <c r="P232" s="566"/>
      <c r="Q232" s="566"/>
      <c r="R232" s="566"/>
      <c r="S232" s="584"/>
      <c r="T232" s="591"/>
      <c r="U232" s="565"/>
      <c r="V232" s="566"/>
      <c r="W232" s="566"/>
      <c r="X232" s="566"/>
      <c r="Y232" s="584"/>
      <c r="Z232" s="593"/>
      <c r="AA232" s="909">
        <v>0.25</v>
      </c>
      <c r="AB232" s="910">
        <v>0.25</v>
      </c>
      <c r="AC232" s="910">
        <v>0.25</v>
      </c>
      <c r="AD232" s="910">
        <v>0.25</v>
      </c>
      <c r="AE232" s="584"/>
      <c r="AF232" s="592"/>
      <c r="AG232" s="909">
        <v>0.25</v>
      </c>
      <c r="AH232" s="910">
        <v>0.25</v>
      </c>
      <c r="AI232" s="910">
        <v>0.25</v>
      </c>
      <c r="AJ232" s="910">
        <v>0.25</v>
      </c>
      <c r="AK232" s="584"/>
      <c r="AL232" s="592"/>
      <c r="AM232" s="909">
        <v>0.25</v>
      </c>
      <c r="AN232" s="910">
        <v>0.25</v>
      </c>
      <c r="AO232" s="910">
        <v>0.25</v>
      </c>
      <c r="AP232" s="910">
        <v>0.25</v>
      </c>
      <c r="AQ232" s="584"/>
      <c r="AR232" s="592"/>
      <c r="AS232" s="909">
        <v>0.25</v>
      </c>
      <c r="AT232" s="910">
        <v>0.25</v>
      </c>
      <c r="AU232" s="910">
        <v>0.25</v>
      </c>
      <c r="AV232" s="910">
        <v>0.25</v>
      </c>
      <c r="AW232" s="584"/>
      <c r="AX232" s="592"/>
      <c r="AY232" s="909">
        <v>0.25</v>
      </c>
      <c r="AZ232" s="910">
        <v>0.25</v>
      </c>
      <c r="BA232" s="910">
        <v>0.25</v>
      </c>
      <c r="BB232" s="910">
        <v>0.25</v>
      </c>
      <c r="BC232" s="562">
        <f>+BB232</f>
        <v>0.25</v>
      </c>
      <c r="BD232" s="557"/>
      <c r="BE232" s="909">
        <v>0.25</v>
      </c>
      <c r="BF232" s="910">
        <v>0.25</v>
      </c>
      <c r="BG232" s="910">
        <v>0.25</v>
      </c>
      <c r="BH232" s="910">
        <v>0.25</v>
      </c>
      <c r="BI232" s="562">
        <f>+BH232</f>
        <v>0.25</v>
      </c>
      <c r="BJ232" s="629"/>
      <c r="BK232" s="909">
        <v>0.25</v>
      </c>
      <c r="BL232" s="910">
        <v>0.25</v>
      </c>
      <c r="BM232" s="910">
        <v>0.25</v>
      </c>
      <c r="BN232" s="910">
        <v>0.25</v>
      </c>
      <c r="BO232" s="562">
        <f>+BN232</f>
        <v>0.25</v>
      </c>
      <c r="BP232" s="557"/>
      <c r="BQ232" s="909">
        <v>0.25</v>
      </c>
      <c r="BR232" s="910">
        <v>0.25</v>
      </c>
      <c r="BS232" s="910">
        <v>0.25</v>
      </c>
      <c r="BT232" s="910">
        <v>0.25</v>
      </c>
      <c r="BU232" s="562">
        <f>+BT232</f>
        <v>0.25</v>
      </c>
      <c r="BV232" s="557"/>
      <c r="BW232" s="1308">
        <v>0.25</v>
      </c>
      <c r="BX232" s="1118">
        <v>0.25</v>
      </c>
      <c r="BY232" s="1118">
        <v>0.25</v>
      </c>
      <c r="BZ232" s="1118">
        <v>0.25</v>
      </c>
      <c r="CA232" s="562">
        <f>+BZ232</f>
        <v>0.25</v>
      </c>
      <c r="CB232" s="557"/>
      <c r="CC232" s="1308">
        <v>0.4</v>
      </c>
      <c r="CD232" s="1118">
        <v>0.4</v>
      </c>
      <c r="CE232" s="1118">
        <v>0.4</v>
      </c>
      <c r="CF232" s="1118">
        <v>0.4</v>
      </c>
      <c r="CG232" s="562">
        <f>+CF232</f>
        <v>0.4</v>
      </c>
      <c r="CH232" s="557"/>
      <c r="CI232" s="1308">
        <v>0.4</v>
      </c>
      <c r="CJ232" s="1118">
        <v>0.4</v>
      </c>
      <c r="CK232" s="1118">
        <v>0.4</v>
      </c>
      <c r="CL232" s="1118">
        <v>0.4</v>
      </c>
      <c r="CM232" s="562">
        <f>+CL232</f>
        <v>0.4</v>
      </c>
      <c r="CN232" s="557"/>
      <c r="CO232" s="1308">
        <v>0.4</v>
      </c>
      <c r="CP232" s="1118">
        <v>0.4</v>
      </c>
      <c r="CQ232" s="1118">
        <v>0.4</v>
      </c>
      <c r="CR232" s="1118">
        <v>0.4</v>
      </c>
      <c r="CS232" s="562">
        <f>+CR232</f>
        <v>0.4</v>
      </c>
      <c r="CT232" s="557"/>
      <c r="CU232" s="1308">
        <v>0.4</v>
      </c>
      <c r="CV232" s="1118">
        <v>0.4</v>
      </c>
      <c r="CW232" s="1118">
        <v>0.4</v>
      </c>
      <c r="CX232" s="1118">
        <v>0.4</v>
      </c>
      <c r="CY232" s="562">
        <f>+CX232</f>
        <v>0.4</v>
      </c>
      <c r="CZ232" s="48"/>
      <c r="DA232"/>
      <c r="DB232"/>
      <c r="DC232"/>
      <c r="DD232" s="48"/>
      <c r="DE232" s="48"/>
      <c r="DF232" s="48"/>
      <c r="DG232" s="48"/>
      <c r="DH232" s="48"/>
      <c r="DI232" s="48"/>
      <c r="DJ232" s="48"/>
      <c r="DK232" s="48"/>
    </row>
    <row r="233" spans="1:115" s="5" customFormat="1" outlineLevel="1" x14ac:dyDescent="0.2">
      <c r="A233" s="205" t="s">
        <v>637</v>
      </c>
      <c r="B233" s="39"/>
      <c r="C233" s="565"/>
      <c r="D233" s="566"/>
      <c r="E233" s="566"/>
      <c r="F233" s="566"/>
      <c r="G233" s="584"/>
      <c r="H233" s="592"/>
      <c r="I233" s="565"/>
      <c r="J233" s="566"/>
      <c r="K233" s="566"/>
      <c r="L233" s="566"/>
      <c r="M233" s="584"/>
      <c r="N233" s="592"/>
      <c r="O233" s="565"/>
      <c r="P233" s="566"/>
      <c r="Q233" s="566"/>
      <c r="R233" s="566"/>
      <c r="S233" s="584"/>
      <c r="T233" s="591"/>
      <c r="U233" s="565"/>
      <c r="V233" s="566"/>
      <c r="W233" s="566"/>
      <c r="X233" s="566"/>
      <c r="Y233" s="584"/>
      <c r="Z233" s="593"/>
      <c r="AA233" s="909">
        <v>0.25</v>
      </c>
      <c r="AB233" s="910">
        <v>0.25</v>
      </c>
      <c r="AC233" s="910">
        <v>0.25</v>
      </c>
      <c r="AD233" s="910">
        <v>0.25</v>
      </c>
      <c r="AE233" s="584"/>
      <c r="AF233" s="592"/>
      <c r="AG233" s="909">
        <v>0.25</v>
      </c>
      <c r="AH233" s="910">
        <v>0.25</v>
      </c>
      <c r="AI233" s="910">
        <v>0.25</v>
      </c>
      <c r="AJ233" s="910">
        <v>0.25</v>
      </c>
      <c r="AK233" s="584"/>
      <c r="AL233" s="592"/>
      <c r="AM233" s="909">
        <v>0.25</v>
      </c>
      <c r="AN233" s="910">
        <v>0.25</v>
      </c>
      <c r="AO233" s="910">
        <v>0.25</v>
      </c>
      <c r="AP233" s="910">
        <v>0.25</v>
      </c>
      <c r="AQ233" s="584"/>
      <c r="AR233" s="592"/>
      <c r="AS233" s="909">
        <v>0.25</v>
      </c>
      <c r="AT233" s="910">
        <v>0.25</v>
      </c>
      <c r="AU233" s="910">
        <v>0.25</v>
      </c>
      <c r="AV233" s="910">
        <v>0.25</v>
      </c>
      <c r="AW233" s="584"/>
      <c r="AX233" s="592"/>
      <c r="AY233" s="909">
        <v>0.25</v>
      </c>
      <c r="AZ233" s="910">
        <v>0.25</v>
      </c>
      <c r="BA233" s="910">
        <v>0.25</v>
      </c>
      <c r="BB233" s="910">
        <v>0.25</v>
      </c>
      <c r="BC233" s="562">
        <f>+BB233</f>
        <v>0.25</v>
      </c>
      <c r="BD233" s="557"/>
      <c r="BE233" s="909">
        <v>0.25</v>
      </c>
      <c r="BF233" s="910">
        <v>0.25</v>
      </c>
      <c r="BG233" s="910">
        <v>0.25</v>
      </c>
      <c r="BH233" s="910">
        <v>0.25</v>
      </c>
      <c r="BI233" s="562">
        <f>+BH233</f>
        <v>0.25</v>
      </c>
      <c r="BJ233" s="629"/>
      <c r="BK233" s="909">
        <v>0.25</v>
      </c>
      <c r="BL233" s="910">
        <v>0.25</v>
      </c>
      <c r="BM233" s="910">
        <v>0.25</v>
      </c>
      <c r="BN233" s="910">
        <v>0.25</v>
      </c>
      <c r="BO233" s="562">
        <f>+BN233</f>
        <v>0.25</v>
      </c>
      <c r="BP233" s="557"/>
      <c r="BQ233" s="909">
        <v>0.25</v>
      </c>
      <c r="BR233" s="910">
        <v>0.25</v>
      </c>
      <c r="BS233" s="910">
        <v>0.25</v>
      </c>
      <c r="BT233" s="910">
        <v>0.25</v>
      </c>
      <c r="BU233" s="562">
        <f>+BT233</f>
        <v>0.25</v>
      </c>
      <c r="BV233" s="557"/>
      <c r="BW233" s="1308">
        <v>0.25</v>
      </c>
      <c r="BX233" s="1118">
        <v>0.25</v>
      </c>
      <c r="BY233" s="1118">
        <v>0.25</v>
      </c>
      <c r="BZ233" s="1118">
        <v>0.25</v>
      </c>
      <c r="CA233" s="562">
        <f>+BZ233</f>
        <v>0.25</v>
      </c>
      <c r="CB233" s="557"/>
      <c r="CC233" s="1308">
        <v>0.2</v>
      </c>
      <c r="CD233" s="1118">
        <v>0.2</v>
      </c>
      <c r="CE233" s="1118">
        <v>0.2</v>
      </c>
      <c r="CF233" s="1118">
        <v>0.2</v>
      </c>
      <c r="CG233" s="562">
        <f>+CF233</f>
        <v>0.2</v>
      </c>
      <c r="CH233" s="557"/>
      <c r="CI233" s="1308">
        <v>0.2</v>
      </c>
      <c r="CJ233" s="1118">
        <v>0.2</v>
      </c>
      <c r="CK233" s="1118">
        <v>0.2</v>
      </c>
      <c r="CL233" s="1118">
        <v>0.2</v>
      </c>
      <c r="CM233" s="562">
        <f>+CL233</f>
        <v>0.2</v>
      </c>
      <c r="CN233" s="557"/>
      <c r="CO233" s="1308">
        <v>0.2</v>
      </c>
      <c r="CP233" s="1118">
        <v>0.2</v>
      </c>
      <c r="CQ233" s="1118">
        <v>0.2</v>
      </c>
      <c r="CR233" s="1118">
        <v>0.2</v>
      </c>
      <c r="CS233" s="562">
        <f>+CR233</f>
        <v>0.2</v>
      </c>
      <c r="CT233" s="557"/>
      <c r="CU233" s="1308">
        <v>0.2</v>
      </c>
      <c r="CV233" s="1118">
        <v>0.2</v>
      </c>
      <c r="CW233" s="1118">
        <v>0.2</v>
      </c>
      <c r="CX233" s="1118">
        <v>0.2</v>
      </c>
      <c r="CY233" s="562">
        <f>+CX233</f>
        <v>0.2</v>
      </c>
      <c r="CZ233" s="48"/>
      <c r="DA233"/>
      <c r="DB233"/>
      <c r="DC233"/>
      <c r="DD233" s="48"/>
      <c r="DE233" s="48"/>
      <c r="DF233" s="48"/>
      <c r="DG233" s="48"/>
      <c r="DH233" s="48"/>
      <c r="DI233" s="48"/>
      <c r="DJ233" s="48"/>
      <c r="DK233" s="48"/>
    </row>
    <row r="234" spans="1:115" s="5" customFormat="1" outlineLevel="1" x14ac:dyDescent="0.2">
      <c r="A234" s="205" t="s">
        <v>638</v>
      </c>
      <c r="B234" s="39"/>
      <c r="C234" s="565"/>
      <c r="D234" s="566"/>
      <c r="E234" s="566"/>
      <c r="F234" s="566"/>
      <c r="G234" s="584"/>
      <c r="H234" s="592"/>
      <c r="I234" s="565"/>
      <c r="J234" s="566"/>
      <c r="K234" s="566"/>
      <c r="L234" s="566"/>
      <c r="M234" s="584"/>
      <c r="N234" s="592"/>
      <c r="O234" s="565"/>
      <c r="P234" s="566"/>
      <c r="Q234" s="566"/>
      <c r="R234" s="566"/>
      <c r="S234" s="584"/>
      <c r="T234" s="591"/>
      <c r="U234" s="565"/>
      <c r="V234" s="566"/>
      <c r="W234" s="566"/>
      <c r="X234" s="566"/>
      <c r="Y234" s="584"/>
      <c r="Z234" s="593"/>
      <c r="AA234" s="909">
        <v>0.25</v>
      </c>
      <c r="AB234" s="910">
        <v>0.25</v>
      </c>
      <c r="AC234" s="910">
        <v>0.25</v>
      </c>
      <c r="AD234" s="910">
        <v>0.25</v>
      </c>
      <c r="AE234" s="584"/>
      <c r="AF234" s="592"/>
      <c r="AG234" s="909">
        <v>0.25</v>
      </c>
      <c r="AH234" s="910">
        <v>0.25</v>
      </c>
      <c r="AI234" s="910">
        <v>0.25</v>
      </c>
      <c r="AJ234" s="910">
        <v>0.25</v>
      </c>
      <c r="AK234" s="584"/>
      <c r="AL234" s="592"/>
      <c r="AM234" s="909">
        <v>0.25</v>
      </c>
      <c r="AN234" s="910">
        <v>0.25</v>
      </c>
      <c r="AO234" s="910">
        <v>0.25</v>
      </c>
      <c r="AP234" s="910">
        <v>0.25</v>
      </c>
      <c r="AQ234" s="584"/>
      <c r="AR234" s="592"/>
      <c r="AS234" s="909">
        <v>0.25</v>
      </c>
      <c r="AT234" s="910">
        <v>0.25</v>
      </c>
      <c r="AU234" s="910">
        <v>0.25</v>
      </c>
      <c r="AV234" s="910">
        <v>0.25</v>
      </c>
      <c r="AW234" s="584"/>
      <c r="AX234" s="592"/>
      <c r="AY234" s="909">
        <v>0.25</v>
      </c>
      <c r="AZ234" s="910">
        <v>0.25</v>
      </c>
      <c r="BA234" s="910">
        <v>0.25</v>
      </c>
      <c r="BB234" s="910">
        <v>0.25</v>
      </c>
      <c r="BC234" s="562">
        <f>+BB234</f>
        <v>0.25</v>
      </c>
      <c r="BD234" s="557"/>
      <c r="BE234" s="909">
        <v>0.25</v>
      </c>
      <c r="BF234" s="910">
        <v>0.25</v>
      </c>
      <c r="BG234" s="910">
        <v>0.25</v>
      </c>
      <c r="BH234" s="910">
        <v>0.25</v>
      </c>
      <c r="BI234" s="562">
        <f>+BH234</f>
        <v>0.25</v>
      </c>
      <c r="BJ234" s="629"/>
      <c r="BK234" s="909">
        <v>0.25</v>
      </c>
      <c r="BL234" s="910">
        <v>0.25</v>
      </c>
      <c r="BM234" s="910">
        <v>0.25</v>
      </c>
      <c r="BN234" s="910">
        <v>0.25</v>
      </c>
      <c r="BO234" s="562">
        <f>+BN234</f>
        <v>0.25</v>
      </c>
      <c r="BP234" s="557"/>
      <c r="BQ234" s="909">
        <v>0.25</v>
      </c>
      <c r="BR234" s="910">
        <v>0.25</v>
      </c>
      <c r="BS234" s="910">
        <v>0.25</v>
      </c>
      <c r="BT234" s="910">
        <v>0.25</v>
      </c>
      <c r="BU234" s="562">
        <f>+BT234</f>
        <v>0.25</v>
      </c>
      <c r="BV234" s="557"/>
      <c r="BW234" s="1308">
        <v>0.25</v>
      </c>
      <c r="BX234" s="1118">
        <v>0.25</v>
      </c>
      <c r="BY234" s="1118">
        <v>0.25</v>
      </c>
      <c r="BZ234" s="1118">
        <v>0.25</v>
      </c>
      <c r="CA234" s="562">
        <f>+BZ234</f>
        <v>0.25</v>
      </c>
      <c r="CB234" s="557"/>
      <c r="CC234" s="1308">
        <v>0</v>
      </c>
      <c r="CD234" s="1118">
        <v>0</v>
      </c>
      <c r="CE234" s="1118">
        <v>0</v>
      </c>
      <c r="CF234" s="1118">
        <v>0</v>
      </c>
      <c r="CG234" s="562">
        <f>+CF234</f>
        <v>0</v>
      </c>
      <c r="CH234" s="557"/>
      <c r="CI234" s="1308">
        <v>0</v>
      </c>
      <c r="CJ234" s="1118">
        <v>0</v>
      </c>
      <c r="CK234" s="1118">
        <v>0</v>
      </c>
      <c r="CL234" s="1118">
        <v>0</v>
      </c>
      <c r="CM234" s="562">
        <f>+CL234</f>
        <v>0</v>
      </c>
      <c r="CN234" s="557"/>
      <c r="CO234" s="1308">
        <v>0</v>
      </c>
      <c r="CP234" s="1118">
        <v>0</v>
      </c>
      <c r="CQ234" s="1118">
        <v>0</v>
      </c>
      <c r="CR234" s="1118">
        <v>0</v>
      </c>
      <c r="CS234" s="562">
        <f>+CR234</f>
        <v>0</v>
      </c>
      <c r="CT234" s="557"/>
      <c r="CU234" s="1308">
        <v>0</v>
      </c>
      <c r="CV234" s="1118">
        <v>0</v>
      </c>
      <c r="CW234" s="1118">
        <v>0</v>
      </c>
      <c r="CX234" s="1118">
        <v>0</v>
      </c>
      <c r="CY234" s="562">
        <f>+CX234</f>
        <v>0</v>
      </c>
      <c r="CZ234" s="48"/>
      <c r="DA234"/>
      <c r="DB234"/>
      <c r="DC234"/>
      <c r="DD234" s="48"/>
      <c r="DE234" s="48"/>
      <c r="DF234" s="48"/>
      <c r="DG234" s="48"/>
      <c r="DH234" s="48"/>
      <c r="DI234" s="48"/>
      <c r="DJ234" s="48"/>
      <c r="DK234" s="48"/>
    </row>
    <row r="235" spans="1:115" s="5" customFormat="1" x14ac:dyDescent="0.2">
      <c r="A235" s="354" t="s">
        <v>515</v>
      </c>
      <c r="B235" s="590"/>
      <c r="C235" s="581"/>
      <c r="D235" s="550"/>
      <c r="E235" s="550"/>
      <c r="F235" s="550"/>
      <c r="G235" s="580"/>
      <c r="H235" s="592"/>
      <c r="I235" s="581"/>
      <c r="J235" s="550"/>
      <c r="K235" s="550"/>
      <c r="L235" s="550"/>
      <c r="M235" s="580"/>
      <c r="N235" s="592"/>
      <c r="O235" s="581"/>
      <c r="P235" s="550"/>
      <c r="Q235" s="550"/>
      <c r="R235" s="550"/>
      <c r="S235" s="580"/>
      <c r="T235" s="591"/>
      <c r="U235" s="581"/>
      <c r="V235" s="550"/>
      <c r="W235" s="550"/>
      <c r="X235" s="550"/>
      <c r="Y235" s="580"/>
      <c r="Z235" s="593"/>
      <c r="AA235" s="581"/>
      <c r="AB235" s="550"/>
      <c r="AC235" s="550"/>
      <c r="AD235" s="550"/>
      <c r="AE235" s="580"/>
      <c r="AF235" s="592"/>
      <c r="AG235" s="581"/>
      <c r="AH235" s="550"/>
      <c r="AI235" s="550"/>
      <c r="AJ235" s="550"/>
      <c r="AK235" s="580"/>
      <c r="AL235" s="601"/>
      <c r="AM235" s="581"/>
      <c r="AN235" s="550"/>
      <c r="AO235" s="550"/>
      <c r="AP235" s="550"/>
      <c r="AQ235" s="580"/>
      <c r="AR235" s="601"/>
      <c r="AS235" s="581"/>
      <c r="AT235" s="550"/>
      <c r="AU235" s="550"/>
      <c r="AV235" s="550"/>
      <c r="AW235" s="580"/>
      <c r="AX235" s="592"/>
      <c r="AY235" s="581">
        <f>+BC235/4</f>
        <v>6.25</v>
      </c>
      <c r="AZ235" s="550">
        <f>+AY235</f>
        <v>6.25</v>
      </c>
      <c r="BA235" s="550">
        <f>+AZ235</f>
        <v>6.25</v>
      </c>
      <c r="BB235" s="550">
        <f>+BA235</f>
        <v>6.25</v>
      </c>
      <c r="BC235" s="1140">
        <v>25</v>
      </c>
      <c r="BD235" s="601"/>
      <c r="BE235" s="1217">
        <v>7</v>
      </c>
      <c r="BF235" s="550">
        <f>+BE235*1.1</f>
        <v>7.7000000000000011</v>
      </c>
      <c r="BG235" s="550">
        <f>+BF235*1.1</f>
        <v>8.4700000000000024</v>
      </c>
      <c r="BH235" s="550">
        <f>+BG235*1.2</f>
        <v>10.164000000000003</v>
      </c>
      <c r="BI235" s="580">
        <f>+SUM(BE235:BH235)</f>
        <v>33.334000000000003</v>
      </c>
      <c r="BJ235" s="601"/>
      <c r="BK235" s="656">
        <f>+BO235/4-1</f>
        <v>11.5</v>
      </c>
      <c r="BL235" s="654">
        <f>+BK235</f>
        <v>11.5</v>
      </c>
      <c r="BM235" s="654">
        <f>+BL235</f>
        <v>11.5</v>
      </c>
      <c r="BN235" s="654">
        <f>+BO235-BM235-BL235-BK235</f>
        <v>15.5</v>
      </c>
      <c r="BO235" s="1455">
        <v>50</v>
      </c>
      <c r="BP235" s="601"/>
      <c r="BQ235" s="581">
        <f>+BK235*(1+BQ236)</f>
        <v>12.319435285925392</v>
      </c>
      <c r="BR235" s="550">
        <f>+BL235*(1+BR236)</f>
        <v>12.252483193302684</v>
      </c>
      <c r="BS235" s="550">
        <f>+BM235*(1+BS236)</f>
        <v>12.201499999999999</v>
      </c>
      <c r="BT235" s="550">
        <f>+BN235*(1+BT236)</f>
        <v>16.848499999999998</v>
      </c>
      <c r="BU235" s="580">
        <f>SUM(BQ235:BT235)</f>
        <v>53.621918479228071</v>
      </c>
      <c r="BV235" s="601"/>
      <c r="BW235" s="581">
        <f>+BQ235*(1+BW236)</f>
        <v>13.918847482572696</v>
      </c>
      <c r="BX235" s="550">
        <f>+BR235*(1+BX236)</f>
        <v>13.904327311074798</v>
      </c>
      <c r="BY235" s="550">
        <f>+BS235*(1+BY236)</f>
        <v>13.930342827615313</v>
      </c>
      <c r="BZ235" s="550">
        <f>+BT235*(1+BZ236)</f>
        <v>18.865147002869438</v>
      </c>
      <c r="CA235" s="580">
        <f>SUM(BW235:BZ235)</f>
        <v>60.618664624132251</v>
      </c>
      <c r="CB235" s="601"/>
      <c r="CC235" s="581">
        <f>+BW235*(1+CC236)</f>
        <v>16.400157189170248</v>
      </c>
      <c r="CD235" s="550">
        <f>+BX235*(1+CD236)</f>
        <v>16.371441244162195</v>
      </c>
      <c r="CE235" s="550">
        <f>+BY235*(1+CE236)</f>
        <v>16.798962715376341</v>
      </c>
      <c r="CF235" s="550">
        <f>+BZ235*(1+CF236)</f>
        <v>23.081198399182647</v>
      </c>
      <c r="CG235" s="580">
        <f>SUM(CC235:CF235)</f>
        <v>72.65175954789143</v>
      </c>
      <c r="CH235" s="601"/>
      <c r="CI235" s="581">
        <f>+CC235*(1+CI236)</f>
        <v>20.500196486462809</v>
      </c>
      <c r="CJ235" s="550">
        <f>+CD235*(1+CJ236)</f>
        <v>20.382444348981934</v>
      </c>
      <c r="CK235" s="550">
        <f>+CE235*(1+CK236)</f>
        <v>20.57872932633602</v>
      </c>
      <c r="CL235" s="550">
        <f>+CF235*(1+CL236)</f>
        <v>28.159062047002827</v>
      </c>
      <c r="CM235" s="580">
        <f>SUM(CI235:CL235)</f>
        <v>89.620432208783598</v>
      </c>
      <c r="CN235" s="601"/>
      <c r="CO235" s="581">
        <f>+CI235*(1+CO236)</f>
        <v>24.190231854026113</v>
      </c>
      <c r="CP235" s="550">
        <f>+CJ235*(1+CP236)</f>
        <v>24.05128433179868</v>
      </c>
      <c r="CQ235" s="550">
        <f>+CK235*(1+CQ236)</f>
        <v>24.282900605076502</v>
      </c>
      <c r="CR235" s="550">
        <f>+CL235*(1+CR236)</f>
        <v>33.227693215463333</v>
      </c>
      <c r="CS235" s="580">
        <f>SUM(CO235:CR235)</f>
        <v>105.75211000636463</v>
      </c>
      <c r="CT235" s="601"/>
      <c r="CU235" s="581">
        <f>+CO235*(1+CU236)</f>
        <v>28.544473587750812</v>
      </c>
      <c r="CV235" s="550">
        <f>+CP235*(1+CV236)</f>
        <v>28.380515511522439</v>
      </c>
      <c r="CW235" s="550">
        <f>+CQ235*(1+CW236)</f>
        <v>28.653822713990273</v>
      </c>
      <c r="CX235" s="550">
        <f>+CR235*(1+CX236)</f>
        <v>39.208677994246727</v>
      </c>
      <c r="CY235" s="580">
        <f>SUM(CU235:CX235)</f>
        <v>124.78748980751024</v>
      </c>
      <c r="CZ235" s="48"/>
      <c r="DA235"/>
      <c r="DB235"/>
      <c r="DC235"/>
      <c r="DD235" s="48"/>
      <c r="DE235" s="48"/>
      <c r="DF235" s="48"/>
      <c r="DG235" s="48"/>
      <c r="DH235" s="48"/>
      <c r="DI235" s="48"/>
      <c r="DJ235" s="48"/>
      <c r="DK235" s="48"/>
    </row>
    <row r="236" spans="1:115" s="5" customFormat="1" x14ac:dyDescent="0.2">
      <c r="A236" s="205" t="s">
        <v>639</v>
      </c>
      <c r="B236" s="590"/>
      <c r="C236" s="1109"/>
      <c r="D236" s="1110"/>
      <c r="E236" s="1110"/>
      <c r="F236" s="1110"/>
      <c r="G236" s="707"/>
      <c r="H236" s="592"/>
      <c r="I236" s="1109"/>
      <c r="J236" s="1110"/>
      <c r="K236" s="1110"/>
      <c r="L236" s="1110"/>
      <c r="M236" s="707"/>
      <c r="N236" s="592"/>
      <c r="O236" s="1109"/>
      <c r="P236" s="1110"/>
      <c r="Q236" s="1110"/>
      <c r="R236" s="1110"/>
      <c r="S236" s="707"/>
      <c r="T236" s="591"/>
      <c r="U236" s="1109"/>
      <c r="V236" s="1110"/>
      <c r="W236" s="1110"/>
      <c r="X236" s="1110"/>
      <c r="Y236" s="707"/>
      <c r="Z236" s="593"/>
      <c r="AA236" s="1109"/>
      <c r="AB236" s="1110"/>
      <c r="AC236" s="1110"/>
      <c r="AD236" s="1110"/>
      <c r="AE236" s="707"/>
      <c r="AF236" s="592"/>
      <c r="AG236" s="1109"/>
      <c r="AH236" s="1110"/>
      <c r="AI236" s="1110"/>
      <c r="AJ236" s="1110"/>
      <c r="AK236" s="707"/>
      <c r="AL236" s="601"/>
      <c r="AM236" s="1109"/>
      <c r="AN236" s="1110"/>
      <c r="AO236" s="1110"/>
      <c r="AP236" s="1110"/>
      <c r="AQ236" s="707"/>
      <c r="AR236" s="601"/>
      <c r="AS236" s="1109"/>
      <c r="AT236" s="1110"/>
      <c r="AU236" s="1110"/>
      <c r="AV236" s="1110"/>
      <c r="AW236" s="707"/>
      <c r="AX236" s="592"/>
      <c r="AY236" s="1109"/>
      <c r="AZ236" s="1110"/>
      <c r="BA236" s="1110"/>
      <c r="BB236" s="1110"/>
      <c r="BC236" s="1106" t="s">
        <v>429</v>
      </c>
      <c r="BD236" s="601"/>
      <c r="BE236" s="1115">
        <f>+BE235/AY235-1</f>
        <v>0.12000000000000011</v>
      </c>
      <c r="BF236" s="1114">
        <f>+BF235/AZ235-1</f>
        <v>0.23200000000000021</v>
      </c>
      <c r="BG236" s="1114">
        <f>+BG235/BA235-1</f>
        <v>0.3552000000000004</v>
      </c>
      <c r="BH236" s="1114">
        <f>+BH235/BB235-1</f>
        <v>0.62624000000000057</v>
      </c>
      <c r="BI236" s="1261">
        <f>+BI235/BC235-1</f>
        <v>0.3333600000000001</v>
      </c>
      <c r="BJ236" s="601"/>
      <c r="BK236" s="1115">
        <f>+BK235/BE235-1</f>
        <v>0.64285714285714279</v>
      </c>
      <c r="BL236" s="1114">
        <f>+BL235/BF235-1</f>
        <v>0.49350649350649323</v>
      </c>
      <c r="BM236" s="1114">
        <f>+BM235/BG235-1</f>
        <v>0.35773317591499376</v>
      </c>
      <c r="BN236" s="1114">
        <f>+BN235/BH235-1</f>
        <v>0.52499016135379728</v>
      </c>
      <c r="BO236" s="1261">
        <f>+BO235/BI235-1</f>
        <v>0.49997000059998786</v>
      </c>
      <c r="BP236" s="601"/>
      <c r="BQ236" s="1109">
        <f>+BQ237+RevBuild!BQ$59</f>
        <v>7.1255242254382054E-2</v>
      </c>
      <c r="BR236" s="1110">
        <f>+BR237+RevBuild!BR$59</f>
        <v>6.5433321156754959E-2</v>
      </c>
      <c r="BS236" s="1110">
        <f>+BS237+RevBuild!BS$59</f>
        <v>6.0999999999999999E-2</v>
      </c>
      <c r="BT236" s="1110">
        <f>+BT237+RevBuild!BT$59</f>
        <v>8.6999999999999994E-2</v>
      </c>
      <c r="BU236" s="707">
        <f>+BU235/BO235-1</f>
        <v>7.2438369584561402E-2</v>
      </c>
      <c r="BV236" s="601"/>
      <c r="BW236" s="1109">
        <f>+BW237+RevBuild!BW$59</f>
        <v>0.12982836952555676</v>
      </c>
      <c r="BX236" s="1110">
        <f>+BX237+RevBuild!BX$59</f>
        <v>0.13481708905138726</v>
      </c>
      <c r="BY236" s="1110">
        <f>+BY237+RevBuild!BY$59</f>
        <v>0.1416910074675502</v>
      </c>
      <c r="BZ236" s="1110">
        <f>+BZ237+RevBuild!BZ$59</f>
        <v>0.11969296987087523</v>
      </c>
      <c r="CA236" s="707">
        <f>+CA235/BU235-1</f>
        <v>0.13048295069141469</v>
      </c>
      <c r="CB236" s="601"/>
      <c r="CC236" s="1109">
        <f>+CC237+RevBuild!CC$59</f>
        <v>0.17826976764450597</v>
      </c>
      <c r="CD236" s="1110">
        <f>+CD237+RevBuild!CD$59</f>
        <v>0.17743497242921913</v>
      </c>
      <c r="CE236" s="1110">
        <f>+CE237+RevBuild!CE$59</f>
        <v>0.20592600794248328</v>
      </c>
      <c r="CF236" s="1110">
        <f>+CF237+RevBuild!CF$59</f>
        <v>0.22348362277123723</v>
      </c>
      <c r="CG236" s="707">
        <f>+CG235/CA235-1</f>
        <v>0.1985047839369396</v>
      </c>
      <c r="CH236" s="601"/>
      <c r="CI236" s="1109">
        <f>+CI237+RevBuild!CI$59</f>
        <v>0.25</v>
      </c>
      <c r="CJ236" s="1110">
        <f>+CJ237+RevBuild!CJ$59</f>
        <v>0.245</v>
      </c>
      <c r="CK236" s="1110">
        <f>+CK237+RevBuild!CK$59</f>
        <v>0.22500000000000001</v>
      </c>
      <c r="CL236" s="1110">
        <f>+CL237+RevBuild!CL$59</f>
        <v>0.22</v>
      </c>
      <c r="CM236" s="707">
        <f>+CM235/CG235-1</f>
        <v>0.23356175771223486</v>
      </c>
      <c r="CN236" s="601"/>
      <c r="CO236" s="1109">
        <f>+CO237+RevBuild!CO$59</f>
        <v>0.18</v>
      </c>
      <c r="CP236" s="1110">
        <f>+CP237+RevBuild!CP$59</f>
        <v>0.18</v>
      </c>
      <c r="CQ236" s="1110">
        <f>+CQ237+RevBuild!CQ$59</f>
        <v>0.18</v>
      </c>
      <c r="CR236" s="1110">
        <f>+CR237+RevBuild!CR$59</f>
        <v>0.18</v>
      </c>
      <c r="CS236" s="707">
        <f>+CS235/CM235-1</f>
        <v>0.17999999999999994</v>
      </c>
      <c r="CT236" s="601"/>
      <c r="CU236" s="1109">
        <f>+CU237+RevBuild!CU$59</f>
        <v>0.18</v>
      </c>
      <c r="CV236" s="1110">
        <f>+CV237+RevBuild!CV$59</f>
        <v>0.18</v>
      </c>
      <c r="CW236" s="1110">
        <f>+CW237+RevBuild!CW$59</f>
        <v>0.18</v>
      </c>
      <c r="CX236" s="1110">
        <f>+CX237+RevBuild!CX$59</f>
        <v>0.18</v>
      </c>
      <c r="CY236" s="707">
        <f>+CY235/CS235-1</f>
        <v>0.17999999999999972</v>
      </c>
      <c r="CZ236" s="48"/>
      <c r="DA236"/>
      <c r="DB236"/>
      <c r="DC236"/>
      <c r="DD236" s="48"/>
      <c r="DE236" s="48"/>
      <c r="DF236" s="48"/>
      <c r="DG236" s="48"/>
      <c r="DH236" s="48"/>
      <c r="DI236" s="48"/>
      <c r="DJ236" s="48"/>
      <c r="DK236" s="48"/>
    </row>
    <row r="237" spans="1:115" s="5" customFormat="1" x14ac:dyDescent="0.2">
      <c r="A237" s="205" t="s">
        <v>227</v>
      </c>
      <c r="B237" s="39"/>
      <c r="C237" s="909"/>
      <c r="D237" s="910"/>
      <c r="E237" s="910"/>
      <c r="F237" s="910"/>
      <c r="G237" s="649"/>
      <c r="H237" s="39"/>
      <c r="I237" s="909"/>
      <c r="J237" s="910"/>
      <c r="K237" s="910"/>
      <c r="L237" s="910"/>
      <c r="M237" s="649"/>
      <c r="N237" s="39"/>
      <c r="O237" s="909"/>
      <c r="P237" s="910"/>
      <c r="Q237" s="910"/>
      <c r="R237" s="910"/>
      <c r="S237" s="649"/>
      <c r="T237" s="39"/>
      <c r="U237" s="909"/>
      <c r="V237" s="910"/>
      <c r="W237" s="910"/>
      <c r="X237" s="910"/>
      <c r="Y237" s="649"/>
      <c r="Z237" s="39"/>
      <c r="AA237" s="909"/>
      <c r="AB237" s="910"/>
      <c r="AC237" s="910"/>
      <c r="AD237" s="910"/>
      <c r="AE237" s="649"/>
      <c r="AF237" s="39"/>
      <c r="AG237" s="909"/>
      <c r="AH237" s="910"/>
      <c r="AI237" s="910"/>
      <c r="AJ237" s="910"/>
      <c r="AK237" s="649"/>
      <c r="AL237" s="39"/>
      <c r="AM237" s="909"/>
      <c r="AN237" s="910"/>
      <c r="AO237" s="910"/>
      <c r="AP237" s="910"/>
      <c r="AQ237" s="649"/>
      <c r="AR237" s="39"/>
      <c r="AS237" s="909"/>
      <c r="AT237" s="910"/>
      <c r="AU237" s="910"/>
      <c r="AV237" s="910"/>
      <c r="AW237" s="649"/>
      <c r="AX237" s="39"/>
      <c r="AY237" s="909"/>
      <c r="AZ237" s="910"/>
      <c r="BA237" s="910"/>
      <c r="BB237" s="910"/>
      <c r="BC237" s="1106" t="s">
        <v>429</v>
      </c>
      <c r="BD237" s="39"/>
      <c r="BE237" s="1109">
        <f>+BE236-RevBuild!BE$59</f>
        <v>0.1258654890662638</v>
      </c>
      <c r="BF237" s="1110">
        <f>+BF236-RevBuild!BF$59</f>
        <v>0.23205660567749439</v>
      </c>
      <c r="BG237" s="1110">
        <f>+BG236-RevBuild!BG$59</f>
        <v>0.36104388525382175</v>
      </c>
      <c r="BH237" s="1110">
        <f>+BH236-RevBuild!BH$59</f>
        <v>0.62991527385638291</v>
      </c>
      <c r="BI237" s="1259">
        <f>+BI236-RevBuild!BI$59</f>
        <v>0.34196516431026674</v>
      </c>
      <c r="BJ237" s="39"/>
      <c r="BK237" s="1109">
        <f>+BK236-RevBuild!BK$59</f>
        <v>0.647408886077951</v>
      </c>
      <c r="BL237" s="1110">
        <f>+BL236-RevBuild!BL$59</f>
        <v>0.48665302397942084</v>
      </c>
      <c r="BM237" s="1110">
        <f>+BM236-RevBuild!BM$59</f>
        <v>0.35775306405962132</v>
      </c>
      <c r="BN237" s="1110">
        <f>+BN236-RevBuild!BN$59</f>
        <v>0.57288556519013922</v>
      </c>
      <c r="BO237" s="1259">
        <f>+BO236-RevBuild!BO$59</f>
        <v>0.50950958467327712</v>
      </c>
      <c r="BP237" s="39"/>
      <c r="BQ237" s="909">
        <v>0.15</v>
      </c>
      <c r="BR237" s="910">
        <v>0.15</v>
      </c>
      <c r="BS237" s="910">
        <v>0.15</v>
      </c>
      <c r="BT237" s="910">
        <v>0.15</v>
      </c>
      <c r="BU237" s="1259">
        <f>+BU236-RevBuild!BU$59</f>
        <v>0.15268836958456128</v>
      </c>
      <c r="BV237" s="39"/>
      <c r="BW237" s="909">
        <v>0.15</v>
      </c>
      <c r="BX237" s="910">
        <v>0.15</v>
      </c>
      <c r="BY237" s="910">
        <v>0.15</v>
      </c>
      <c r="BZ237" s="910">
        <v>0.15</v>
      </c>
      <c r="CA237" s="1259">
        <f>+CA236-RevBuild!CA$59</f>
        <v>0.14919403193576591</v>
      </c>
      <c r="CB237" s="39"/>
      <c r="CC237" s="909">
        <v>0.2</v>
      </c>
      <c r="CD237" s="910">
        <v>0.2</v>
      </c>
      <c r="CE237" s="910">
        <v>0.2</v>
      </c>
      <c r="CF237" s="910">
        <v>0.2</v>
      </c>
      <c r="CG237" s="1259">
        <f>+CG236-RevBuild!CG$59</f>
        <v>0.20222619124007821</v>
      </c>
      <c r="CH237" s="39"/>
      <c r="CI237" s="909">
        <v>0.2</v>
      </c>
      <c r="CJ237" s="910">
        <v>0.2</v>
      </c>
      <c r="CK237" s="910">
        <v>0.2</v>
      </c>
      <c r="CL237" s="910">
        <v>0.2</v>
      </c>
      <c r="CM237" s="1259">
        <f>+CM236-RevBuild!CM$59</f>
        <v>0.19856175771223486</v>
      </c>
      <c r="CN237" s="39"/>
      <c r="CO237" s="909">
        <v>0.18</v>
      </c>
      <c r="CP237" s="910">
        <f>+CO237</f>
        <v>0.18</v>
      </c>
      <c r="CQ237" s="910">
        <f>+CP237</f>
        <v>0.18</v>
      </c>
      <c r="CR237" s="910">
        <f>+CQ237</f>
        <v>0.18</v>
      </c>
      <c r="CS237" s="1259">
        <f>+CS236-RevBuild!CS$59</f>
        <v>0.17999999999999994</v>
      </c>
      <c r="CT237" s="39"/>
      <c r="CU237" s="909">
        <v>0.18</v>
      </c>
      <c r="CV237" s="910">
        <f>+CU237</f>
        <v>0.18</v>
      </c>
      <c r="CW237" s="910">
        <f>+CV237</f>
        <v>0.18</v>
      </c>
      <c r="CX237" s="910">
        <f>+CW237</f>
        <v>0.18</v>
      </c>
      <c r="CY237" s="1259">
        <f>+CY236-RevBuild!CY$59</f>
        <v>0.17999999999999972</v>
      </c>
      <c r="CZ237" s="48"/>
      <c r="DA237"/>
      <c r="DB237"/>
      <c r="DC237"/>
      <c r="DD237" s="48"/>
      <c r="DE237" s="48"/>
      <c r="DF237" s="48"/>
      <c r="DG237" s="48"/>
      <c r="DH237" s="48"/>
      <c r="DI237" s="48"/>
      <c r="DJ237" s="48"/>
      <c r="DK237" s="48"/>
    </row>
    <row r="238" spans="1:115" s="5" customFormat="1" x14ac:dyDescent="0.2">
      <c r="A238" s="354" t="s">
        <v>559</v>
      </c>
      <c r="B238" s="48"/>
      <c r="C238" s="1128"/>
      <c r="D238" s="1129"/>
      <c r="E238" s="1129"/>
      <c r="F238" s="1129"/>
      <c r="G238" s="1463"/>
      <c r="H238" s="48"/>
      <c r="I238" s="1128"/>
      <c r="J238" s="1129"/>
      <c r="K238" s="1129"/>
      <c r="L238" s="1129"/>
      <c r="M238" s="1463"/>
      <c r="N238" s="48"/>
      <c r="O238" s="1128"/>
      <c r="P238" s="1129"/>
      <c r="Q238" s="1129"/>
      <c r="R238" s="1129"/>
      <c r="S238" s="1463"/>
      <c r="T238" s="48"/>
      <c r="U238" s="1128"/>
      <c r="V238" s="1129"/>
      <c r="W238" s="1129"/>
      <c r="X238" s="1129"/>
      <c r="Y238" s="1463"/>
      <c r="Z238" s="48"/>
      <c r="AA238" s="1128"/>
      <c r="AB238" s="1129"/>
      <c r="AC238" s="1129"/>
      <c r="AD238" s="1129"/>
      <c r="AE238" s="1463"/>
      <c r="AF238" s="48"/>
      <c r="AG238" s="1128"/>
      <c r="AH238" s="1129"/>
      <c r="AI238" s="1129"/>
      <c r="AJ238" s="1129"/>
      <c r="AK238" s="1463"/>
      <c r="AL238" s="48"/>
      <c r="AM238" s="1128"/>
      <c r="AN238" s="1129"/>
      <c r="AO238" s="1129"/>
      <c r="AP238" s="1129"/>
      <c r="AQ238" s="1463"/>
      <c r="AR238" s="48"/>
      <c r="AS238" s="565"/>
      <c r="AT238" s="970"/>
      <c r="AU238" s="970"/>
      <c r="AV238" s="970"/>
      <c r="AW238" s="708"/>
      <c r="AX238" s="48"/>
      <c r="AY238" s="565"/>
      <c r="AZ238" s="970"/>
      <c r="BA238" s="970"/>
      <c r="BB238" s="970"/>
      <c r="BC238" s="962">
        <f>+SUM(AY238:BB238)</f>
        <v>0</v>
      </c>
      <c r="BD238" s="48"/>
      <c r="BE238" s="851">
        <v>0</v>
      </c>
      <c r="BF238" s="601">
        <v>0</v>
      </c>
      <c r="BG238" s="601">
        <v>0</v>
      </c>
      <c r="BH238" s="601">
        <v>0</v>
      </c>
      <c r="BI238" s="962">
        <f>+SUM(BE238:BH238)</f>
        <v>0</v>
      </c>
      <c r="BJ238" s="58"/>
      <c r="BK238" s="851">
        <v>0</v>
      </c>
      <c r="BL238" s="601">
        <v>0</v>
      </c>
      <c r="BM238" s="601">
        <v>0</v>
      </c>
      <c r="BN238" s="601">
        <v>0</v>
      </c>
      <c r="BO238" s="962">
        <f>+SUM(BK238:BN238)</f>
        <v>0</v>
      </c>
      <c r="BP238" s="48"/>
      <c r="BQ238" s="851">
        <f>0.01*RevBuild!BK17*(1+RevBuild!BQ59)</f>
        <v>2.9238154000000001</v>
      </c>
      <c r="BR238" s="601">
        <f>+(0.018*RevBuild!BL17)*(1+RevBuild!BR59)</f>
        <v>5.4580569659999991</v>
      </c>
      <c r="BS238" s="601">
        <v>5</v>
      </c>
      <c r="BT238" s="601">
        <f>+(0.02*RevBuild!BN17)-1</f>
        <v>6.2161999999999988</v>
      </c>
      <c r="BU238" s="962">
        <f>+BT238+BS238+BR238+BQ238</f>
        <v>19.598072365999997</v>
      </c>
      <c r="BV238" s="48"/>
      <c r="BW238" s="581">
        <f>+BQ238*(1+BW239)</f>
        <v>5.7886526761757136</v>
      </c>
      <c r="BX238" s="550">
        <f>+BR238*(1+BX239)</f>
        <v>6.4667991663327662</v>
      </c>
      <c r="BY238" s="550">
        <f>+BS238*(1+BY239)</f>
        <v>5.9584550373377514</v>
      </c>
      <c r="BZ238" s="550">
        <f>+BT238*(1+BZ239)</f>
        <v>6.5891719999999987</v>
      </c>
      <c r="CA238" s="580">
        <f>SUM(BW238:BZ238)</f>
        <v>24.803078879846229</v>
      </c>
      <c r="CB238" s="48"/>
      <c r="CC238" s="581">
        <f>+BW238*(1+CC239)</f>
        <v>6.5311618099235194</v>
      </c>
      <c r="CD238" s="550">
        <f>+BX238*(1+CD239)</f>
        <v>7.2908955397996795</v>
      </c>
      <c r="CE238" s="550">
        <f>+BY238*(1+CE239)</f>
        <v>6.8875331448146078</v>
      </c>
      <c r="CF238" s="550">
        <f>+BZ238*(1+CF239)</f>
        <v>7.7322854296227979</v>
      </c>
      <c r="CG238" s="580">
        <f>SUM(CC238:CF238)</f>
        <v>28.441875924160605</v>
      </c>
      <c r="CH238" s="48"/>
      <c r="CI238" s="581">
        <f>+CC238*(1+CI239)</f>
        <v>8.1639522624043988</v>
      </c>
      <c r="CJ238" s="550">
        <f>+CD238*(1+CJ239)</f>
        <v>9.0771649470506013</v>
      </c>
      <c r="CK238" s="550">
        <f>+CE238*(1+CK239)</f>
        <v>8.4372281023978957</v>
      </c>
      <c r="CL238" s="550">
        <f>+CF238*(1+CL239)</f>
        <v>9.4333882241398133</v>
      </c>
      <c r="CM238" s="580">
        <f>SUM(CI238:CL238)</f>
        <v>35.111733535992705</v>
      </c>
      <c r="CN238" s="48"/>
      <c r="CO238" s="581">
        <f>+CI238*(1+CO239)</f>
        <v>9.7967427148852781</v>
      </c>
      <c r="CP238" s="550">
        <f>+CJ238*(1+CP239)</f>
        <v>10.892597936460721</v>
      </c>
      <c r="CQ238" s="550">
        <f>+CK238*(1+CQ239)</f>
        <v>10.124673722877475</v>
      </c>
      <c r="CR238" s="550">
        <f>+CL238*(1+CR239)</f>
        <v>11.320065868967776</v>
      </c>
      <c r="CS238" s="580">
        <f>SUM(CO238:CR238)</f>
        <v>42.134080243191249</v>
      </c>
      <c r="CT238" s="48"/>
      <c r="CU238" s="581">
        <f>+CO238*(1+CU239)</f>
        <v>11.756091257862334</v>
      </c>
      <c r="CV238" s="550">
        <f>+CP238*(1+CV239)</f>
        <v>13.071117523752864</v>
      </c>
      <c r="CW238" s="550">
        <f>+CQ238*(1+CW239)</f>
        <v>12.149608467452969</v>
      </c>
      <c r="CX238" s="550">
        <f>+CR238*(1+CX239)</f>
        <v>13.58407904276133</v>
      </c>
      <c r="CY238" s="580">
        <f>SUM(CU238:CX238)</f>
        <v>50.560896291829501</v>
      </c>
      <c r="CZ238" s="48"/>
      <c r="DA238"/>
      <c r="DB238"/>
      <c r="DC238"/>
      <c r="DD238" s="48"/>
      <c r="DE238" s="48"/>
      <c r="DF238" s="48"/>
      <c r="DG238" s="48"/>
      <c r="DH238" s="48"/>
      <c r="DI238" s="48"/>
      <c r="DJ238" s="48"/>
      <c r="DK238" s="48"/>
    </row>
    <row r="239" spans="1:115" s="5" customFormat="1" x14ac:dyDescent="0.2">
      <c r="A239" s="205" t="s">
        <v>639</v>
      </c>
      <c r="B239" s="48"/>
      <c r="C239" s="1128"/>
      <c r="D239" s="1129"/>
      <c r="E239" s="1129"/>
      <c r="F239" s="1129"/>
      <c r="G239" s="1463"/>
      <c r="H239" s="48"/>
      <c r="I239" s="1128"/>
      <c r="J239" s="1129"/>
      <c r="K239" s="1129"/>
      <c r="L239" s="1129"/>
      <c r="M239" s="1463"/>
      <c r="N239" s="48"/>
      <c r="O239" s="1128"/>
      <c r="P239" s="1129"/>
      <c r="Q239" s="1129"/>
      <c r="R239" s="1129"/>
      <c r="S239" s="1463"/>
      <c r="T239" s="48"/>
      <c r="U239" s="1128"/>
      <c r="V239" s="1129"/>
      <c r="W239" s="1129"/>
      <c r="X239" s="1129"/>
      <c r="Y239" s="1463"/>
      <c r="Z239" s="48"/>
      <c r="AA239" s="1128"/>
      <c r="AB239" s="1129"/>
      <c r="AC239" s="1129"/>
      <c r="AD239" s="1129"/>
      <c r="AE239" s="1463"/>
      <c r="AF239" s="48"/>
      <c r="AG239" s="1128"/>
      <c r="AH239" s="1129"/>
      <c r="AI239" s="1129"/>
      <c r="AJ239" s="1129"/>
      <c r="AK239" s="1463"/>
      <c r="AL239" s="48"/>
      <c r="AM239" s="1128"/>
      <c r="AN239" s="1129"/>
      <c r="AO239" s="1129"/>
      <c r="AP239" s="1129"/>
      <c r="AQ239" s="1463"/>
      <c r="AR239" s="48"/>
      <c r="AS239" s="565"/>
      <c r="AT239" s="970"/>
      <c r="AU239" s="970"/>
      <c r="AV239" s="970"/>
      <c r="AW239" s="708"/>
      <c r="AX239" s="48"/>
      <c r="AY239" s="565"/>
      <c r="AZ239" s="970"/>
      <c r="BA239" s="970"/>
      <c r="BB239" s="970"/>
      <c r="BC239" s="1106" t="s">
        <v>429</v>
      </c>
      <c r="BD239" s="48"/>
      <c r="BE239" s="1109" t="s">
        <v>429</v>
      </c>
      <c r="BF239" s="1110" t="s">
        <v>429</v>
      </c>
      <c r="BG239" s="1110" t="s">
        <v>429</v>
      </c>
      <c r="BH239" s="1110" t="s">
        <v>429</v>
      </c>
      <c r="BI239" s="1106" t="s">
        <v>429</v>
      </c>
      <c r="BJ239" s="48"/>
      <c r="BK239" s="1109" t="s">
        <v>429</v>
      </c>
      <c r="BL239" s="1110" t="s">
        <v>429</v>
      </c>
      <c r="BM239" s="1110" t="s">
        <v>429</v>
      </c>
      <c r="BN239" s="1110" t="s">
        <v>429</v>
      </c>
      <c r="BO239" s="1106" t="s">
        <v>429</v>
      </c>
      <c r="BP239" s="48"/>
      <c r="BQ239" s="1109" t="s">
        <v>429</v>
      </c>
      <c r="BR239" s="1110" t="s">
        <v>429</v>
      </c>
      <c r="BS239" s="1110" t="s">
        <v>429</v>
      </c>
      <c r="BT239" s="1110" t="s">
        <v>429</v>
      </c>
      <c r="BU239" s="1106" t="s">
        <v>429</v>
      </c>
      <c r="BV239" s="48"/>
      <c r="BW239" s="1109">
        <f>+BW240+RevBuild!BW$59</f>
        <v>0.97982836952555674</v>
      </c>
      <c r="BX239" s="1110">
        <f>+BX240+RevBuild!BX$59</f>
        <v>0.18481708905138727</v>
      </c>
      <c r="BY239" s="1110">
        <f>+BY240+RevBuild!BY$59</f>
        <v>0.19169100746755019</v>
      </c>
      <c r="BZ239" s="1110">
        <v>0.06</v>
      </c>
      <c r="CA239" s="707">
        <f>+CA238/BU238-1</f>
        <v>0.26558767702461461</v>
      </c>
      <c r="CB239" s="48"/>
      <c r="CC239" s="1109">
        <f>+CC240+RevBuild!CC$59</f>
        <v>0.12826976764450596</v>
      </c>
      <c r="CD239" s="1110">
        <f>+CD240+RevBuild!CD$59</f>
        <v>0.12743497242921911</v>
      </c>
      <c r="CE239" s="1110">
        <f>+CE240+RevBuild!CE$59</f>
        <v>0.15592600794248326</v>
      </c>
      <c r="CF239" s="1110">
        <f>+CF240+RevBuild!CF$59</f>
        <v>0.17348362277123722</v>
      </c>
      <c r="CG239" s="707">
        <f>+CG238/CA238-1</f>
        <v>0.14670747377540638</v>
      </c>
      <c r="CH239" s="48"/>
      <c r="CI239" s="1109">
        <f>+CI240+RevBuild!CI$59</f>
        <v>0.25</v>
      </c>
      <c r="CJ239" s="1110">
        <f>+CJ240+RevBuild!CJ$59</f>
        <v>0.245</v>
      </c>
      <c r="CK239" s="1110">
        <f>+CK240+RevBuild!CK$59</f>
        <v>0.22500000000000001</v>
      </c>
      <c r="CL239" s="1110">
        <f>+CL240+RevBuild!CL$59</f>
        <v>0.22</v>
      </c>
      <c r="CM239" s="707">
        <f>+CM238/CG238-1</f>
        <v>0.23450835766308353</v>
      </c>
      <c r="CN239" s="48"/>
      <c r="CO239" s="1109">
        <f>+CO240+RevBuild!CO$59</f>
        <v>0.2</v>
      </c>
      <c r="CP239" s="1110">
        <f>+CP240+RevBuild!CP$59</f>
        <v>0.2</v>
      </c>
      <c r="CQ239" s="1110">
        <f>+CQ240+RevBuild!CQ$59</f>
        <v>0.2</v>
      </c>
      <c r="CR239" s="1110">
        <f>+CR240+RevBuild!CR$59</f>
        <v>0.2</v>
      </c>
      <c r="CS239" s="707">
        <f>+CS238/CM238-1</f>
        <v>0.20000000000000018</v>
      </c>
      <c r="CT239" s="48"/>
      <c r="CU239" s="1109">
        <f>+CU240+RevBuild!CU$59</f>
        <v>0.2</v>
      </c>
      <c r="CV239" s="1110">
        <f>+CV240+RevBuild!CV$59</f>
        <v>0.2</v>
      </c>
      <c r="CW239" s="1110">
        <f>+CW240+RevBuild!CW$59</f>
        <v>0.2</v>
      </c>
      <c r="CX239" s="1110">
        <f>+CX240+RevBuild!CX$59</f>
        <v>0.2</v>
      </c>
      <c r="CY239" s="707">
        <f>+CY238/CS238-1</f>
        <v>0.19999999999999996</v>
      </c>
      <c r="CZ239" s="48"/>
      <c r="DA239"/>
      <c r="DB239"/>
      <c r="DC239"/>
      <c r="DD239" s="48"/>
      <c r="DE239" s="48"/>
      <c r="DF239" s="48"/>
      <c r="DG239" s="48"/>
      <c r="DH239" s="48"/>
      <c r="DI239" s="48"/>
      <c r="DJ239" s="48"/>
      <c r="DK239" s="48"/>
    </row>
    <row r="240" spans="1:115" s="5" customFormat="1" x14ac:dyDescent="0.2">
      <c r="A240" s="205" t="s">
        <v>227</v>
      </c>
      <c r="B240" s="48"/>
      <c r="C240" s="1128"/>
      <c r="D240" s="1129"/>
      <c r="E240" s="1129"/>
      <c r="F240" s="1129"/>
      <c r="G240" s="1463"/>
      <c r="H240" s="48"/>
      <c r="I240" s="1128"/>
      <c r="J240" s="1129"/>
      <c r="K240" s="1129"/>
      <c r="L240" s="1129"/>
      <c r="M240" s="1463"/>
      <c r="N240" s="48"/>
      <c r="O240" s="1128"/>
      <c r="P240" s="1129"/>
      <c r="Q240" s="1129"/>
      <c r="R240" s="1129"/>
      <c r="S240" s="1463"/>
      <c r="T240" s="48"/>
      <c r="U240" s="1128"/>
      <c r="V240" s="1129"/>
      <c r="W240" s="1129"/>
      <c r="X240" s="1129"/>
      <c r="Y240" s="1463"/>
      <c r="Z240" s="48"/>
      <c r="AA240" s="1128"/>
      <c r="AB240" s="1129"/>
      <c r="AC240" s="1129"/>
      <c r="AD240" s="1129"/>
      <c r="AE240" s="1463"/>
      <c r="AF240" s="48"/>
      <c r="AG240" s="1128"/>
      <c r="AH240" s="1129"/>
      <c r="AI240" s="1129"/>
      <c r="AJ240" s="1129"/>
      <c r="AK240" s="1463"/>
      <c r="AL240" s="48"/>
      <c r="AM240" s="1128"/>
      <c r="AN240" s="1129"/>
      <c r="AO240" s="1129"/>
      <c r="AP240" s="1129"/>
      <c r="AQ240" s="1463"/>
      <c r="AR240" s="48"/>
      <c r="AS240" s="565"/>
      <c r="AT240" s="970"/>
      <c r="AU240" s="970"/>
      <c r="AV240" s="970"/>
      <c r="AW240" s="708"/>
      <c r="AX240" s="48"/>
      <c r="AY240" s="565"/>
      <c r="AZ240" s="970"/>
      <c r="BA240" s="970"/>
      <c r="BB240" s="970"/>
      <c r="BC240" s="1106" t="s">
        <v>429</v>
      </c>
      <c r="BD240" s="968"/>
      <c r="BE240" s="1102" t="s">
        <v>429</v>
      </c>
      <c r="BF240" s="1102" t="s">
        <v>429</v>
      </c>
      <c r="BG240" s="1102" t="s">
        <v>429</v>
      </c>
      <c r="BH240" s="1102" t="s">
        <v>429</v>
      </c>
      <c r="BI240" s="1106" t="s">
        <v>429</v>
      </c>
      <c r="BJ240" s="968"/>
      <c r="BK240" s="1102" t="s">
        <v>429</v>
      </c>
      <c r="BL240" s="1102" t="s">
        <v>429</v>
      </c>
      <c r="BM240" s="1102" t="s">
        <v>429</v>
      </c>
      <c r="BN240" s="1102" t="s">
        <v>429</v>
      </c>
      <c r="BO240" s="1106" t="s">
        <v>429</v>
      </c>
      <c r="BP240" s="968"/>
      <c r="BQ240" s="1102" t="s">
        <v>429</v>
      </c>
      <c r="BR240" s="1102" t="s">
        <v>429</v>
      </c>
      <c r="BS240" s="1102" t="s">
        <v>429</v>
      </c>
      <c r="BT240" s="1102" t="s">
        <v>429</v>
      </c>
      <c r="BU240" s="1106" t="s">
        <v>429</v>
      </c>
      <c r="BV240" s="968"/>
      <c r="BW240" s="909">
        <v>1</v>
      </c>
      <c r="BX240" s="910">
        <v>0.2</v>
      </c>
      <c r="BY240" s="910">
        <v>0.2</v>
      </c>
      <c r="BZ240" s="910">
        <v>0.08</v>
      </c>
      <c r="CA240" s="1259">
        <f>+CA239-RevBuild!CA$59</f>
        <v>0.28429875826896583</v>
      </c>
      <c r="CB240" s="968"/>
      <c r="CC240" s="909">
        <v>0.15</v>
      </c>
      <c r="CD240" s="910">
        <v>0.15</v>
      </c>
      <c r="CE240" s="910">
        <v>0.15</v>
      </c>
      <c r="CF240" s="910">
        <v>0.15</v>
      </c>
      <c r="CG240" s="1259">
        <f>+CG239-RevBuild!CG$59</f>
        <v>0.15042888107854499</v>
      </c>
      <c r="CH240" s="968"/>
      <c r="CI240" s="909">
        <v>0.2</v>
      </c>
      <c r="CJ240" s="910">
        <v>0.2</v>
      </c>
      <c r="CK240" s="910">
        <v>0.2</v>
      </c>
      <c r="CL240" s="910">
        <v>0.2</v>
      </c>
      <c r="CM240" s="1259">
        <f>+CM239-RevBuild!CM$59</f>
        <v>0.19950835766308353</v>
      </c>
      <c r="CN240" s="968"/>
      <c r="CO240" s="909">
        <v>0.2</v>
      </c>
      <c r="CP240" s="910">
        <f>+CO240</f>
        <v>0.2</v>
      </c>
      <c r="CQ240" s="910">
        <f>+CP240</f>
        <v>0.2</v>
      </c>
      <c r="CR240" s="910">
        <f>+CQ240</f>
        <v>0.2</v>
      </c>
      <c r="CS240" s="1259">
        <f>+CS239-RevBuild!CS$59</f>
        <v>0.20000000000000018</v>
      </c>
      <c r="CT240" s="968"/>
      <c r="CU240" s="909">
        <v>0.2</v>
      </c>
      <c r="CV240" s="910">
        <f>+CU240</f>
        <v>0.2</v>
      </c>
      <c r="CW240" s="910">
        <f>+CV240</f>
        <v>0.2</v>
      </c>
      <c r="CX240" s="910">
        <f>+CW240</f>
        <v>0.2</v>
      </c>
      <c r="CY240" s="1259">
        <f>+CY239-RevBuild!CY$59</f>
        <v>0.19999999999999996</v>
      </c>
      <c r="CZ240" s="48"/>
      <c r="DA240"/>
      <c r="DB240"/>
      <c r="DC240"/>
      <c r="DD240" s="48"/>
      <c r="DE240" s="48"/>
      <c r="DF240" s="48"/>
      <c r="DG240" s="48"/>
      <c r="DH240" s="48"/>
      <c r="DI240" s="48"/>
      <c r="DJ240" s="48"/>
      <c r="DK240" s="48"/>
    </row>
    <row r="241" spans="1:115" s="5" customFormat="1" x14ac:dyDescent="0.2">
      <c r="A241" s="432" t="s">
        <v>433</v>
      </c>
      <c r="B241" s="48"/>
      <c r="C241" s="1128"/>
      <c r="D241" s="1129"/>
      <c r="E241" s="1129"/>
      <c r="F241" s="1129"/>
      <c r="G241" s="1463">
        <v>0</v>
      </c>
      <c r="H241" s="48"/>
      <c r="I241" s="1128"/>
      <c r="J241" s="1129"/>
      <c r="K241" s="1129"/>
      <c r="L241" s="1129"/>
      <c r="M241" s="1463">
        <v>0</v>
      </c>
      <c r="N241" s="48"/>
      <c r="O241" s="1128"/>
      <c r="P241" s="1129"/>
      <c r="Q241" s="1129"/>
      <c r="R241" s="1129"/>
      <c r="S241" s="1463">
        <v>0</v>
      </c>
      <c r="T241" s="48"/>
      <c r="U241" s="1128"/>
      <c r="V241" s="1129"/>
      <c r="W241" s="1129"/>
      <c r="X241" s="1129"/>
      <c r="Y241" s="1463">
        <v>0</v>
      </c>
      <c r="Z241" s="48"/>
      <c r="AA241" s="1128"/>
      <c r="AB241" s="1129"/>
      <c r="AC241" s="1129"/>
      <c r="AD241" s="1129"/>
      <c r="AE241" s="1463">
        <v>0</v>
      </c>
      <c r="AF241" s="48"/>
      <c r="AG241" s="1128"/>
      <c r="AH241" s="1129"/>
      <c r="AI241" s="1129"/>
      <c r="AJ241" s="1129"/>
      <c r="AK241" s="1463">
        <v>0</v>
      </c>
      <c r="AL241" s="48"/>
      <c r="AM241" s="1128"/>
      <c r="AN241" s="1129"/>
      <c r="AO241" s="1129"/>
      <c r="AP241" s="1129"/>
      <c r="AQ241" s="1463">
        <v>0</v>
      </c>
      <c r="AR241" s="48"/>
      <c r="AS241" s="1133">
        <v>0</v>
      </c>
      <c r="AT241" s="1130">
        <v>0</v>
      </c>
      <c r="AU241" s="1130">
        <v>0</v>
      </c>
      <c r="AV241" s="1130">
        <v>0</v>
      </c>
      <c r="AW241" s="1463">
        <v>0</v>
      </c>
      <c r="AX241" s="48"/>
      <c r="AY241" s="1133">
        <v>0</v>
      </c>
      <c r="AZ241" s="1130">
        <v>0</v>
      </c>
      <c r="BA241" s="1130">
        <v>0</v>
      </c>
      <c r="BB241" s="1130">
        <v>0</v>
      </c>
      <c r="BC241" s="1456">
        <f>+BB241</f>
        <v>0</v>
      </c>
      <c r="BD241" s="48"/>
      <c r="BE241" s="1133">
        <v>0</v>
      </c>
      <c r="BF241" s="1130">
        <v>0</v>
      </c>
      <c r="BG241" s="1130">
        <v>0</v>
      </c>
      <c r="BH241" s="1130">
        <v>0</v>
      </c>
      <c r="BI241" s="1456">
        <f>+BH241</f>
        <v>0</v>
      </c>
      <c r="BJ241" s="48"/>
      <c r="BK241" s="1133">
        <v>0</v>
      </c>
      <c r="BL241" s="1130">
        <v>0</v>
      </c>
      <c r="BM241" s="1130">
        <v>0</v>
      </c>
      <c r="BN241" s="1130">
        <v>0</v>
      </c>
      <c r="BO241" s="1456">
        <f>+BN241</f>
        <v>0</v>
      </c>
      <c r="BP241" s="48"/>
      <c r="BQ241" s="1133">
        <v>0</v>
      </c>
      <c r="BR241" s="1130">
        <v>0</v>
      </c>
      <c r="BS241" s="1129">
        <f>+BS242+BR241</f>
        <v>0</v>
      </c>
      <c r="BT241" s="1129">
        <f>+BT242+BS241</f>
        <v>0</v>
      </c>
      <c r="BU241" s="1456">
        <f>+BT241</f>
        <v>0</v>
      </c>
      <c r="BV241" s="48"/>
      <c r="BW241" s="1128">
        <f>+BT241+BW242</f>
        <v>5</v>
      </c>
      <c r="BX241" s="1129">
        <f>+BW241+BX242</f>
        <v>15</v>
      </c>
      <c r="BY241" s="1129">
        <f>+BX241+BY242</f>
        <v>35</v>
      </c>
      <c r="BZ241" s="1129">
        <f>+BY241+BZ242</f>
        <v>60</v>
      </c>
      <c r="CA241" s="1456">
        <f>+BZ241</f>
        <v>60</v>
      </c>
      <c r="CB241" s="48"/>
      <c r="CC241" s="1128">
        <f>+BZ241+CC242</f>
        <v>85</v>
      </c>
      <c r="CD241" s="1129">
        <f>+CC241+CD242</f>
        <v>110</v>
      </c>
      <c r="CE241" s="1129">
        <f>+CD241+CE242</f>
        <v>135</v>
      </c>
      <c r="CF241" s="1129">
        <f>+CE241+CF242</f>
        <v>160</v>
      </c>
      <c r="CG241" s="1456">
        <f>+CF241</f>
        <v>160</v>
      </c>
      <c r="CH241" s="48"/>
      <c r="CI241" s="1128">
        <f>+CF241+CI242</f>
        <v>180</v>
      </c>
      <c r="CJ241" s="1129">
        <f>+CI241+CJ242</f>
        <v>200</v>
      </c>
      <c r="CK241" s="1129">
        <f>+CJ241+CK242</f>
        <v>220</v>
      </c>
      <c r="CL241" s="1129">
        <f>+CK241+CL242</f>
        <v>240</v>
      </c>
      <c r="CM241" s="1456">
        <f>+CL241</f>
        <v>240</v>
      </c>
      <c r="CN241" s="48"/>
      <c r="CO241" s="1128">
        <f>+CL241+CO242</f>
        <v>265</v>
      </c>
      <c r="CP241" s="1129">
        <f>+CO241+CP242</f>
        <v>290</v>
      </c>
      <c r="CQ241" s="1129">
        <f>+CP241+CQ242</f>
        <v>315</v>
      </c>
      <c r="CR241" s="1129">
        <f>+CQ241+CR242</f>
        <v>340</v>
      </c>
      <c r="CS241" s="1456">
        <f>+CR241</f>
        <v>340</v>
      </c>
      <c r="CT241" s="48"/>
      <c r="CU241" s="1128">
        <f>+CR241+CU242</f>
        <v>365</v>
      </c>
      <c r="CV241" s="1129">
        <f>+CU241+CV242</f>
        <v>390</v>
      </c>
      <c r="CW241" s="1129">
        <f>+CV241+CW242</f>
        <v>415</v>
      </c>
      <c r="CX241" s="1129">
        <f>+CW241+CX242</f>
        <v>440</v>
      </c>
      <c r="CY241" s="1456">
        <f>+CX241</f>
        <v>440</v>
      </c>
      <c r="CZ241" s="48"/>
      <c r="DA241"/>
      <c r="DB241"/>
      <c r="DC241"/>
      <c r="DD241" s="48"/>
      <c r="DE241" s="48"/>
      <c r="DF241" s="48"/>
      <c r="DG241" s="48"/>
      <c r="DH241" s="48"/>
      <c r="DI241" s="48"/>
      <c r="DJ241" s="48"/>
      <c r="DK241" s="48"/>
    </row>
    <row r="242" spans="1:115" s="5" customFormat="1" x14ac:dyDescent="0.2">
      <c r="A242" s="1262" t="s">
        <v>435</v>
      </c>
      <c r="B242" s="48"/>
      <c r="C242" s="1128"/>
      <c r="D242" s="1129"/>
      <c r="E242" s="1129"/>
      <c r="F242" s="1129"/>
      <c r="G242" s="1463"/>
      <c r="H242" s="48"/>
      <c r="I242" s="1128"/>
      <c r="J242" s="1129"/>
      <c r="K242" s="1129"/>
      <c r="L242" s="1129"/>
      <c r="M242" s="1463"/>
      <c r="N242" s="48"/>
      <c r="O242" s="1128"/>
      <c r="P242" s="1129"/>
      <c r="Q242" s="1129"/>
      <c r="R242" s="1129"/>
      <c r="S242" s="1463"/>
      <c r="T242" s="48"/>
      <c r="U242" s="1128"/>
      <c r="V242" s="1129"/>
      <c r="W242" s="1129"/>
      <c r="X242" s="1129"/>
      <c r="Y242" s="1463"/>
      <c r="Z242" s="48"/>
      <c r="AA242" s="1128"/>
      <c r="AB242" s="1129"/>
      <c r="AC242" s="1129"/>
      <c r="AD242" s="1129"/>
      <c r="AE242" s="1463"/>
      <c r="AF242" s="48"/>
      <c r="AG242" s="1128"/>
      <c r="AH242" s="1129"/>
      <c r="AI242" s="1129"/>
      <c r="AJ242" s="1129"/>
      <c r="AK242" s="1463"/>
      <c r="AL242" s="48"/>
      <c r="AM242" s="1128"/>
      <c r="AN242" s="1129"/>
      <c r="AO242" s="1129"/>
      <c r="AP242" s="1129"/>
      <c r="AQ242" s="1463"/>
      <c r="AR242" s="48"/>
      <c r="AS242" s="1128"/>
      <c r="AT242" s="1129"/>
      <c r="AU242" s="1129"/>
      <c r="AV242" s="1129"/>
      <c r="AW242" s="1463"/>
      <c r="AX242" s="48"/>
      <c r="AY242" s="1128"/>
      <c r="AZ242" s="1129"/>
      <c r="BA242" s="1129"/>
      <c r="BB242" s="1129"/>
      <c r="BC242" s="1457">
        <f>+SUM(AY242:BB242)</f>
        <v>0</v>
      </c>
      <c r="BD242" s="48"/>
      <c r="BE242" s="1128"/>
      <c r="BF242" s="1129"/>
      <c r="BG242" s="1129"/>
      <c r="BH242" s="1129"/>
      <c r="BI242" s="1457">
        <f>+SUM(BE242:BH242)</f>
        <v>0</v>
      </c>
      <c r="BJ242" s="48"/>
      <c r="BK242" s="1128"/>
      <c r="BL242" s="1129"/>
      <c r="BM242" s="1129"/>
      <c r="BN242" s="1129"/>
      <c r="BO242" s="1457">
        <f>+SUM(BK242:BN242)</f>
        <v>0</v>
      </c>
      <c r="BP242" s="48"/>
      <c r="BQ242" s="1128"/>
      <c r="BR242" s="1129"/>
      <c r="BS242" s="1130">
        <v>0</v>
      </c>
      <c r="BT242" s="1130">
        <v>0</v>
      </c>
      <c r="BU242" s="1457">
        <f>+SUM(BQ242:BT242)</f>
        <v>0</v>
      </c>
      <c r="BV242" s="48"/>
      <c r="BW242" s="1133">
        <v>5</v>
      </c>
      <c r="BX242" s="1130">
        <v>10</v>
      </c>
      <c r="BY242" s="1130">
        <v>20</v>
      </c>
      <c r="BZ242" s="1130">
        <v>25</v>
      </c>
      <c r="CA242" s="1457">
        <f>+SUM(BW242:BZ242)</f>
        <v>60</v>
      </c>
      <c r="CB242" s="1130">
        <v>300</v>
      </c>
      <c r="CC242" s="1133">
        <v>25</v>
      </c>
      <c r="CD242" s="1130">
        <v>25</v>
      </c>
      <c r="CE242" s="1130">
        <v>25</v>
      </c>
      <c r="CF242" s="1130">
        <v>25</v>
      </c>
      <c r="CG242" s="1457">
        <f>+SUM(CC242:CF242)</f>
        <v>100</v>
      </c>
      <c r="CH242" s="48"/>
      <c r="CI242" s="1133">
        <v>20</v>
      </c>
      <c r="CJ242" s="1130">
        <v>20</v>
      </c>
      <c r="CK242" s="1130">
        <v>20</v>
      </c>
      <c r="CL242" s="1130">
        <v>20</v>
      </c>
      <c r="CM242" s="1457">
        <f>+SUM(CI242:CL242)</f>
        <v>80</v>
      </c>
      <c r="CN242" s="48"/>
      <c r="CO242" s="1133">
        <v>25</v>
      </c>
      <c r="CP242" s="1130">
        <v>25</v>
      </c>
      <c r="CQ242" s="1130">
        <v>25</v>
      </c>
      <c r="CR242" s="1130">
        <v>25</v>
      </c>
      <c r="CS242" s="1457">
        <f>+SUM(CO242:CR242)</f>
        <v>100</v>
      </c>
      <c r="CT242" s="48"/>
      <c r="CU242" s="1133">
        <v>25</v>
      </c>
      <c r="CV242" s="1130">
        <v>25</v>
      </c>
      <c r="CW242" s="1130">
        <v>25</v>
      </c>
      <c r="CX242" s="1130">
        <v>25</v>
      </c>
      <c r="CY242" s="1457">
        <f>+SUM(CU242:CX242)</f>
        <v>100</v>
      </c>
      <c r="CZ242" s="48"/>
      <c r="DA242"/>
      <c r="DB242"/>
      <c r="DC242"/>
      <c r="DD242" s="48"/>
      <c r="DE242" s="48"/>
      <c r="DF242" s="48"/>
      <c r="DG242" s="48"/>
      <c r="DH242" s="48"/>
      <c r="DI242" s="48"/>
      <c r="DJ242" s="48"/>
      <c r="DK242" s="48"/>
    </row>
    <row r="243" spans="1:115" s="5" customFormat="1" outlineLevel="1" x14ac:dyDescent="0.2">
      <c r="A243" s="1262" t="s">
        <v>434</v>
      </c>
      <c r="B243" s="48"/>
      <c r="C243" s="1128"/>
      <c r="D243" s="1129"/>
      <c r="E243" s="1129"/>
      <c r="F243" s="1129"/>
      <c r="G243" s="1463"/>
      <c r="H243" s="48"/>
      <c r="I243" s="1128"/>
      <c r="J243" s="1129"/>
      <c r="K243" s="1129"/>
      <c r="L243" s="1129"/>
      <c r="M243" s="1463"/>
      <c r="N243" s="48"/>
      <c r="O243" s="1128"/>
      <c r="P243" s="1129"/>
      <c r="Q243" s="1129"/>
      <c r="R243" s="1129"/>
      <c r="S243" s="1463"/>
      <c r="T243" s="48"/>
      <c r="U243" s="1128"/>
      <c r="V243" s="1129"/>
      <c r="W243" s="1129"/>
      <c r="X243" s="1129"/>
      <c r="Y243" s="1463"/>
      <c r="Z243" s="48"/>
      <c r="AA243" s="1128"/>
      <c r="AB243" s="1129"/>
      <c r="AC243" s="1129"/>
      <c r="AD243" s="1129"/>
      <c r="AE243" s="1463"/>
      <c r="AF243" s="48"/>
      <c r="AG243" s="1128"/>
      <c r="AH243" s="1129"/>
      <c r="AI243" s="1129"/>
      <c r="AJ243" s="1129"/>
      <c r="AK243" s="1463"/>
      <c r="AL243" s="48"/>
      <c r="AM243" s="1128"/>
      <c r="AN243" s="1129"/>
      <c r="AO243" s="1129"/>
      <c r="AP243" s="1129"/>
      <c r="AQ243" s="1463"/>
      <c r="AR243" s="48"/>
      <c r="AS243" s="1128">
        <f>+AVERAGE(AS241,AQ241)</f>
        <v>0</v>
      </c>
      <c r="AT243" s="1129">
        <f>+AVERAGE(AT241,AS241)</f>
        <v>0</v>
      </c>
      <c r="AU243" s="1129">
        <f>+AVERAGE(AU241,AT241)</f>
        <v>0</v>
      </c>
      <c r="AV243" s="1129">
        <f>+AVERAGE(AV241,AU241)</f>
        <v>0</v>
      </c>
      <c r="AW243" s="1457">
        <f>+AVERAGE(AV241,AQ241)</f>
        <v>0</v>
      </c>
      <c r="AX243" s="48"/>
      <c r="AY243" s="1128">
        <f>+AVERAGE(AY241,AW241)</f>
        <v>0</v>
      </c>
      <c r="AZ243" s="1129">
        <f>+AVERAGE(AZ241,AY241)</f>
        <v>0</v>
      </c>
      <c r="BA243" s="1129">
        <f>+AVERAGE(BA241,AZ241)</f>
        <v>0</v>
      </c>
      <c r="BB243" s="1129">
        <f>+AVERAGE(BB241,BA241)</f>
        <v>0</v>
      </c>
      <c r="BC243" s="1457">
        <f>+AVERAGE(BC241,AW241)</f>
        <v>0</v>
      </c>
      <c r="BD243" s="48"/>
      <c r="BE243" s="1128">
        <f>+AVERAGE(BE241,BC241)</f>
        <v>0</v>
      </c>
      <c r="BF243" s="1129">
        <f>+AVERAGE(BF241,BE241)</f>
        <v>0</v>
      </c>
      <c r="BG243" s="1129">
        <f>+AVERAGE(BG241,BF241)</f>
        <v>0</v>
      </c>
      <c r="BH243" s="1129">
        <f>+AVERAGE(BH241,BG241)</f>
        <v>0</v>
      </c>
      <c r="BI243" s="1457">
        <f>+AVERAGE(BI241,BC241)</f>
        <v>0</v>
      </c>
      <c r="BJ243" s="48"/>
      <c r="BK243" s="1128">
        <f>+AVERAGE(BK241,BI241)</f>
        <v>0</v>
      </c>
      <c r="BL243" s="1129">
        <f>+AVERAGE(BL241,BK241)</f>
        <v>0</v>
      </c>
      <c r="BM243" s="1129">
        <f>+AVERAGE(BM241,BL241)</f>
        <v>0</v>
      </c>
      <c r="BN243" s="1129">
        <f>+AVERAGE(BN241,BM241)</f>
        <v>0</v>
      </c>
      <c r="BO243" s="1457">
        <f>+AVERAGE(BO241,BI241)</f>
        <v>0</v>
      </c>
      <c r="BP243" s="48"/>
      <c r="BQ243" s="1128">
        <f>+AVERAGE(BQ241,BO241)</f>
        <v>0</v>
      </c>
      <c r="BR243" s="1129">
        <f>+AVERAGE(BR241,BQ241)</f>
        <v>0</v>
      </c>
      <c r="BS243" s="1129">
        <f>+AVERAGE(BS241,BR241)</f>
        <v>0</v>
      </c>
      <c r="BT243" s="1129">
        <f>+AVERAGE(BT241,BS241)</f>
        <v>0</v>
      </c>
      <c r="BU243" s="1457">
        <f>+AVERAGE(BU241,BO241)</f>
        <v>0</v>
      </c>
      <c r="BV243" s="48"/>
      <c r="BW243" s="1128">
        <f>+AVERAGE(BW241,BU241)</f>
        <v>2.5</v>
      </c>
      <c r="BX243" s="1129">
        <f>+AVERAGE(BX241,BW241)</f>
        <v>10</v>
      </c>
      <c r="BY243" s="1129">
        <f>+AVERAGE(BY241,BX241)</f>
        <v>25</v>
      </c>
      <c r="BZ243" s="1129">
        <f>+AVERAGE(BZ241,BY241)</f>
        <v>47.5</v>
      </c>
      <c r="CA243" s="1457">
        <f>+AVERAGE(CA241,BU241)</f>
        <v>30</v>
      </c>
      <c r="CB243" s="48"/>
      <c r="CC243" s="1128">
        <f>+AVERAGE(CC241,CA241)</f>
        <v>72.5</v>
      </c>
      <c r="CD243" s="1129">
        <f>+AVERAGE(CD241,CC241)</f>
        <v>97.5</v>
      </c>
      <c r="CE243" s="1129">
        <f>+AVERAGE(CE241,CD241)</f>
        <v>122.5</v>
      </c>
      <c r="CF243" s="1129">
        <f>+AVERAGE(CF241,CE241)</f>
        <v>147.5</v>
      </c>
      <c r="CG243" s="1457">
        <f>+AVERAGE(CG241,CA241)</f>
        <v>110</v>
      </c>
      <c r="CH243" s="48"/>
      <c r="CI243" s="1128">
        <f>+AVERAGE(CI241,CG241)</f>
        <v>170</v>
      </c>
      <c r="CJ243" s="1129">
        <f>+AVERAGE(CJ241,CI241)</f>
        <v>190</v>
      </c>
      <c r="CK243" s="1129">
        <f>+AVERAGE(CK241,CJ241)</f>
        <v>210</v>
      </c>
      <c r="CL243" s="1129">
        <f>+AVERAGE(CL241,CK241)</f>
        <v>230</v>
      </c>
      <c r="CM243" s="1457">
        <f>+AVERAGE(CM241,CG241)</f>
        <v>200</v>
      </c>
      <c r="CN243" s="48"/>
      <c r="CO243" s="1128">
        <f>+AVERAGE(CO241,CM241)</f>
        <v>252.5</v>
      </c>
      <c r="CP243" s="1129">
        <f>+AVERAGE(CP241,CO241)</f>
        <v>277.5</v>
      </c>
      <c r="CQ243" s="1129">
        <f>+AVERAGE(CQ241,CP241)</f>
        <v>302.5</v>
      </c>
      <c r="CR243" s="1129">
        <f>+AVERAGE(CR241,CQ241)</f>
        <v>327.5</v>
      </c>
      <c r="CS243" s="1457">
        <f>+AVERAGE(CS241,CM241)</f>
        <v>290</v>
      </c>
      <c r="CT243" s="48"/>
      <c r="CU243" s="1128">
        <f>+AVERAGE(CU241,CS241)</f>
        <v>352.5</v>
      </c>
      <c r="CV243" s="1129">
        <f>+AVERAGE(CV241,CU241)</f>
        <v>377.5</v>
      </c>
      <c r="CW243" s="1129">
        <f>+AVERAGE(CW241,CV241)</f>
        <v>402.5</v>
      </c>
      <c r="CX243" s="1129">
        <f>+AVERAGE(CX241,CW241)</f>
        <v>427.5</v>
      </c>
      <c r="CY243" s="1457">
        <f>+AVERAGE(CY241,CS241)</f>
        <v>390</v>
      </c>
      <c r="CZ243" s="48"/>
      <c r="DA243"/>
      <c r="DB243"/>
      <c r="DC243"/>
      <c r="DD243" s="48"/>
      <c r="DE243" s="48"/>
      <c r="DF243" s="48"/>
      <c r="DG243" s="48"/>
      <c r="DH243" s="48"/>
      <c r="DI243" s="48"/>
      <c r="DJ243" s="48"/>
      <c r="DK243" s="48"/>
    </row>
    <row r="244" spans="1:115" s="5" customFormat="1" outlineLevel="1" x14ac:dyDescent="0.2">
      <c r="A244" s="1139" t="s">
        <v>452</v>
      </c>
      <c r="B244" s="590"/>
      <c r="C244" s="1128"/>
      <c r="D244" s="1129"/>
      <c r="E244" s="1129"/>
      <c r="F244" s="1129"/>
      <c r="G244" s="1463"/>
      <c r="H244" s="592"/>
      <c r="I244" s="1128"/>
      <c r="J244" s="1129"/>
      <c r="K244" s="1129"/>
      <c r="L244" s="1129"/>
      <c r="M244" s="1463"/>
      <c r="N244" s="592"/>
      <c r="O244" s="1128"/>
      <c r="P244" s="1129"/>
      <c r="Q244" s="1129"/>
      <c r="R244" s="1129"/>
      <c r="S244" s="1463"/>
      <c r="T244" s="591"/>
      <c r="U244" s="1128"/>
      <c r="V244" s="1129"/>
      <c r="W244" s="1129"/>
      <c r="X244" s="1129"/>
      <c r="Y244" s="1463"/>
      <c r="Z244" s="593"/>
      <c r="AA244" s="1128"/>
      <c r="AB244" s="1129"/>
      <c r="AC244" s="1129"/>
      <c r="AD244" s="1129"/>
      <c r="AE244" s="1463"/>
      <c r="AF244" s="592"/>
      <c r="AG244" s="1128"/>
      <c r="AH244" s="1129"/>
      <c r="AI244" s="1129"/>
      <c r="AJ244" s="1129"/>
      <c r="AK244" s="1463"/>
      <c r="AL244" s="601"/>
      <c r="AM244" s="1128"/>
      <c r="AN244" s="1129"/>
      <c r="AO244" s="1129"/>
      <c r="AP244" s="1129"/>
      <c r="AQ244" s="1463"/>
      <c r="AR244" s="601"/>
      <c r="AS244" s="909">
        <v>1</v>
      </c>
      <c r="AT244" s="910">
        <v>1</v>
      </c>
      <c r="AU244" s="910">
        <v>1</v>
      </c>
      <c r="AV244" s="910">
        <v>1</v>
      </c>
      <c r="AW244" s="996"/>
      <c r="AX244" s="592"/>
      <c r="AY244" s="909">
        <v>1</v>
      </c>
      <c r="AZ244" s="910">
        <v>1</v>
      </c>
      <c r="BA244" s="910">
        <v>1</v>
      </c>
      <c r="BB244" s="910">
        <v>1</v>
      </c>
      <c r="BC244" s="1106">
        <v>0</v>
      </c>
      <c r="BD244" s="601"/>
      <c r="BE244" s="909">
        <v>1</v>
      </c>
      <c r="BF244" s="910">
        <v>1</v>
      </c>
      <c r="BG244" s="910">
        <v>1</v>
      </c>
      <c r="BH244" s="910">
        <v>1</v>
      </c>
      <c r="BI244" s="1106">
        <v>0</v>
      </c>
      <c r="BJ244" s="601"/>
      <c r="BK244" s="909">
        <v>1</v>
      </c>
      <c r="BL244" s="910">
        <v>1</v>
      </c>
      <c r="BM244" s="910">
        <v>1</v>
      </c>
      <c r="BN244" s="910">
        <v>1</v>
      </c>
      <c r="BO244" s="1106">
        <v>0</v>
      </c>
      <c r="BP244" s="601"/>
      <c r="BQ244" s="909">
        <v>1</v>
      </c>
      <c r="BR244" s="910">
        <v>1</v>
      </c>
      <c r="BS244" s="910">
        <v>1</v>
      </c>
      <c r="BT244" s="910">
        <v>1</v>
      </c>
      <c r="BU244" s="707">
        <v>0</v>
      </c>
      <c r="BV244" s="601"/>
      <c r="BW244" s="909">
        <v>0.2</v>
      </c>
      <c r="BX244" s="910">
        <v>0.2</v>
      </c>
      <c r="BY244" s="910">
        <v>0.2</v>
      </c>
      <c r="BZ244" s="910">
        <v>0.2</v>
      </c>
      <c r="CA244" s="707">
        <f>+SUMPRODUCT(BW244:BZ244,BW242:BZ242)/CA242</f>
        <v>0.2</v>
      </c>
      <c r="CB244" s="601"/>
      <c r="CC244" s="909">
        <f>+BZ244+0.05</f>
        <v>0.25</v>
      </c>
      <c r="CD244" s="910">
        <f>+CC244</f>
        <v>0.25</v>
      </c>
      <c r="CE244" s="910">
        <f>+CD244</f>
        <v>0.25</v>
      </c>
      <c r="CF244" s="910">
        <f>+CE244</f>
        <v>0.25</v>
      </c>
      <c r="CG244" s="707">
        <f>+SUMPRODUCT(CC244:CF244,CC242:CF242)/CG242</f>
        <v>0.25</v>
      </c>
      <c r="CH244" s="601"/>
      <c r="CI244" s="909">
        <f>+CF244</f>
        <v>0.25</v>
      </c>
      <c r="CJ244" s="910">
        <f>+CI244</f>
        <v>0.25</v>
      </c>
      <c r="CK244" s="910">
        <f>+CJ244</f>
        <v>0.25</v>
      </c>
      <c r="CL244" s="910">
        <f>+CK244</f>
        <v>0.25</v>
      </c>
      <c r="CM244" s="707">
        <f>+SUMPRODUCT(CI244:CL244,CI242:CL242)/CM242</f>
        <v>0.25</v>
      </c>
      <c r="CN244" s="601"/>
      <c r="CO244" s="909">
        <f>+CL244</f>
        <v>0.25</v>
      </c>
      <c r="CP244" s="910">
        <f>+CO244</f>
        <v>0.25</v>
      </c>
      <c r="CQ244" s="910">
        <f>+CP244</f>
        <v>0.25</v>
      </c>
      <c r="CR244" s="910">
        <f>+CQ244</f>
        <v>0.25</v>
      </c>
      <c r="CS244" s="707">
        <f>+SUMPRODUCT(CO244:CR244,CO242:CR242)/CS242</f>
        <v>0.25</v>
      </c>
      <c r="CT244" s="601"/>
      <c r="CU244" s="909">
        <f>+CR244</f>
        <v>0.25</v>
      </c>
      <c r="CV244" s="910">
        <f>+CU244</f>
        <v>0.25</v>
      </c>
      <c r="CW244" s="910">
        <f>+CV244</f>
        <v>0.25</v>
      </c>
      <c r="CX244" s="910">
        <f>+CW244</f>
        <v>0.25</v>
      </c>
      <c r="CY244" s="707">
        <f>+SUMPRODUCT(CU244:CX244,CU242:CX242)/CY242</f>
        <v>0.25</v>
      </c>
      <c r="CZ244" s="48"/>
      <c r="DA244"/>
      <c r="DB244"/>
      <c r="DC244"/>
      <c r="DD244" s="48"/>
      <c r="DE244" s="48"/>
      <c r="DF244" s="48"/>
      <c r="DG244" s="48"/>
      <c r="DH244" s="48"/>
      <c r="DI244" s="48"/>
      <c r="DJ244" s="48"/>
      <c r="DK244" s="48"/>
    </row>
    <row r="245" spans="1:115" s="5" customFormat="1" x14ac:dyDescent="0.2">
      <c r="A245" s="432" t="s">
        <v>436</v>
      </c>
      <c r="B245" s="590"/>
      <c r="C245" s="1128"/>
      <c r="D245" s="1129"/>
      <c r="E245" s="1129"/>
      <c r="F245" s="1129"/>
      <c r="G245" s="1463"/>
      <c r="H245" s="592"/>
      <c r="I245" s="1128"/>
      <c r="J245" s="1129"/>
      <c r="K245" s="1129"/>
      <c r="L245" s="1129"/>
      <c r="M245" s="1463"/>
      <c r="N245" s="592"/>
      <c r="O245" s="1128"/>
      <c r="P245" s="1129"/>
      <c r="Q245" s="1129"/>
      <c r="R245" s="1129"/>
      <c r="S245" s="1463"/>
      <c r="T245" s="591"/>
      <c r="U245" s="1128"/>
      <c r="V245" s="1129"/>
      <c r="W245" s="1129"/>
      <c r="X245" s="1129"/>
      <c r="Y245" s="1463"/>
      <c r="Z245" s="593"/>
      <c r="AA245" s="1128"/>
      <c r="AB245" s="1129"/>
      <c r="AC245" s="1129"/>
      <c r="AD245" s="1129"/>
      <c r="AE245" s="1463"/>
      <c r="AF245" s="592"/>
      <c r="AG245" s="1128"/>
      <c r="AH245" s="1129"/>
      <c r="AI245" s="1129"/>
      <c r="AJ245" s="1129"/>
      <c r="AK245" s="1463"/>
      <c r="AL245" s="601"/>
      <c r="AM245" s="1128"/>
      <c r="AN245" s="1129"/>
      <c r="AO245" s="1129"/>
      <c r="AP245" s="1129"/>
      <c r="AQ245" s="1463"/>
      <c r="AR245" s="601"/>
      <c r="AS245" s="53">
        <v>0</v>
      </c>
      <c r="AT245" s="51">
        <v>0</v>
      </c>
      <c r="AU245" s="51">
        <v>0</v>
      </c>
      <c r="AV245" s="51">
        <v>0</v>
      </c>
      <c r="AW245" s="996"/>
      <c r="AX245" s="592"/>
      <c r="AY245" s="53">
        <v>0</v>
      </c>
      <c r="AZ245" s="51">
        <v>0</v>
      </c>
      <c r="BA245" s="51">
        <v>0</v>
      </c>
      <c r="BB245" s="51">
        <v>0</v>
      </c>
      <c r="BC245" s="1263">
        <v>0</v>
      </c>
      <c r="BD245" s="601"/>
      <c r="BE245" s="53">
        <v>0</v>
      </c>
      <c r="BF245" s="51">
        <v>0</v>
      </c>
      <c r="BG245" s="51">
        <v>0</v>
      </c>
      <c r="BH245" s="51">
        <v>0</v>
      </c>
      <c r="BI245" s="1263">
        <v>0</v>
      </c>
      <c r="BJ245" s="601"/>
      <c r="BK245" s="53">
        <v>0</v>
      </c>
      <c r="BL245" s="51">
        <v>0</v>
      </c>
      <c r="BM245" s="51">
        <v>0</v>
      </c>
      <c r="BN245" s="51">
        <v>0</v>
      </c>
      <c r="BO245" s="1263">
        <v>0</v>
      </c>
      <c r="BP245" s="601"/>
      <c r="BQ245" s="53">
        <v>0</v>
      </c>
      <c r="BR245" s="51">
        <v>0</v>
      </c>
      <c r="BS245" s="51">
        <v>150</v>
      </c>
      <c r="BT245" s="51">
        <v>150</v>
      </c>
      <c r="BU245" s="6">
        <v>150</v>
      </c>
      <c r="BV245" s="601"/>
      <c r="BW245" s="19">
        <f>+BT245</f>
        <v>150</v>
      </c>
      <c r="BX245" s="20">
        <f>+BW245</f>
        <v>150</v>
      </c>
      <c r="BY245" s="20">
        <f>+BS245*(1+BY246)</f>
        <v>150</v>
      </c>
      <c r="BZ245" s="20">
        <f>+BT245*(1+BZ246)</f>
        <v>145.45394548063129</v>
      </c>
      <c r="CA245" s="6">
        <f>+(CA256*1000)/CA242</f>
        <v>29.621162123385918</v>
      </c>
      <c r="CB245" s="601"/>
      <c r="CC245" s="19">
        <f>+BW245*(1+CC246)</f>
        <v>146.74046514667589</v>
      </c>
      <c r="CD245" s="20">
        <f>+BX245*(1+CD246)</f>
        <v>146.61524586438287</v>
      </c>
      <c r="CE245" s="20">
        <f>+BY245*(1+CE246)</f>
        <v>150.88890119137247</v>
      </c>
      <c r="CF245" s="20">
        <f>+BZ245*(1+CF246)</f>
        <v>148.86973106688654</v>
      </c>
      <c r="CG245" s="6">
        <f>+(CG256*1000)/CG242</f>
        <v>37.069646454332386</v>
      </c>
      <c r="CH245" s="601"/>
      <c r="CI245" s="19">
        <f>+CC245*(1+CI246)</f>
        <v>154.0774884040097</v>
      </c>
      <c r="CJ245" s="20">
        <f>+CD245*(1+CJ246)</f>
        <v>153.21293192828009</v>
      </c>
      <c r="CK245" s="20">
        <f>+CE245*(1+CK246)</f>
        <v>154.66112372115677</v>
      </c>
      <c r="CL245" s="20">
        <f>+CF245*(1+CL246)</f>
        <v>151.84712568822428</v>
      </c>
      <c r="CM245" s="6">
        <f>+(CM256*1000)/CM242</f>
        <v>38.362416858854417</v>
      </c>
      <c r="CN245" s="601"/>
      <c r="CO245" s="19">
        <f>+CI245*(1+CO246)</f>
        <v>154.0774884040097</v>
      </c>
      <c r="CP245" s="20">
        <f>+CJ245*(1+CP246)</f>
        <v>153.21293192828009</v>
      </c>
      <c r="CQ245" s="20">
        <f>+CK245*(1+CQ246)</f>
        <v>154.66112372115677</v>
      </c>
      <c r="CR245" s="20">
        <f>+CL245*(1+CR246)</f>
        <v>151.84712568822428</v>
      </c>
      <c r="CS245" s="6">
        <f>+(CS256*1000)/CS242</f>
        <v>38.362416858854331</v>
      </c>
      <c r="CT245" s="601"/>
      <c r="CU245" s="19">
        <f>+CO245*(1+CU246)</f>
        <v>154.0774884040097</v>
      </c>
      <c r="CV245" s="20">
        <f>+CP245*(1+CV246)</f>
        <v>153.21293192828009</v>
      </c>
      <c r="CW245" s="20">
        <f>+CQ245*(1+CW246)</f>
        <v>154.66112372115677</v>
      </c>
      <c r="CX245" s="20">
        <f>+CR245*(1+CX246)</f>
        <v>151.84712568822428</v>
      </c>
      <c r="CY245" s="6">
        <f>+(CY256*1000)/CY242</f>
        <v>38.362416858854331</v>
      </c>
      <c r="CZ245" s="48"/>
      <c r="DA245"/>
      <c r="DB245"/>
      <c r="DC245"/>
      <c r="DD245" s="48"/>
      <c r="DE245" s="48"/>
      <c r="DF245" s="48"/>
      <c r="DG245" s="48"/>
      <c r="DH245" s="48"/>
      <c r="DI245" s="48"/>
      <c r="DJ245" s="48"/>
      <c r="DK245" s="48"/>
    </row>
    <row r="246" spans="1:115" s="5" customFormat="1" x14ac:dyDescent="0.2">
      <c r="A246" s="1139" t="s">
        <v>639</v>
      </c>
      <c r="B246" s="590"/>
      <c r="C246" s="1128"/>
      <c r="D246" s="1129"/>
      <c r="E246" s="1129"/>
      <c r="F246" s="1129"/>
      <c r="G246" s="1463"/>
      <c r="H246" s="592"/>
      <c r="I246" s="1128"/>
      <c r="J246" s="1129"/>
      <c r="K246" s="1129"/>
      <c r="L246" s="1129"/>
      <c r="M246" s="1463"/>
      <c r="N246" s="592"/>
      <c r="O246" s="1128"/>
      <c r="P246" s="1129"/>
      <c r="Q246" s="1129"/>
      <c r="R246" s="1129"/>
      <c r="S246" s="1463"/>
      <c r="T246" s="591"/>
      <c r="U246" s="1128"/>
      <c r="V246" s="1129"/>
      <c r="W246" s="1129"/>
      <c r="X246" s="1129"/>
      <c r="Y246" s="1463"/>
      <c r="Z246" s="593"/>
      <c r="AA246" s="1128"/>
      <c r="AB246" s="1129"/>
      <c r="AC246" s="1129"/>
      <c r="AD246" s="1129"/>
      <c r="AE246" s="1463"/>
      <c r="AF246" s="592"/>
      <c r="AG246" s="1128"/>
      <c r="AH246" s="1129"/>
      <c r="AI246" s="1129"/>
      <c r="AJ246" s="1129"/>
      <c r="AK246" s="1463"/>
      <c r="AL246" s="601"/>
      <c r="AM246" s="1128"/>
      <c r="AN246" s="1129"/>
      <c r="AO246" s="1129"/>
      <c r="AP246" s="1129"/>
      <c r="AQ246" s="1463"/>
      <c r="AR246" s="601"/>
      <c r="AS246" s="1109">
        <f>+AS247+RevBuild!AS$59</f>
        <v>1.9625516333540132E-2</v>
      </c>
      <c r="AT246" s="1110">
        <f>+AT247+RevBuild!AT$59</f>
        <v>6.4068012089008045E-2</v>
      </c>
      <c r="AU246" s="1110">
        <f>+AU247+RevBuild!AU$59</f>
        <v>4.3106442546396957E-2</v>
      </c>
      <c r="AV246" s="1110">
        <f>+AV247+RevBuild!AV$59</f>
        <v>-8.3011690999609811E-4</v>
      </c>
      <c r="AW246" s="996"/>
      <c r="AX246" s="592"/>
      <c r="AY246" s="1109">
        <f>+AY247+RevBuild!AY$59</f>
        <v>-8.3153274175541414E-3</v>
      </c>
      <c r="AZ246" s="1110">
        <f>+AZ247+RevBuild!AZ$59</f>
        <v>-5.127554690850078E-2</v>
      </c>
      <c r="BA246" s="1110">
        <f>+BA247+RevBuild!BA$59</f>
        <v>-4.6677743738858052E-2</v>
      </c>
      <c r="BB246" s="1110">
        <f>+BB247+RevBuild!BB$59</f>
        <v>-3.782070450332374E-3</v>
      </c>
      <c r="BC246" s="1106">
        <v>0</v>
      </c>
      <c r="BD246" s="601"/>
      <c r="BE246" s="1109">
        <f>+BE247+RevBuild!BE$59</f>
        <v>-5.8654890662636905E-3</v>
      </c>
      <c r="BF246" s="1110">
        <f>+BF247+RevBuild!BF$59</f>
        <v>-5.660567749418699E-5</v>
      </c>
      <c r="BG246" s="1110">
        <f>+BG247+RevBuild!BG$59</f>
        <v>-5.8438852538213321E-3</v>
      </c>
      <c r="BH246" s="1110">
        <f>+BH247+RevBuild!BH$59</f>
        <v>-3.6752738563822912E-3</v>
      </c>
      <c r="BI246" s="1106">
        <v>0</v>
      </c>
      <c r="BJ246" s="601"/>
      <c r="BK246" s="1109">
        <f>+BK247+RevBuild!BK$59</f>
        <v>-4.5517432208081604E-3</v>
      </c>
      <c r="BL246" s="1110">
        <f>+BL247+RevBuild!BL$59</f>
        <v>6.8534695270723658E-3</v>
      </c>
      <c r="BM246" s="1110">
        <f>+BM247+RevBuild!BM$59</f>
        <v>-1.9888144627576432E-5</v>
      </c>
      <c r="BN246" s="1110">
        <f>+BN247+RevBuild!BN$59</f>
        <v>-4.7895403836341902E-2</v>
      </c>
      <c r="BO246" s="1106">
        <v>0</v>
      </c>
      <c r="BP246" s="601"/>
      <c r="BQ246" s="1109">
        <f>+BQ247+RevBuild!BQ$59</f>
        <v>-7.8744757745617941E-2</v>
      </c>
      <c r="BR246" s="1110">
        <f>+BR247+RevBuild!BR$59</f>
        <v>-8.4566678843245036E-2</v>
      </c>
      <c r="BS246" s="1110">
        <f>+BS247+RevBuild!BS$59</f>
        <v>-8.8999999999999996E-2</v>
      </c>
      <c r="BT246" s="1110">
        <f>+BT247+RevBuild!BT$59</f>
        <v>-6.3E-2</v>
      </c>
      <c r="BU246" s="1106">
        <v>0</v>
      </c>
      <c r="BV246" s="601"/>
      <c r="BW246" s="909">
        <v>0</v>
      </c>
      <c r="BX246" s="910">
        <v>0</v>
      </c>
      <c r="BY246" s="910">
        <v>0</v>
      </c>
      <c r="BZ246" s="1110">
        <f>+BZ247+RevBuild!BZ$59</f>
        <v>-3.0307030129124765E-2</v>
      </c>
      <c r="CA246" s="707">
        <f>CA245/BU245-1</f>
        <v>-0.80252558584409384</v>
      </c>
      <c r="CB246" s="601"/>
      <c r="CC246" s="1109">
        <f>+CC247+RevBuild!CC$59</f>
        <v>-2.1730232355494046E-2</v>
      </c>
      <c r="CD246" s="1110">
        <f>+CD247+RevBuild!CD$59</f>
        <v>-2.2565027570780882E-2</v>
      </c>
      <c r="CE246" s="1110">
        <f>+CE247+RevBuild!CE$59</f>
        <v>5.926007942483269E-3</v>
      </c>
      <c r="CF246" s="1110">
        <f>+CF247+RevBuild!CF$59</f>
        <v>2.3483622771237223E-2</v>
      </c>
      <c r="CG246" s="707">
        <f>CG245/CA245-1</f>
        <v>0.25145820747748071</v>
      </c>
      <c r="CH246" s="601"/>
      <c r="CI246" s="1109">
        <f>+CI247+RevBuild!CI$59</f>
        <v>0.05</v>
      </c>
      <c r="CJ246" s="1110">
        <f>+CJ247+RevBuild!CJ$59</f>
        <v>4.4999999999999998E-2</v>
      </c>
      <c r="CK246" s="1110">
        <f>+CK247+RevBuild!CK$59</f>
        <v>2.5000000000000001E-2</v>
      </c>
      <c r="CL246" s="1110">
        <f>+CL247+RevBuild!CL$59</f>
        <v>0.02</v>
      </c>
      <c r="CM246" s="707">
        <f>CM245/CG245-1</f>
        <v>3.4874095875574218E-2</v>
      </c>
      <c r="CN246" s="601"/>
      <c r="CO246" s="1109">
        <f>+CO247+RevBuild!CO$59</f>
        <v>0</v>
      </c>
      <c r="CP246" s="1110">
        <f>+CP247+RevBuild!CP$59</f>
        <v>0</v>
      </c>
      <c r="CQ246" s="1110">
        <f>+CQ247+RevBuild!CQ$59</f>
        <v>0</v>
      </c>
      <c r="CR246" s="1110">
        <f>+CR247+RevBuild!CR$59</f>
        <v>0</v>
      </c>
      <c r="CS246" s="707">
        <f>CS245/CM245-1</f>
        <v>-2.2204460492503131E-15</v>
      </c>
      <c r="CT246" s="601"/>
      <c r="CU246" s="1109">
        <f>+CU247+RevBuild!CU$59</f>
        <v>0</v>
      </c>
      <c r="CV246" s="1110">
        <f>+CV247+RevBuild!CV$59</f>
        <v>0</v>
      </c>
      <c r="CW246" s="1110">
        <f>+CW247+RevBuild!CW$59</f>
        <v>0</v>
      </c>
      <c r="CX246" s="1110">
        <f>+CX247+RevBuild!CX$59</f>
        <v>0</v>
      </c>
      <c r="CY246" s="707">
        <f>CY245/CS245-1</f>
        <v>0</v>
      </c>
      <c r="CZ246" s="48"/>
      <c r="DA246"/>
      <c r="DB246"/>
      <c r="DC246"/>
      <c r="DD246" s="48"/>
      <c r="DE246" s="48"/>
      <c r="DF246" s="48"/>
      <c r="DG246" s="48"/>
      <c r="DH246" s="48"/>
      <c r="DI246" s="48"/>
      <c r="DJ246" s="48"/>
      <c r="DK246" s="48"/>
    </row>
    <row r="247" spans="1:115" s="5" customFormat="1" x14ac:dyDescent="0.2">
      <c r="A247" s="1139" t="s">
        <v>227</v>
      </c>
      <c r="B247" s="590"/>
      <c r="C247" s="1128"/>
      <c r="D247" s="1129"/>
      <c r="E247" s="1129"/>
      <c r="F247" s="1129"/>
      <c r="G247" s="1463"/>
      <c r="H247" s="592"/>
      <c r="I247" s="1128"/>
      <c r="J247" s="1129"/>
      <c r="K247" s="1129"/>
      <c r="L247" s="1129"/>
      <c r="M247" s="1463"/>
      <c r="N247" s="592"/>
      <c r="O247" s="1128"/>
      <c r="P247" s="1129"/>
      <c r="Q247" s="1129"/>
      <c r="R247" s="1129"/>
      <c r="S247" s="1463"/>
      <c r="T247" s="591"/>
      <c r="U247" s="1128"/>
      <c r="V247" s="1129"/>
      <c r="W247" s="1129"/>
      <c r="X247" s="1129"/>
      <c r="Y247" s="1463"/>
      <c r="Z247" s="593"/>
      <c r="AA247" s="1128"/>
      <c r="AB247" s="1129"/>
      <c r="AC247" s="1129"/>
      <c r="AD247" s="1129"/>
      <c r="AE247" s="1463"/>
      <c r="AF247" s="592"/>
      <c r="AG247" s="1128"/>
      <c r="AH247" s="1129"/>
      <c r="AI247" s="1129"/>
      <c r="AJ247" s="1129"/>
      <c r="AK247" s="1463"/>
      <c r="AL247" s="601"/>
      <c r="AM247" s="1128"/>
      <c r="AN247" s="1129"/>
      <c r="AO247" s="1129"/>
      <c r="AP247" s="1129"/>
      <c r="AQ247" s="1463"/>
      <c r="AR247" s="601"/>
      <c r="AS247" s="909">
        <v>0</v>
      </c>
      <c r="AT247" s="910">
        <v>0</v>
      </c>
      <c r="AU247" s="910">
        <v>0</v>
      </c>
      <c r="AV247" s="910">
        <v>0</v>
      </c>
      <c r="AW247" s="996"/>
      <c r="AX247" s="592"/>
      <c r="AY247" s="909">
        <v>0</v>
      </c>
      <c r="AZ247" s="910">
        <v>0</v>
      </c>
      <c r="BA247" s="910">
        <v>0</v>
      </c>
      <c r="BB247" s="910">
        <v>0</v>
      </c>
      <c r="BC247" s="1106">
        <v>0</v>
      </c>
      <c r="BD247" s="601"/>
      <c r="BE247" s="909">
        <v>0</v>
      </c>
      <c r="BF247" s="910">
        <v>0</v>
      </c>
      <c r="BG247" s="910">
        <v>0</v>
      </c>
      <c r="BH247" s="910">
        <v>0</v>
      </c>
      <c r="BI247" s="1106">
        <v>0</v>
      </c>
      <c r="BJ247" s="601"/>
      <c r="BK247" s="909">
        <v>0</v>
      </c>
      <c r="BL247" s="910">
        <v>0</v>
      </c>
      <c r="BM247" s="910">
        <v>0</v>
      </c>
      <c r="BN247" s="910">
        <v>0</v>
      </c>
      <c r="BO247" s="1106">
        <v>0</v>
      </c>
      <c r="BP247" s="601"/>
      <c r="BQ247" s="909">
        <v>0</v>
      </c>
      <c r="BR247" s="910">
        <v>0</v>
      </c>
      <c r="BS247" s="910">
        <v>0</v>
      </c>
      <c r="BT247" s="910">
        <v>0</v>
      </c>
      <c r="BU247" s="1106">
        <v>0</v>
      </c>
      <c r="BV247" s="601"/>
      <c r="BW247" s="909">
        <v>0</v>
      </c>
      <c r="BX247" s="910">
        <v>0</v>
      </c>
      <c r="BY247" s="910">
        <v>0</v>
      </c>
      <c r="BZ247" s="910">
        <v>0</v>
      </c>
      <c r="CA247" s="1259">
        <f>+CA246-RevBuild!CA$59</f>
        <v>-0.78381450459974267</v>
      </c>
      <c r="CB247" s="601"/>
      <c r="CC247" s="909">
        <v>0</v>
      </c>
      <c r="CD247" s="910">
        <v>0</v>
      </c>
      <c r="CE247" s="910">
        <v>0</v>
      </c>
      <c r="CF247" s="910">
        <v>0</v>
      </c>
      <c r="CG247" s="1259">
        <f>+CG246-RevBuild!CG$59</f>
        <v>0.25517961478061935</v>
      </c>
      <c r="CH247" s="601"/>
      <c r="CI247" s="909">
        <v>0</v>
      </c>
      <c r="CJ247" s="910">
        <v>0</v>
      </c>
      <c r="CK247" s="910">
        <v>0</v>
      </c>
      <c r="CL247" s="910">
        <v>0</v>
      </c>
      <c r="CM247" s="1259">
        <f>+CM246-RevBuild!CM$59</f>
        <v>-1.2590412442577831E-4</v>
      </c>
      <c r="CN247" s="601"/>
      <c r="CO247" s="909">
        <v>0</v>
      </c>
      <c r="CP247" s="910">
        <v>0</v>
      </c>
      <c r="CQ247" s="910">
        <v>0</v>
      </c>
      <c r="CR247" s="910">
        <v>0</v>
      </c>
      <c r="CS247" s="1259">
        <f>+CS246-RevBuild!CS$59</f>
        <v>-2.2204460492503131E-15</v>
      </c>
      <c r="CT247" s="601"/>
      <c r="CU247" s="909">
        <v>0</v>
      </c>
      <c r="CV247" s="910">
        <v>0</v>
      </c>
      <c r="CW247" s="910">
        <v>0</v>
      </c>
      <c r="CX247" s="910">
        <v>0</v>
      </c>
      <c r="CY247" s="1259">
        <f>+CY246-RevBuild!CY$59</f>
        <v>0</v>
      </c>
      <c r="CZ247" s="48"/>
      <c r="DA247"/>
      <c r="DB247"/>
      <c r="DC247"/>
      <c r="DD247" s="48"/>
      <c r="DE247" s="48"/>
      <c r="DF247" s="48"/>
      <c r="DG247" s="48"/>
      <c r="DH247" s="48"/>
      <c r="DI247" s="48"/>
      <c r="DJ247" s="48"/>
      <c r="DK247" s="48"/>
    </row>
    <row r="248" spans="1:115" s="5" customFormat="1" outlineLevel="1" x14ac:dyDescent="0.2">
      <c r="A248" s="1256" t="s">
        <v>560</v>
      </c>
      <c r="B248" s="590"/>
      <c r="C248" s="1128"/>
      <c r="D248" s="1129"/>
      <c r="E248" s="1129"/>
      <c r="F248" s="1129"/>
      <c r="G248" s="1463"/>
      <c r="H248" s="592"/>
      <c r="I248" s="1128"/>
      <c r="J248" s="1129"/>
      <c r="K248" s="1129"/>
      <c r="L248" s="1129"/>
      <c r="M248" s="1463"/>
      <c r="N248" s="592"/>
      <c r="O248" s="1128"/>
      <c r="P248" s="1129"/>
      <c r="Q248" s="1129"/>
      <c r="R248" s="1129"/>
      <c r="S248" s="1463"/>
      <c r="T248" s="591"/>
      <c r="U248" s="1128"/>
      <c r="V248" s="1129"/>
      <c r="W248" s="1129"/>
      <c r="X248" s="1129"/>
      <c r="Y248" s="1463"/>
      <c r="Z248" s="593"/>
      <c r="AA248" s="1128"/>
      <c r="AB248" s="1129"/>
      <c r="AC248" s="1129"/>
      <c r="AD248" s="1129"/>
      <c r="AE248" s="1463"/>
      <c r="AF248" s="592"/>
      <c r="AG248" s="1128"/>
      <c r="AH248" s="1129"/>
      <c r="AI248" s="1129"/>
      <c r="AJ248" s="1129"/>
      <c r="AK248" s="1463"/>
      <c r="AL248" s="601"/>
      <c r="AM248" s="1128"/>
      <c r="AN248" s="1129"/>
      <c r="AO248" s="1129"/>
      <c r="AP248" s="1129"/>
      <c r="AQ248" s="1463"/>
      <c r="AR248" s="601"/>
      <c r="AS248" s="656">
        <f>+(AS245*AS242*AS244)/1000</f>
        <v>0</v>
      </c>
      <c r="AT248" s="654">
        <f>+(AT245*AT242*AT244)/1000</f>
        <v>0</v>
      </c>
      <c r="AU248" s="654">
        <f>+(AU245*AU242*AU244)/1000</f>
        <v>0</v>
      </c>
      <c r="AV248" s="654">
        <f>+(AV245*AV242*AV244)/1000</f>
        <v>0</v>
      </c>
      <c r="AW248" s="655">
        <f>+SUM(AS248:AV248)</f>
        <v>0</v>
      </c>
      <c r="AX248" s="592"/>
      <c r="AY248" s="656">
        <f>+(AY245*AY242*AY244)/1000</f>
        <v>0</v>
      </c>
      <c r="AZ248" s="654">
        <f>+(AZ245*AZ242*AZ244)/1000</f>
        <v>0</v>
      </c>
      <c r="BA248" s="654">
        <f>+(BA245*BA242*BA244)/1000</f>
        <v>0</v>
      </c>
      <c r="BB248" s="654">
        <f>+(BB245*BB242*BB244)/1000</f>
        <v>0</v>
      </c>
      <c r="BC248" s="655">
        <f>+SUM(AY248:BB248)</f>
        <v>0</v>
      </c>
      <c r="BD248" s="601"/>
      <c r="BE248" s="656">
        <f>+(BE245*BE242*BE244)/1000</f>
        <v>0</v>
      </c>
      <c r="BF248" s="654">
        <f>+(BF245*BF242*BF244)/1000</f>
        <v>0</v>
      </c>
      <c r="BG248" s="654">
        <f>+(BG245*BG242*BG244)/1000</f>
        <v>0</v>
      </c>
      <c r="BH248" s="654">
        <f>+(BH245*BH242*BH244)/1000</f>
        <v>0</v>
      </c>
      <c r="BI248" s="655">
        <f>+SUM(BE248:BH248)</f>
        <v>0</v>
      </c>
      <c r="BJ248" s="601"/>
      <c r="BK248" s="656">
        <f>+(BK245*BK242*BK244)/1000</f>
        <v>0</v>
      </c>
      <c r="BL248" s="654">
        <f>+(BL245*BL242*BL244)/1000</f>
        <v>0</v>
      </c>
      <c r="BM248" s="654">
        <f>+(BM245*BM242*BM244)/1000</f>
        <v>0</v>
      </c>
      <c r="BN248" s="654">
        <f>+(BN245*BN242*BN244)/1000</f>
        <v>0</v>
      </c>
      <c r="BO248" s="655">
        <f>+SUM(BK248:BN248)</f>
        <v>0</v>
      </c>
      <c r="BP248" s="601"/>
      <c r="BQ248" s="656">
        <f>+(BQ245*BQ242*BQ244)/1000</f>
        <v>0</v>
      </c>
      <c r="BR248" s="654">
        <f>+(BR245*BR242*BR244)/1000</f>
        <v>0</v>
      </c>
      <c r="BS248" s="654">
        <f>+(BS245*BS242*BS244)/1000</f>
        <v>0</v>
      </c>
      <c r="BT248" s="654">
        <f>+(BT245*BT242*BT244)/1000</f>
        <v>0</v>
      </c>
      <c r="BU248" s="655">
        <f>+SUM(BQ248:BT248)</f>
        <v>0</v>
      </c>
      <c r="BV248" s="601"/>
      <c r="BW248" s="656">
        <f>+(BW245*BW242*BW244)/1000</f>
        <v>0.15</v>
      </c>
      <c r="BX248" s="654">
        <f>+(BX245*BX242*BX244)/1000</f>
        <v>0.3</v>
      </c>
      <c r="BY248" s="654">
        <f>+(BY245*BY242*BY244)/1000</f>
        <v>0.6</v>
      </c>
      <c r="BZ248" s="654">
        <f>+(BZ245*BZ242*BZ244)/1000</f>
        <v>0.72726972740315643</v>
      </c>
      <c r="CA248" s="655">
        <f>+SUM(BW248:BZ248)</f>
        <v>1.7772697274031564</v>
      </c>
      <c r="CB248" s="601"/>
      <c r="CC248" s="656">
        <f>+(CC245*CC242*CC244)/1000</f>
        <v>0.91712790716672432</v>
      </c>
      <c r="CD248" s="654">
        <f>+(CD245*CD242*CD244)/1000</f>
        <v>0.9163452866523929</v>
      </c>
      <c r="CE248" s="654">
        <f>+(CE245*CE242*CE244)/1000</f>
        <v>0.94305563244607793</v>
      </c>
      <c r="CF248" s="654">
        <f>+(CF245*CF242*CF244)/1000</f>
        <v>0.93043581916804086</v>
      </c>
      <c r="CG248" s="655">
        <f>+SUM(CC248:CF248)</f>
        <v>3.7069646454332359</v>
      </c>
      <c r="CH248" s="601"/>
      <c r="CI248" s="656">
        <f>+(CI245*CI242*CI244)/1000</f>
        <v>0.7703874420200485</v>
      </c>
      <c r="CJ248" s="654">
        <f>+(CJ245*CJ242*CJ244)/1000</f>
        <v>0.76606465964140047</v>
      </c>
      <c r="CK248" s="654">
        <f>+(CK245*CK242*CK244)/1000</f>
        <v>0.77330561860578384</v>
      </c>
      <c r="CL248" s="654">
        <f>+(CL245*CL242*CL244)/1000</f>
        <v>0.75923562844112147</v>
      </c>
      <c r="CM248" s="655">
        <f>+SUM(CI248:CL248)</f>
        <v>3.0689933487083545</v>
      </c>
      <c r="CN248" s="601"/>
      <c r="CO248" s="656">
        <f>+(CO245*CO242*CO244)/1000</f>
        <v>0.96298430252506062</v>
      </c>
      <c r="CP248" s="654">
        <f>+(CP245*CP242*CP244)/1000</f>
        <v>0.95758082455175053</v>
      </c>
      <c r="CQ248" s="654">
        <f>+(CQ245*CQ242*CQ244)/1000</f>
        <v>0.96663202325722974</v>
      </c>
      <c r="CR248" s="654">
        <f>+(CR245*CR242*CR244)/1000</f>
        <v>0.94904453555140178</v>
      </c>
      <c r="CS248" s="655">
        <f>+SUM(CO248:CR248)</f>
        <v>3.8362416858854425</v>
      </c>
      <c r="CT248" s="601"/>
      <c r="CU248" s="656">
        <f>+(CU245*CU242*CU244)/1000</f>
        <v>0.96298430252506062</v>
      </c>
      <c r="CV248" s="654">
        <f>+(CV245*CV242*CV244)/1000</f>
        <v>0.95758082455175053</v>
      </c>
      <c r="CW248" s="654">
        <f>+(CW245*CW242*CW244)/1000</f>
        <v>0.96663202325722974</v>
      </c>
      <c r="CX248" s="654">
        <f>+(CX245*CX242*CX244)/1000</f>
        <v>0.94904453555140178</v>
      </c>
      <c r="CY248" s="655">
        <f>+SUM(CU248:CX248)</f>
        <v>3.8362416858854425</v>
      </c>
      <c r="CZ248" s="48"/>
      <c r="DA248"/>
      <c r="DB248"/>
      <c r="DC248"/>
      <c r="DD248" s="48"/>
      <c r="DE248" s="48"/>
      <c r="DF248" s="48"/>
      <c r="DG248" s="48"/>
      <c r="DH248" s="48"/>
      <c r="DI248" s="48"/>
      <c r="DJ248" s="48"/>
      <c r="DK248" s="48"/>
    </row>
    <row r="249" spans="1:115" s="5" customFormat="1" x14ac:dyDescent="0.2">
      <c r="A249" s="432" t="s">
        <v>437</v>
      </c>
      <c r="B249" s="590"/>
      <c r="C249" s="1128"/>
      <c r="D249" s="1129"/>
      <c r="E249" s="1129"/>
      <c r="F249" s="1129"/>
      <c r="G249" s="1463"/>
      <c r="H249" s="592"/>
      <c r="I249" s="1128"/>
      <c r="J249" s="1129"/>
      <c r="K249" s="1129"/>
      <c r="L249" s="1129"/>
      <c r="M249" s="1463"/>
      <c r="N249" s="592"/>
      <c r="O249" s="1128"/>
      <c r="P249" s="1129"/>
      <c r="Q249" s="1129"/>
      <c r="R249" s="1129"/>
      <c r="S249" s="1463"/>
      <c r="T249" s="591"/>
      <c r="U249" s="1128"/>
      <c r="V249" s="1129"/>
      <c r="W249" s="1129"/>
      <c r="X249" s="1129"/>
      <c r="Y249" s="1463"/>
      <c r="Z249" s="593"/>
      <c r="AA249" s="1128"/>
      <c r="AB249" s="1129"/>
      <c r="AC249" s="1129"/>
      <c r="AD249" s="1129"/>
      <c r="AE249" s="1463"/>
      <c r="AF249" s="592"/>
      <c r="AG249" s="1128"/>
      <c r="AH249" s="1129"/>
      <c r="AI249" s="1129"/>
      <c r="AJ249" s="1129"/>
      <c r="AK249" s="1463"/>
      <c r="AL249" s="601"/>
      <c r="AM249" s="1128"/>
      <c r="AN249" s="1129"/>
      <c r="AO249" s="1129"/>
      <c r="AP249" s="1129"/>
      <c r="AQ249" s="1463"/>
      <c r="AR249" s="601"/>
      <c r="AS249" s="53">
        <v>0</v>
      </c>
      <c r="AT249" s="51">
        <v>0</v>
      </c>
      <c r="AU249" s="51">
        <v>0</v>
      </c>
      <c r="AV249" s="51">
        <v>0</v>
      </c>
      <c r="AW249" s="6"/>
      <c r="AX249" s="592"/>
      <c r="AY249" s="53">
        <v>0</v>
      </c>
      <c r="AZ249" s="51">
        <v>0</v>
      </c>
      <c r="BA249" s="51">
        <v>0</v>
      </c>
      <c r="BB249" s="51">
        <v>0</v>
      </c>
      <c r="BC249" s="1263">
        <v>0</v>
      </c>
      <c r="BD249" s="601"/>
      <c r="BE249" s="53">
        <v>0</v>
      </c>
      <c r="BF249" s="51">
        <v>0</v>
      </c>
      <c r="BG249" s="51">
        <v>0</v>
      </c>
      <c r="BH249" s="51">
        <v>0</v>
      </c>
      <c r="BI249" s="1263">
        <v>0</v>
      </c>
      <c r="BJ249" s="601"/>
      <c r="BK249" s="53">
        <v>0</v>
      </c>
      <c r="BL249" s="51">
        <v>0</v>
      </c>
      <c r="BM249" s="51">
        <v>0</v>
      </c>
      <c r="BN249" s="51">
        <v>0</v>
      </c>
      <c r="BO249" s="1263">
        <v>0</v>
      </c>
      <c r="BP249" s="601"/>
      <c r="BQ249" s="53">
        <v>70</v>
      </c>
      <c r="BR249" s="51">
        <v>70</v>
      </c>
      <c r="BS249" s="51">
        <v>70</v>
      </c>
      <c r="BT249" s="51">
        <v>70</v>
      </c>
      <c r="BU249" s="655">
        <f>+BT249</f>
        <v>70</v>
      </c>
      <c r="BV249" s="601"/>
      <c r="BW249" s="19">
        <f>+BQ249*(1+BW250)</f>
        <v>89.587985866788969</v>
      </c>
      <c r="BX249" s="20">
        <f>+BR249*(1+BX250)</f>
        <v>89.937196233597106</v>
      </c>
      <c r="BY249" s="20">
        <f>+BS249*(1+BY250)</f>
        <v>90.418370522728523</v>
      </c>
      <c r="BZ249" s="20">
        <f>+BT249*(1+BZ250)</f>
        <v>88.878507890961259</v>
      </c>
      <c r="CA249" s="655">
        <f>+SUMPRODUCT(BW249:BZ249,BW243:BZ243)/(CA243*4)</f>
        <v>63.379419290765142</v>
      </c>
      <c r="CB249" s="601"/>
      <c r="CC249" s="19">
        <f>+BW249*(1+CC250)</f>
        <v>114.51761387767962</v>
      </c>
      <c r="CD249" s="20">
        <f>+BX249*(1+CD250)</f>
        <v>114.88891979102638</v>
      </c>
      <c r="CE249" s="20">
        <f>+BY249*(1+CE250)</f>
        <v>118.07970166141116</v>
      </c>
      <c r="CF249" s="20">
        <f>+BZ249*(1+CF250)</f>
        <v>117.62924961003141</v>
      </c>
      <c r="CG249" s="655">
        <f>+SUMPRODUCT(CC249:CF249,CC243:CF243)/(CG243*4)</f>
        <v>116.63471467445306</v>
      </c>
      <c r="CH249" s="601"/>
      <c r="CI249" s="19">
        <f>+CC249*(1+CI250)</f>
        <v>131.69525595933155</v>
      </c>
      <c r="CJ249" s="20">
        <f>+CD249*(1+CJ250)</f>
        <v>131.54781316072521</v>
      </c>
      <c r="CK249" s="20">
        <f>+CE249*(1+CK250)</f>
        <v>132.83966436908756</v>
      </c>
      <c r="CL249" s="20">
        <f>+CF249*(1+CL250)</f>
        <v>131.74475956323519</v>
      </c>
      <c r="CM249" s="655">
        <f>+SUMPRODUCT(CI249:CL249,CI243:CL243)/(CM243*4)</f>
        <v>131.97487778834579</v>
      </c>
      <c r="CN249" s="601"/>
      <c r="CO249" s="19">
        <f>+CI249*(1+CO250)</f>
        <v>144.86478155526473</v>
      </c>
      <c r="CP249" s="20">
        <f>+CJ249*(1+CP250)</f>
        <v>144.70259447679774</v>
      </c>
      <c r="CQ249" s="20">
        <f>+CK249*(1+CQ250)</f>
        <v>146.12363080599633</v>
      </c>
      <c r="CR249" s="20">
        <f>+CL249*(1+CR250)</f>
        <v>144.91923551955873</v>
      </c>
      <c r="CS249" s="655">
        <f>+SUMPRODUCT(CO249:CR249,CO243:CR243)/(CS243*4)</f>
        <v>145.16963384610781</v>
      </c>
      <c r="CT249" s="601"/>
      <c r="CU249" s="19">
        <f>+CO249*(1+CU250)</f>
        <v>159.35125971079123</v>
      </c>
      <c r="CV249" s="20">
        <f>+CP249*(1+CV250)</f>
        <v>159.17285392447752</v>
      </c>
      <c r="CW249" s="20">
        <f>+CQ249*(1+CW250)</f>
        <v>160.73599388659596</v>
      </c>
      <c r="CX249" s="20">
        <f>+CR249*(1+CX250)</f>
        <v>159.41115907151462</v>
      </c>
      <c r="CY249" s="655">
        <f>+SUMPRODUCT(CU249:CX249,CU243:CX243)/(CY243*4)</f>
        <v>159.68178169677665</v>
      </c>
      <c r="CZ249" s="48"/>
      <c r="DA249"/>
      <c r="DB249"/>
      <c r="DC249"/>
      <c r="DD249" s="48"/>
      <c r="DE249" s="48"/>
      <c r="DF249" s="48"/>
      <c r="DG249" s="48"/>
      <c r="DH249" s="48"/>
      <c r="DI249" s="48"/>
      <c r="DJ249" s="48"/>
      <c r="DK249" s="48"/>
    </row>
    <row r="250" spans="1:115" s="5" customFormat="1" x14ac:dyDescent="0.2">
      <c r="A250" s="1139" t="s">
        <v>639</v>
      </c>
      <c r="B250" s="590"/>
      <c r="C250" s="1128"/>
      <c r="D250" s="1129"/>
      <c r="E250" s="1129"/>
      <c r="F250" s="1129"/>
      <c r="G250" s="1463"/>
      <c r="H250" s="592"/>
      <c r="I250" s="1128"/>
      <c r="J250" s="1129"/>
      <c r="K250" s="1129"/>
      <c r="L250" s="1129"/>
      <c r="M250" s="1463"/>
      <c r="N250" s="592"/>
      <c r="O250" s="1128"/>
      <c r="P250" s="1129"/>
      <c r="Q250" s="1129"/>
      <c r="R250" s="1129"/>
      <c r="S250" s="1463"/>
      <c r="T250" s="591"/>
      <c r="U250" s="1128"/>
      <c r="V250" s="1129"/>
      <c r="W250" s="1129"/>
      <c r="X250" s="1129"/>
      <c r="Y250" s="1463"/>
      <c r="Z250" s="593"/>
      <c r="AA250" s="1128"/>
      <c r="AB250" s="1129"/>
      <c r="AC250" s="1129"/>
      <c r="AD250" s="1129"/>
      <c r="AE250" s="1463"/>
      <c r="AF250" s="592"/>
      <c r="AG250" s="1128"/>
      <c r="AH250" s="1129"/>
      <c r="AI250" s="1129"/>
      <c r="AJ250" s="1129"/>
      <c r="AK250" s="1463"/>
      <c r="AL250" s="601"/>
      <c r="AM250" s="1128"/>
      <c r="AN250" s="1129"/>
      <c r="AO250" s="1129"/>
      <c r="AP250" s="1129"/>
      <c r="AQ250" s="1463"/>
      <c r="AR250" s="601"/>
      <c r="AS250" s="1109">
        <f>+AS251+RevBuild!AS$59</f>
        <v>1.9625516333540132E-2</v>
      </c>
      <c r="AT250" s="1110">
        <f>+AT251+RevBuild!AT$59</f>
        <v>6.4068012089008045E-2</v>
      </c>
      <c r="AU250" s="1110">
        <f>+AU251+RevBuild!AU$59</f>
        <v>4.3106442546396957E-2</v>
      </c>
      <c r="AV250" s="1110">
        <f>+AV251+RevBuild!AV$59</f>
        <v>-8.3011690999609811E-4</v>
      </c>
      <c r="AW250" s="996"/>
      <c r="AX250" s="592"/>
      <c r="AY250" s="1109">
        <f>+AY251+RevBuild!AY$59</f>
        <v>-8.3153274175541414E-3</v>
      </c>
      <c r="AZ250" s="1110">
        <f>+AZ251+RevBuild!AZ$59</f>
        <v>-5.127554690850078E-2</v>
      </c>
      <c r="BA250" s="1110">
        <f>+BA251+RevBuild!BA$59</f>
        <v>-4.6677743738858052E-2</v>
      </c>
      <c r="BB250" s="1110">
        <f>+BB251+RevBuild!BB$59</f>
        <v>-3.782070450332374E-3</v>
      </c>
      <c r="BC250" s="1106">
        <v>0</v>
      </c>
      <c r="BD250" s="601"/>
      <c r="BE250" s="1109">
        <f>+BE251+RevBuild!BE$59</f>
        <v>-5.8654890662636905E-3</v>
      </c>
      <c r="BF250" s="1110">
        <f>+BF251+RevBuild!BF$59</f>
        <v>-5.660567749418699E-5</v>
      </c>
      <c r="BG250" s="1110">
        <f>+BG251+RevBuild!BG$59</f>
        <v>-5.8438852538213321E-3</v>
      </c>
      <c r="BH250" s="1110">
        <f>+BH251+RevBuild!BH$59</f>
        <v>-3.6752738563822912E-3</v>
      </c>
      <c r="BI250" s="1106">
        <v>0</v>
      </c>
      <c r="BJ250" s="601"/>
      <c r="BK250" s="1109">
        <f>+BK251+RevBuild!BK$59</f>
        <v>-4.5517432208081604E-3</v>
      </c>
      <c r="BL250" s="1110">
        <f>+BL251+RevBuild!BL$59</f>
        <v>6.8534695270723658E-3</v>
      </c>
      <c r="BM250" s="1110">
        <f>+BM251+RevBuild!BM$59</f>
        <v>-1.9888144627576432E-5</v>
      </c>
      <c r="BN250" s="1110">
        <f>+BN251+RevBuild!BN$59</f>
        <v>-4.7895403836341902E-2</v>
      </c>
      <c r="BO250" s="1106">
        <v>0</v>
      </c>
      <c r="BP250" s="601"/>
      <c r="BQ250" s="1109">
        <f>+BQ251+RevBuild!BQ$59</f>
        <v>-7.8744757745617941E-2</v>
      </c>
      <c r="BR250" s="1110">
        <f>+BR251+RevBuild!BR$59</f>
        <v>-8.4566678843245036E-2</v>
      </c>
      <c r="BS250" s="1110">
        <f>+BS251+RevBuild!BS$59</f>
        <v>-8.8999999999999996E-2</v>
      </c>
      <c r="BT250" s="1110">
        <f>+BT251+RevBuild!BT$59</f>
        <v>-6.3E-2</v>
      </c>
      <c r="BU250" s="1106">
        <v>0</v>
      </c>
      <c r="BV250" s="601"/>
      <c r="BW250" s="1109">
        <f>+BW251+RevBuild!BW$59</f>
        <v>0.27982836952555673</v>
      </c>
      <c r="BX250" s="1110">
        <f>+BX251+RevBuild!BX$59</f>
        <v>0.28481708905138725</v>
      </c>
      <c r="BY250" s="1110">
        <f>+BY251+RevBuild!BY$59</f>
        <v>0.29169100746755017</v>
      </c>
      <c r="BZ250" s="1110">
        <f>+BZ251+RevBuild!BZ$59</f>
        <v>0.26969296987087521</v>
      </c>
      <c r="CA250" s="1106">
        <v>0</v>
      </c>
      <c r="CB250" s="601"/>
      <c r="CC250" s="1109">
        <f>+CC251+RevBuild!CC$59</f>
        <v>0.27826976764450595</v>
      </c>
      <c r="CD250" s="1110">
        <f>+CD251+RevBuild!CD$59</f>
        <v>0.27743497242921911</v>
      </c>
      <c r="CE250" s="1110">
        <f>+CE251+RevBuild!CE$59</f>
        <v>0.30592600794248326</v>
      </c>
      <c r="CF250" s="1110">
        <f>+CF251+RevBuild!CF$59</f>
        <v>0.32348362277123721</v>
      </c>
      <c r="CG250" s="707">
        <f>+CG249/CA249-1</f>
        <v>0.84026164928033076</v>
      </c>
      <c r="CH250" s="601"/>
      <c r="CI250" s="1109">
        <f>+CI251+RevBuild!CI$59</f>
        <v>0.15000000000000002</v>
      </c>
      <c r="CJ250" s="1110">
        <f>+CJ251+RevBuild!CJ$59</f>
        <v>0.14500000000000002</v>
      </c>
      <c r="CK250" s="1110">
        <f>+CK251+RevBuild!CK$59</f>
        <v>0.125</v>
      </c>
      <c r="CL250" s="1110">
        <f>+CL251+RevBuild!CL$59</f>
        <v>0.12000000000000001</v>
      </c>
      <c r="CM250" s="707">
        <f>+CM249/CG249-1</f>
        <v>0.13152313320017694</v>
      </c>
      <c r="CN250" s="601"/>
      <c r="CO250" s="1109">
        <f>+CO251+RevBuild!CO$59</f>
        <v>0.1</v>
      </c>
      <c r="CP250" s="1110">
        <f>+CP251+RevBuild!CP$59</f>
        <v>0.1</v>
      </c>
      <c r="CQ250" s="1110">
        <f>+CQ251+RevBuild!CQ$59</f>
        <v>0.1</v>
      </c>
      <c r="CR250" s="1110">
        <f>+CR251+RevBuild!CR$59</f>
        <v>0.1</v>
      </c>
      <c r="CS250" s="707">
        <f>+CS249/CM249-1</f>
        <v>9.9979301203999338E-2</v>
      </c>
      <c r="CT250" s="601"/>
      <c r="CU250" s="1109">
        <f>+CU251+RevBuild!CU$59</f>
        <v>0.1</v>
      </c>
      <c r="CV250" s="1110">
        <f>+CV251+RevBuild!CV$59</f>
        <v>0.1</v>
      </c>
      <c r="CW250" s="1110">
        <f>+CW251+RevBuild!CW$59</f>
        <v>0.1</v>
      </c>
      <c r="CX250" s="1110">
        <f>+CX251+RevBuild!CX$59</f>
        <v>0.1</v>
      </c>
      <c r="CY250" s="707">
        <f>+CY249/CS249-1</f>
        <v>9.9966828228367222E-2</v>
      </c>
      <c r="CZ250" s="48"/>
      <c r="DA250"/>
      <c r="DB250"/>
      <c r="DC250"/>
      <c r="DD250" s="48"/>
      <c r="DE250" s="48"/>
      <c r="DF250" s="48"/>
      <c r="DG250" s="48"/>
      <c r="DH250" s="48"/>
      <c r="DI250" s="48"/>
      <c r="DJ250" s="48"/>
      <c r="DK250" s="48"/>
    </row>
    <row r="251" spans="1:115" s="5" customFormat="1" x14ac:dyDescent="0.2">
      <c r="A251" s="1139" t="s">
        <v>227</v>
      </c>
      <c r="B251" s="590"/>
      <c r="C251" s="1128"/>
      <c r="D251" s="1129"/>
      <c r="E251" s="1129"/>
      <c r="F251" s="1129"/>
      <c r="G251" s="1463"/>
      <c r="H251" s="592"/>
      <c r="I251" s="1128"/>
      <c r="J251" s="1129"/>
      <c r="K251" s="1129"/>
      <c r="L251" s="1129"/>
      <c r="M251" s="1463"/>
      <c r="N251" s="592"/>
      <c r="O251" s="1128"/>
      <c r="P251" s="1129"/>
      <c r="Q251" s="1129"/>
      <c r="R251" s="1129"/>
      <c r="S251" s="1463"/>
      <c r="T251" s="591"/>
      <c r="U251" s="1128"/>
      <c r="V251" s="1129"/>
      <c r="W251" s="1129"/>
      <c r="X251" s="1129"/>
      <c r="Y251" s="1463"/>
      <c r="Z251" s="593"/>
      <c r="AA251" s="1128"/>
      <c r="AB251" s="1129"/>
      <c r="AC251" s="1129"/>
      <c r="AD251" s="1129"/>
      <c r="AE251" s="1463"/>
      <c r="AF251" s="592"/>
      <c r="AG251" s="1128"/>
      <c r="AH251" s="1129"/>
      <c r="AI251" s="1129"/>
      <c r="AJ251" s="1129"/>
      <c r="AK251" s="1463"/>
      <c r="AL251" s="601"/>
      <c r="AM251" s="1128"/>
      <c r="AN251" s="1129"/>
      <c r="AO251" s="1129"/>
      <c r="AP251" s="1129"/>
      <c r="AQ251" s="1463"/>
      <c r="AR251" s="601"/>
      <c r="AS251" s="909">
        <v>0</v>
      </c>
      <c r="AT251" s="910">
        <v>0</v>
      </c>
      <c r="AU251" s="910">
        <v>0</v>
      </c>
      <c r="AV251" s="910">
        <v>0</v>
      </c>
      <c r="AW251" s="6"/>
      <c r="AX251" s="592"/>
      <c r="AY251" s="909">
        <v>0</v>
      </c>
      <c r="AZ251" s="910">
        <v>0</v>
      </c>
      <c r="BA251" s="910">
        <v>0</v>
      </c>
      <c r="BB251" s="910">
        <v>0</v>
      </c>
      <c r="BC251" s="1106">
        <v>0</v>
      </c>
      <c r="BD251" s="601"/>
      <c r="BE251" s="909">
        <v>0</v>
      </c>
      <c r="BF251" s="910">
        <v>0</v>
      </c>
      <c r="BG251" s="910">
        <v>0</v>
      </c>
      <c r="BH251" s="910">
        <v>0</v>
      </c>
      <c r="BI251" s="1106">
        <v>0</v>
      </c>
      <c r="BJ251" s="601"/>
      <c r="BK251" s="909">
        <v>0</v>
      </c>
      <c r="BL251" s="910">
        <v>0</v>
      </c>
      <c r="BM251" s="910">
        <v>0</v>
      </c>
      <c r="BN251" s="910">
        <v>0</v>
      </c>
      <c r="BO251" s="1106">
        <v>0</v>
      </c>
      <c r="BP251" s="601"/>
      <c r="BQ251" s="909">
        <v>0</v>
      </c>
      <c r="BR251" s="910">
        <v>0</v>
      </c>
      <c r="BS251" s="910">
        <v>0</v>
      </c>
      <c r="BT251" s="910">
        <v>0</v>
      </c>
      <c r="BU251" s="1106">
        <v>0</v>
      </c>
      <c r="BV251" s="601"/>
      <c r="BW251" s="909">
        <v>0.3</v>
      </c>
      <c r="BX251" s="910">
        <v>0.3</v>
      </c>
      <c r="BY251" s="910">
        <v>0.3</v>
      </c>
      <c r="BZ251" s="910">
        <v>0.3</v>
      </c>
      <c r="CA251" s="1106">
        <v>0</v>
      </c>
      <c r="CB251" s="601"/>
      <c r="CC251" s="909">
        <v>0.3</v>
      </c>
      <c r="CD251" s="910">
        <v>0.3</v>
      </c>
      <c r="CE251" s="910">
        <v>0.3</v>
      </c>
      <c r="CF251" s="910">
        <v>0.3</v>
      </c>
      <c r="CG251" s="1259">
        <f>+CG250-RevBuild!CG$59</f>
        <v>0.84398305658346939</v>
      </c>
      <c r="CH251" s="601"/>
      <c r="CI251" s="909">
        <v>0.1</v>
      </c>
      <c r="CJ251" s="910">
        <v>0.1</v>
      </c>
      <c r="CK251" s="910">
        <v>0.1</v>
      </c>
      <c r="CL251" s="910">
        <v>0.1</v>
      </c>
      <c r="CM251" s="1259">
        <f>+CM250-RevBuild!CM$59</f>
        <v>9.6523133200176942E-2</v>
      </c>
      <c r="CN251" s="601"/>
      <c r="CO251" s="909">
        <v>0.1</v>
      </c>
      <c r="CP251" s="910">
        <v>0.1</v>
      </c>
      <c r="CQ251" s="910">
        <v>0.1</v>
      </c>
      <c r="CR251" s="910">
        <v>0.1</v>
      </c>
      <c r="CS251" s="1259">
        <f>+CS250-RevBuild!CS$59</f>
        <v>9.9979301203999338E-2</v>
      </c>
      <c r="CT251" s="601"/>
      <c r="CU251" s="909">
        <v>0.1</v>
      </c>
      <c r="CV251" s="910">
        <v>0.1</v>
      </c>
      <c r="CW251" s="910">
        <v>0.1</v>
      </c>
      <c r="CX251" s="910">
        <v>0.1</v>
      </c>
      <c r="CY251" s="1259">
        <f>+CY250-RevBuild!CY$59</f>
        <v>9.9966828228367222E-2</v>
      </c>
      <c r="CZ251" s="48"/>
      <c r="DA251"/>
      <c r="DB251"/>
      <c r="DC251"/>
      <c r="DD251" s="48"/>
      <c r="DE251" s="48"/>
      <c r="DF251" s="48"/>
      <c r="DG251" s="48"/>
      <c r="DH251" s="48"/>
      <c r="DI251" s="48"/>
      <c r="DJ251" s="48"/>
      <c r="DK251" s="48"/>
    </row>
    <row r="252" spans="1:115" s="5" customFormat="1" outlineLevel="1" x14ac:dyDescent="0.2">
      <c r="A252" s="354" t="s">
        <v>561</v>
      </c>
      <c r="B252" s="590"/>
      <c r="C252" s="1128"/>
      <c r="D252" s="1129"/>
      <c r="E252" s="1129"/>
      <c r="F252" s="1129"/>
      <c r="G252" s="1463"/>
      <c r="H252" s="592"/>
      <c r="I252" s="1128"/>
      <c r="J252" s="1129"/>
      <c r="K252" s="1129"/>
      <c r="L252" s="1129"/>
      <c r="M252" s="1463"/>
      <c r="N252" s="592"/>
      <c r="O252" s="1128"/>
      <c r="P252" s="1129"/>
      <c r="Q252" s="1129"/>
      <c r="R252" s="1129"/>
      <c r="S252" s="1463"/>
      <c r="T252" s="591"/>
      <c r="U252" s="1128"/>
      <c r="V252" s="1129"/>
      <c r="W252" s="1129"/>
      <c r="X252" s="1129"/>
      <c r="Y252" s="1463"/>
      <c r="Z252" s="593"/>
      <c r="AA252" s="1128"/>
      <c r="AB252" s="1129"/>
      <c r="AC252" s="1129"/>
      <c r="AD252" s="1129"/>
      <c r="AE252" s="1463"/>
      <c r="AF252" s="592"/>
      <c r="AG252" s="1128"/>
      <c r="AH252" s="1129"/>
      <c r="AI252" s="1129"/>
      <c r="AJ252" s="1129"/>
      <c r="AK252" s="1463"/>
      <c r="AL252" s="601"/>
      <c r="AM252" s="1128"/>
      <c r="AN252" s="1129"/>
      <c r="AO252" s="1129"/>
      <c r="AP252" s="1129"/>
      <c r="AQ252" s="1463"/>
      <c r="AR252" s="601"/>
      <c r="AS252" s="656">
        <f>+(AS249*AS243)/(4*1000)</f>
        <v>0</v>
      </c>
      <c r="AT252" s="654">
        <f>+(AT249*AT243)/(4*1000)</f>
        <v>0</v>
      </c>
      <c r="AU252" s="654">
        <f>+(AU249*AU243)/(4*1000)</f>
        <v>0</v>
      </c>
      <c r="AV252" s="654">
        <f>+(AV249*AV243)/(4*1000)</f>
        <v>0</v>
      </c>
      <c r="AW252" s="655">
        <f>+SUM(AS252:AV252)</f>
        <v>0</v>
      </c>
      <c r="AX252" s="592"/>
      <c r="AY252" s="656">
        <f>+(AY249*AY243)/(4*1000)</f>
        <v>0</v>
      </c>
      <c r="AZ252" s="654">
        <f>+(AZ249*AZ243)/(4*1000)</f>
        <v>0</v>
      </c>
      <c r="BA252" s="654">
        <f>+(BA249*BA243)/(4*1000)</f>
        <v>0</v>
      </c>
      <c r="BB252" s="654">
        <f>+(BB249*BB243)/(4*1000)</f>
        <v>0</v>
      </c>
      <c r="BC252" s="655">
        <f>+SUM(AY252:BB252)</f>
        <v>0</v>
      </c>
      <c r="BD252" s="601"/>
      <c r="BE252" s="656">
        <f>+(BE249*BE243)/(4*1000)</f>
        <v>0</v>
      </c>
      <c r="BF252" s="654">
        <f>+(BF249*BF243)/(4*1000)</f>
        <v>0</v>
      </c>
      <c r="BG252" s="654">
        <f>+(BG249*BG243)/(4*1000)</f>
        <v>0</v>
      </c>
      <c r="BH252" s="654">
        <f>+(BH249*BH243)/(4*1000)</f>
        <v>0</v>
      </c>
      <c r="BI252" s="655">
        <f>+SUM(BE252:BH252)</f>
        <v>0</v>
      </c>
      <c r="BJ252" s="601"/>
      <c r="BK252" s="656">
        <f>+(BK249*BK243)/(4*1000)</f>
        <v>0</v>
      </c>
      <c r="BL252" s="654">
        <f>+(BL249*BL243)/(4*1000)</f>
        <v>0</v>
      </c>
      <c r="BM252" s="654">
        <f>+(BM249*BM243)/(4*1000)</f>
        <v>0</v>
      </c>
      <c r="BN252" s="654">
        <f>+(BN249*BN243)/(4*1000)</f>
        <v>0</v>
      </c>
      <c r="BO252" s="655">
        <f>+SUM(BK252:BN252)</f>
        <v>0</v>
      </c>
      <c r="BP252" s="601"/>
      <c r="BQ252" s="656">
        <f>+(BQ249*BQ243)/(4*1000)</f>
        <v>0</v>
      </c>
      <c r="BR252" s="654">
        <f>+(BR249*BR243)/(4*1000)</f>
        <v>0</v>
      </c>
      <c r="BS252" s="654">
        <f>+(BS249*BS243)/(4*1000)</f>
        <v>0</v>
      </c>
      <c r="BT252" s="654">
        <f>+(BT249*BT243)/(4*1000)</f>
        <v>0</v>
      </c>
      <c r="BU252" s="655">
        <f>+SUM(BQ252:BT252)</f>
        <v>0</v>
      </c>
      <c r="BV252" s="601"/>
      <c r="BW252" s="656">
        <f>+(BW249*BW243)/(4*1000)</f>
        <v>5.5992491166743111E-2</v>
      </c>
      <c r="BX252" s="654">
        <f>+(BX249*BX243)/(4*1000)</f>
        <v>0.22484299058399276</v>
      </c>
      <c r="BY252" s="654">
        <f>+(BY249*BY243)/(4*1000)</f>
        <v>0.56511481576705325</v>
      </c>
      <c r="BZ252" s="654">
        <f>+(BZ249*BZ243)/(4*1000)</f>
        <v>1.0554322812051651</v>
      </c>
      <c r="CA252" s="655">
        <f>+SUM(BW252:BZ252)</f>
        <v>1.9013825787229541</v>
      </c>
      <c r="CB252" s="601"/>
      <c r="CC252" s="656">
        <f>+(CC249*CC243)/(4*1000)</f>
        <v>2.0756317515329434</v>
      </c>
      <c r="CD252" s="654">
        <f>+(CD249*CD243)/(4*1000)</f>
        <v>2.8004174199062684</v>
      </c>
      <c r="CE252" s="654">
        <f>+(CE249*CE243)/(4*1000)</f>
        <v>3.6161908633807172</v>
      </c>
      <c r="CF252" s="654">
        <f>+(CF249*CF243)/(4*1000)</f>
        <v>4.3375785793699082</v>
      </c>
      <c r="CG252" s="655">
        <f>+SUM(CC252:CF252)</f>
        <v>12.829818614189836</v>
      </c>
      <c r="CH252" s="601"/>
      <c r="CI252" s="656">
        <f>+(CI249*CI243)/(4*1000)</f>
        <v>5.597048378271591</v>
      </c>
      <c r="CJ252" s="654">
        <f>+(CJ249*CJ243)/(4*1000)</f>
        <v>6.248521125134447</v>
      </c>
      <c r="CK252" s="654">
        <f>+(CK249*CK243)/(4*1000)</f>
        <v>6.974082379377097</v>
      </c>
      <c r="CL252" s="654">
        <f>+(CL249*CL243)/(4*1000)</f>
        <v>7.5753236748860235</v>
      </c>
      <c r="CM252" s="655">
        <f>+SUM(CI252:CL252)</f>
        <v>26.394975557669156</v>
      </c>
      <c r="CN252" s="601"/>
      <c r="CO252" s="656">
        <f>+(CO249*CO243)/(4*1000)</f>
        <v>9.1445893356760859</v>
      </c>
      <c r="CP252" s="654">
        <f>+(CP249*CP243)/(4*1000)</f>
        <v>10.038742491827843</v>
      </c>
      <c r="CQ252" s="654">
        <f>+(CQ249*CQ243)/(4*1000)</f>
        <v>11.050599579703473</v>
      </c>
      <c r="CR252" s="654">
        <f>+(CR249*CR243)/(4*1000)</f>
        <v>11.865262408163872</v>
      </c>
      <c r="CS252" s="655">
        <f>+SUM(CO252:CR252)</f>
        <v>42.099193815371272</v>
      </c>
      <c r="CT252" s="601"/>
      <c r="CU252" s="656">
        <f>+(CU249*CU243)/(4*1000)</f>
        <v>14.042829762013476</v>
      </c>
      <c r="CV252" s="654">
        <f>+(CV249*CV243)/(4*1000)</f>
        <v>15.021938089122566</v>
      </c>
      <c r="CW252" s="654">
        <f>+(CW249*CW243)/(4*1000)</f>
        <v>16.174059384838717</v>
      </c>
      <c r="CX252" s="654">
        <f>+(CX249*CX243)/(4*1000)</f>
        <v>17.037067625768127</v>
      </c>
      <c r="CY252" s="655">
        <f>+SUM(CU252:CX252)</f>
        <v>62.275894861742884</v>
      </c>
      <c r="CZ252" s="48"/>
      <c r="DA252"/>
      <c r="DB252"/>
      <c r="DC252"/>
      <c r="DD252" s="48"/>
      <c r="DE252" s="48"/>
      <c r="DF252" s="48"/>
      <c r="DG252" s="48"/>
      <c r="DH252" s="48"/>
      <c r="DI252" s="48"/>
      <c r="DJ252" s="48"/>
      <c r="DK252" s="48"/>
    </row>
    <row r="253" spans="1:115" s="5" customFormat="1" outlineLevel="1" x14ac:dyDescent="0.2">
      <c r="A253" s="1815" t="s">
        <v>671</v>
      </c>
      <c r="B253" s="590"/>
      <c r="C253" s="1128"/>
      <c r="D253" s="1129"/>
      <c r="E253" s="1129"/>
      <c r="F253" s="1129"/>
      <c r="G253" s="1463"/>
      <c r="H253" s="592"/>
      <c r="I253" s="1128"/>
      <c r="J253" s="1129"/>
      <c r="K253" s="1129"/>
      <c r="L253" s="1129"/>
      <c r="M253" s="1463"/>
      <c r="N253" s="592"/>
      <c r="O253" s="1128"/>
      <c r="P253" s="1129"/>
      <c r="Q253" s="1129"/>
      <c r="R253" s="1129"/>
      <c r="S253" s="1463"/>
      <c r="T253" s="591"/>
      <c r="U253" s="1128"/>
      <c r="V253" s="1129"/>
      <c r="W253" s="1129"/>
      <c r="X253" s="1129"/>
      <c r="Y253" s="1463"/>
      <c r="Z253" s="593"/>
      <c r="AA253" s="1128"/>
      <c r="AB253" s="1129"/>
      <c r="AC253" s="1129"/>
      <c r="AD253" s="1129"/>
      <c r="AE253" s="1463"/>
      <c r="AF253" s="592"/>
      <c r="AG253" s="1128"/>
      <c r="AH253" s="1129"/>
      <c r="AI253" s="1129"/>
      <c r="AJ253" s="1129"/>
      <c r="AK253" s="1463"/>
      <c r="AL253" s="601"/>
      <c r="AM253" s="1128"/>
      <c r="AN253" s="1129"/>
      <c r="AO253" s="1129"/>
      <c r="AP253" s="1129"/>
      <c r="AQ253" s="1463"/>
      <c r="AR253" s="601"/>
      <c r="AS253" s="656">
        <f>+AS252+AS248</f>
        <v>0</v>
      </c>
      <c r="AT253" s="654">
        <f t="shared" ref="AT253:CM253" si="43">+AT252+AT248</f>
        <v>0</v>
      </c>
      <c r="AU253" s="654">
        <f t="shared" si="43"/>
        <v>0</v>
      </c>
      <c r="AV253" s="654">
        <f t="shared" si="43"/>
        <v>0</v>
      </c>
      <c r="AW253" s="655">
        <f t="shared" si="43"/>
        <v>0</v>
      </c>
      <c r="AX253" s="592">
        <f t="shared" si="43"/>
        <v>0</v>
      </c>
      <c r="AY253" s="656">
        <f t="shared" si="43"/>
        <v>0</v>
      </c>
      <c r="AZ253" s="654">
        <f t="shared" si="43"/>
        <v>0</v>
      </c>
      <c r="BA253" s="654">
        <f t="shared" si="43"/>
        <v>0</v>
      </c>
      <c r="BB253" s="654">
        <f t="shared" si="43"/>
        <v>0</v>
      </c>
      <c r="BC253" s="655">
        <f t="shared" si="43"/>
        <v>0</v>
      </c>
      <c r="BD253" s="601">
        <f t="shared" si="43"/>
        <v>0</v>
      </c>
      <c r="BE253" s="656">
        <f t="shared" si="43"/>
        <v>0</v>
      </c>
      <c r="BF253" s="654">
        <f t="shared" si="43"/>
        <v>0</v>
      </c>
      <c r="BG253" s="654">
        <f t="shared" si="43"/>
        <v>0</v>
      </c>
      <c r="BH253" s="654">
        <f t="shared" si="43"/>
        <v>0</v>
      </c>
      <c r="BI253" s="655">
        <f t="shared" si="43"/>
        <v>0</v>
      </c>
      <c r="BJ253" s="601">
        <f t="shared" si="43"/>
        <v>0</v>
      </c>
      <c r="BK253" s="656">
        <f t="shared" si="43"/>
        <v>0</v>
      </c>
      <c r="BL253" s="654">
        <f t="shared" si="43"/>
        <v>0</v>
      </c>
      <c r="BM253" s="654">
        <f t="shared" si="43"/>
        <v>0</v>
      </c>
      <c r="BN253" s="654">
        <f t="shared" si="43"/>
        <v>0</v>
      </c>
      <c r="BO253" s="655">
        <f t="shared" si="43"/>
        <v>0</v>
      </c>
      <c r="BP253" s="601">
        <f t="shared" si="43"/>
        <v>0</v>
      </c>
      <c r="BQ253" s="656">
        <f t="shared" si="43"/>
        <v>0</v>
      </c>
      <c r="BR253" s="654">
        <f t="shared" si="43"/>
        <v>0</v>
      </c>
      <c r="BS253" s="654">
        <f t="shared" si="43"/>
        <v>0</v>
      </c>
      <c r="BT253" s="654">
        <f t="shared" si="43"/>
        <v>0</v>
      </c>
      <c r="BU253" s="655">
        <f t="shared" si="43"/>
        <v>0</v>
      </c>
      <c r="BV253" s="601">
        <f t="shared" si="43"/>
        <v>0</v>
      </c>
      <c r="BW253" s="656">
        <f t="shared" si="43"/>
        <v>0.20599249116674312</v>
      </c>
      <c r="BX253" s="654">
        <f t="shared" si="43"/>
        <v>0.52484299058399275</v>
      </c>
      <c r="BY253" s="654">
        <f t="shared" si="43"/>
        <v>1.1651148157670532</v>
      </c>
      <c r="BZ253" s="654">
        <f t="shared" si="43"/>
        <v>1.7827020086083216</v>
      </c>
      <c r="CA253" s="655">
        <f t="shared" si="43"/>
        <v>3.6786523061261107</v>
      </c>
      <c r="CB253" s="601">
        <f t="shared" si="43"/>
        <v>0</v>
      </c>
      <c r="CC253" s="656">
        <f t="shared" si="43"/>
        <v>2.9927596586996676</v>
      </c>
      <c r="CD253" s="654">
        <f t="shared" si="43"/>
        <v>3.7167627065586615</v>
      </c>
      <c r="CE253" s="654">
        <f t="shared" si="43"/>
        <v>4.5592464958267946</v>
      </c>
      <c r="CF253" s="654">
        <f t="shared" si="43"/>
        <v>5.2680143985379493</v>
      </c>
      <c r="CG253" s="655">
        <f t="shared" si="43"/>
        <v>16.536783259623071</v>
      </c>
      <c r="CH253" s="601">
        <f t="shared" si="43"/>
        <v>0</v>
      </c>
      <c r="CI253" s="656">
        <f t="shared" si="43"/>
        <v>6.3674358202916395</v>
      </c>
      <c r="CJ253" s="654">
        <f t="shared" si="43"/>
        <v>7.0145857847758473</v>
      </c>
      <c r="CK253" s="654">
        <f t="shared" si="43"/>
        <v>7.747387997982881</v>
      </c>
      <c r="CL253" s="654">
        <f t="shared" si="43"/>
        <v>8.3345593033271452</v>
      </c>
      <c r="CM253" s="655">
        <f t="shared" si="43"/>
        <v>29.463968906377509</v>
      </c>
      <c r="CN253" s="601"/>
      <c r="CO253" s="656">
        <f t="shared" ref="CO253" si="44">+CO252+CO248</f>
        <v>10.107573638201146</v>
      </c>
      <c r="CP253" s="654">
        <f t="shared" ref="CP253" si="45">+CP252+CP248</f>
        <v>10.996323316379595</v>
      </c>
      <c r="CQ253" s="654">
        <f t="shared" ref="CQ253" si="46">+CQ252+CQ248</f>
        <v>12.017231602960702</v>
      </c>
      <c r="CR253" s="654">
        <f t="shared" ref="CR253" si="47">+CR252+CR248</f>
        <v>12.814306943715273</v>
      </c>
      <c r="CS253" s="655">
        <f t="shared" ref="CS253" si="48">+CS252+CS248</f>
        <v>45.935435501256713</v>
      </c>
      <c r="CT253" s="601"/>
      <c r="CU253" s="656">
        <f t="shared" ref="CU253" si="49">+CU252+CU248</f>
        <v>15.005814064538537</v>
      </c>
      <c r="CV253" s="654">
        <f t="shared" ref="CV253" si="50">+CV252+CV248</f>
        <v>15.979518913674315</v>
      </c>
      <c r="CW253" s="654">
        <f t="shared" ref="CW253" si="51">+CW252+CW248</f>
        <v>17.140691408095947</v>
      </c>
      <c r="CX253" s="654">
        <f t="shared" ref="CX253" si="52">+CX252+CX248</f>
        <v>17.986112161319529</v>
      </c>
      <c r="CY253" s="655">
        <f t="shared" ref="CY253" si="53">+CY252+CY248</f>
        <v>66.112136547628324</v>
      </c>
      <c r="CZ253" s="48"/>
      <c r="DA253"/>
      <c r="DB253"/>
      <c r="DC253"/>
      <c r="DD253" s="48"/>
      <c r="DE253" s="48"/>
      <c r="DF253" s="48"/>
      <c r="DG253" s="48"/>
      <c r="DH253" s="48"/>
      <c r="DI253" s="48"/>
      <c r="DJ253" s="48"/>
      <c r="DK253" s="48"/>
    </row>
    <row r="254" spans="1:115" s="5" customFormat="1" outlineLevel="1" x14ac:dyDescent="0.2">
      <c r="A254" s="1139" t="s">
        <v>227</v>
      </c>
      <c r="B254" s="590"/>
      <c r="C254" s="1128"/>
      <c r="D254" s="1129"/>
      <c r="E254" s="1129"/>
      <c r="F254" s="1129"/>
      <c r="G254" s="1463"/>
      <c r="H254" s="592"/>
      <c r="I254" s="1128"/>
      <c r="J254" s="1129"/>
      <c r="K254" s="1129"/>
      <c r="L254" s="1129"/>
      <c r="M254" s="1463"/>
      <c r="N254" s="592"/>
      <c r="O254" s="1128"/>
      <c r="P254" s="1129"/>
      <c r="Q254" s="1129"/>
      <c r="R254" s="1129"/>
      <c r="S254" s="1463"/>
      <c r="T254" s="591"/>
      <c r="U254" s="1128"/>
      <c r="V254" s="1129"/>
      <c r="W254" s="1129"/>
      <c r="X254" s="1129"/>
      <c r="Y254" s="1463"/>
      <c r="Z254" s="593"/>
      <c r="AA254" s="1128"/>
      <c r="AB254" s="1129"/>
      <c r="AC254" s="1129"/>
      <c r="AD254" s="1129"/>
      <c r="AE254" s="1463"/>
      <c r="AF254" s="592"/>
      <c r="AG254" s="1128"/>
      <c r="AH254" s="1129"/>
      <c r="AI254" s="1129"/>
      <c r="AJ254" s="1129"/>
      <c r="AK254" s="1463"/>
      <c r="AL254" s="601"/>
      <c r="AM254" s="1128"/>
      <c r="AN254" s="1129"/>
      <c r="AO254" s="1129"/>
      <c r="AP254" s="1129"/>
      <c r="AQ254" s="1463"/>
      <c r="AR254" s="601"/>
      <c r="AS254" s="656"/>
      <c r="AT254" s="654"/>
      <c r="AU254" s="654"/>
      <c r="AV254" s="654"/>
      <c r="AW254" s="655"/>
      <c r="AX254" s="592"/>
      <c r="AY254" s="656"/>
      <c r="AZ254" s="654"/>
      <c r="BA254" s="654"/>
      <c r="BB254" s="654"/>
      <c r="BC254" s="655"/>
      <c r="BD254" s="601"/>
      <c r="BE254" s="656"/>
      <c r="BF254" s="654"/>
      <c r="BG254" s="654"/>
      <c r="BH254" s="654"/>
      <c r="BI254" s="655"/>
      <c r="BJ254" s="601"/>
      <c r="BK254" s="656"/>
      <c r="BL254" s="654"/>
      <c r="BM254" s="654"/>
      <c r="BN254" s="654"/>
      <c r="BO254" s="655"/>
      <c r="BP254" s="601"/>
      <c r="BQ254" s="656"/>
      <c r="BR254" s="654"/>
      <c r="BS254" s="654"/>
      <c r="BT254" s="654"/>
      <c r="BU254" s="655"/>
      <c r="BV254" s="601"/>
      <c r="BW254" s="656"/>
      <c r="BX254" s="654"/>
      <c r="BY254" s="654"/>
      <c r="BZ254" s="654"/>
      <c r="CA254" s="707"/>
      <c r="CB254" s="601"/>
      <c r="CC254" s="1765">
        <f>CC253/BW253-1-RevBuild!CC$59</f>
        <v>13.550219313431475</v>
      </c>
      <c r="CD254" s="1766">
        <f>CD253/BX253-1-RevBuild!CD$59</f>
        <v>6.1042309223996698</v>
      </c>
      <c r="CE254" s="1766">
        <f>CE253/BY253-1-RevBuild!CE$59</f>
        <v>2.9072046416108961</v>
      </c>
      <c r="CF254" s="1766">
        <f>CF253/BZ253-1-RevBuild!CF$59</f>
        <v>1.9315892795420668</v>
      </c>
      <c r="CG254" s="1767">
        <f>CG253/CA253-1-RevBuild!CG$59</f>
        <v>3.4990587981416628</v>
      </c>
      <c r="CH254" s="1103"/>
      <c r="CI254" s="1765">
        <f>CI253/CC253-1-RevBuild!CI$59</f>
        <v>1.0776134893699563</v>
      </c>
      <c r="CJ254" s="1766">
        <f>CJ253/CD253-1-RevBuild!CJ$59</f>
        <v>0.84228373011217317</v>
      </c>
      <c r="CK254" s="1766">
        <f>CK253/CE253-1-RevBuild!CK$59</f>
        <v>0.67426938696433314</v>
      </c>
      <c r="CL254" s="1766">
        <f>CL253/CF253-1-RevBuild!CL$59</f>
        <v>0.56210640153911973</v>
      </c>
      <c r="CM254" s="1767">
        <f>CM253/CG253-1-RevBuild!CM$59</f>
        <v>0.74672311046236028</v>
      </c>
      <c r="CN254" s="1103"/>
      <c r="CO254" s="1765">
        <f>CO253/CI253-1-RevBuild!CO$59</f>
        <v>0.58738524006641679</v>
      </c>
      <c r="CP254" s="1766">
        <f>CP253/CJ253-1-RevBuild!CP$59</f>
        <v>0.56763687176590505</v>
      </c>
      <c r="CQ254" s="1766">
        <f>CQ253/CK253-1-RevBuild!CQ$59</f>
        <v>0.55113331178063141</v>
      </c>
      <c r="CR254" s="1766">
        <f>CR253/CL253-1-RevBuild!CR$59</f>
        <v>0.53749064315851935</v>
      </c>
      <c r="CS254" s="1767">
        <f>CS253/CM253-1-RevBuild!CS$59</f>
        <v>0.5590376044455414</v>
      </c>
      <c r="CT254" s="1103"/>
      <c r="CU254" s="1765">
        <f>CU253/CO253-1-RevBuild!CU$59</f>
        <v>0.48461090679811614</v>
      </c>
      <c r="CV254" s="1766">
        <f>CV253/CP253-1-RevBuild!CV$59</f>
        <v>0.45316925065962654</v>
      </c>
      <c r="CW254" s="1766">
        <f>CW253/CQ253-1-RevBuild!CW$59</f>
        <v>0.42634276965028861</v>
      </c>
      <c r="CX254" s="1766">
        <f>CX253/CR253-1-RevBuild!CX$59</f>
        <v>0.4035961710860021</v>
      </c>
      <c r="CY254" s="1767">
        <f>CY253/CS253-1-RevBuild!CY$59</f>
        <v>0.43924044316113231</v>
      </c>
      <c r="CZ254" s="48"/>
      <c r="DA254"/>
      <c r="DB254"/>
      <c r="DC254"/>
      <c r="DD254" s="48"/>
      <c r="DE254" s="48"/>
      <c r="DF254" s="48"/>
      <c r="DG254" s="48"/>
      <c r="DH254" s="48"/>
      <c r="DI254" s="48"/>
      <c r="DJ254" s="48"/>
      <c r="DK254" s="48"/>
    </row>
    <row r="255" spans="1:115" x14ac:dyDescent="0.2">
      <c r="A255" s="1247" t="s">
        <v>453</v>
      </c>
      <c r="B255" s="1184"/>
      <c r="C255" s="1189"/>
      <c r="D255" s="1190"/>
      <c r="E255" s="1190"/>
      <c r="F255" s="1191"/>
      <c r="G255" s="1192"/>
      <c r="H255" s="1184"/>
      <c r="I255" s="1189"/>
      <c r="J255" s="1190"/>
      <c r="K255" s="1190"/>
      <c r="L255" s="1191"/>
      <c r="M255" s="1192"/>
      <c r="N255" s="1184"/>
      <c r="O255" s="1189"/>
      <c r="P255" s="1190"/>
      <c r="Q255" s="1190"/>
      <c r="R255" s="1191"/>
      <c r="S255" s="1192"/>
      <c r="T255" s="1184"/>
      <c r="U255" s="1189"/>
      <c r="V255" s="1190"/>
      <c r="W255" s="1190"/>
      <c r="X255" s="1191"/>
      <c r="Y255" s="1192"/>
      <c r="Z255" s="1184"/>
      <c r="AA255" s="1189"/>
      <c r="AB255" s="1190"/>
      <c r="AC255" s="1190"/>
      <c r="AD255" s="1191"/>
      <c r="AE255" s="1192"/>
      <c r="AF255" s="1184"/>
      <c r="AG255" s="1189"/>
      <c r="AH255" s="1190"/>
      <c r="AI255" s="1190"/>
      <c r="AJ255" s="1191"/>
      <c r="AK255" s="1192"/>
      <c r="AL255" s="1184"/>
      <c r="AM255" s="1189"/>
      <c r="AN255" s="1190"/>
      <c r="AO255" s="1190"/>
      <c r="AP255" s="1191"/>
      <c r="AQ255" s="1192"/>
      <c r="AR255" s="1184"/>
      <c r="AS255" s="1189">
        <f>+AS235+AS238+AS252</f>
        <v>0</v>
      </c>
      <c r="AT255" s="1190">
        <f>+AT235+AT238+AT252</f>
        <v>0</v>
      </c>
      <c r="AU255" s="1190">
        <f>+AU235+AU238+AU252</f>
        <v>0</v>
      </c>
      <c r="AV255" s="1191">
        <f>+AV235+AV238+AV252</f>
        <v>0</v>
      </c>
      <c r="AW255" s="1192">
        <f>+SUM(AS255:AV255)</f>
        <v>0</v>
      </c>
      <c r="AX255" s="1184"/>
      <c r="AY255" s="1189">
        <f>+AY235+AY238+AY252</f>
        <v>6.25</v>
      </c>
      <c r="AZ255" s="1190">
        <f>+AZ235+AZ238+AZ252</f>
        <v>6.25</v>
      </c>
      <c r="BA255" s="1190">
        <f>+BA235+BA238+BA252</f>
        <v>6.25</v>
      </c>
      <c r="BB255" s="1191">
        <f>+BB235+BB238+BB252</f>
        <v>6.25</v>
      </c>
      <c r="BC255" s="1192">
        <f>+SUM(AY255:BB255)</f>
        <v>25</v>
      </c>
      <c r="BD255" s="1184"/>
      <c r="BE255" s="1189">
        <f>+BE235+BE238+BE252</f>
        <v>7</v>
      </c>
      <c r="BF255" s="1190">
        <f>+BF235+BF238+BF252</f>
        <v>7.7000000000000011</v>
      </c>
      <c r="BG255" s="1190">
        <f>+BG235+BG238+BG252</f>
        <v>8.4700000000000024</v>
      </c>
      <c r="BH255" s="1191">
        <f>+BH235+BH238+BH252</f>
        <v>10.164000000000003</v>
      </c>
      <c r="BI255" s="1192">
        <f>+SUM(BE255:BH255)</f>
        <v>33.334000000000003</v>
      </c>
      <c r="BJ255" s="1183"/>
      <c r="BK255" s="1189">
        <f>+BK235+BK238+BK252</f>
        <v>11.5</v>
      </c>
      <c r="BL255" s="1190">
        <f>+BL235+BL238+BL252</f>
        <v>11.5</v>
      </c>
      <c r="BM255" s="1190">
        <f>+BM235+BM238+BM252</f>
        <v>11.5</v>
      </c>
      <c r="BN255" s="1191">
        <f>+BN235+BN238+BN252</f>
        <v>15.5</v>
      </c>
      <c r="BO255" s="1192">
        <f>+SUM(BK255:BN255)</f>
        <v>50</v>
      </c>
      <c r="BP255" s="1184"/>
      <c r="BQ255" s="1189">
        <f>+BQ235+BQ238+BQ252</f>
        <v>15.243250685925393</v>
      </c>
      <c r="BR255" s="1190">
        <f>+BR235+BR238+BR252</f>
        <v>17.710540159302681</v>
      </c>
      <c r="BS255" s="1190">
        <f>+BS235+BS238+BS252</f>
        <v>17.201499999999999</v>
      </c>
      <c r="BT255" s="1191">
        <f>+BT235+BT238+BT252</f>
        <v>23.064699999999995</v>
      </c>
      <c r="BU255" s="1192">
        <f>+SUM(BQ255:BT255)</f>
        <v>73.219990845228068</v>
      </c>
      <c r="BV255" s="1184"/>
      <c r="BW255" s="1189">
        <f>+BW235+BW238+BW252</f>
        <v>19.763492649915154</v>
      </c>
      <c r="BX255" s="1190">
        <f>+BX235+BX238+BX252</f>
        <v>20.595969467991559</v>
      </c>
      <c r="BY255" s="1190">
        <f>+BY235+BY238+BY252</f>
        <v>20.453912680720116</v>
      </c>
      <c r="BZ255" s="1191">
        <f>+BZ235+BZ238+BZ252</f>
        <v>26.5097512840746</v>
      </c>
      <c r="CA255" s="1192">
        <f>+SUM(BW255:BZ255)</f>
        <v>87.323126082701435</v>
      </c>
      <c r="CB255" s="1184"/>
      <c r="CC255" s="1189">
        <f>+CC235+CC238+CC252</f>
        <v>25.006950750626711</v>
      </c>
      <c r="CD255" s="1190">
        <f>+CD235+CD238+CD252</f>
        <v>26.462754203868144</v>
      </c>
      <c r="CE255" s="1190">
        <f>+CE235+CE238+CE252</f>
        <v>27.302686723571664</v>
      </c>
      <c r="CF255" s="1191">
        <f>+CF235+CF238+CF252</f>
        <v>35.151062408175356</v>
      </c>
      <c r="CG255" s="1192">
        <f>+SUM(CC255:CF255)</f>
        <v>113.92345408624189</v>
      </c>
      <c r="CH255" s="1184"/>
      <c r="CI255" s="1189">
        <f>+CI235+CI238+CI252</f>
        <v>34.2611971271388</v>
      </c>
      <c r="CJ255" s="1190">
        <f>+CJ235+CJ238+CJ252</f>
        <v>35.708130421166985</v>
      </c>
      <c r="CK255" s="1190">
        <f>+CK235+CK238+CK252</f>
        <v>35.990039808111014</v>
      </c>
      <c r="CL255" s="1191">
        <f>+CL235+CL238+CL252</f>
        <v>45.16777394602866</v>
      </c>
      <c r="CM255" s="1192">
        <f>+SUM(CI255:CL255)</f>
        <v>151.12714130244547</v>
      </c>
      <c r="CN255" s="1184"/>
      <c r="CO255" s="1189">
        <f>+CO235+CO238+CO252</f>
        <v>43.13156390458748</v>
      </c>
      <c r="CP255" s="1190">
        <f>+CP235+CP238+CP252</f>
        <v>44.982624760087248</v>
      </c>
      <c r="CQ255" s="1190">
        <f>+CQ235+CQ238+CQ252</f>
        <v>45.458173907657454</v>
      </c>
      <c r="CR255" s="1191">
        <f>+CR235+CR238+CR252</f>
        <v>56.413021492594979</v>
      </c>
      <c r="CS255" s="1192">
        <f>+SUM(CO255:CR255)</f>
        <v>189.98538406492713</v>
      </c>
      <c r="CT255" s="1184"/>
      <c r="CU255" s="1189">
        <f>+CU235+CU238+CU252</f>
        <v>54.343394607626621</v>
      </c>
      <c r="CV255" s="1190">
        <f>+CV235+CV238+CV252</f>
        <v>56.473571124397871</v>
      </c>
      <c r="CW255" s="1190">
        <f>+CW235+CW238+CW252</f>
        <v>56.977490566281958</v>
      </c>
      <c r="CX255" s="1191">
        <f>+CX235+CX238+CX252</f>
        <v>69.82982466277619</v>
      </c>
      <c r="CY255" s="1192">
        <f>+SUM(CU255:CX255)</f>
        <v>237.62428096108263</v>
      </c>
      <c r="CZ255" s="48"/>
      <c r="DD255" s="48"/>
      <c r="DE255" s="48"/>
      <c r="DF255" s="48"/>
      <c r="DG255" s="48"/>
      <c r="DH255" s="48"/>
      <c r="DI255" s="48"/>
      <c r="DJ255" s="48"/>
      <c r="DK255" s="48"/>
    </row>
    <row r="256" spans="1:115" x14ac:dyDescent="0.2">
      <c r="A256" s="1248" t="s">
        <v>454</v>
      </c>
      <c r="B256" s="1233"/>
      <c r="C256" s="1236"/>
      <c r="D256" s="1237"/>
      <c r="E256" s="1237"/>
      <c r="F256" s="1238"/>
      <c r="G256" s="1239"/>
      <c r="H256" s="1233"/>
      <c r="I256" s="1236"/>
      <c r="J256" s="1237"/>
      <c r="K256" s="1237"/>
      <c r="L256" s="1238"/>
      <c r="M256" s="1239"/>
      <c r="N256" s="1233"/>
      <c r="O256" s="1236"/>
      <c r="P256" s="1237"/>
      <c r="Q256" s="1237"/>
      <c r="R256" s="1238"/>
      <c r="S256" s="1239"/>
      <c r="T256" s="1233"/>
      <c r="U256" s="1236"/>
      <c r="V256" s="1237"/>
      <c r="W256" s="1237"/>
      <c r="X256" s="1238"/>
      <c r="Y256" s="1239"/>
      <c r="Z256" s="1233"/>
      <c r="AA256" s="1236"/>
      <c r="AB256" s="1237"/>
      <c r="AC256" s="1237"/>
      <c r="AD256" s="1238"/>
      <c r="AE256" s="1239"/>
      <c r="AF256" s="1233"/>
      <c r="AG256" s="1236"/>
      <c r="AH256" s="1237"/>
      <c r="AI256" s="1237"/>
      <c r="AJ256" s="1238"/>
      <c r="AK256" s="1239"/>
      <c r="AL256" s="1233"/>
      <c r="AM256" s="1236"/>
      <c r="AN256" s="1237"/>
      <c r="AO256" s="1237"/>
      <c r="AP256" s="1238"/>
      <c r="AQ256" s="1239"/>
      <c r="AR256" s="1233"/>
      <c r="AS256" s="1236">
        <f>+AS257-AS255</f>
        <v>0</v>
      </c>
      <c r="AT256" s="1237">
        <f>+AT257-AT255</f>
        <v>0</v>
      </c>
      <c r="AU256" s="1237">
        <f>+AU257-AU255</f>
        <v>0</v>
      </c>
      <c r="AV256" s="1238">
        <f>+AV257-AV255</f>
        <v>0</v>
      </c>
      <c r="AW256" s="1239">
        <f>+SUM(AS256:AV256)</f>
        <v>0</v>
      </c>
      <c r="AX256" s="1233"/>
      <c r="AY256" s="1236">
        <f>+AY257-AY255</f>
        <v>0</v>
      </c>
      <c r="AZ256" s="1237">
        <f>+AZ257-AZ255</f>
        <v>0</v>
      </c>
      <c r="BA256" s="1237">
        <f>+BA257-BA255</f>
        <v>0</v>
      </c>
      <c r="BB256" s="1238">
        <f>+BB257-BB255</f>
        <v>0</v>
      </c>
      <c r="BC256" s="1239">
        <f>+SUM(AY256:BB256)</f>
        <v>0</v>
      </c>
      <c r="BD256" s="1233"/>
      <c r="BE256" s="1236">
        <f>+BE257-BE255</f>
        <v>0</v>
      </c>
      <c r="BF256" s="1237">
        <f>+BF257-BF255</f>
        <v>0</v>
      </c>
      <c r="BG256" s="1237">
        <f>+BG257-BG255</f>
        <v>0</v>
      </c>
      <c r="BH256" s="1238">
        <f>+BH257-BH255</f>
        <v>0</v>
      </c>
      <c r="BI256" s="1239">
        <f>+SUM(BE256:BH256)</f>
        <v>0</v>
      </c>
      <c r="BJ256" s="1233"/>
      <c r="BK256" s="1236">
        <f>+BK257-BK255</f>
        <v>0</v>
      </c>
      <c r="BL256" s="1237">
        <f>+BL257-BL255</f>
        <v>0</v>
      </c>
      <c r="BM256" s="1237">
        <f>+BM257-BM255</f>
        <v>0</v>
      </c>
      <c r="BN256" s="1238">
        <f>+BN257-BN255</f>
        <v>0</v>
      </c>
      <c r="BO256" s="1239">
        <f>+SUM(BK256:BN256)</f>
        <v>0</v>
      </c>
      <c r="BP256" s="1233"/>
      <c r="BQ256" s="1236">
        <f>+BQ257-BQ255</f>
        <v>0</v>
      </c>
      <c r="BR256" s="1237">
        <f>+BR257-BR255</f>
        <v>0</v>
      </c>
      <c r="BS256" s="1237">
        <f>+BS257-BS255</f>
        <v>0</v>
      </c>
      <c r="BT256" s="1238">
        <f>+BT257-BT255</f>
        <v>0</v>
      </c>
      <c r="BU256" s="1239">
        <f>+SUM(BQ256:BT256)</f>
        <v>0</v>
      </c>
      <c r="BV256" s="1233"/>
      <c r="BW256" s="1236">
        <f>+BW257-BW255</f>
        <v>0.14999999999999858</v>
      </c>
      <c r="BX256" s="1237">
        <f>+BX257-BX255</f>
        <v>0.29999999999999716</v>
      </c>
      <c r="BY256" s="1237">
        <f>+BY257-BY255</f>
        <v>0.60000000000000142</v>
      </c>
      <c r="BZ256" s="1238">
        <f>+BZ257-BZ255</f>
        <v>0.72726972740315787</v>
      </c>
      <c r="CA256" s="1239">
        <f>+SUM(BW256:BZ256)</f>
        <v>1.777269727403155</v>
      </c>
      <c r="CB256" s="1233"/>
      <c r="CC256" s="1236">
        <f>+CC257-CC255</f>
        <v>0.91712790716672643</v>
      </c>
      <c r="CD256" s="1237">
        <f>+CD257-CD255</f>
        <v>0.91634528665239401</v>
      </c>
      <c r="CE256" s="1237">
        <f>+CE257-CE255</f>
        <v>0.94305563244607882</v>
      </c>
      <c r="CF256" s="1238">
        <f>+CF257-CF255</f>
        <v>0.9304358191680393</v>
      </c>
      <c r="CG256" s="1239">
        <f>+SUM(CC256:CF256)</f>
        <v>3.7069646454332386</v>
      </c>
      <c r="CH256" s="1233"/>
      <c r="CI256" s="1236">
        <f>+CI257-CI255</f>
        <v>0.77038744202004494</v>
      </c>
      <c r="CJ256" s="1237">
        <f>+CJ257-CJ255</f>
        <v>0.76606465964140114</v>
      </c>
      <c r="CK256" s="1237">
        <f>+CK257-CK255</f>
        <v>0.77330561860578229</v>
      </c>
      <c r="CL256" s="1238">
        <f>+CL257-CL255</f>
        <v>0.75923562844112524</v>
      </c>
      <c r="CM256" s="1239">
        <f>+SUM(CI256:CL256)</f>
        <v>3.0689933487083536</v>
      </c>
      <c r="CN256" s="1233"/>
      <c r="CO256" s="1236">
        <f>+CO257-CO255</f>
        <v>0.96298430252505796</v>
      </c>
      <c r="CP256" s="1237">
        <f>+CP257-CP255</f>
        <v>0.95758082455174787</v>
      </c>
      <c r="CQ256" s="1237">
        <f>+CQ257-CQ255</f>
        <v>0.96663202325722608</v>
      </c>
      <c r="CR256" s="1238">
        <f>+CR257-CR255</f>
        <v>0.94904453555140122</v>
      </c>
      <c r="CS256" s="1239">
        <f>+SUM(CO256:CR256)</f>
        <v>3.8362416858854331</v>
      </c>
      <c r="CT256" s="1233"/>
      <c r="CU256" s="1236">
        <f>+CU257-CU255</f>
        <v>0.96298430252505796</v>
      </c>
      <c r="CV256" s="1237">
        <f>+CV257-CV255</f>
        <v>0.95758082455174787</v>
      </c>
      <c r="CW256" s="1237">
        <f>+CW257-CW255</f>
        <v>0.96663202325723319</v>
      </c>
      <c r="CX256" s="1238">
        <f>+CX257-CX255</f>
        <v>0.94904453555139412</v>
      </c>
      <c r="CY256" s="1239">
        <f>+SUM(CU256:CX256)</f>
        <v>3.8362416858854331</v>
      </c>
      <c r="CZ256" s="48"/>
      <c r="DD256" s="48"/>
      <c r="DE256" s="48"/>
      <c r="DF256" s="48"/>
      <c r="DG256" s="48"/>
      <c r="DH256" s="48"/>
      <c r="DI256" s="48"/>
      <c r="DJ256" s="48"/>
      <c r="DK256" s="48"/>
    </row>
    <row r="257" spans="1:115" x14ac:dyDescent="0.2">
      <c r="A257" s="1240" t="s">
        <v>451</v>
      </c>
      <c r="B257" s="1194"/>
      <c r="C257" s="1243"/>
      <c r="D257" s="1244"/>
      <c r="E257" s="1244"/>
      <c r="F257" s="1245"/>
      <c r="G257" s="1246"/>
      <c r="H257" s="1194"/>
      <c r="I257" s="1243"/>
      <c r="J257" s="1244"/>
      <c r="K257" s="1244"/>
      <c r="L257" s="1245"/>
      <c r="M257" s="1246"/>
      <c r="N257" s="1194"/>
      <c r="O257" s="1243"/>
      <c r="P257" s="1244"/>
      <c r="Q257" s="1244"/>
      <c r="R257" s="1245"/>
      <c r="S257" s="1246"/>
      <c r="T257" s="1194"/>
      <c r="U257" s="1243"/>
      <c r="V257" s="1244"/>
      <c r="W257" s="1244"/>
      <c r="X257" s="1245"/>
      <c r="Y257" s="1246"/>
      <c r="Z257" s="1194"/>
      <c r="AA257" s="1243"/>
      <c r="AB257" s="1244"/>
      <c r="AC257" s="1244"/>
      <c r="AD257" s="1245"/>
      <c r="AE257" s="1246"/>
      <c r="AF257" s="1194"/>
      <c r="AG257" s="1243"/>
      <c r="AH257" s="1244"/>
      <c r="AI257" s="1244"/>
      <c r="AJ257" s="1245"/>
      <c r="AK257" s="1246"/>
      <c r="AL257" s="1194"/>
      <c r="AM257" s="1243"/>
      <c r="AN257" s="1244"/>
      <c r="AO257" s="1244"/>
      <c r="AP257" s="1245"/>
      <c r="AQ257" s="1246"/>
      <c r="AR257" s="1194"/>
      <c r="AS257" s="1243">
        <f>+AS238+AS252+AS248+AS235</f>
        <v>0</v>
      </c>
      <c r="AT257" s="1244">
        <f>+AT238+AT252+AT248+AT235</f>
        <v>0</v>
      </c>
      <c r="AU257" s="1244">
        <f>+AU238+AU252+AU248+AU235</f>
        <v>0</v>
      </c>
      <c r="AV257" s="1245">
        <f>+AV238+AV252+AV248+AV235</f>
        <v>0</v>
      </c>
      <c r="AW257" s="1246">
        <f>+SUM(AS257:AV257)</f>
        <v>0</v>
      </c>
      <c r="AX257" s="1194"/>
      <c r="AY257" s="1243">
        <f>+AY238+AY252+AY248+AY235</f>
        <v>6.25</v>
      </c>
      <c r="AZ257" s="1244">
        <f>+AZ238+AZ252+AZ248+AZ235</f>
        <v>6.25</v>
      </c>
      <c r="BA257" s="1244">
        <f>+BA238+BA252+BA248+BA235</f>
        <v>6.25</v>
      </c>
      <c r="BB257" s="1245">
        <f>+BB238+BB252+BB248+BB235</f>
        <v>6.25</v>
      </c>
      <c r="BC257" s="1246">
        <f>+SUM(AY257:BB257)</f>
        <v>25</v>
      </c>
      <c r="BD257" s="1194"/>
      <c r="BE257" s="1243">
        <f>+BE238+BE252+BE248+BE235</f>
        <v>7</v>
      </c>
      <c r="BF257" s="1244">
        <f>+BF238+BF252+BF248+BF235</f>
        <v>7.7000000000000011</v>
      </c>
      <c r="BG257" s="1244">
        <f>+BG238+BG252+BG248+BG235</f>
        <v>8.4700000000000024</v>
      </c>
      <c r="BH257" s="1245">
        <f>+BH238+BH252+BH248+BH235</f>
        <v>10.164000000000003</v>
      </c>
      <c r="BI257" s="1246">
        <f>+SUM(BE257:BH257)</f>
        <v>33.334000000000003</v>
      </c>
      <c r="BJ257" s="1194"/>
      <c r="BK257" s="1243">
        <f>+BK238+BK252+BK248+BK235</f>
        <v>11.5</v>
      </c>
      <c r="BL257" s="1244">
        <f>+BL238+BL252+BL248+BL235</f>
        <v>11.5</v>
      </c>
      <c r="BM257" s="1244">
        <f>+BM238+BM252+BM248+BM235</f>
        <v>11.5</v>
      </c>
      <c r="BN257" s="1245">
        <f>+BN238+BN252+BN248+BN235</f>
        <v>15.5</v>
      </c>
      <c r="BO257" s="1246">
        <f>+SUM(BK257:BN257)</f>
        <v>50</v>
      </c>
      <c r="BP257" s="1194"/>
      <c r="BQ257" s="1243">
        <f>+BQ238+BQ252+BQ248+BQ235</f>
        <v>15.243250685925393</v>
      </c>
      <c r="BR257" s="1244">
        <f>+BR238+BR252+BR248+BR235</f>
        <v>17.710540159302681</v>
      </c>
      <c r="BS257" s="1244">
        <f>+BS238+BS252+BS248+BS235</f>
        <v>17.201499999999999</v>
      </c>
      <c r="BT257" s="1245">
        <f>+BT238+BT252+BT248+BT235</f>
        <v>23.064699999999995</v>
      </c>
      <c r="BU257" s="1246">
        <f>+SUM(BQ257:BT257)</f>
        <v>73.219990845228068</v>
      </c>
      <c r="BV257" s="1194"/>
      <c r="BW257" s="1243">
        <f>+BW238+BW252+BW248+BW235</f>
        <v>19.913492649915153</v>
      </c>
      <c r="BX257" s="1244">
        <f>+BX238+BX252+BX248+BX235</f>
        <v>20.895969467991556</v>
      </c>
      <c r="BY257" s="1244">
        <f>+BY238+BY252+BY248+BY235</f>
        <v>21.053912680720117</v>
      </c>
      <c r="BZ257" s="1245">
        <f>+BZ238+BZ252+BZ248+BZ235</f>
        <v>27.237021011477758</v>
      </c>
      <c r="CA257" s="1246">
        <f>+SUM(BW257:BZ257)</f>
        <v>89.100395810104573</v>
      </c>
      <c r="CB257" s="1194"/>
      <c r="CC257" s="1243">
        <f>+CC238+CC252+CC248+CC235</f>
        <v>25.924078657793437</v>
      </c>
      <c r="CD257" s="1244">
        <f>+CD238+CD252+CD248+CD235</f>
        <v>27.379099490520538</v>
      </c>
      <c r="CE257" s="1244">
        <f>+CE238+CE252+CE248+CE235</f>
        <v>28.245742356017743</v>
      </c>
      <c r="CF257" s="1245">
        <f>+CF238+CF252+CF248+CF235</f>
        <v>36.081498227343396</v>
      </c>
      <c r="CG257" s="1246">
        <f>+SUM(CC257:CF257)</f>
        <v>117.63041873167512</v>
      </c>
      <c r="CH257" s="1194"/>
      <c r="CI257" s="1243">
        <f>+CI238+CI252+CI248+CI235</f>
        <v>35.031584569158845</v>
      </c>
      <c r="CJ257" s="1244">
        <f>+CJ238+CJ252+CJ248+CJ235</f>
        <v>36.474195080808386</v>
      </c>
      <c r="CK257" s="1244">
        <f>+CK238+CK252+CK248+CK235</f>
        <v>36.763345426716796</v>
      </c>
      <c r="CL257" s="1245">
        <f>+CL238+CL252+CL248+CL235</f>
        <v>45.927009574469785</v>
      </c>
      <c r="CM257" s="1246">
        <f>+SUM(CI257:CL257)</f>
        <v>154.19613465115381</v>
      </c>
      <c r="CN257" s="1194"/>
      <c r="CO257" s="1243">
        <f>+CO238+CO252+CO248+CO235</f>
        <v>44.094548207112538</v>
      </c>
      <c r="CP257" s="1244">
        <f>+CP238+CP252+CP248+CP235</f>
        <v>45.940205584638996</v>
      </c>
      <c r="CQ257" s="1244">
        <f>+CQ238+CQ252+CQ248+CQ235</f>
        <v>46.42480593091468</v>
      </c>
      <c r="CR257" s="1245">
        <f>+CR238+CR252+CR248+CR235</f>
        <v>57.36206602814638</v>
      </c>
      <c r="CS257" s="1246">
        <f>+SUM(CO257:CR257)</f>
        <v>193.82162575081261</v>
      </c>
      <c r="CT257" s="1194"/>
      <c r="CU257" s="1243">
        <f>+CU238+CU252+CU248+CU235</f>
        <v>55.306378910151679</v>
      </c>
      <c r="CV257" s="1244">
        <f>+CV238+CV252+CV248+CV235</f>
        <v>57.431151948949619</v>
      </c>
      <c r="CW257" s="1244">
        <f>+CW238+CW252+CW248+CW235</f>
        <v>57.944122589539191</v>
      </c>
      <c r="CX257" s="1245">
        <f>+CX238+CX252+CX248+CX235</f>
        <v>70.778869198327584</v>
      </c>
      <c r="CY257" s="1246">
        <f>+SUM(CU257:CX257)</f>
        <v>241.46052264696806</v>
      </c>
      <c r="CZ257" s="48"/>
      <c r="DD257" s="48"/>
      <c r="DE257" s="48"/>
      <c r="DF257" s="48"/>
      <c r="DG257" s="48"/>
      <c r="DH257" s="48"/>
      <c r="DI257" s="48"/>
      <c r="DJ257" s="48"/>
      <c r="DK257" s="48"/>
    </row>
    <row r="258" spans="1:115" s="5" customFormat="1" x14ac:dyDescent="0.2">
      <c r="A258" s="205" t="s">
        <v>639</v>
      </c>
      <c r="B258" s="48"/>
      <c r="C258" s="565"/>
      <c r="D258" s="970"/>
      <c r="E258" s="970"/>
      <c r="F258" s="970"/>
      <c r="G258" s="708"/>
      <c r="H258" s="48"/>
      <c r="I258" s="565"/>
      <c r="J258" s="970"/>
      <c r="K258" s="970"/>
      <c r="L258" s="970"/>
      <c r="M258" s="708"/>
      <c r="N258" s="48"/>
      <c r="O258" s="565"/>
      <c r="P258" s="970"/>
      <c r="Q258" s="970"/>
      <c r="R258" s="970"/>
      <c r="S258" s="708"/>
      <c r="T258" s="48"/>
      <c r="U258" s="565"/>
      <c r="V258" s="970"/>
      <c r="W258" s="970"/>
      <c r="X258" s="970"/>
      <c r="Y258" s="708"/>
      <c r="Z258" s="48"/>
      <c r="AA258" s="565"/>
      <c r="AB258" s="970"/>
      <c r="AC258" s="970"/>
      <c r="AD258" s="970"/>
      <c r="AE258" s="708"/>
      <c r="AF258" s="48"/>
      <c r="AG258" s="565"/>
      <c r="AH258" s="970"/>
      <c r="AI258" s="970"/>
      <c r="AJ258" s="970"/>
      <c r="AK258" s="708"/>
      <c r="AL258" s="48"/>
      <c r="AM258" s="565"/>
      <c r="AN258" s="970"/>
      <c r="AO258" s="970"/>
      <c r="AP258" s="970"/>
      <c r="AQ258" s="708"/>
      <c r="AR258" s="48"/>
      <c r="AS258" s="565"/>
      <c r="AT258" s="970"/>
      <c r="AU258" s="970"/>
      <c r="AV258" s="970"/>
      <c r="AW258" s="708"/>
      <c r="AX258" s="48"/>
      <c r="AY258" s="586"/>
      <c r="AZ258" s="587"/>
      <c r="BA258" s="587"/>
      <c r="BB258" s="587"/>
      <c r="BC258" s="707"/>
      <c r="BD258" s="614"/>
      <c r="BE258" s="586"/>
      <c r="BF258" s="587"/>
      <c r="BG258" s="587"/>
      <c r="BH258" s="587"/>
      <c r="BI258" s="707"/>
      <c r="BJ258" s="614"/>
      <c r="BK258" s="586">
        <f>BK257/BE257-1</f>
        <v>0.64285714285714279</v>
      </c>
      <c r="BL258" s="587">
        <f>BL257/BF257-1</f>
        <v>0.49350649350649323</v>
      </c>
      <c r="BM258" s="587">
        <f>BM257/BG257-1</f>
        <v>0.35773317591499376</v>
      </c>
      <c r="BN258" s="587">
        <f>BN257/BH257-1</f>
        <v>0.52499016135379728</v>
      </c>
      <c r="BO258" s="707">
        <f>BO257/BI257-1</f>
        <v>0.49997000059998786</v>
      </c>
      <c r="BP258" s="614"/>
      <c r="BQ258" s="586">
        <f>BQ257/BK257-1</f>
        <v>0.32550005964568629</v>
      </c>
      <c r="BR258" s="587">
        <f>BR257/BL257-1</f>
        <v>0.54004697037414617</v>
      </c>
      <c r="BS258" s="587">
        <f>BS257/BM257-1</f>
        <v>0.49578260869565205</v>
      </c>
      <c r="BT258" s="587">
        <f>BT257/BN257-1</f>
        <v>0.48804516129032227</v>
      </c>
      <c r="BU258" s="707">
        <f>BU257/BO257-1</f>
        <v>0.46439981690456134</v>
      </c>
      <c r="BV258" s="614"/>
      <c r="BW258" s="586">
        <f>BW257/BQ257-1</f>
        <v>0.30638097215720217</v>
      </c>
      <c r="BX258" s="587">
        <f>BX257/BR257-1</f>
        <v>0.17986065247228988</v>
      </c>
      <c r="BY258" s="587">
        <f>BY257/BS257-1</f>
        <v>0.22395795022062726</v>
      </c>
      <c r="BZ258" s="587">
        <f>BZ257/BT257-1</f>
        <v>0.18089639195297424</v>
      </c>
      <c r="CA258" s="707">
        <f>CA257/BU257-1</f>
        <v>0.21688619162005085</v>
      </c>
      <c r="CB258" s="614"/>
      <c r="CC258" s="586">
        <f>CC257/BW257-1</f>
        <v>0.30183484703291841</v>
      </c>
      <c r="CD258" s="587">
        <f>CD257/BX257-1</f>
        <v>0.31025744139126155</v>
      </c>
      <c r="CE258" s="587">
        <f>CE257/BY257-1</f>
        <v>0.34159112295946126</v>
      </c>
      <c r="CF258" s="587">
        <f>CF257/BZ257-1</f>
        <v>0.32472263439303983</v>
      </c>
      <c r="CG258" s="707">
        <f>CG257/CA257-1</f>
        <v>0.32020085502622497</v>
      </c>
      <c r="CH258" s="614"/>
      <c r="CI258" s="586">
        <f>CI257/CC257-1</f>
        <v>0.35131454550757812</v>
      </c>
      <c r="CJ258" s="587">
        <f>CJ257/CD257-1</f>
        <v>0.33219118815200055</v>
      </c>
      <c r="CK258" s="587">
        <f>CK257/CE257-1</f>
        <v>0.30155352135343616</v>
      </c>
      <c r="CL258" s="587">
        <f>CL257/CF257-1</f>
        <v>0.27286869533774616</v>
      </c>
      <c r="CM258" s="707">
        <f>CM257/CG257-1</f>
        <v>0.31085255254330235</v>
      </c>
      <c r="CN258" s="614"/>
      <c r="CO258" s="586">
        <f>CO257/CI257-1</f>
        <v>0.25870835560012195</v>
      </c>
      <c r="CP258" s="587">
        <f>CP257/CJ257-1</f>
        <v>0.2595262344476339</v>
      </c>
      <c r="CQ258" s="587">
        <f>CQ257/CK257-1</f>
        <v>0.2628014505224181</v>
      </c>
      <c r="CR258" s="587">
        <f>CR257/CL257-1</f>
        <v>0.24898325755642481</v>
      </c>
      <c r="CS258" s="707">
        <f>CS257/CM257-1</f>
        <v>0.25698109222585686</v>
      </c>
      <c r="CT258" s="614"/>
      <c r="CU258" s="586">
        <f>CU257/CO257-1</f>
        <v>0.25426795735330043</v>
      </c>
      <c r="CV258" s="587">
        <f>CV257/CP257-1</f>
        <v>0.25012831827972581</v>
      </c>
      <c r="CW258" s="587">
        <f>CW257/CQ257-1</f>
        <v>0.24812848277204536</v>
      </c>
      <c r="CX258" s="587">
        <f>CX257/CR257-1</f>
        <v>0.23389679101861249</v>
      </c>
      <c r="CY258" s="707">
        <f>CY257/CS257-1</f>
        <v>0.24578731455592351</v>
      </c>
      <c r="CZ258" s="48"/>
      <c r="DA258"/>
      <c r="DB258"/>
      <c r="DC258"/>
      <c r="DD258" s="48"/>
      <c r="DE258" s="48"/>
      <c r="DF258" s="48"/>
      <c r="DG258" s="48"/>
      <c r="DH258" s="48"/>
      <c r="DI258" s="48"/>
      <c r="DJ258" s="48"/>
      <c r="DK258" s="48"/>
    </row>
    <row r="259" spans="1:115" s="5" customFormat="1" x14ac:dyDescent="0.2">
      <c r="A259" s="205" t="s">
        <v>227</v>
      </c>
      <c r="B259" s="48"/>
      <c r="C259" s="565"/>
      <c r="D259" s="970"/>
      <c r="E259" s="970"/>
      <c r="F259" s="970"/>
      <c r="G259" s="708"/>
      <c r="H259" s="48"/>
      <c r="I259" s="565"/>
      <c r="J259" s="970"/>
      <c r="K259" s="970"/>
      <c r="L259" s="970"/>
      <c r="M259" s="708"/>
      <c r="N259" s="48"/>
      <c r="O259" s="565"/>
      <c r="P259" s="970"/>
      <c r="Q259" s="970"/>
      <c r="R259" s="970"/>
      <c r="S259" s="708"/>
      <c r="T259" s="48"/>
      <c r="U259" s="565"/>
      <c r="V259" s="970"/>
      <c r="W259" s="970"/>
      <c r="X259" s="970"/>
      <c r="Y259" s="708"/>
      <c r="Z259" s="48"/>
      <c r="AA259" s="565"/>
      <c r="AB259" s="970"/>
      <c r="AC259" s="970"/>
      <c r="AD259" s="970"/>
      <c r="AE259" s="708"/>
      <c r="AF259" s="48"/>
      <c r="AG259" s="565"/>
      <c r="AH259" s="970"/>
      <c r="AI259" s="970"/>
      <c r="AJ259" s="970"/>
      <c r="AK259" s="708"/>
      <c r="AL259" s="48"/>
      <c r="AM259" s="565"/>
      <c r="AN259" s="970"/>
      <c r="AO259" s="970"/>
      <c r="AP259" s="970"/>
      <c r="AQ259" s="708"/>
      <c r="AR259" s="48"/>
      <c r="AS259" s="565"/>
      <c r="AT259" s="970"/>
      <c r="AU259" s="970"/>
      <c r="AV259" s="970"/>
      <c r="AW259" s="708"/>
      <c r="AX259" s="48"/>
      <c r="AY259" s="1109"/>
      <c r="AZ259" s="1110"/>
      <c r="BA259" s="1110"/>
      <c r="BB259" s="1110"/>
      <c r="BC259" s="562"/>
      <c r="BD259" s="614"/>
      <c r="BE259" s="1109"/>
      <c r="BF259" s="1110"/>
      <c r="BG259" s="1110"/>
      <c r="BH259" s="1110"/>
      <c r="BI259" s="562"/>
      <c r="BJ259" s="614"/>
      <c r="BK259" s="1109">
        <f>+BK258-RevBuild!BK$59</f>
        <v>0.647408886077951</v>
      </c>
      <c r="BL259" s="1110">
        <f>+BL258-RevBuild!BL$59</f>
        <v>0.48665302397942084</v>
      </c>
      <c r="BM259" s="1110">
        <f>+BM258-RevBuild!BM$59</f>
        <v>0.35775306405962132</v>
      </c>
      <c r="BN259" s="1110">
        <f>+BN258-RevBuild!BN$59</f>
        <v>0.57288556519013922</v>
      </c>
      <c r="BO259" s="1259">
        <f>+BO258-RevBuild!BO$59</f>
        <v>0.50950958467327712</v>
      </c>
      <c r="BP259" s="614"/>
      <c r="BQ259" s="1109">
        <f>+BQ258-RevBuild!BQ$59</f>
        <v>0.40424481739130425</v>
      </c>
      <c r="BR259" s="1110">
        <f>+BR258-RevBuild!BR$59</f>
        <v>0.62461364921739126</v>
      </c>
      <c r="BS259" s="1110">
        <f>+BS258-RevBuild!BS$59</f>
        <v>0.58478260869565202</v>
      </c>
      <c r="BT259" s="1110">
        <f>+BT258-RevBuild!BT$59</f>
        <v>0.55104516129032222</v>
      </c>
      <c r="BU259" s="1259">
        <f>+BU258-RevBuild!BU$59</f>
        <v>0.54464981690456127</v>
      </c>
      <c r="BV259" s="614"/>
      <c r="BW259" s="1109">
        <f>+BW258-RevBuild!BW$59</f>
        <v>0.32655260263164543</v>
      </c>
      <c r="BX259" s="1110">
        <f>+BX258-RevBuild!BX$59</f>
        <v>0.19504356342090262</v>
      </c>
      <c r="BY259" s="1110">
        <f>+BY258-RevBuild!BY$59</f>
        <v>0.23226694275307708</v>
      </c>
      <c r="BZ259" s="1110">
        <f>+BZ258-RevBuild!BZ$59</f>
        <v>0.21120342208209902</v>
      </c>
      <c r="CA259" s="1259">
        <f>+CA258-RevBuild!CA$59</f>
        <v>0.23559727286440207</v>
      </c>
      <c r="CB259" s="614"/>
      <c r="CC259" s="1109">
        <f>+CC258-RevBuild!CC$59</f>
        <v>0.32356507938841245</v>
      </c>
      <c r="CD259" s="1110">
        <f>+CD258-RevBuild!CD$59</f>
        <v>0.33282246896204243</v>
      </c>
      <c r="CE259" s="1110">
        <f>+CE258-RevBuild!CE$59</f>
        <v>0.33566511501697799</v>
      </c>
      <c r="CF259" s="1110">
        <f>+CF258-RevBuild!CF$59</f>
        <v>0.30123901162180261</v>
      </c>
      <c r="CG259" s="1259">
        <f>+CG258-RevBuild!CG$59</f>
        <v>0.32392226232936361</v>
      </c>
      <c r="CH259" s="614"/>
      <c r="CI259" s="1109">
        <f>+CI258-RevBuild!CI$59</f>
        <v>0.30131454550757814</v>
      </c>
      <c r="CJ259" s="1110">
        <f>+CJ258-RevBuild!CJ$59</f>
        <v>0.28719118815200056</v>
      </c>
      <c r="CK259" s="1110">
        <f>+CK258-RevBuild!CK$59</f>
        <v>0.27655352135343614</v>
      </c>
      <c r="CL259" s="1110">
        <f>+CL258-RevBuild!CL$59</f>
        <v>0.25286869533774614</v>
      </c>
      <c r="CM259" s="1259">
        <f>+CM258-RevBuild!CM$59</f>
        <v>0.27585255254330238</v>
      </c>
      <c r="CN259" s="614"/>
      <c r="CO259" s="1109">
        <f>+CO258-RevBuild!CO$59</f>
        <v>0.25870835560012195</v>
      </c>
      <c r="CP259" s="1110">
        <f>+CP258-RevBuild!CP$59</f>
        <v>0.2595262344476339</v>
      </c>
      <c r="CQ259" s="1110">
        <f>+CQ258-RevBuild!CQ$59</f>
        <v>0.2628014505224181</v>
      </c>
      <c r="CR259" s="1110">
        <f>+CR258-RevBuild!CR$59</f>
        <v>0.24898325755642481</v>
      </c>
      <c r="CS259" s="1259">
        <f>+CS258-RevBuild!CS$59</f>
        <v>0.25698109222585686</v>
      </c>
      <c r="CT259" s="614"/>
      <c r="CU259" s="1109">
        <f>+CU258-RevBuild!CU$59</f>
        <v>0.25426795735330043</v>
      </c>
      <c r="CV259" s="1110">
        <f>+CV258-RevBuild!CV$59</f>
        <v>0.25012831827972581</v>
      </c>
      <c r="CW259" s="1110">
        <f>+CW258-RevBuild!CW$59</f>
        <v>0.24812848277204536</v>
      </c>
      <c r="CX259" s="1110">
        <f>+CX258-RevBuild!CX$59</f>
        <v>0.23389679101861249</v>
      </c>
      <c r="CY259" s="1259">
        <f>+CY258-RevBuild!CY$59</f>
        <v>0.24578731455592351</v>
      </c>
      <c r="CZ259" s="48"/>
      <c r="DA259"/>
      <c r="DB259"/>
      <c r="DC259"/>
      <c r="DD259" s="48"/>
      <c r="DE259" s="48"/>
      <c r="DF259" s="48"/>
      <c r="DG259" s="48"/>
      <c r="DH259" s="48"/>
      <c r="DI259" s="48"/>
      <c r="DJ259" s="48"/>
      <c r="DK259" s="48"/>
    </row>
    <row r="260" spans="1:115" x14ac:dyDescent="0.2">
      <c r="A260" s="1196" t="s">
        <v>425</v>
      </c>
      <c r="B260" s="1197"/>
      <c r="C260" s="1198"/>
      <c r="D260" s="1198"/>
      <c r="E260" s="1198"/>
      <c r="F260" s="1198"/>
      <c r="G260" s="1199"/>
      <c r="H260" s="1200"/>
      <c r="I260" s="1201"/>
      <c r="J260" s="1198"/>
      <c r="K260" s="1198"/>
      <c r="L260" s="1198"/>
      <c r="M260" s="1199"/>
      <c r="N260" s="1200"/>
      <c r="O260" s="1201"/>
      <c r="P260" s="1198"/>
      <c r="Q260" s="1198"/>
      <c r="R260" s="1198"/>
      <c r="S260" s="1199"/>
      <c r="T260" s="1198"/>
      <c r="U260" s="1201"/>
      <c r="V260" s="1198"/>
      <c r="W260" s="1198"/>
      <c r="X260" s="1198"/>
      <c r="Y260" s="1202"/>
      <c r="Z260" s="1203"/>
      <c r="AA260" s="1204"/>
      <c r="AB260" s="1205"/>
      <c r="AC260" s="1205"/>
      <c r="AD260" s="1206"/>
      <c r="AE260" s="1207"/>
      <c r="AF260" s="1200"/>
      <c r="AG260" s="1209">
        <f>AG257/AG$366</f>
        <v>0</v>
      </c>
      <c r="AH260" s="1210">
        <f>AH257/AH$366</f>
        <v>0</v>
      </c>
      <c r="AI260" s="1210">
        <f>AI257/AI$366</f>
        <v>0</v>
      </c>
      <c r="AJ260" s="1210">
        <f>AJ257/AJ$366</f>
        <v>0</v>
      </c>
      <c r="AK260" s="1208">
        <f>AK257/AK$366</f>
        <v>0</v>
      </c>
      <c r="AL260" s="1200"/>
      <c r="AM260" s="1209">
        <f>AM257/AM$366</f>
        <v>0</v>
      </c>
      <c r="AN260" s="1210">
        <f>AN257/AN$366</f>
        <v>0</v>
      </c>
      <c r="AO260" s="1210">
        <f>AO257/AO$366</f>
        <v>0</v>
      </c>
      <c r="AP260" s="1210">
        <f>AP257/AP$366</f>
        <v>0</v>
      </c>
      <c r="AQ260" s="1208">
        <f>AQ257/AQ$366</f>
        <v>0</v>
      </c>
      <c r="AR260" s="1200"/>
      <c r="AS260" s="1209">
        <f>AS257/AS$366</f>
        <v>0</v>
      </c>
      <c r="AT260" s="1210">
        <f>AT257/AT$366</f>
        <v>0</v>
      </c>
      <c r="AU260" s="1210">
        <f>AU257/AU$366</f>
        <v>0</v>
      </c>
      <c r="AV260" s="1210">
        <f>AV257/AV$366</f>
        <v>0</v>
      </c>
      <c r="AW260" s="1208">
        <f>AW257/AW$366</f>
        <v>0</v>
      </c>
      <c r="AX260" s="1200"/>
      <c r="AY260" s="1209">
        <f>AY257/AY$366</f>
        <v>2.1084804771575656E-2</v>
      </c>
      <c r="AZ260" s="1210">
        <f>AZ257/AZ$366</f>
        <v>2.0344191163785386E-2</v>
      </c>
      <c r="BA260" s="1210">
        <f>BA257/BA$366</f>
        <v>2.053968431326798E-2</v>
      </c>
      <c r="BB260" s="1210">
        <f>BB257/BB$366</f>
        <v>1.8035852388812581E-2</v>
      </c>
      <c r="BC260" s="1208">
        <f>BC257/BC$366</f>
        <v>1.9928957253183853E-2</v>
      </c>
      <c r="BD260" s="1200"/>
      <c r="BE260" s="1209">
        <f>BE257/BE$366</f>
        <v>2.3058476295886365E-2</v>
      </c>
      <c r="BF260" s="1210">
        <f>BF257/BF$366</f>
        <v>2.4335360226540086E-2</v>
      </c>
      <c r="BG260" s="1210">
        <f>BG257/BG$366</f>
        <v>2.6157233694964047E-2</v>
      </c>
      <c r="BH260" s="1210">
        <f>BH257/BH$366</f>
        <v>2.8032047657790597E-2</v>
      </c>
      <c r="BI260" s="1208">
        <f>BI257/BI$366</f>
        <v>2.5516234124116646E-2</v>
      </c>
      <c r="BJ260" s="1200"/>
      <c r="BK260" s="1209">
        <f>BK257/BK$366</f>
        <v>3.6234966427515891E-2</v>
      </c>
      <c r="BL260" s="1210">
        <f>BL257/BL$366</f>
        <v>3.4718343663298484E-2</v>
      </c>
      <c r="BM260" s="1210">
        <f>BM257/BM$366</f>
        <v>3.4149253022208892E-2</v>
      </c>
      <c r="BN260" s="1210">
        <f>BN257/BN$366</f>
        <v>4.2958898034976857E-2</v>
      </c>
      <c r="BO260" s="1208">
        <f>BO257/BO$366</f>
        <v>3.7142218296702445E-2</v>
      </c>
      <c r="BP260" s="1200"/>
      <c r="BQ260" s="1209">
        <f>BQ257/BQ$366</f>
        <v>5.1027020094886646E-2</v>
      </c>
      <c r="BR260" s="1210">
        <f>BR257/BR$366</f>
        <v>5.5439685463108158E-2</v>
      </c>
      <c r="BS260" s="1210">
        <f>BS257/BS$366</f>
        <v>5.4684147112960602E-2</v>
      </c>
      <c r="BT260" s="1210">
        <f>BT257/BT$366</f>
        <v>6.6182783357245326E-2</v>
      </c>
      <c r="BU260" s="1208">
        <f>BU257/BU$366</f>
        <v>5.7147488339653801E-2</v>
      </c>
      <c r="BV260" s="1200"/>
      <c r="BW260" s="1209">
        <f>BW257/BW$366</f>
        <v>6.6738921472071264E-2</v>
      </c>
      <c r="BX260" s="1210">
        <f>BX257/BX$366</f>
        <v>6.2485704663682994E-2</v>
      </c>
      <c r="BY260" s="1210">
        <f>BY257/BY$366</f>
        <v>6.216369984120973E-2</v>
      </c>
      <c r="BZ260" s="1210">
        <f>BZ257/BZ$366</f>
        <v>7.431352335232598E-2</v>
      </c>
      <c r="CA260" s="1208">
        <f>CA257/CA$366</f>
        <v>6.6592672006093145E-2</v>
      </c>
      <c r="CB260" s="1200"/>
      <c r="CC260" s="1209">
        <f>CC257/CC$366</f>
        <v>8.408554701430862E-2</v>
      </c>
      <c r="CD260" s="1210">
        <f>CD257/CD$366</f>
        <v>7.8314157910678125E-2</v>
      </c>
      <c r="CE260" s="1210">
        <f>CE257/CE$366</f>
        <v>7.7513014149335188E-2</v>
      </c>
      <c r="CF260" s="1210">
        <f>CF257/CF$366</f>
        <v>9.0859524184157645E-2</v>
      </c>
      <c r="CG260" s="1208">
        <f>CG257/CG$366</f>
        <v>8.2871880325959546E-2</v>
      </c>
      <c r="CH260" s="1200"/>
      <c r="CI260" s="1209">
        <f>CI257/CI$366</f>
        <v>0.10237257427912691</v>
      </c>
      <c r="CJ260" s="1210">
        <f>CJ257/CJ$366</f>
        <v>9.3521717846157579E-2</v>
      </c>
      <c r="CK260" s="1210">
        <f>CK257/CK$366</f>
        <v>9.1228975022939196E-2</v>
      </c>
      <c r="CL260" s="1210">
        <f>CL257/CL$366</f>
        <v>0.10691647214991912</v>
      </c>
      <c r="CM260" s="1208">
        <f>CM257/CM$366</f>
        <v>9.8544047363466364E-2</v>
      </c>
      <c r="CN260" s="1200"/>
      <c r="CO260" s="1209">
        <f>CO257/CO$366</f>
        <v>0.11605993746861717</v>
      </c>
      <c r="CP260" s="1210">
        <f>CP257/CP$366</f>
        <v>0.10951924551615261</v>
      </c>
      <c r="CQ260" s="1210">
        <f>CQ257/CQ$366</f>
        <v>0.10871106088331739</v>
      </c>
      <c r="CR260" s="1210">
        <f>CR257/CR$366</f>
        <v>0.12267298702489311</v>
      </c>
      <c r="CS260" s="1208">
        <f>CS257/CS$366</f>
        <v>0.11441318347425318</v>
      </c>
      <c r="CT260" s="1200"/>
      <c r="CU260" s="1209">
        <f>CU257/CU$366</f>
        <v>0.13148064783510302</v>
      </c>
      <c r="CV260" s="1210">
        <f>CV257/CV$366</f>
        <v>0.12438924437335452</v>
      </c>
      <c r="CW260" s="1210">
        <f>CW257/CW$366</f>
        <v>0.1235465901670055</v>
      </c>
      <c r="CX260" s="1210">
        <f>CX257/CX$366</f>
        <v>0.13794546522140932</v>
      </c>
      <c r="CY260" s="1208">
        <f>CY257/CY$366</f>
        <v>0.12950783435344942</v>
      </c>
      <c r="CZ260" s="1279"/>
      <c r="DD260" s="48"/>
      <c r="DE260" s="48"/>
      <c r="DF260" s="48"/>
      <c r="DG260" s="48"/>
      <c r="DH260" s="48"/>
      <c r="DI260" s="48"/>
      <c r="DJ260" s="48"/>
      <c r="DK260" s="48"/>
    </row>
    <row r="261" spans="1:115" outlineLevel="1" x14ac:dyDescent="0.2">
      <c r="A261" s="354" t="s">
        <v>480</v>
      </c>
      <c r="B261" s="58"/>
      <c r="C261" s="558"/>
      <c r="D261" s="558"/>
      <c r="E261" s="558"/>
      <c r="F261" s="558"/>
      <c r="G261" s="629"/>
      <c r="H261" s="557"/>
      <c r="I261" s="704"/>
      <c r="J261" s="558"/>
      <c r="K261" s="558"/>
      <c r="L261" s="558"/>
      <c r="M261" s="629"/>
      <c r="N261" s="557"/>
      <c r="O261" s="704"/>
      <c r="P261" s="558"/>
      <c r="Q261" s="558"/>
      <c r="R261" s="558"/>
      <c r="S261" s="1134"/>
      <c r="T261" s="558"/>
      <c r="U261" s="704"/>
      <c r="V261" s="558"/>
      <c r="W261" s="558"/>
      <c r="X261" s="558"/>
      <c r="Y261" s="1134"/>
      <c r="Z261" s="578"/>
      <c r="AA261" s="581"/>
      <c r="AB261" s="550"/>
      <c r="AC261" s="550"/>
      <c r="AD261" s="582"/>
      <c r="AE261" s="580"/>
      <c r="AF261" s="557"/>
      <c r="AG261" s="581"/>
      <c r="AH261" s="550"/>
      <c r="AI261" s="550"/>
      <c r="AJ261" s="582"/>
      <c r="AK261" s="580"/>
      <c r="AL261" s="557"/>
      <c r="AM261" s="581"/>
      <c r="AN261" s="550"/>
      <c r="AO261" s="550"/>
      <c r="AP261" s="550"/>
      <c r="AQ261" s="580"/>
      <c r="AR261" s="557"/>
      <c r="AS261" s="581">
        <f>+AS262*AS255</f>
        <v>0</v>
      </c>
      <c r="AT261" s="550">
        <f>+AT262*AT255</f>
        <v>0</v>
      </c>
      <c r="AU261" s="550">
        <f>+AU262*AU255</f>
        <v>0</v>
      </c>
      <c r="AV261" s="582">
        <f>+AV262*AV255</f>
        <v>0</v>
      </c>
      <c r="AW261" s="580">
        <f>+SUM(AS261:AV261)</f>
        <v>0</v>
      </c>
      <c r="AX261" s="557"/>
      <c r="AY261" s="581">
        <f>+AY262*AY255</f>
        <v>4.8125</v>
      </c>
      <c r="AZ261" s="550">
        <f>+AZ262*AZ255</f>
        <v>4.8125</v>
      </c>
      <c r="BA261" s="550">
        <f>+BA262*BA255</f>
        <v>4.8125</v>
      </c>
      <c r="BB261" s="582">
        <f>+BB262*BB255</f>
        <v>4.8125</v>
      </c>
      <c r="BC261" s="580">
        <f>+SUM(AY261:BB261)</f>
        <v>19.25</v>
      </c>
      <c r="BD261" s="557"/>
      <c r="BE261" s="581">
        <f>+BE262*BE255</f>
        <v>5.3900000000000006</v>
      </c>
      <c r="BF261" s="550">
        <f>+BF262*BF255</f>
        <v>5.9290000000000012</v>
      </c>
      <c r="BG261" s="550">
        <f>+BG262*BG255</f>
        <v>6.5219000000000023</v>
      </c>
      <c r="BH261" s="582">
        <f>+BH262*BH255</f>
        <v>7.8262800000000023</v>
      </c>
      <c r="BI261" s="580">
        <f>+SUM(BE261:BH261)</f>
        <v>25.667180000000009</v>
      </c>
      <c r="BJ261" s="557"/>
      <c r="BK261" s="581">
        <f>+BK262*BK255</f>
        <v>8.8550000000000004</v>
      </c>
      <c r="BL261" s="550">
        <f>+BL262*BL255</f>
        <v>8.8550000000000004</v>
      </c>
      <c r="BM261" s="550">
        <f>+BM262*BM255</f>
        <v>8.8550000000000004</v>
      </c>
      <c r="BN261" s="582">
        <f>+BN262*BN255</f>
        <v>11.935</v>
      </c>
      <c r="BO261" s="580">
        <f>+SUM(BK261:BN261)</f>
        <v>38.5</v>
      </c>
      <c r="BP261" s="557"/>
      <c r="BQ261" s="581">
        <f>+BQ262*BQ255</f>
        <v>11.737303028162552</v>
      </c>
      <c r="BR261" s="550">
        <f>+BR262*BR255</f>
        <v>13.637115922663066</v>
      </c>
      <c r="BS261" s="550">
        <f>+BS262*BS255</f>
        <v>13.245155</v>
      </c>
      <c r="BT261" s="582">
        <f>+BT262*BT255</f>
        <v>17.759818999999997</v>
      </c>
      <c r="BU261" s="580">
        <f>+SUM(BQ261:BT261)</f>
        <v>56.379392950825618</v>
      </c>
      <c r="BV261" s="557"/>
      <c r="BW261" s="581">
        <f>+BW262*BW255</f>
        <v>15.217889340434668</v>
      </c>
      <c r="BX261" s="550">
        <f>+BX262*BX255</f>
        <v>15.8588964903535</v>
      </c>
      <c r="BY261" s="550">
        <f>+BY262*BY255</f>
        <v>15.74951276415449</v>
      </c>
      <c r="BZ261" s="582">
        <f>+BZ262*BZ255</f>
        <v>20.412508488737444</v>
      </c>
      <c r="CA261" s="580">
        <f>+SUM(BW261:BZ261)</f>
        <v>67.238807083680101</v>
      </c>
      <c r="CB261" s="557"/>
      <c r="CC261" s="581">
        <f>+CC262*CC255</f>
        <v>19.255352077982568</v>
      </c>
      <c r="CD261" s="550">
        <f>+CD262*CD255</f>
        <v>20.376320736978471</v>
      </c>
      <c r="CE261" s="550">
        <f>+CE262*CE255</f>
        <v>21.023068777150183</v>
      </c>
      <c r="CF261" s="582">
        <f>+CF262*CF255</f>
        <v>27.066318054295024</v>
      </c>
      <c r="CG261" s="580">
        <f>+SUM(CC261:CF261)</f>
        <v>87.721059646406246</v>
      </c>
      <c r="CH261" s="557"/>
      <c r="CI261" s="581">
        <f>+CI262*CI255</f>
        <v>26.381121787896877</v>
      </c>
      <c r="CJ261" s="550">
        <f>+CJ262*CJ255</f>
        <v>27.495260424298579</v>
      </c>
      <c r="CK261" s="550">
        <f>+CK262*CK255</f>
        <v>27.71233065224548</v>
      </c>
      <c r="CL261" s="582">
        <f>+CL262*CL255</f>
        <v>34.779185938442069</v>
      </c>
      <c r="CM261" s="580">
        <f>+SUM(CI261:CL261)</f>
        <v>116.367898802883</v>
      </c>
      <c r="CN261" s="557"/>
      <c r="CO261" s="581">
        <f>+CO262*CO255</f>
        <v>33.211304206532361</v>
      </c>
      <c r="CP261" s="550">
        <f>+CP262*CP255</f>
        <v>34.636621065267178</v>
      </c>
      <c r="CQ261" s="550">
        <f>+CQ262*CQ255</f>
        <v>35.002793908896237</v>
      </c>
      <c r="CR261" s="582">
        <f>+CR262*CR255</f>
        <v>43.438026549298137</v>
      </c>
      <c r="CS261" s="580">
        <f>+SUM(CO261:CR261)</f>
        <v>146.28874572999391</v>
      </c>
      <c r="CT261" s="557"/>
      <c r="CU261" s="581">
        <f>+CU262*CU255</f>
        <v>41.844413847872502</v>
      </c>
      <c r="CV261" s="550">
        <f>+CV262*CV255</f>
        <v>43.484649765786365</v>
      </c>
      <c r="CW261" s="550">
        <f>+CW262*CW255</f>
        <v>43.872667736037108</v>
      </c>
      <c r="CX261" s="582">
        <f>+CX262*CX255</f>
        <v>53.768964990337665</v>
      </c>
      <c r="CY261" s="580">
        <f>+SUM(CU261:CX261)</f>
        <v>182.97069634003361</v>
      </c>
      <c r="CZ261" s="48"/>
      <c r="DD261" s="48"/>
      <c r="DE261" s="48"/>
      <c r="DF261" s="48"/>
      <c r="DG261" s="48"/>
      <c r="DH261" s="48"/>
      <c r="DI261" s="48"/>
      <c r="DJ261" s="48"/>
      <c r="DK261" s="48"/>
    </row>
    <row r="262" spans="1:115" outlineLevel="1" x14ac:dyDescent="0.2">
      <c r="A262" s="205" t="s">
        <v>471</v>
      </c>
      <c r="B262" s="58"/>
      <c r="C262" s="558"/>
      <c r="D262" s="558"/>
      <c r="E262" s="558"/>
      <c r="F262" s="558"/>
      <c r="G262" s="629"/>
      <c r="H262" s="557"/>
      <c r="I262" s="704"/>
      <c r="J262" s="558"/>
      <c r="K262" s="558"/>
      <c r="L262" s="558"/>
      <c r="M262" s="629"/>
      <c r="N262" s="557"/>
      <c r="O262" s="704"/>
      <c r="P262" s="558"/>
      <c r="Q262" s="558"/>
      <c r="R262" s="558"/>
      <c r="S262" s="1134"/>
      <c r="T262" s="558"/>
      <c r="U262" s="704"/>
      <c r="V262" s="558"/>
      <c r="W262" s="558"/>
      <c r="X262" s="558"/>
      <c r="Y262" s="1134"/>
      <c r="Z262" s="578"/>
      <c r="AA262" s="581"/>
      <c r="AB262" s="550"/>
      <c r="AC262" s="550"/>
      <c r="AD262" s="582"/>
      <c r="AE262" s="580"/>
      <c r="AF262" s="557"/>
      <c r="AG262" s="581"/>
      <c r="AH262" s="550"/>
      <c r="AI262" s="550"/>
      <c r="AJ262" s="582"/>
      <c r="AK262" s="580"/>
      <c r="AL262" s="557"/>
      <c r="AM262" s="581"/>
      <c r="AN262" s="550"/>
      <c r="AO262" s="550"/>
      <c r="AP262" s="550"/>
      <c r="AQ262" s="580"/>
      <c r="AR262" s="557"/>
      <c r="AS262" s="909">
        <v>0.77</v>
      </c>
      <c r="AT262" s="910">
        <v>0.77</v>
      </c>
      <c r="AU262" s="910">
        <v>0.77</v>
      </c>
      <c r="AV262" s="910">
        <v>0.77</v>
      </c>
      <c r="AW262" s="1106">
        <v>0</v>
      </c>
      <c r="AX262" s="557"/>
      <c r="AY262" s="909">
        <v>0.77</v>
      </c>
      <c r="AZ262" s="910">
        <v>0.77</v>
      </c>
      <c r="BA262" s="910">
        <v>0.77</v>
      </c>
      <c r="BB262" s="910">
        <v>0.77</v>
      </c>
      <c r="BC262" s="707">
        <f>+BC261/BC255</f>
        <v>0.77</v>
      </c>
      <c r="BD262" s="557"/>
      <c r="BE262" s="909">
        <v>0.77</v>
      </c>
      <c r="BF262" s="910">
        <v>0.77</v>
      </c>
      <c r="BG262" s="910">
        <v>0.77</v>
      </c>
      <c r="BH262" s="910">
        <v>0.77</v>
      </c>
      <c r="BI262" s="707">
        <f>+BI261/BI255</f>
        <v>0.77000000000000024</v>
      </c>
      <c r="BJ262" s="629"/>
      <c r="BK262" s="909">
        <v>0.77</v>
      </c>
      <c r="BL262" s="910">
        <v>0.77</v>
      </c>
      <c r="BM262" s="910">
        <v>0.77</v>
      </c>
      <c r="BN262" s="910">
        <v>0.77</v>
      </c>
      <c r="BO262" s="707">
        <f>+BO261/BO255</f>
        <v>0.77</v>
      </c>
      <c r="BP262" s="557"/>
      <c r="BQ262" s="909">
        <v>0.77</v>
      </c>
      <c r="BR262" s="910">
        <v>0.77</v>
      </c>
      <c r="BS262" s="910">
        <v>0.77</v>
      </c>
      <c r="BT262" s="910">
        <v>0.77</v>
      </c>
      <c r="BU262" s="707">
        <f>+BU261/BU255</f>
        <v>0.77000000000000013</v>
      </c>
      <c r="BV262" s="557"/>
      <c r="BW262" s="909">
        <v>0.77</v>
      </c>
      <c r="BX262" s="910">
        <v>0.77</v>
      </c>
      <c r="BY262" s="910">
        <v>0.77</v>
      </c>
      <c r="BZ262" s="910">
        <v>0.77</v>
      </c>
      <c r="CA262" s="707">
        <f>+CA261/CA255</f>
        <v>0.76999999999999991</v>
      </c>
      <c r="CB262" s="557"/>
      <c r="CC262" s="909">
        <v>0.77</v>
      </c>
      <c r="CD262" s="910">
        <v>0.77</v>
      </c>
      <c r="CE262" s="910">
        <v>0.77</v>
      </c>
      <c r="CF262" s="910">
        <v>0.77</v>
      </c>
      <c r="CG262" s="707">
        <f>+CG261/CG255</f>
        <v>0.76999999999999991</v>
      </c>
      <c r="CH262" s="557"/>
      <c r="CI262" s="909">
        <v>0.77</v>
      </c>
      <c r="CJ262" s="910">
        <v>0.77</v>
      </c>
      <c r="CK262" s="910">
        <v>0.77</v>
      </c>
      <c r="CL262" s="910">
        <v>0.77</v>
      </c>
      <c r="CM262" s="707">
        <f>+CM261/CM255</f>
        <v>0.77</v>
      </c>
      <c r="CN262" s="557"/>
      <c r="CO262" s="909">
        <v>0.77</v>
      </c>
      <c r="CP262" s="910">
        <v>0.77</v>
      </c>
      <c r="CQ262" s="910">
        <v>0.77</v>
      </c>
      <c r="CR262" s="910">
        <v>0.77</v>
      </c>
      <c r="CS262" s="707">
        <f>+CS261/CS255</f>
        <v>0.77000000000000013</v>
      </c>
      <c r="CT262" s="557"/>
      <c r="CU262" s="909">
        <v>0.77</v>
      </c>
      <c r="CV262" s="910">
        <v>0.77</v>
      </c>
      <c r="CW262" s="910">
        <v>0.77</v>
      </c>
      <c r="CX262" s="910">
        <v>0.77</v>
      </c>
      <c r="CY262" s="707">
        <f>+CY261/CY255</f>
        <v>0.76999999999999991</v>
      </c>
      <c r="CZ262" s="48"/>
      <c r="DD262" s="48"/>
      <c r="DE262" s="48"/>
      <c r="DF262" s="48"/>
      <c r="DG262" s="48"/>
      <c r="DH262" s="48"/>
      <c r="DI262" s="48"/>
      <c r="DJ262" s="48"/>
      <c r="DK262" s="48"/>
    </row>
    <row r="263" spans="1:115" outlineLevel="1" x14ac:dyDescent="0.2">
      <c r="A263" s="354" t="s">
        <v>481</v>
      </c>
      <c r="B263" s="58"/>
      <c r="C263" s="558"/>
      <c r="D263" s="558"/>
      <c r="E263" s="558"/>
      <c r="F263" s="558"/>
      <c r="G263" s="629"/>
      <c r="H263" s="557"/>
      <c r="I263" s="704"/>
      <c r="J263" s="558"/>
      <c r="K263" s="558"/>
      <c r="L263" s="558"/>
      <c r="M263" s="629"/>
      <c r="N263" s="557"/>
      <c r="O263" s="704"/>
      <c r="P263" s="558"/>
      <c r="Q263" s="558"/>
      <c r="R263" s="558"/>
      <c r="S263" s="1134"/>
      <c r="T263" s="558"/>
      <c r="U263" s="704"/>
      <c r="V263" s="558"/>
      <c r="W263" s="558"/>
      <c r="X263" s="558"/>
      <c r="Y263" s="1134"/>
      <c r="Z263" s="578"/>
      <c r="AA263" s="581"/>
      <c r="AB263" s="550"/>
      <c r="AC263" s="550"/>
      <c r="AD263" s="582"/>
      <c r="AE263" s="580"/>
      <c r="AF263" s="557"/>
      <c r="AG263" s="581"/>
      <c r="AH263" s="550"/>
      <c r="AI263" s="550"/>
      <c r="AJ263" s="582"/>
      <c r="AK263" s="580"/>
      <c r="AL263" s="557"/>
      <c r="AM263" s="581"/>
      <c r="AN263" s="550"/>
      <c r="AO263" s="550"/>
      <c r="AP263" s="550"/>
      <c r="AQ263" s="580"/>
      <c r="AR263" s="557"/>
      <c r="AS263" s="581">
        <f>+AS264*AS255</f>
        <v>0</v>
      </c>
      <c r="AT263" s="550">
        <f>+AT264*AT255</f>
        <v>0</v>
      </c>
      <c r="AU263" s="550">
        <f>+AU264*AU255</f>
        <v>0</v>
      </c>
      <c r="AV263" s="550">
        <f>+AV264*AV255</f>
        <v>0</v>
      </c>
      <c r="AW263" s="580">
        <f>SUM(AS263:AV263)</f>
        <v>0</v>
      </c>
      <c r="AX263" s="557"/>
      <c r="AY263" s="581">
        <f>+AY264*AY255</f>
        <v>1.736945132277631</v>
      </c>
      <c r="AZ263" s="550">
        <f>+AZ264*AZ255</f>
        <v>1.7347288363448163</v>
      </c>
      <c r="BA263" s="550">
        <f>+BA264*BA255</f>
        <v>1.7436548807219454</v>
      </c>
      <c r="BB263" s="550">
        <f>+BB264*BB255</f>
        <v>1.6414248900534434</v>
      </c>
      <c r="BC263" s="580">
        <f>SUM(AY263:BB263)</f>
        <v>6.8567537393978357</v>
      </c>
      <c r="BD263" s="557"/>
      <c r="BE263" s="581">
        <f>+BE264*BE255</f>
        <v>7.0655091311566132</v>
      </c>
      <c r="BF263" s="550">
        <f>+BF264*BF255</f>
        <v>7.2217210472422035</v>
      </c>
      <c r="BG263" s="550">
        <f>+BG264*BG255</f>
        <v>7.4105983428604967</v>
      </c>
      <c r="BH263" s="550">
        <f>+BH264*BH255</f>
        <v>7.7609324379111122</v>
      </c>
      <c r="BI263" s="580">
        <f>SUM(BE263:BH263)</f>
        <v>29.458760959170426</v>
      </c>
      <c r="BJ263" s="557"/>
      <c r="BK263" s="581">
        <f>+BK264*BK255</f>
        <v>11.31089758738141</v>
      </c>
      <c r="BL263" s="550">
        <f>+BL264*BL255</f>
        <v>11.222452503796376</v>
      </c>
      <c r="BM263" s="550">
        <f>+BM264*BM255</f>
        <v>11.14470226305615</v>
      </c>
      <c r="BN263" s="550">
        <f>+BN264*BN255</f>
        <v>12.321450347828495</v>
      </c>
      <c r="BO263" s="580">
        <f>SUM(BK263:BN263)</f>
        <v>45.999502702062436</v>
      </c>
      <c r="BP263" s="557"/>
      <c r="BQ263" s="581">
        <f>+BQ264*BQ255</f>
        <v>15.695944068042005</v>
      </c>
      <c r="BR263" s="550">
        <f>+BR264*BR255</f>
        <v>15.962843428719724</v>
      </c>
      <c r="BS263" s="550">
        <f>+BS264*BS255</f>
        <v>15.872186313635497</v>
      </c>
      <c r="BT263" s="550">
        <f>+BT264*BT255</f>
        <v>17.475514213825914</v>
      </c>
      <c r="BU263" s="580">
        <f>SUM(BQ263:BT263)</f>
        <v>65.006488024223145</v>
      </c>
      <c r="BV263" s="557"/>
      <c r="BW263" s="581">
        <f>+BW264*BW255</f>
        <v>14.957049547885852</v>
      </c>
      <c r="BX263" s="550">
        <f>+BX264*BX255</f>
        <v>13.822322225386801</v>
      </c>
      <c r="BY263" s="550">
        <f>+BY264*BY255</f>
        <v>12.881503380465693</v>
      </c>
      <c r="BZ263" s="550">
        <f>+BZ264*BZ255</f>
        <v>12.97964124713172</v>
      </c>
      <c r="CA263" s="580">
        <f>SUM(BW263:BZ263)</f>
        <v>54.640516400870069</v>
      </c>
      <c r="CB263" s="557"/>
      <c r="CC263" s="581">
        <f>+CC264*CC255</f>
        <v>12.538391928061387</v>
      </c>
      <c r="CD263" s="550">
        <f>+CD264*CD255</f>
        <v>12.10807833650491</v>
      </c>
      <c r="CE263" s="550">
        <f>+CE264*CE255</f>
        <v>11.918109598212515</v>
      </c>
      <c r="CF263" s="550">
        <f>+CF264*CF255</f>
        <v>13.227359866538814</v>
      </c>
      <c r="CG263" s="580">
        <f>SUM(CC263:CF263)</f>
        <v>49.791939729317626</v>
      </c>
      <c r="CH263" s="557"/>
      <c r="CI263" s="581">
        <f>+CI264*CI255</f>
        <v>16.708697592188244</v>
      </c>
      <c r="CJ263" s="550">
        <f>+CJ264*CJ255</f>
        <v>15.851133836663648</v>
      </c>
      <c r="CK263" s="550">
        <f>+CK264*CK255</f>
        <v>15.628962560929979</v>
      </c>
      <c r="CL263" s="550">
        <f>+CL264*CL255</f>
        <v>16.930462171839594</v>
      </c>
      <c r="CM263" s="580">
        <f>SUM(CI263:CL263)</f>
        <v>65.119256161621465</v>
      </c>
      <c r="CN263" s="557"/>
      <c r="CO263" s="581">
        <f>+CO264*CO255</f>
        <v>18.235685145783954</v>
      </c>
      <c r="CP263" s="550">
        <f>+CP264*CP255</f>
        <v>18.010138248116839</v>
      </c>
      <c r="CQ263" s="550">
        <f>+CQ264*CQ255</f>
        <v>17.317873323541992</v>
      </c>
      <c r="CR263" s="550">
        <f>+CR264*CR255</f>
        <v>19.16609118100245</v>
      </c>
      <c r="CS263" s="580">
        <f>SUM(CO263:CR263)</f>
        <v>72.729787898445238</v>
      </c>
      <c r="CT263" s="557"/>
      <c r="CU263" s="581">
        <f>+CU264*CU255</f>
        <v>21.733438206140416</v>
      </c>
      <c r="CV263" s="550">
        <f>+CV264*CV255</f>
        <v>21.343004346323951</v>
      </c>
      <c r="CW263" s="550">
        <f>+CW264*CW255</f>
        <v>20.447398309530065</v>
      </c>
      <c r="CX263" s="550">
        <f>+CX264*CX255</f>
        <v>22.311007718871263</v>
      </c>
      <c r="CY263" s="580">
        <f>SUM(CU263:CX263)</f>
        <v>85.834848580865696</v>
      </c>
      <c r="CZ263" s="48"/>
      <c r="DD263" s="48"/>
      <c r="DE263" s="48"/>
      <c r="DF263" s="48"/>
      <c r="DG263" s="48"/>
      <c r="DH263" s="48"/>
      <c r="DI263" s="48"/>
      <c r="DJ263" s="48"/>
      <c r="DK263" s="48"/>
    </row>
    <row r="264" spans="1:115" outlineLevel="1" x14ac:dyDescent="0.2">
      <c r="A264" s="205" t="s">
        <v>473</v>
      </c>
      <c r="B264" s="58"/>
      <c r="C264" s="558"/>
      <c r="D264" s="558"/>
      <c r="E264" s="558"/>
      <c r="F264" s="558"/>
      <c r="G264" s="629"/>
      <c r="H264" s="557"/>
      <c r="I264" s="704"/>
      <c r="J264" s="558"/>
      <c r="K264" s="558"/>
      <c r="L264" s="558"/>
      <c r="M264" s="629"/>
      <c r="N264" s="557"/>
      <c r="O264" s="704"/>
      <c r="P264" s="558"/>
      <c r="Q264" s="558"/>
      <c r="R264" s="558"/>
      <c r="S264" s="1134"/>
      <c r="T264" s="558"/>
      <c r="U264" s="704"/>
      <c r="V264" s="558"/>
      <c r="W264" s="558"/>
      <c r="X264" s="558"/>
      <c r="Y264" s="1134"/>
      <c r="Z264" s="578"/>
      <c r="AA264" s="581"/>
      <c r="AB264" s="550"/>
      <c r="AC264" s="550"/>
      <c r="AD264" s="582"/>
      <c r="AE264" s="580"/>
      <c r="AF264" s="557"/>
      <c r="AG264" s="581"/>
      <c r="AH264" s="550"/>
      <c r="AI264" s="550"/>
      <c r="AJ264" s="582"/>
      <c r="AK264" s="580"/>
      <c r="AL264" s="557"/>
      <c r="AM264" s="581"/>
      <c r="AN264" s="550"/>
      <c r="AO264" s="550"/>
      <c r="AP264" s="550"/>
      <c r="AQ264" s="580"/>
      <c r="AR264" s="557"/>
      <c r="AS264" s="909">
        <v>0</v>
      </c>
      <c r="AT264" s="910">
        <v>0</v>
      </c>
      <c r="AU264" s="910">
        <v>0</v>
      </c>
      <c r="AV264" s="1002">
        <v>0</v>
      </c>
      <c r="AW264" s="1106">
        <v>0</v>
      </c>
      <c r="AX264" s="557"/>
      <c r="AY264" s="1115">
        <f>+AY$454+((AY275)*(Growth_Drivers!AY255/Growth_Drivers!AY257))/Growth_Drivers!AY255</f>
        <v>0.27791122116442096</v>
      </c>
      <c r="AZ264" s="1114">
        <f>+AZ$454+((AZ275)*(Growth_Drivers!AZ255/Growth_Drivers!AZ257))/Growth_Drivers!AZ255</f>
        <v>0.27755661381517061</v>
      </c>
      <c r="BA264" s="1114">
        <f>+BA$454+((BA275)*(Growth_Drivers!BA255/Growth_Drivers!BA257))/Growth_Drivers!BA255</f>
        <v>0.27898478091551127</v>
      </c>
      <c r="BB264" s="1114">
        <f>+BB$454+((BB275)*(Growth_Drivers!BB255/Growth_Drivers!BB257))/Growth_Drivers!BB255</f>
        <v>0.26262798240855095</v>
      </c>
      <c r="BC264" s="707">
        <f>+BC263/BC255</f>
        <v>0.27427014957591345</v>
      </c>
      <c r="BD264" s="557"/>
      <c r="BE264" s="1115">
        <f>+BE$454+((BE275)*(Growth_Drivers!BE255/Growth_Drivers!BE257))/Growth_Drivers!BE255</f>
        <v>1.0093584473080877</v>
      </c>
      <c r="BF264" s="1114">
        <f>+BF$454+((BF275)*(Growth_Drivers!BF255/Growth_Drivers!BF257))/Growth_Drivers!BF255</f>
        <v>0.93788585029119509</v>
      </c>
      <c r="BG264" s="1114">
        <f>+BG$454+((BG275)*(Growth_Drivers!BG255/Growth_Drivers!BG257))/Growth_Drivers!BG255</f>
        <v>0.87492306291151056</v>
      </c>
      <c r="BH264" s="1114">
        <f>+BH$454+((BH275)*(Growth_Drivers!BH255/Growth_Drivers!BH257))/Growth_Drivers!BH255</f>
        <v>0.76357068456425714</v>
      </c>
      <c r="BI264" s="707">
        <f>+BI263/BI255</f>
        <v>0.88374515387203523</v>
      </c>
      <c r="BJ264" s="557"/>
      <c r="BK264" s="1115">
        <f>+BK$454+((BK275)*(Growth_Drivers!BK255/Growth_Drivers!BK257))/Growth_Drivers!BK255</f>
        <v>0.98355631194620952</v>
      </c>
      <c r="BL264" s="1114">
        <f>+BL$454+((BL275)*(Growth_Drivers!BL255/Growth_Drivers!BL257))/Growth_Drivers!BL255</f>
        <v>0.97586543511272827</v>
      </c>
      <c r="BM264" s="1114">
        <f>+BM$454+((BM275)*(Growth_Drivers!BM255/Growth_Drivers!BM257))/Growth_Drivers!BM255</f>
        <v>0.9691045446135782</v>
      </c>
      <c r="BN264" s="1114">
        <f>+BN$454+((BN275)*(Growth_Drivers!BN255/Growth_Drivers!BN257))/Growth_Drivers!BN255</f>
        <v>0.79493228050506426</v>
      </c>
      <c r="BO264" s="707">
        <f>+BO263/BO255</f>
        <v>0.91999005404124867</v>
      </c>
      <c r="BP264" s="557"/>
      <c r="BQ264" s="1115">
        <f>+BQ$454+BQ449+((BQ275)*(Growth_Drivers!BQ255/Growth_Drivers!BQ257))/Growth_Drivers!BQ255</f>
        <v>1.0296979556030394</v>
      </c>
      <c r="BR264" s="1114">
        <f>+BR$454+BR449+((BR275)*(Growth_Drivers!BR255/Growth_Drivers!BR257))/Growth_Drivers!BR255</f>
        <v>0.90131883528888546</v>
      </c>
      <c r="BS264" s="1114">
        <f>+BS$454+BS449+((BS275)*(Growth_Drivers!BS255/Growth_Drivers!BS257))/Growth_Drivers!BS255</f>
        <v>0.92272106000264498</v>
      </c>
      <c r="BT264" s="1114">
        <f>+BT$454+BT449+((BT275)*(Growth_Drivers!BT255/Growth_Drivers!BT257))/Growth_Drivers!BT255</f>
        <v>0.75767359704769266</v>
      </c>
      <c r="BU264" s="707">
        <f>+BU263/BU255</f>
        <v>0.88782431237438186</v>
      </c>
      <c r="BV264" s="557"/>
      <c r="BW264" s="1115">
        <f>+BW$454+BW449+((BW275)*(Growth_Drivers!BW255/Growth_Drivers!BW257))/Growth_Drivers!BW255</f>
        <v>0.75680193844431964</v>
      </c>
      <c r="BX264" s="1114">
        <f>+BX$454+BX449+((BX275)*(Growth_Drivers!BX255/Growth_Drivers!BX257))/Growth_Drivers!BX255</f>
        <v>0.67111782462429048</v>
      </c>
      <c r="BY264" s="1114">
        <f>+BY$454+BY449+((BY275)*(Growth_Drivers!BY255/Growth_Drivers!BY257))/Growth_Drivers!BY255</f>
        <v>0.62978187017527532</v>
      </c>
      <c r="BZ264" s="1114">
        <f>+BZ$454+BZ449+((BZ275)*(Growth_Drivers!BZ255/Growth_Drivers!BZ257))/Growth_Drivers!BZ255</f>
        <v>0.4896176168551637</v>
      </c>
      <c r="CA264" s="707">
        <f>+CA263/CA255</f>
        <v>0.62572790109599918</v>
      </c>
      <c r="CB264" s="557"/>
      <c r="CC264" s="1115">
        <f>+CC$454+CC449+((CC275)*(Growth_Drivers!CC255/Growth_Drivers!CC257))/Growth_Drivers!CC255</f>
        <v>0.50139627390385277</v>
      </c>
      <c r="CD264" s="1114">
        <f>+CD$454+CD449+((CD275)*(Growth_Drivers!CD255/Growth_Drivers!CD257))/Growth_Drivers!CD255</f>
        <v>0.4575517061914528</v>
      </c>
      <c r="CE264" s="1114">
        <f>+CE$454+CE449+((CE275)*(Growth_Drivers!CE255/Growth_Drivers!CE257))/Growth_Drivers!CE255</f>
        <v>0.43651783133573674</v>
      </c>
      <c r="CF264" s="1114">
        <f>+CF$454+CF449+((CF275)*(Growth_Drivers!CF255/Growth_Drivers!CF257))/Growth_Drivers!CF255</f>
        <v>0.37630042907216438</v>
      </c>
      <c r="CG264" s="707">
        <f>+CG263/CG255</f>
        <v>0.43706487069488187</v>
      </c>
      <c r="CH264" s="557"/>
      <c r="CI264" s="1115">
        <f>+CI$454+CI449+((CI275)*(Growth_Drivers!CI255/Growth_Drivers!CI257))/Growth_Drivers!CI255</f>
        <v>0.4876857492802853</v>
      </c>
      <c r="CJ264" s="1114">
        <f>+CJ$454+CJ449+((CJ275)*(Growth_Drivers!CJ255/Growth_Drivers!CJ257))/Growth_Drivers!CJ255</f>
        <v>0.44390825421841318</v>
      </c>
      <c r="CK264" s="1114">
        <f>+CK$454+CK449+((CK275)*(Growth_Drivers!CK255/Growth_Drivers!CK257))/Growth_Drivers!CK255</f>
        <v>0.43425799594163567</v>
      </c>
      <c r="CL264" s="1114">
        <f>+CL$454+CL449+((CL275)*(Growth_Drivers!CL255/Growth_Drivers!CL257))/Growth_Drivers!CL255</f>
        <v>0.37483499169274848</v>
      </c>
      <c r="CM264" s="707">
        <f>+CM263/CM255</f>
        <v>0.43089054421601591</v>
      </c>
      <c r="CN264" s="557"/>
      <c r="CO264" s="1115">
        <f>+CO$454+CO449+((CO275)*(Growth_Drivers!CO255/Growth_Drivers!CO257))/Growth_Drivers!CO255</f>
        <v>0.42279211544760159</v>
      </c>
      <c r="CP264" s="1114">
        <f>+CP$454+CP449+((CP275)*(Growth_Drivers!CP255/Growth_Drivers!CP257))/Growth_Drivers!CP255</f>
        <v>0.40037988766047067</v>
      </c>
      <c r="CQ264" s="1114">
        <f>+CQ$454+CQ449+((CQ275)*(Growth_Drivers!CQ255/Growth_Drivers!CQ257))/Growth_Drivers!CQ255</f>
        <v>0.38096280239327401</v>
      </c>
      <c r="CR264" s="1114">
        <f>+CR$454+CR449+((CR275)*(Growth_Drivers!CR255/Growth_Drivers!CR257))/Growth_Drivers!CR255</f>
        <v>0.33974587203272344</v>
      </c>
      <c r="CS264" s="707">
        <f>+CS263/CS255</f>
        <v>0.38281780599285459</v>
      </c>
      <c r="CT264" s="557"/>
      <c r="CU264" s="1115">
        <f>+CU$454+CU449+((CU275)*(Growth_Drivers!CU255/Growth_Drivers!CU257))/Growth_Drivers!CU255</f>
        <v>0.39992787279965608</v>
      </c>
      <c r="CV264" s="1114">
        <f>+CV$454+CV449+((CV275)*(Growth_Drivers!CV255/Growth_Drivers!CV257))/Growth_Drivers!CV255</f>
        <v>0.37792907233208928</v>
      </c>
      <c r="CW264" s="1114">
        <f>+CW$454+CW449+((CW275)*(Growth_Drivers!CW255/Growth_Drivers!CW257))/Growth_Drivers!CW255</f>
        <v>0.35886800394874518</v>
      </c>
      <c r="CX264" s="1114">
        <f>+CX$454+CX449+((CX275)*(Growth_Drivers!CX255/Growth_Drivers!CX257))/Growth_Drivers!CX255</f>
        <v>0.31950542374431123</v>
      </c>
      <c r="CY264" s="707">
        <f>+CY263/CY255</f>
        <v>0.36122086612404503</v>
      </c>
      <c r="CZ264" s="48"/>
      <c r="DD264" s="48"/>
      <c r="DE264" s="48"/>
      <c r="DF264" s="48"/>
      <c r="DG264" s="48"/>
      <c r="DH264" s="48"/>
      <c r="DI264" s="48"/>
      <c r="DJ264" s="48"/>
      <c r="DK264" s="48"/>
    </row>
    <row r="265" spans="1:115" outlineLevel="1" x14ac:dyDescent="0.2">
      <c r="A265" s="354" t="s">
        <v>482</v>
      </c>
      <c r="B265" s="58"/>
      <c r="C265" s="558"/>
      <c r="D265" s="558"/>
      <c r="E265" s="558"/>
      <c r="F265" s="558"/>
      <c r="G265" s="629"/>
      <c r="H265" s="557"/>
      <c r="I265" s="704"/>
      <c r="J265" s="558"/>
      <c r="K265" s="558"/>
      <c r="L265" s="558"/>
      <c r="M265" s="629"/>
      <c r="N265" s="557"/>
      <c r="O265" s="704"/>
      <c r="P265" s="558"/>
      <c r="Q265" s="558"/>
      <c r="R265" s="558"/>
      <c r="S265" s="1134"/>
      <c r="T265" s="558"/>
      <c r="U265" s="704"/>
      <c r="V265" s="558"/>
      <c r="W265" s="558"/>
      <c r="X265" s="558"/>
      <c r="Y265" s="1134"/>
      <c r="Z265" s="578"/>
      <c r="AA265" s="581"/>
      <c r="AB265" s="550"/>
      <c r="AC265" s="550"/>
      <c r="AD265" s="582"/>
      <c r="AE265" s="580"/>
      <c r="AF265" s="557"/>
      <c r="AG265" s="581"/>
      <c r="AH265" s="550"/>
      <c r="AI265" s="550"/>
      <c r="AJ265" s="582"/>
      <c r="AK265" s="580"/>
      <c r="AL265" s="557"/>
      <c r="AM265" s="581"/>
      <c r="AN265" s="550"/>
      <c r="AO265" s="550"/>
      <c r="AP265" s="550"/>
      <c r="AQ265" s="580"/>
      <c r="AR265" s="557"/>
      <c r="AS265" s="581">
        <f>+AS261-AS263</f>
        <v>0</v>
      </c>
      <c r="AT265" s="550">
        <f>+AT261-AT263</f>
        <v>0</v>
      </c>
      <c r="AU265" s="550">
        <f>+AU261-AU263</f>
        <v>0</v>
      </c>
      <c r="AV265" s="550">
        <f>+AV261-AV263</f>
        <v>0</v>
      </c>
      <c r="AW265" s="580">
        <f>+AW261-AW263</f>
        <v>0</v>
      </c>
      <c r="AX265" s="557"/>
      <c r="AY265" s="581">
        <f>+AY261-AY263</f>
        <v>3.075554867722369</v>
      </c>
      <c r="AZ265" s="550">
        <f>+AZ261-AZ263</f>
        <v>3.0777711636551839</v>
      </c>
      <c r="BA265" s="550">
        <f>+BA261-BA263</f>
        <v>3.0688451192780546</v>
      </c>
      <c r="BB265" s="550">
        <f>+BB261-BB263</f>
        <v>3.1710751099465568</v>
      </c>
      <c r="BC265" s="580">
        <f>+BC261-BC263</f>
        <v>12.393246260602165</v>
      </c>
      <c r="BD265" s="557"/>
      <c r="BE265" s="581">
        <f>+BE261-BE263</f>
        <v>-1.6755091311566126</v>
      </c>
      <c r="BF265" s="550">
        <f>+BF261-BF263</f>
        <v>-1.2927210472422024</v>
      </c>
      <c r="BG265" s="550">
        <f>+BG261-BG263</f>
        <v>-0.88869834286049443</v>
      </c>
      <c r="BH265" s="550">
        <f>+BH261-BH263</f>
        <v>6.5347562088890143E-2</v>
      </c>
      <c r="BI265" s="580">
        <f>+BI261-BI263</f>
        <v>-3.7915809591704175</v>
      </c>
      <c r="BJ265" s="557"/>
      <c r="BK265" s="581">
        <f>+BK261-BK263</f>
        <v>-2.4558975873814095</v>
      </c>
      <c r="BL265" s="550">
        <f>+BL261-BL263</f>
        <v>-2.3674525037963754</v>
      </c>
      <c r="BM265" s="550">
        <f>+BM261-BM263</f>
        <v>-2.2897022630561494</v>
      </c>
      <c r="BN265" s="550">
        <f>+BN261-BN263</f>
        <v>-0.38645034782849486</v>
      </c>
      <c r="BO265" s="580">
        <f>+BO261-BO263</f>
        <v>-7.4995027020624363</v>
      </c>
      <c r="BP265" s="557"/>
      <c r="BQ265" s="581">
        <f>+BQ261-BQ263</f>
        <v>-3.9586410398794527</v>
      </c>
      <c r="BR265" s="550">
        <f>+BR261-BR263</f>
        <v>-2.3257275060566585</v>
      </c>
      <c r="BS265" s="550">
        <f>+BS261-BS263</f>
        <v>-2.6270313136354968</v>
      </c>
      <c r="BT265" s="550">
        <f>+BT261-BT263</f>
        <v>0.28430478617408284</v>
      </c>
      <c r="BU265" s="580">
        <f>+BU261-BU263</f>
        <v>-8.6270950733975269</v>
      </c>
      <c r="BV265" s="557"/>
      <c r="BW265" s="581">
        <f>+BW261-BW263</f>
        <v>0.26083979254881662</v>
      </c>
      <c r="BX265" s="550">
        <f>+BX261-BX263</f>
        <v>2.0365742649666991</v>
      </c>
      <c r="BY265" s="550">
        <f>+BY261-BY263</f>
        <v>2.868009383688797</v>
      </c>
      <c r="BZ265" s="550">
        <f>+BZ261-BZ263</f>
        <v>7.4328672416057238</v>
      </c>
      <c r="CA265" s="580">
        <f>+CA261-CA263</f>
        <v>12.598290682810031</v>
      </c>
      <c r="CB265" s="557"/>
      <c r="CC265" s="581">
        <f>+CC261-CC263</f>
        <v>6.7169601499211815</v>
      </c>
      <c r="CD265" s="550">
        <f>+CD261-CD263</f>
        <v>8.2682424004735608</v>
      </c>
      <c r="CE265" s="550">
        <f>+CE261-CE263</f>
        <v>9.1049591789376674</v>
      </c>
      <c r="CF265" s="550">
        <f>+CF261-CF263</f>
        <v>13.83895818775621</v>
      </c>
      <c r="CG265" s="580">
        <f>+CG261-CG263</f>
        <v>37.92911991708862</v>
      </c>
      <c r="CH265" s="557"/>
      <c r="CI265" s="581">
        <f>+CI261-CI263</f>
        <v>9.6724241957086328</v>
      </c>
      <c r="CJ265" s="550">
        <f>+CJ261-CJ263</f>
        <v>11.644126587634931</v>
      </c>
      <c r="CK265" s="550">
        <f>+CK261-CK263</f>
        <v>12.083368091315501</v>
      </c>
      <c r="CL265" s="550">
        <f>+CL261-CL263</f>
        <v>17.848723766602475</v>
      </c>
      <c r="CM265" s="580">
        <f>+CM261-CM263</f>
        <v>51.24864264126154</v>
      </c>
      <c r="CN265" s="557"/>
      <c r="CO265" s="581">
        <f>+CO261-CO263</f>
        <v>14.975619060748407</v>
      </c>
      <c r="CP265" s="550">
        <f>+CP261-CP263</f>
        <v>16.62648281715034</v>
      </c>
      <c r="CQ265" s="550">
        <f>+CQ261-CQ263</f>
        <v>17.684920585354245</v>
      </c>
      <c r="CR265" s="550">
        <f>+CR261-CR263</f>
        <v>24.271935368295686</v>
      </c>
      <c r="CS265" s="580">
        <f>+CS261-CS263</f>
        <v>73.558957831548668</v>
      </c>
      <c r="CT265" s="557"/>
      <c r="CU265" s="581">
        <f>+CU261-CU263</f>
        <v>20.110975641732086</v>
      </c>
      <c r="CV265" s="550">
        <f>+CV261-CV263</f>
        <v>22.141645419462414</v>
      </c>
      <c r="CW265" s="550">
        <f>+CW261-CW263</f>
        <v>23.425269426507043</v>
      </c>
      <c r="CX265" s="550">
        <f>+CX261-CX263</f>
        <v>31.457957271466402</v>
      </c>
      <c r="CY265" s="580">
        <f>+CY261-CY263</f>
        <v>97.135847759167916</v>
      </c>
      <c r="CZ265" s="48"/>
      <c r="DD265" s="48"/>
      <c r="DE265" s="48"/>
      <c r="DF265" s="48"/>
      <c r="DG265" s="48"/>
      <c r="DH265" s="48"/>
      <c r="DI265" s="48"/>
      <c r="DJ265" s="48"/>
      <c r="DK265" s="48"/>
    </row>
    <row r="266" spans="1:115" outlineLevel="1" x14ac:dyDescent="0.2">
      <c r="A266" s="205" t="s">
        <v>476</v>
      </c>
      <c r="B266" s="58"/>
      <c r="C266" s="558"/>
      <c r="D266" s="558"/>
      <c r="E266" s="558"/>
      <c r="F266" s="558"/>
      <c r="G266" s="629"/>
      <c r="H266" s="557"/>
      <c r="I266" s="704"/>
      <c r="J266" s="558"/>
      <c r="K266" s="558"/>
      <c r="L266" s="558"/>
      <c r="M266" s="629"/>
      <c r="N266" s="557"/>
      <c r="O266" s="704"/>
      <c r="P266" s="558"/>
      <c r="Q266" s="558"/>
      <c r="R266" s="558"/>
      <c r="S266" s="1134"/>
      <c r="T266" s="558"/>
      <c r="U266" s="704"/>
      <c r="V266" s="558"/>
      <c r="W266" s="558"/>
      <c r="X266" s="558"/>
      <c r="Y266" s="1134"/>
      <c r="Z266" s="578"/>
      <c r="AA266" s="581"/>
      <c r="AB266" s="550"/>
      <c r="AC266" s="550"/>
      <c r="AD266" s="582"/>
      <c r="AE266" s="580"/>
      <c r="AF266" s="557"/>
      <c r="AG266" s="581"/>
      <c r="AH266" s="550"/>
      <c r="AI266" s="550"/>
      <c r="AJ266" s="582"/>
      <c r="AK266" s="580"/>
      <c r="AL266" s="557"/>
      <c r="AM266" s="581"/>
      <c r="AN266" s="550"/>
      <c r="AO266" s="550"/>
      <c r="AP266" s="550"/>
      <c r="AQ266" s="580"/>
      <c r="AR266" s="557"/>
      <c r="AS266" s="909">
        <v>0</v>
      </c>
      <c r="AT266" s="910">
        <v>0</v>
      </c>
      <c r="AU266" s="910">
        <v>0</v>
      </c>
      <c r="AV266" s="1002">
        <v>0</v>
      </c>
      <c r="AW266" s="1106">
        <v>0</v>
      </c>
      <c r="AX266" s="557"/>
      <c r="AY266" s="1131">
        <f>+AY265/AY255</f>
        <v>0.49208877883557905</v>
      </c>
      <c r="AZ266" s="1132">
        <f>+AZ265/AZ255</f>
        <v>0.49244338618482941</v>
      </c>
      <c r="BA266" s="1132">
        <f>+BA265/BA255</f>
        <v>0.49101521908448875</v>
      </c>
      <c r="BB266" s="1213">
        <f>+BB265/BB255</f>
        <v>0.50737201759144912</v>
      </c>
      <c r="BC266" s="707">
        <f>+BC265/BC255</f>
        <v>0.49572985042408663</v>
      </c>
      <c r="BD266" s="557"/>
      <c r="BE266" s="1131">
        <f>+BE265/BE255</f>
        <v>-0.2393584473080875</v>
      </c>
      <c r="BF266" s="1132">
        <f>+BF265/BF255</f>
        <v>-0.1678858502911951</v>
      </c>
      <c r="BG266" s="1132">
        <f>+BG265/BG255</f>
        <v>-0.10492306291151053</v>
      </c>
      <c r="BH266" s="1213">
        <f>+BH265/BH255</f>
        <v>6.4293154357428295E-3</v>
      </c>
      <c r="BI266" s="707">
        <f>+BI265/BI255</f>
        <v>-0.11374515387203507</v>
      </c>
      <c r="BJ266" s="557"/>
      <c r="BK266" s="1131">
        <f>+BK265/BK255</f>
        <v>-0.21355631194620953</v>
      </c>
      <c r="BL266" s="1132">
        <f>+BL265/BL255</f>
        <v>-0.20586543511272828</v>
      </c>
      <c r="BM266" s="1132">
        <f>+BM265/BM255</f>
        <v>-0.19910454461357821</v>
      </c>
      <c r="BN266" s="1213">
        <f>+BN265/BN255</f>
        <v>-2.4932280505064183E-2</v>
      </c>
      <c r="BO266" s="707">
        <f>+BO265/BO255</f>
        <v>-0.14999005404124874</v>
      </c>
      <c r="BP266" s="557"/>
      <c r="BQ266" s="1131">
        <f>+BQ265/BQ255</f>
        <v>-0.25969795560303943</v>
      </c>
      <c r="BR266" s="1132">
        <f>+BR265/BR255</f>
        <v>-0.13131883528888538</v>
      </c>
      <c r="BS266" s="1132">
        <f>+BS265/BS255</f>
        <v>-0.15272106000264493</v>
      </c>
      <c r="BT266" s="1213">
        <f>+BT265/BT255</f>
        <v>1.232640295230733E-2</v>
      </c>
      <c r="BU266" s="707">
        <f>+BU265/BU255</f>
        <v>-0.11782431237438179</v>
      </c>
      <c r="BV266" s="557"/>
      <c r="BW266" s="1131">
        <f>+BW265/BW255</f>
        <v>1.3198061555680363E-2</v>
      </c>
      <c r="BX266" s="1132">
        <f>+BX265/BX255</f>
        <v>9.888217537570948E-2</v>
      </c>
      <c r="BY266" s="1132">
        <f>+BY265/BY255</f>
        <v>0.14021812982472476</v>
      </c>
      <c r="BZ266" s="1213">
        <f>+BZ265/BZ255</f>
        <v>0.28038238314483643</v>
      </c>
      <c r="CA266" s="707">
        <f>+CA265/CA255</f>
        <v>0.14427209890400078</v>
      </c>
      <c r="CB266" s="557"/>
      <c r="CC266" s="1131">
        <f>+CC265/CC255</f>
        <v>0.2686037260961473</v>
      </c>
      <c r="CD266" s="1132">
        <f>+CD265/CD255</f>
        <v>0.31244829380854716</v>
      </c>
      <c r="CE266" s="1132">
        <f>+CE265/CE255</f>
        <v>0.33348216866426328</v>
      </c>
      <c r="CF266" s="1213">
        <f>+CF265/CF255</f>
        <v>0.39369957092783564</v>
      </c>
      <c r="CG266" s="707">
        <f>+CG265/CG255</f>
        <v>0.33293512930511804</v>
      </c>
      <c r="CH266" s="557"/>
      <c r="CI266" s="1131">
        <f>+CI265/CI255</f>
        <v>0.28231425071971472</v>
      </c>
      <c r="CJ266" s="1132">
        <f>+CJ265/CJ255</f>
        <v>0.32609174578158684</v>
      </c>
      <c r="CK266" s="1132">
        <f>+CK265/CK255</f>
        <v>0.3357420040583643</v>
      </c>
      <c r="CL266" s="1213">
        <f>+CL265/CL255</f>
        <v>0.39516500830725154</v>
      </c>
      <c r="CM266" s="707">
        <f>+CM265/CM255</f>
        <v>0.33910945578398405</v>
      </c>
      <c r="CN266" s="557"/>
      <c r="CO266" s="1131">
        <f>+CO265/CO255</f>
        <v>0.34720788455239848</v>
      </c>
      <c r="CP266" s="1132">
        <f>+CP265/CP255</f>
        <v>0.36962011233952929</v>
      </c>
      <c r="CQ266" s="1132">
        <f>+CQ265/CQ255</f>
        <v>0.38903719760672595</v>
      </c>
      <c r="CR266" s="1213">
        <f>+CR265/CR255</f>
        <v>0.43025412796727663</v>
      </c>
      <c r="CS266" s="707">
        <f>+CS265/CS255</f>
        <v>0.38718219400714549</v>
      </c>
      <c r="CT266" s="557"/>
      <c r="CU266" s="1131">
        <f>+CU265/CU255</f>
        <v>0.37007212720034399</v>
      </c>
      <c r="CV266" s="1132">
        <f>+CV265/CV255</f>
        <v>0.3920709276679108</v>
      </c>
      <c r="CW266" s="1132">
        <f>+CW265/CW255</f>
        <v>0.41113199605125483</v>
      </c>
      <c r="CX266" s="1213">
        <f>+CX265/CX255</f>
        <v>0.45049457625568873</v>
      </c>
      <c r="CY266" s="707">
        <f>+CY265/CY255</f>
        <v>0.40877913387595488</v>
      </c>
      <c r="CZ266" s="48"/>
      <c r="DD266" s="48"/>
      <c r="DE266" s="48"/>
      <c r="DF266" s="48"/>
      <c r="DG266" s="48"/>
      <c r="DH266" s="48"/>
      <c r="DI266" s="48"/>
      <c r="DJ266" s="48"/>
      <c r="DK266" s="48"/>
    </row>
    <row r="267" spans="1:115" outlineLevel="1" x14ac:dyDescent="0.2">
      <c r="A267" s="354" t="s">
        <v>483</v>
      </c>
      <c r="B267" s="58"/>
      <c r="C267" s="558"/>
      <c r="D267" s="558"/>
      <c r="E267" s="558"/>
      <c r="F267" s="558"/>
      <c r="G267" s="629"/>
      <c r="H267" s="557"/>
      <c r="I267" s="704"/>
      <c r="J267" s="558"/>
      <c r="K267" s="558"/>
      <c r="L267" s="558"/>
      <c r="M267" s="629"/>
      <c r="N267" s="557"/>
      <c r="O267" s="704"/>
      <c r="P267" s="558"/>
      <c r="Q267" s="558"/>
      <c r="R267" s="558"/>
      <c r="S267" s="1134"/>
      <c r="T267" s="558"/>
      <c r="U267" s="704"/>
      <c r="V267" s="558"/>
      <c r="W267" s="558"/>
      <c r="X267" s="558"/>
      <c r="Y267" s="1134"/>
      <c r="Z267" s="578"/>
      <c r="AA267" s="581"/>
      <c r="AB267" s="550"/>
      <c r="AC267" s="550"/>
      <c r="AD267" s="582"/>
      <c r="AE267" s="580"/>
      <c r="AF267" s="557"/>
      <c r="AG267" s="581"/>
      <c r="AH267" s="550"/>
      <c r="AI267" s="550"/>
      <c r="AJ267" s="582"/>
      <c r="AK267" s="580"/>
      <c r="AL267" s="557"/>
      <c r="AM267" s="581"/>
      <c r="AN267" s="550"/>
      <c r="AO267" s="550"/>
      <c r="AP267" s="550"/>
      <c r="AQ267" s="580"/>
      <c r="AR267" s="557"/>
      <c r="AS267" s="581">
        <f>+AS268*AS256</f>
        <v>0</v>
      </c>
      <c r="AT267" s="550">
        <f>+AT268*AT256</f>
        <v>0</v>
      </c>
      <c r="AU267" s="550">
        <f>+AU268*AU256</f>
        <v>0</v>
      </c>
      <c r="AV267" s="582">
        <f>+AV268*AV256</f>
        <v>0</v>
      </c>
      <c r="AW267" s="580">
        <f>SUM(AS267:AV267)</f>
        <v>0</v>
      </c>
      <c r="AX267" s="557"/>
      <c r="AY267" s="581">
        <f>+AY268*AY256</f>
        <v>0</v>
      </c>
      <c r="AZ267" s="550">
        <f>+AZ268*AZ256</f>
        <v>0</v>
      </c>
      <c r="BA267" s="550">
        <f>+BA268*BA256</f>
        <v>0</v>
      </c>
      <c r="BB267" s="582">
        <f>+BB268*BB256</f>
        <v>0</v>
      </c>
      <c r="BC267" s="580">
        <f>SUM(AY267:BB267)</f>
        <v>0</v>
      </c>
      <c r="BD267" s="557"/>
      <c r="BE267" s="581">
        <f>+BE268*BE256</f>
        <v>0</v>
      </c>
      <c r="BF267" s="550">
        <f>+BF268*BF256</f>
        <v>0</v>
      </c>
      <c r="BG267" s="550">
        <f>+BG268*BG256</f>
        <v>0</v>
      </c>
      <c r="BH267" s="582">
        <f>+BH268*BH256</f>
        <v>0</v>
      </c>
      <c r="BI267" s="580">
        <f>SUM(BE267:BH267)</f>
        <v>0</v>
      </c>
      <c r="BJ267" s="557"/>
      <c r="BK267" s="581">
        <f>+BK268*BK256</f>
        <v>0</v>
      </c>
      <c r="BL267" s="550">
        <f>+BL268*BL256</f>
        <v>0</v>
      </c>
      <c r="BM267" s="550">
        <f>+BM268*BM256</f>
        <v>0</v>
      </c>
      <c r="BN267" s="582">
        <f>+BN268*BN256</f>
        <v>0</v>
      </c>
      <c r="BO267" s="580">
        <f>SUM(BK267:BN267)</f>
        <v>0</v>
      </c>
      <c r="BP267" s="557"/>
      <c r="BQ267" s="581">
        <f>+BQ268*BQ256</f>
        <v>0</v>
      </c>
      <c r="BR267" s="550">
        <f>+BR268*BR256</f>
        <v>0</v>
      </c>
      <c r="BS267" s="550">
        <f>+BS268*BS256</f>
        <v>0</v>
      </c>
      <c r="BT267" s="582">
        <f>+BT268*BT256</f>
        <v>0</v>
      </c>
      <c r="BU267" s="580">
        <f>SUM(BQ267:BT267)</f>
        <v>0</v>
      </c>
      <c r="BV267" s="557"/>
      <c r="BW267" s="581">
        <f>+BW268*BW256</f>
        <v>6.7499999999999366E-2</v>
      </c>
      <c r="BX267" s="550">
        <f>+BX268*BX256</f>
        <v>0.13499999999999873</v>
      </c>
      <c r="BY267" s="550">
        <f>+BY268*BY256</f>
        <v>0.27000000000000063</v>
      </c>
      <c r="BZ267" s="582">
        <f>+BZ268*BZ256</f>
        <v>0.32727137733142103</v>
      </c>
      <c r="CA267" s="580">
        <f>SUM(BW267:BZ267)</f>
        <v>0.79977137733141968</v>
      </c>
      <c r="CB267" s="557"/>
      <c r="CC267" s="581">
        <f>+CC268*CC256</f>
        <v>0.41270755822502692</v>
      </c>
      <c r="CD267" s="550">
        <f>+CD268*CD256</f>
        <v>0.41235537899357733</v>
      </c>
      <c r="CE267" s="550">
        <f>+CE268*CE256</f>
        <v>0.4243750346007355</v>
      </c>
      <c r="CF267" s="582">
        <f>+CF268*CF256</f>
        <v>0.41869611862561767</v>
      </c>
      <c r="CG267" s="580">
        <f>SUM(CC267:CF267)</f>
        <v>1.6681340904449575</v>
      </c>
      <c r="CH267" s="557"/>
      <c r="CI267" s="581">
        <f>+CI268*CI256</f>
        <v>0.34667434890902021</v>
      </c>
      <c r="CJ267" s="550">
        <f>+CJ268*CJ256</f>
        <v>0.34472909683863051</v>
      </c>
      <c r="CK267" s="550">
        <f>+CK268*CK256</f>
        <v>0.34798752837260205</v>
      </c>
      <c r="CL267" s="582">
        <f>+CL268*CL256</f>
        <v>0.34165603279850637</v>
      </c>
      <c r="CM267" s="580">
        <f>SUM(CI267:CL267)</f>
        <v>1.3810470069187593</v>
      </c>
      <c r="CN267" s="557"/>
      <c r="CO267" s="581">
        <f>+CO268*CO256</f>
        <v>0.43334293613627611</v>
      </c>
      <c r="CP267" s="550">
        <f>+CP268*CP256</f>
        <v>0.43091137104828653</v>
      </c>
      <c r="CQ267" s="550">
        <f>+CQ268*CQ256</f>
        <v>0.43498441046575176</v>
      </c>
      <c r="CR267" s="582">
        <f>+CR268*CR256</f>
        <v>0.42707004099813056</v>
      </c>
      <c r="CS267" s="580">
        <f>SUM(CO267:CR267)</f>
        <v>1.7263087586484449</v>
      </c>
      <c r="CT267" s="557"/>
      <c r="CU267" s="581">
        <f>+CU268*CU256</f>
        <v>0.43334293613627611</v>
      </c>
      <c r="CV267" s="550">
        <f>+CV268*CV256</f>
        <v>0.43091137104828653</v>
      </c>
      <c r="CW267" s="550">
        <f>+CW268*CW256</f>
        <v>0.43498441046575492</v>
      </c>
      <c r="CX267" s="582">
        <f>+CX268*CX256</f>
        <v>0.42707004099812734</v>
      </c>
      <c r="CY267" s="580">
        <f>SUM(CU267:CX267)</f>
        <v>1.7263087586484449</v>
      </c>
      <c r="CZ267" s="48"/>
      <c r="DD267" s="48"/>
      <c r="DE267" s="48"/>
      <c r="DF267" s="48"/>
      <c r="DG267" s="48"/>
      <c r="DH267" s="48"/>
      <c r="DI267" s="48"/>
      <c r="DJ267" s="48"/>
      <c r="DK267" s="48"/>
    </row>
    <row r="268" spans="1:115" outlineLevel="1" x14ac:dyDescent="0.2">
      <c r="A268" s="205" t="s">
        <v>471</v>
      </c>
      <c r="B268" s="58"/>
      <c r="C268" s="558"/>
      <c r="D268" s="558"/>
      <c r="E268" s="558"/>
      <c r="F268" s="558"/>
      <c r="G268" s="629"/>
      <c r="H268" s="557"/>
      <c r="I268" s="704"/>
      <c r="J268" s="558"/>
      <c r="K268" s="558"/>
      <c r="L268" s="558"/>
      <c r="M268" s="629"/>
      <c r="N268" s="557"/>
      <c r="O268" s="704"/>
      <c r="P268" s="558"/>
      <c r="Q268" s="558"/>
      <c r="R268" s="558"/>
      <c r="S268" s="1134"/>
      <c r="T268" s="558"/>
      <c r="U268" s="704"/>
      <c r="V268" s="558"/>
      <c r="W268" s="558"/>
      <c r="X268" s="558"/>
      <c r="Y268" s="1134"/>
      <c r="Z268" s="578"/>
      <c r="AA268" s="581"/>
      <c r="AB268" s="550"/>
      <c r="AC268" s="550"/>
      <c r="AD268" s="582"/>
      <c r="AE268" s="580"/>
      <c r="AF268" s="557"/>
      <c r="AG268" s="581"/>
      <c r="AH268" s="550"/>
      <c r="AI268" s="550"/>
      <c r="AJ268" s="582"/>
      <c r="AK268" s="580"/>
      <c r="AL268" s="557"/>
      <c r="AM268" s="581"/>
      <c r="AN268" s="550"/>
      <c r="AO268" s="550"/>
      <c r="AP268" s="550"/>
      <c r="AQ268" s="580"/>
      <c r="AR268" s="557"/>
      <c r="AS268" s="909">
        <v>0.45</v>
      </c>
      <c r="AT268" s="910">
        <v>0.45</v>
      </c>
      <c r="AU268" s="910">
        <v>0.45</v>
      </c>
      <c r="AV268" s="910">
        <v>0.45</v>
      </c>
      <c r="AW268" s="1106">
        <v>0</v>
      </c>
      <c r="AX268" s="557"/>
      <c r="AY268" s="909">
        <v>0.45</v>
      </c>
      <c r="AZ268" s="910">
        <v>0.45</v>
      </c>
      <c r="BA268" s="910">
        <v>0.45</v>
      </c>
      <c r="BB268" s="910">
        <v>0.45</v>
      </c>
      <c r="BC268" s="1106">
        <v>0</v>
      </c>
      <c r="BD268" s="557"/>
      <c r="BE268" s="909">
        <v>0.45</v>
      </c>
      <c r="BF268" s="910">
        <v>0.45</v>
      </c>
      <c r="BG268" s="910">
        <v>0.45</v>
      </c>
      <c r="BH268" s="910">
        <v>0.45</v>
      </c>
      <c r="BI268" s="1106">
        <v>0</v>
      </c>
      <c r="BJ268" s="557"/>
      <c r="BK268" s="909">
        <v>0.45</v>
      </c>
      <c r="BL268" s="910">
        <v>0.45</v>
      </c>
      <c r="BM268" s="910">
        <v>0.45</v>
      </c>
      <c r="BN268" s="910">
        <v>0.45</v>
      </c>
      <c r="BO268" s="1106">
        <v>0</v>
      </c>
      <c r="BP268" s="557"/>
      <c r="BQ268" s="909">
        <v>0.45</v>
      </c>
      <c r="BR268" s="910">
        <v>0.45</v>
      </c>
      <c r="BS268" s="910">
        <v>0.45</v>
      </c>
      <c r="BT268" s="910">
        <v>0.45</v>
      </c>
      <c r="BU268" s="1106">
        <v>0</v>
      </c>
      <c r="BV268" s="557"/>
      <c r="BW268" s="909">
        <v>0.45</v>
      </c>
      <c r="BX268" s="910">
        <v>0.45</v>
      </c>
      <c r="BY268" s="910">
        <v>0.45</v>
      </c>
      <c r="BZ268" s="910">
        <v>0.45</v>
      </c>
      <c r="CA268" s="707">
        <f>+CA267/CA256</f>
        <v>0.44999999999999996</v>
      </c>
      <c r="CB268" s="557"/>
      <c r="CC268" s="909">
        <v>0.45</v>
      </c>
      <c r="CD268" s="910">
        <v>0.45</v>
      </c>
      <c r="CE268" s="910">
        <v>0.45</v>
      </c>
      <c r="CF268" s="910">
        <v>0.45</v>
      </c>
      <c r="CG268" s="707">
        <f>+CG267/CG256</f>
        <v>0.45000000000000007</v>
      </c>
      <c r="CH268" s="557"/>
      <c r="CI268" s="909">
        <v>0.45</v>
      </c>
      <c r="CJ268" s="910">
        <v>0.45</v>
      </c>
      <c r="CK268" s="910">
        <v>0.45</v>
      </c>
      <c r="CL268" s="910">
        <v>0.45</v>
      </c>
      <c r="CM268" s="707">
        <f>+CM267/CM256</f>
        <v>0.45000000000000007</v>
      </c>
      <c r="CN268" s="557"/>
      <c r="CO268" s="909">
        <v>0.45</v>
      </c>
      <c r="CP268" s="910">
        <v>0.45</v>
      </c>
      <c r="CQ268" s="910">
        <v>0.45</v>
      </c>
      <c r="CR268" s="910">
        <v>0.45</v>
      </c>
      <c r="CS268" s="707">
        <f>+CS267/CS256</f>
        <v>0.45</v>
      </c>
      <c r="CT268" s="557"/>
      <c r="CU268" s="909">
        <v>0.45</v>
      </c>
      <c r="CV268" s="910">
        <v>0.45</v>
      </c>
      <c r="CW268" s="910">
        <v>0.45</v>
      </c>
      <c r="CX268" s="910">
        <v>0.45</v>
      </c>
      <c r="CY268" s="707">
        <f>+CY267/CY256</f>
        <v>0.45</v>
      </c>
      <c r="CZ268" s="48"/>
      <c r="DD268" s="48"/>
      <c r="DE268" s="48"/>
      <c r="DF268" s="48"/>
      <c r="DG268" s="48"/>
      <c r="DH268" s="48"/>
      <c r="DI268" s="48"/>
      <c r="DJ268" s="48"/>
      <c r="DK268" s="48"/>
    </row>
    <row r="269" spans="1:115" outlineLevel="1" x14ac:dyDescent="0.2">
      <c r="A269" s="354" t="s">
        <v>484</v>
      </c>
      <c r="B269" s="58"/>
      <c r="C269" s="558"/>
      <c r="D269" s="558"/>
      <c r="E269" s="558"/>
      <c r="F269" s="558"/>
      <c r="G269" s="629"/>
      <c r="H269" s="557"/>
      <c r="I269" s="704"/>
      <c r="J269" s="558"/>
      <c r="K269" s="558"/>
      <c r="L269" s="558"/>
      <c r="M269" s="629"/>
      <c r="N269" s="557"/>
      <c r="O269" s="704"/>
      <c r="P269" s="558"/>
      <c r="Q269" s="558"/>
      <c r="R269" s="558"/>
      <c r="S269" s="1134"/>
      <c r="T269" s="558"/>
      <c r="U269" s="704"/>
      <c r="V269" s="558"/>
      <c r="W269" s="558"/>
      <c r="X269" s="558"/>
      <c r="Y269" s="1134"/>
      <c r="Z269" s="578"/>
      <c r="AA269" s="581"/>
      <c r="AB269" s="550"/>
      <c r="AC269" s="550"/>
      <c r="AD269" s="582"/>
      <c r="AE269" s="580"/>
      <c r="AF269" s="557"/>
      <c r="AG269" s="581"/>
      <c r="AH269" s="550"/>
      <c r="AI269" s="550"/>
      <c r="AJ269" s="582"/>
      <c r="AK269" s="580"/>
      <c r="AL269" s="557"/>
      <c r="AM269" s="581"/>
      <c r="AN269" s="550"/>
      <c r="AO269" s="550"/>
      <c r="AP269" s="550"/>
      <c r="AQ269" s="580"/>
      <c r="AR269" s="557"/>
      <c r="AS269" s="581">
        <f>+AS270*AS256</f>
        <v>0</v>
      </c>
      <c r="AT269" s="550">
        <f>+AT270*AT256</f>
        <v>0</v>
      </c>
      <c r="AU269" s="550">
        <f>+AU270*AU256</f>
        <v>0</v>
      </c>
      <c r="AV269" s="582">
        <f>+AV270*AV256</f>
        <v>0</v>
      </c>
      <c r="AW269" s="580">
        <f>SUM(AS269:AV269)</f>
        <v>0</v>
      </c>
      <c r="AX269" s="557"/>
      <c r="AY269" s="581">
        <f>+AY270*AY256</f>
        <v>0</v>
      </c>
      <c r="AZ269" s="550">
        <f>+AZ270*AZ256</f>
        <v>0</v>
      </c>
      <c r="BA269" s="550">
        <f>+BA270*BA256</f>
        <v>0</v>
      </c>
      <c r="BB269" s="582">
        <f>+BB270*BB256</f>
        <v>0</v>
      </c>
      <c r="BC269" s="580">
        <f>SUM(AY269:BB269)</f>
        <v>0</v>
      </c>
      <c r="BD269" s="557"/>
      <c r="BE269" s="581">
        <f>+BE270*BE256</f>
        <v>0</v>
      </c>
      <c r="BF269" s="550">
        <f>+BF270*BF256</f>
        <v>0</v>
      </c>
      <c r="BG269" s="550">
        <f>+BG270*BG256</f>
        <v>0</v>
      </c>
      <c r="BH269" s="582">
        <f>+BH270*BH256</f>
        <v>0</v>
      </c>
      <c r="BI269" s="580">
        <f>SUM(BE269:BH269)</f>
        <v>0</v>
      </c>
      <c r="BJ269" s="557"/>
      <c r="BK269" s="581">
        <f>+BK270*BK256</f>
        <v>0</v>
      </c>
      <c r="BL269" s="550">
        <f>+BL270*BL256</f>
        <v>0</v>
      </c>
      <c r="BM269" s="550">
        <f>+BM270*BM256</f>
        <v>0</v>
      </c>
      <c r="BN269" s="582">
        <f>+BN270*BN256</f>
        <v>0</v>
      </c>
      <c r="BO269" s="580">
        <f>SUM(BK269:BN269)</f>
        <v>0</v>
      </c>
      <c r="BP269" s="557"/>
      <c r="BQ269" s="581">
        <f>+BQ270*BQ256</f>
        <v>0</v>
      </c>
      <c r="BR269" s="550">
        <f>+BR270*BR256</f>
        <v>0</v>
      </c>
      <c r="BS269" s="550">
        <f>+BS270*BS256</f>
        <v>0</v>
      </c>
      <c r="BT269" s="550">
        <f>+BT270*BT256</f>
        <v>0</v>
      </c>
      <c r="BU269" s="580">
        <f>SUM(BQ269:BT269)</f>
        <v>0</v>
      </c>
      <c r="BV269" s="557"/>
      <c r="BW269" s="581">
        <f>+BW270*BW256</f>
        <v>0.11352029076664687</v>
      </c>
      <c r="BX269" s="550">
        <f>+BX270*BX256</f>
        <v>0.20133534738728523</v>
      </c>
      <c r="BY269" s="550">
        <f>+BY270*BY256</f>
        <v>0.3778691221051661</v>
      </c>
      <c r="BZ269" s="582">
        <f>+BZ270*BZ256</f>
        <v>0.35608407074203868</v>
      </c>
      <c r="CA269" s="580">
        <f>SUM(BW269:BZ269)</f>
        <v>1.048808831001137</v>
      </c>
      <c r="CB269" s="557"/>
      <c r="CC269" s="581">
        <f>+CC270*CC256</f>
        <v>0.45984451534663523</v>
      </c>
      <c r="CD269" s="550">
        <f>+CD270*CD256</f>
        <v>0.4192753493682988</v>
      </c>
      <c r="CE269" s="550">
        <f>+CE270*CE256</f>
        <v>0.411660599504314</v>
      </c>
      <c r="CF269" s="582">
        <f>+CF270*CF256</f>
        <v>0.35012339797704395</v>
      </c>
      <c r="CG269" s="580">
        <f>SUM(CC269:CF269)</f>
        <v>1.6409038621962921</v>
      </c>
      <c r="CH269" s="557"/>
      <c r="CI269" s="581">
        <f>+CI270*CI256</f>
        <v>0.37570697689766802</v>
      </c>
      <c r="CJ269" s="550">
        <f>+CJ270*CJ256</f>
        <v>0.34006242567983724</v>
      </c>
      <c r="CK269" s="550">
        <f>+CK270*CK256</f>
        <v>0.33581414818615385</v>
      </c>
      <c r="CL269" s="582">
        <f>+CL270*CL256</f>
        <v>0.28458808047956785</v>
      </c>
      <c r="CM269" s="580">
        <f>SUM(CI269:CL269)</f>
        <v>1.3361716312432268</v>
      </c>
      <c r="CN269" s="557"/>
      <c r="CO269" s="581">
        <f>+CO270*CO256</f>
        <v>0.40714217040740242</v>
      </c>
      <c r="CP269" s="550">
        <f>+CP270*CP256</f>
        <v>0.38339610295984966</v>
      </c>
      <c r="CQ269" s="550">
        <f>+CQ270*CQ256</f>
        <v>0.36825084446315326</v>
      </c>
      <c r="CR269" s="582">
        <f>+CR270*CR256</f>
        <v>0.32243396332880181</v>
      </c>
      <c r="CS269" s="580">
        <f>SUM(CO269:CR269)</f>
        <v>1.4812230811592073</v>
      </c>
      <c r="CT269" s="557"/>
      <c r="CU269" s="581">
        <f>+CU270*CU256</f>
        <v>0.38512426364830693</v>
      </c>
      <c r="CV269" s="550">
        <f>+CV270*CV256</f>
        <v>0.36189763270583919</v>
      </c>
      <c r="CW269" s="550">
        <f>+CW270*CW256</f>
        <v>0.34689330473926033</v>
      </c>
      <c r="CX269" s="582">
        <f>+CX270*CX256</f>
        <v>0.30322487648357122</v>
      </c>
      <c r="CY269" s="580">
        <f>SUM(CU269:CX269)</f>
        <v>1.3971400775769778</v>
      </c>
      <c r="CZ269" s="48"/>
      <c r="DD269" s="48"/>
      <c r="DE269" s="48"/>
      <c r="DF269" s="48"/>
      <c r="DG269" s="48"/>
      <c r="DH269" s="48"/>
      <c r="DI269" s="48"/>
      <c r="DJ269" s="48"/>
      <c r="DK269" s="48"/>
    </row>
    <row r="270" spans="1:115" outlineLevel="1" x14ac:dyDescent="0.2">
      <c r="A270" s="205" t="s">
        <v>473</v>
      </c>
      <c r="B270" s="58"/>
      <c r="C270" s="558"/>
      <c r="D270" s="558"/>
      <c r="E270" s="558"/>
      <c r="F270" s="558"/>
      <c r="G270" s="629"/>
      <c r="H270" s="557"/>
      <c r="I270" s="704"/>
      <c r="J270" s="558"/>
      <c r="K270" s="558"/>
      <c r="L270" s="558"/>
      <c r="M270" s="629"/>
      <c r="N270" s="557"/>
      <c r="O270" s="704"/>
      <c r="P270" s="558"/>
      <c r="Q270" s="558"/>
      <c r="R270" s="558"/>
      <c r="S270" s="1134"/>
      <c r="T270" s="558"/>
      <c r="U270" s="704"/>
      <c r="V270" s="558"/>
      <c r="W270" s="558"/>
      <c r="X270" s="558"/>
      <c r="Y270" s="1134"/>
      <c r="Z270" s="578"/>
      <c r="AA270" s="581"/>
      <c r="AB270" s="550"/>
      <c r="AC270" s="550"/>
      <c r="AD270" s="582"/>
      <c r="AE270" s="580"/>
      <c r="AF270" s="557"/>
      <c r="AG270" s="581"/>
      <c r="AH270" s="550"/>
      <c r="AI270" s="550"/>
      <c r="AJ270" s="582"/>
      <c r="AK270" s="580"/>
      <c r="AL270" s="557"/>
      <c r="AM270" s="581"/>
      <c r="AN270" s="550"/>
      <c r="AO270" s="550"/>
      <c r="AP270" s="550"/>
      <c r="AQ270" s="580"/>
      <c r="AR270" s="557"/>
      <c r="AS270" s="909">
        <v>0</v>
      </c>
      <c r="AT270" s="910">
        <v>0</v>
      </c>
      <c r="AU270" s="910">
        <v>0</v>
      </c>
      <c r="AV270" s="1002">
        <v>0</v>
      </c>
      <c r="AW270" s="1106">
        <v>0</v>
      </c>
      <c r="AX270" s="557"/>
      <c r="AY270" s="909">
        <v>0</v>
      </c>
      <c r="AZ270" s="910">
        <v>0</v>
      </c>
      <c r="BA270" s="910">
        <v>0</v>
      </c>
      <c r="BB270" s="1002">
        <v>0</v>
      </c>
      <c r="BC270" s="1106">
        <v>0</v>
      </c>
      <c r="BD270" s="557"/>
      <c r="BE270" s="909">
        <v>0</v>
      </c>
      <c r="BF270" s="910">
        <v>0</v>
      </c>
      <c r="BG270" s="910">
        <v>0</v>
      </c>
      <c r="BH270" s="1002">
        <v>0</v>
      </c>
      <c r="BI270" s="1106">
        <v>0</v>
      </c>
      <c r="BJ270" s="557"/>
      <c r="BK270" s="909">
        <v>0</v>
      </c>
      <c r="BL270" s="910">
        <v>0</v>
      </c>
      <c r="BM270" s="910">
        <v>0</v>
      </c>
      <c r="BN270" s="1002">
        <v>0</v>
      </c>
      <c r="BO270" s="1106">
        <v>0</v>
      </c>
      <c r="BP270" s="557"/>
      <c r="BQ270" s="909">
        <v>0</v>
      </c>
      <c r="BR270" s="910">
        <v>0</v>
      </c>
      <c r="BS270" s="910">
        <v>0</v>
      </c>
      <c r="BT270" s="910">
        <v>0</v>
      </c>
      <c r="BU270" s="1106">
        <v>0</v>
      </c>
      <c r="BV270" s="557"/>
      <c r="BW270" s="1115">
        <f>+BW$454+BW449+((BW275)*(Growth_Drivers!BW256/Growth_Drivers!BW257))/Growth_Drivers!BW256</f>
        <v>0.75680193844431964</v>
      </c>
      <c r="BX270" s="1114">
        <f>+BX$454+BX449+((BX275)*(Growth_Drivers!BX256/Growth_Drivers!BX257))/Growth_Drivers!BX256</f>
        <v>0.67111782462429048</v>
      </c>
      <c r="BY270" s="1114">
        <f>+BY$454+BY449+((BY275)*(Growth_Drivers!BY256/Growth_Drivers!BY257))/Growth_Drivers!BY256</f>
        <v>0.62978187017527532</v>
      </c>
      <c r="BZ270" s="1114">
        <f>+BZ$454+BZ449+((BZ275)*(Growth_Drivers!BZ256/Growth_Drivers!BZ257))/Growth_Drivers!BZ256</f>
        <v>0.48961761685516364</v>
      </c>
      <c r="CA270" s="707">
        <f>+CA269/CA256</f>
        <v>0.59012361198184393</v>
      </c>
      <c r="CB270" s="557"/>
      <c r="CC270" s="1115">
        <f>+CC$454+CC449+((CC275)*(Growth_Drivers!CC256/Growth_Drivers!CC257))/Growth_Drivers!CC256</f>
        <v>0.50139627390385277</v>
      </c>
      <c r="CD270" s="1114">
        <f>+CD$454+CD449+((CD275)*(Growth_Drivers!CD256/Growth_Drivers!CD257))/Growth_Drivers!CD256</f>
        <v>0.4575517061914528</v>
      </c>
      <c r="CE270" s="1114">
        <f>+CE$454+CE449+((CE275)*(Growth_Drivers!CE256/Growth_Drivers!CE257))/Growth_Drivers!CE256</f>
        <v>0.43651783133573674</v>
      </c>
      <c r="CF270" s="1114">
        <f>+CF$454+CF449+((CF275)*(Growth_Drivers!CF256/Growth_Drivers!CF257))/Growth_Drivers!CF256</f>
        <v>0.37630042907216438</v>
      </c>
      <c r="CG270" s="707">
        <f>+CG269/CG256</f>
        <v>0.44265430592055655</v>
      </c>
      <c r="CH270" s="557"/>
      <c r="CI270" s="1115">
        <f>+CI$454+CI449+((CI275)*(Growth_Drivers!CI256/Growth_Drivers!CI257))/Growth_Drivers!CI256</f>
        <v>0.48768574928028535</v>
      </c>
      <c r="CJ270" s="1114">
        <f>+CJ$454+CJ449+((CJ275)*(Growth_Drivers!CJ256/Growth_Drivers!CJ257))/Growth_Drivers!CJ256</f>
        <v>0.44390825421841318</v>
      </c>
      <c r="CK270" s="1114">
        <f>+CK$454+CK449+((CK275)*(Growth_Drivers!CK256/Growth_Drivers!CK257))/Growth_Drivers!CK256</f>
        <v>0.43425799594163567</v>
      </c>
      <c r="CL270" s="1114">
        <f>+CL$454+CL449+((CL275)*(Growth_Drivers!CL256/Growth_Drivers!CL257))/Growth_Drivers!CL256</f>
        <v>0.37483499169274848</v>
      </c>
      <c r="CM270" s="707">
        <f>+CM269/CM256</f>
        <v>0.43537781918151791</v>
      </c>
      <c r="CN270" s="557"/>
      <c r="CO270" s="1115">
        <f>+CO$454+CO449+((CO275)*(Growth_Drivers!CO256/Growth_Drivers!CO257))/Growth_Drivers!CO256</f>
        <v>0.42279211544760159</v>
      </c>
      <c r="CP270" s="1114">
        <f>+CP$454+CP449+((CP275)*(Growth_Drivers!CP256/Growth_Drivers!CP257))/Growth_Drivers!CP256</f>
        <v>0.40037988766047067</v>
      </c>
      <c r="CQ270" s="1114">
        <f>+CQ$454+CQ449+((CQ275)*(Growth_Drivers!CQ256/Growth_Drivers!CQ257))/Growth_Drivers!CQ256</f>
        <v>0.38096280239327401</v>
      </c>
      <c r="CR270" s="1114">
        <f>+CR$454+CR449+((CR275)*(Growth_Drivers!CR256/Growth_Drivers!CR257))/Growth_Drivers!CR256</f>
        <v>0.33974587203272344</v>
      </c>
      <c r="CS270" s="707">
        <f>+CS269/CS256</f>
        <v>0.38611307692344465</v>
      </c>
      <c r="CT270" s="557"/>
      <c r="CU270" s="1115">
        <f>+CU$454+CU449+((CU275)*(Growth_Drivers!CU256/Growth_Drivers!CU257))/Growth_Drivers!CU256</f>
        <v>0.39992787279965608</v>
      </c>
      <c r="CV270" s="1114">
        <f>+CV$454+CV449+((CV275)*(Growth_Drivers!CV256/Growth_Drivers!CV257))/Growth_Drivers!CV256</f>
        <v>0.37792907233208928</v>
      </c>
      <c r="CW270" s="1114">
        <f>+CW$454+CW449+((CW275)*(Growth_Drivers!CW256/Growth_Drivers!CW257))/Growth_Drivers!CW256</f>
        <v>0.35886800394874518</v>
      </c>
      <c r="CX270" s="1114">
        <f>+CX$454+CX449+((CX275)*(Growth_Drivers!CX256/Growth_Drivers!CX257))/Growth_Drivers!CX256</f>
        <v>0.31950542374431123</v>
      </c>
      <c r="CY270" s="707">
        <f>+CY269/CY256</f>
        <v>0.36419500958905499</v>
      </c>
      <c r="CZ270" s="48"/>
      <c r="DD270" s="48"/>
      <c r="DE270" s="48"/>
      <c r="DF270" s="48"/>
      <c r="DG270" s="48"/>
      <c r="DH270" s="48"/>
      <c r="DI270" s="48"/>
      <c r="DJ270" s="48"/>
      <c r="DK270" s="48"/>
    </row>
    <row r="271" spans="1:115" outlineLevel="1" x14ac:dyDescent="0.2">
      <c r="A271" s="354" t="s">
        <v>485</v>
      </c>
      <c r="B271" s="58"/>
      <c r="C271" s="558"/>
      <c r="D271" s="558"/>
      <c r="E271" s="558"/>
      <c r="F271" s="558"/>
      <c r="G271" s="629"/>
      <c r="H271" s="557"/>
      <c r="I271" s="704"/>
      <c r="J271" s="558"/>
      <c r="K271" s="558"/>
      <c r="L271" s="558"/>
      <c r="M271" s="629"/>
      <c r="N271" s="557"/>
      <c r="O271" s="704"/>
      <c r="P271" s="558"/>
      <c r="Q271" s="558"/>
      <c r="R271" s="558"/>
      <c r="S271" s="1134"/>
      <c r="T271" s="558"/>
      <c r="U271" s="704"/>
      <c r="V271" s="558"/>
      <c r="W271" s="558"/>
      <c r="X271" s="558"/>
      <c r="Y271" s="1134"/>
      <c r="Z271" s="578"/>
      <c r="AA271" s="581"/>
      <c r="AB271" s="550"/>
      <c r="AC271" s="550"/>
      <c r="AD271" s="582"/>
      <c r="AE271" s="580"/>
      <c r="AF271" s="557"/>
      <c r="AG271" s="581"/>
      <c r="AH271" s="550"/>
      <c r="AI271" s="550"/>
      <c r="AJ271" s="582"/>
      <c r="AK271" s="580"/>
      <c r="AL271" s="557"/>
      <c r="AM271" s="581"/>
      <c r="AN271" s="550"/>
      <c r="AO271" s="550"/>
      <c r="AP271" s="550"/>
      <c r="AQ271" s="580"/>
      <c r="AR271" s="557"/>
      <c r="AS271" s="581">
        <f>+AS267-AS269</f>
        <v>0</v>
      </c>
      <c r="AT271" s="550">
        <f>+AT267-AT269</f>
        <v>0</v>
      </c>
      <c r="AU271" s="550">
        <f>+AU267-AU269</f>
        <v>0</v>
      </c>
      <c r="AV271" s="550">
        <f>+AV267-AV269</f>
        <v>0</v>
      </c>
      <c r="AW271" s="580">
        <f>+AW267-AW269</f>
        <v>0</v>
      </c>
      <c r="AX271" s="557"/>
      <c r="AY271" s="581">
        <f>+AY267-AY269</f>
        <v>0</v>
      </c>
      <c r="AZ271" s="550">
        <f>+AZ267-AZ269</f>
        <v>0</v>
      </c>
      <c r="BA271" s="550">
        <f>+BA267-BA269</f>
        <v>0</v>
      </c>
      <c r="BB271" s="550">
        <f>+BB267-BB269</f>
        <v>0</v>
      </c>
      <c r="BC271" s="580">
        <f>+BC267-BC269</f>
        <v>0</v>
      </c>
      <c r="BD271" s="557"/>
      <c r="BE271" s="581">
        <f>+BE267-BE269</f>
        <v>0</v>
      </c>
      <c r="BF271" s="550">
        <f>+BF267-BF269</f>
        <v>0</v>
      </c>
      <c r="BG271" s="550">
        <f>+BG267-BG269</f>
        <v>0</v>
      </c>
      <c r="BH271" s="550">
        <f>+BH267-BH269</f>
        <v>0</v>
      </c>
      <c r="BI271" s="580">
        <f>+BI267-BI269</f>
        <v>0</v>
      </c>
      <c r="BJ271" s="557"/>
      <c r="BK271" s="581">
        <f>+BK267-BK269</f>
        <v>0</v>
      </c>
      <c r="BL271" s="550">
        <f>+BL267-BL269</f>
        <v>0</v>
      </c>
      <c r="BM271" s="550">
        <f>+BM267-BM269</f>
        <v>0</v>
      </c>
      <c r="BN271" s="550">
        <f>+BN267-BN269</f>
        <v>0</v>
      </c>
      <c r="BO271" s="580">
        <f>+BO267-BO269</f>
        <v>0</v>
      </c>
      <c r="BP271" s="557"/>
      <c r="BQ271" s="581">
        <f>+BQ267-BQ269</f>
        <v>0</v>
      </c>
      <c r="BR271" s="550">
        <f>+BR267-BR269</f>
        <v>0</v>
      </c>
      <c r="BS271" s="550">
        <f>+BS267-BS269</f>
        <v>0</v>
      </c>
      <c r="BT271" s="550">
        <f>+BT267-BT269</f>
        <v>0</v>
      </c>
      <c r="BU271" s="580">
        <f>+BU267-BU269</f>
        <v>0</v>
      </c>
      <c r="BV271" s="557"/>
      <c r="BW271" s="581">
        <f>+BW267-BW269</f>
        <v>-4.6020290766647501E-2</v>
      </c>
      <c r="BX271" s="550">
        <f>+BX267-BX269</f>
        <v>-6.6335347387286497E-2</v>
      </c>
      <c r="BY271" s="550">
        <f>+BY267-BY269</f>
        <v>-0.10786912210516547</v>
      </c>
      <c r="BZ271" s="550">
        <f>+BZ267-BZ269</f>
        <v>-2.8812693410617651E-2</v>
      </c>
      <c r="CA271" s="580">
        <f>+CA267-CA269</f>
        <v>-0.2490374536697173</v>
      </c>
      <c r="CB271" s="557"/>
      <c r="CC271" s="581">
        <f>+CC267-CC269</f>
        <v>-4.7136957121608314E-2</v>
      </c>
      <c r="CD271" s="550">
        <f>+CD267-CD269</f>
        <v>-6.9199703747214736E-3</v>
      </c>
      <c r="CE271" s="550">
        <f>+CE267-CE269</f>
        <v>1.2714435096421506E-2</v>
      </c>
      <c r="CF271" s="550">
        <f>+CF267-CF269</f>
        <v>6.8572720648573726E-2</v>
      </c>
      <c r="CG271" s="580">
        <f>+CG267-CG269</f>
        <v>2.7230228248665389E-2</v>
      </c>
      <c r="CH271" s="557"/>
      <c r="CI271" s="581">
        <f>+CI267-CI269</f>
        <v>-2.9032627988647808E-2</v>
      </c>
      <c r="CJ271" s="550">
        <f>+CJ267-CJ269</f>
        <v>4.6666711587932674E-3</v>
      </c>
      <c r="CK271" s="550">
        <f>+CK267-CK269</f>
        <v>1.2173380186448202E-2</v>
      </c>
      <c r="CL271" s="550">
        <f>+CL267-CL269</f>
        <v>5.706795231893852E-2</v>
      </c>
      <c r="CM271" s="580">
        <f>+CM267-CM269</f>
        <v>4.4875375675532458E-2</v>
      </c>
      <c r="CN271" s="557"/>
      <c r="CO271" s="581">
        <f>+CO267-CO269</f>
        <v>2.6200765728873698E-2</v>
      </c>
      <c r="CP271" s="550">
        <f>+CP267-CP269</f>
        <v>4.7515268088436868E-2</v>
      </c>
      <c r="CQ271" s="550">
        <f>+CQ267-CQ269</f>
        <v>6.6733566002598499E-2</v>
      </c>
      <c r="CR271" s="550">
        <f>+CR267-CR269</f>
        <v>0.10463607766932875</v>
      </c>
      <c r="CS271" s="580">
        <f>+CS267-CS269</f>
        <v>0.2450856774892376</v>
      </c>
      <c r="CT271" s="557"/>
      <c r="CU271" s="581">
        <f>+CU267-CU269</f>
        <v>4.8218672487969183E-2</v>
      </c>
      <c r="CV271" s="550">
        <f>+CV267-CV269</f>
        <v>6.9013738342447339E-2</v>
      </c>
      <c r="CW271" s="550">
        <f>+CW267-CW269</f>
        <v>8.809110572649459E-2</v>
      </c>
      <c r="CX271" s="550">
        <f>+CX267-CX269</f>
        <v>0.12384516451455613</v>
      </c>
      <c r="CY271" s="580">
        <f>+CY267-CY269</f>
        <v>0.32916868107146713</v>
      </c>
      <c r="CZ271" s="48"/>
      <c r="DD271" s="48"/>
      <c r="DE271" s="48"/>
      <c r="DF271" s="48"/>
      <c r="DG271" s="48"/>
      <c r="DH271" s="48"/>
      <c r="DI271" s="48"/>
      <c r="DJ271" s="48"/>
      <c r="DK271" s="48"/>
    </row>
    <row r="272" spans="1:115" outlineLevel="1" x14ac:dyDescent="0.2">
      <c r="A272" s="205" t="s">
        <v>476</v>
      </c>
      <c r="B272" s="58"/>
      <c r="C272" s="558"/>
      <c r="D272" s="558"/>
      <c r="E272" s="558"/>
      <c r="F272" s="558"/>
      <c r="G272" s="629"/>
      <c r="H272" s="557"/>
      <c r="I272" s="704"/>
      <c r="J272" s="558"/>
      <c r="K272" s="558"/>
      <c r="L272" s="558"/>
      <c r="M272" s="629"/>
      <c r="N272" s="557"/>
      <c r="O272" s="704"/>
      <c r="P272" s="558"/>
      <c r="Q272" s="558"/>
      <c r="R272" s="558"/>
      <c r="S272" s="1134"/>
      <c r="T272" s="558"/>
      <c r="U272" s="704"/>
      <c r="V272" s="558"/>
      <c r="W272" s="558"/>
      <c r="X272" s="558"/>
      <c r="Y272" s="1134"/>
      <c r="Z272" s="578"/>
      <c r="AA272" s="581"/>
      <c r="AB272" s="550"/>
      <c r="AC272" s="550"/>
      <c r="AD272" s="582"/>
      <c r="AE272" s="580"/>
      <c r="AF272" s="557"/>
      <c r="AG272" s="581"/>
      <c r="AH272" s="550"/>
      <c r="AI272" s="550"/>
      <c r="AJ272" s="582"/>
      <c r="AK272" s="580"/>
      <c r="AL272" s="557"/>
      <c r="AM272" s="581"/>
      <c r="AN272" s="550"/>
      <c r="AO272" s="550"/>
      <c r="AP272" s="550"/>
      <c r="AQ272" s="580"/>
      <c r="AR272" s="557"/>
      <c r="AS272" s="909">
        <v>0</v>
      </c>
      <c r="AT272" s="910">
        <v>0</v>
      </c>
      <c r="AU272" s="910">
        <v>0</v>
      </c>
      <c r="AV272" s="1002">
        <v>0</v>
      </c>
      <c r="AW272" s="1106">
        <v>0</v>
      </c>
      <c r="AX272" s="557"/>
      <c r="AY272" s="909">
        <v>0</v>
      </c>
      <c r="AZ272" s="910">
        <v>0</v>
      </c>
      <c r="BA272" s="910">
        <v>0</v>
      </c>
      <c r="BB272" s="1002">
        <v>0</v>
      </c>
      <c r="BC272" s="1106">
        <v>0</v>
      </c>
      <c r="BD272" s="557"/>
      <c r="BE272" s="909">
        <v>0</v>
      </c>
      <c r="BF272" s="910">
        <v>0</v>
      </c>
      <c r="BG272" s="910">
        <v>0</v>
      </c>
      <c r="BH272" s="1002">
        <v>0</v>
      </c>
      <c r="BI272" s="1106">
        <v>0</v>
      </c>
      <c r="BJ272" s="557"/>
      <c r="BK272" s="909">
        <v>0</v>
      </c>
      <c r="BL272" s="910">
        <v>0</v>
      </c>
      <c r="BM272" s="910">
        <v>0</v>
      </c>
      <c r="BN272" s="1002">
        <v>0</v>
      </c>
      <c r="BO272" s="1106">
        <v>0</v>
      </c>
      <c r="BP272" s="557"/>
      <c r="BQ272" s="909">
        <v>0</v>
      </c>
      <c r="BR272" s="910">
        <v>0</v>
      </c>
      <c r="BS272" s="910">
        <v>0</v>
      </c>
      <c r="BT272" s="910">
        <v>0</v>
      </c>
      <c r="BU272" s="1106">
        <v>0</v>
      </c>
      <c r="BV272" s="557"/>
      <c r="BW272" s="1131">
        <f>+BW271/BW256</f>
        <v>-0.30680193844431958</v>
      </c>
      <c r="BX272" s="1132">
        <f>+BX271/BX256</f>
        <v>-0.22111782462429042</v>
      </c>
      <c r="BY272" s="1132">
        <f>+BY271/BY256</f>
        <v>-0.17978187017527536</v>
      </c>
      <c r="BZ272" s="1213">
        <f>+BZ271/BZ256</f>
        <v>-3.9617616855163691E-2</v>
      </c>
      <c r="CA272" s="707">
        <f>+CA271/CA256</f>
        <v>-0.14012361198184398</v>
      </c>
      <c r="CB272" s="557"/>
      <c r="CC272" s="1131">
        <f>+CC271/CC256</f>
        <v>-5.1396273903852756E-2</v>
      </c>
      <c r="CD272" s="1132">
        <f>+CD271/CD256</f>
        <v>-7.551706191452799E-3</v>
      </c>
      <c r="CE272" s="1132">
        <f>+CE271/CE256</f>
        <v>1.3482168664263272E-2</v>
      </c>
      <c r="CF272" s="1213">
        <f>+CF271/CF256</f>
        <v>7.3699570927835592E-2</v>
      </c>
      <c r="CG272" s="707">
        <f>+CG271/CG256</f>
        <v>7.3456940794435202E-3</v>
      </c>
      <c r="CH272" s="557"/>
      <c r="CI272" s="1131">
        <f>+CI271/CI256</f>
        <v>-3.7685749280285383E-2</v>
      </c>
      <c r="CJ272" s="1132">
        <f>+CJ271/CJ256</f>
        <v>6.0917457815868447E-3</v>
      </c>
      <c r="CK272" s="1132">
        <f>+CK271/CK256</f>
        <v>1.574200405836438E-2</v>
      </c>
      <c r="CL272" s="1213">
        <f>+CL271/CL256</f>
        <v>7.5165008307251535E-2</v>
      </c>
      <c r="CM272" s="707">
        <f>+CM271/CM256</f>
        <v>1.4622180818482107E-2</v>
      </c>
      <c r="CN272" s="557"/>
      <c r="CO272" s="1131">
        <f>+CO271/CO256</f>
        <v>2.7207884552398427E-2</v>
      </c>
      <c r="CP272" s="1132">
        <f>+CP271/CP256</f>
        <v>4.9620112339529343E-2</v>
      </c>
      <c r="CQ272" s="1132">
        <f>+CQ271/CQ256</f>
        <v>6.9037197606726025E-2</v>
      </c>
      <c r="CR272" s="1213">
        <f>+CR271/CR256</f>
        <v>0.11025412796727657</v>
      </c>
      <c r="CS272" s="707">
        <f>+CS271/CS256</f>
        <v>6.388692307655533E-2</v>
      </c>
      <c r="CT272" s="557"/>
      <c r="CU272" s="1131">
        <f>+CU271/CU256</f>
        <v>5.007212720034393E-2</v>
      </c>
      <c r="CV272" s="1132">
        <f>+CV271/CV256</f>
        <v>7.2070927667910734E-2</v>
      </c>
      <c r="CW272" s="1132">
        <f>+CW271/CW256</f>
        <v>9.1131996051254771E-2</v>
      </c>
      <c r="CX272" s="1213">
        <f>+CX271/CX256</f>
        <v>0.13049457625568878</v>
      </c>
      <c r="CY272" s="707">
        <f>+CY271/CY256</f>
        <v>8.5804990410945012E-2</v>
      </c>
      <c r="CZ272" s="48"/>
      <c r="DD272" s="48"/>
      <c r="DE272" s="48"/>
      <c r="DF272" s="48"/>
      <c r="DG272" s="48"/>
      <c r="DH272" s="48"/>
      <c r="DI272" s="48"/>
      <c r="DJ272" s="48"/>
      <c r="DK272" s="48"/>
    </row>
    <row r="273" spans="1:115" outlineLevel="1" x14ac:dyDescent="0.2">
      <c r="A273" s="354" t="s">
        <v>492</v>
      </c>
      <c r="B273" s="58"/>
      <c r="C273" s="558"/>
      <c r="D273" s="558"/>
      <c r="E273" s="558"/>
      <c r="F273" s="558"/>
      <c r="G273" s="629"/>
      <c r="H273" s="557"/>
      <c r="I273" s="704"/>
      <c r="J273" s="558"/>
      <c r="K273" s="558"/>
      <c r="L273" s="558"/>
      <c r="M273" s="629"/>
      <c r="N273" s="557"/>
      <c r="O273" s="704"/>
      <c r="P273" s="558"/>
      <c r="Q273" s="558"/>
      <c r="R273" s="558"/>
      <c r="S273" s="1134"/>
      <c r="T273" s="558"/>
      <c r="U273" s="704"/>
      <c r="V273" s="558"/>
      <c r="W273" s="558"/>
      <c r="X273" s="558"/>
      <c r="Y273" s="1134"/>
      <c r="Z273" s="578"/>
      <c r="AA273" s="581"/>
      <c r="AB273" s="550"/>
      <c r="AC273" s="550"/>
      <c r="AD273" s="582"/>
      <c r="AE273" s="580"/>
      <c r="AF273" s="557"/>
      <c r="AG273" s="581"/>
      <c r="AH273" s="550"/>
      <c r="AI273" s="550"/>
      <c r="AJ273" s="582"/>
      <c r="AK273" s="580"/>
      <c r="AL273" s="557"/>
      <c r="AM273" s="581"/>
      <c r="AN273" s="550"/>
      <c r="AO273" s="550"/>
      <c r="AP273" s="550"/>
      <c r="AQ273" s="580"/>
      <c r="AR273" s="557"/>
      <c r="AS273" s="581">
        <f>+AS261+AS267</f>
        <v>0</v>
      </c>
      <c r="AT273" s="550">
        <f>+AT261+AT267</f>
        <v>0</v>
      </c>
      <c r="AU273" s="550">
        <f>+AU261+AU267</f>
        <v>0</v>
      </c>
      <c r="AV273" s="582">
        <f>+AV261+AV267</f>
        <v>0</v>
      </c>
      <c r="AW273" s="580">
        <f>+AW261+AW267</f>
        <v>0</v>
      </c>
      <c r="AX273" s="557"/>
      <c r="AY273" s="581">
        <f>+AY261+AY267</f>
        <v>4.8125</v>
      </c>
      <c r="AZ273" s="550">
        <f>+AZ261+AZ267</f>
        <v>4.8125</v>
      </c>
      <c r="BA273" s="550">
        <f>+BA261+BA267</f>
        <v>4.8125</v>
      </c>
      <c r="BB273" s="582">
        <f>+BB261+BB267</f>
        <v>4.8125</v>
      </c>
      <c r="BC273" s="580">
        <f>+BC261+BC267</f>
        <v>19.25</v>
      </c>
      <c r="BD273" s="557"/>
      <c r="BE273" s="581">
        <f>+BE261+BE267</f>
        <v>5.3900000000000006</v>
      </c>
      <c r="BF273" s="550">
        <f>+BF261+BF267</f>
        <v>5.9290000000000012</v>
      </c>
      <c r="BG273" s="550">
        <f>+BG261+BG267</f>
        <v>6.5219000000000023</v>
      </c>
      <c r="BH273" s="582">
        <f>+BH261+BH267</f>
        <v>7.8262800000000023</v>
      </c>
      <c r="BI273" s="580">
        <f>+BI261+BI267</f>
        <v>25.667180000000009</v>
      </c>
      <c r="BJ273" s="557"/>
      <c r="BK273" s="581">
        <f>+BK261+BK267</f>
        <v>8.8550000000000004</v>
      </c>
      <c r="BL273" s="550">
        <f>+BL261+BL267</f>
        <v>8.8550000000000004</v>
      </c>
      <c r="BM273" s="550">
        <f>+BM261+BM267</f>
        <v>8.8550000000000004</v>
      </c>
      <c r="BN273" s="582">
        <f>+BN261+BN267</f>
        <v>11.935</v>
      </c>
      <c r="BO273" s="580">
        <f>+BO261+BO267</f>
        <v>38.5</v>
      </c>
      <c r="BP273" s="557"/>
      <c r="BQ273" s="581">
        <f>+BQ261+BQ267</f>
        <v>11.737303028162552</v>
      </c>
      <c r="BR273" s="550">
        <f>+BR261+BR267</f>
        <v>13.637115922663066</v>
      </c>
      <c r="BS273" s="550">
        <f>+BS261+BS267</f>
        <v>13.245155</v>
      </c>
      <c r="BT273" s="582">
        <f>+BT261+BT267</f>
        <v>17.759818999999997</v>
      </c>
      <c r="BU273" s="580">
        <f>+BU261+BU267</f>
        <v>56.379392950825618</v>
      </c>
      <c r="BV273" s="557"/>
      <c r="BW273" s="581">
        <f>+BW261+BW267</f>
        <v>15.285389340434667</v>
      </c>
      <c r="BX273" s="550">
        <f>+BX261+BX267</f>
        <v>15.993896490353498</v>
      </c>
      <c r="BY273" s="550">
        <f>+BY261+BY267</f>
        <v>16.019512764154491</v>
      </c>
      <c r="BZ273" s="582">
        <f>+BZ261+BZ267</f>
        <v>20.739779866068865</v>
      </c>
      <c r="CA273" s="580">
        <f>+CA261+CA267</f>
        <v>68.038578461011525</v>
      </c>
      <c r="CB273" s="557"/>
      <c r="CC273" s="581">
        <f>+CC261+CC267</f>
        <v>19.668059636207595</v>
      </c>
      <c r="CD273" s="550">
        <f>+CD261+CD267</f>
        <v>20.788676115972049</v>
      </c>
      <c r="CE273" s="550">
        <f>+CE261+CE267</f>
        <v>21.447443811750919</v>
      </c>
      <c r="CF273" s="582">
        <f>+CF261+CF267</f>
        <v>27.485014172920643</v>
      </c>
      <c r="CG273" s="580">
        <f>+CG261+CG267</f>
        <v>89.389193736851198</v>
      </c>
      <c r="CH273" s="557"/>
      <c r="CI273" s="581">
        <f>+CI261+CI267</f>
        <v>26.727796136805896</v>
      </c>
      <c r="CJ273" s="550">
        <f>+CJ261+CJ267</f>
        <v>27.839989521137209</v>
      </c>
      <c r="CK273" s="550">
        <f>+CK261+CK267</f>
        <v>28.060318180618083</v>
      </c>
      <c r="CL273" s="582">
        <f>+CL261+CL267</f>
        <v>35.120841971240573</v>
      </c>
      <c r="CM273" s="580">
        <f>+CM261+CM267</f>
        <v>117.74894580980177</v>
      </c>
      <c r="CN273" s="557"/>
      <c r="CO273" s="581">
        <f>+CO261+CO267</f>
        <v>33.644647142668639</v>
      </c>
      <c r="CP273" s="550">
        <f>+CP261+CP267</f>
        <v>35.067532436315467</v>
      </c>
      <c r="CQ273" s="550">
        <f>+CQ261+CQ267</f>
        <v>35.437778319361989</v>
      </c>
      <c r="CR273" s="582">
        <f>+CR261+CR267</f>
        <v>43.865096590296268</v>
      </c>
      <c r="CS273" s="580">
        <f>+CS261+CS267</f>
        <v>148.01505448864236</v>
      </c>
      <c r="CT273" s="557"/>
      <c r="CU273" s="581">
        <f>+CU261+CU267</f>
        <v>42.27775678400878</v>
      </c>
      <c r="CV273" s="550">
        <f>+CV261+CV267</f>
        <v>43.915561136834654</v>
      </c>
      <c r="CW273" s="550">
        <f>+CW261+CW267</f>
        <v>44.307652146502861</v>
      </c>
      <c r="CX273" s="582">
        <f>+CX261+CX267</f>
        <v>54.196035031335789</v>
      </c>
      <c r="CY273" s="580">
        <f>+CY261+CY267</f>
        <v>184.69700509868207</v>
      </c>
      <c r="CZ273" s="48"/>
      <c r="DD273" s="48"/>
      <c r="DE273" s="48"/>
      <c r="DF273" s="48"/>
      <c r="DG273" s="48"/>
      <c r="DH273" s="48"/>
      <c r="DI273" s="48"/>
      <c r="DJ273" s="48"/>
      <c r="DK273" s="48"/>
    </row>
    <row r="274" spans="1:115" outlineLevel="1" x14ac:dyDescent="0.2">
      <c r="A274" s="205" t="s">
        <v>471</v>
      </c>
      <c r="B274" s="58"/>
      <c r="C274" s="558"/>
      <c r="D274" s="558"/>
      <c r="E274" s="558"/>
      <c r="F274" s="558"/>
      <c r="G274" s="629"/>
      <c r="H274" s="557"/>
      <c r="I274" s="704"/>
      <c r="J274" s="558"/>
      <c r="K274" s="558"/>
      <c r="L274" s="558"/>
      <c r="M274" s="629"/>
      <c r="N274" s="557"/>
      <c r="O274" s="704"/>
      <c r="P274" s="558"/>
      <c r="Q274" s="558"/>
      <c r="R274" s="558"/>
      <c r="S274" s="1134"/>
      <c r="T274" s="558"/>
      <c r="U274" s="704"/>
      <c r="V274" s="558"/>
      <c r="W274" s="558"/>
      <c r="X274" s="558"/>
      <c r="Y274" s="1134"/>
      <c r="Z274" s="578"/>
      <c r="AA274" s="581"/>
      <c r="AB274" s="550"/>
      <c r="AC274" s="550"/>
      <c r="AD274" s="582"/>
      <c r="AE274" s="580"/>
      <c r="AF274" s="557"/>
      <c r="AG274" s="581"/>
      <c r="AH274" s="550"/>
      <c r="AI274" s="550"/>
      <c r="AJ274" s="582"/>
      <c r="AK274" s="580"/>
      <c r="AL274" s="557"/>
      <c r="AM274" s="581"/>
      <c r="AN274" s="550"/>
      <c r="AO274" s="550"/>
      <c r="AP274" s="550"/>
      <c r="AQ274" s="580"/>
      <c r="AR274" s="557"/>
      <c r="AS274" s="909">
        <v>0</v>
      </c>
      <c r="AT274" s="910">
        <v>0</v>
      </c>
      <c r="AU274" s="910">
        <v>0</v>
      </c>
      <c r="AV274" s="1002">
        <v>0</v>
      </c>
      <c r="AW274" s="1106">
        <v>0</v>
      </c>
      <c r="AX274" s="557"/>
      <c r="AY274" s="1131">
        <f>+AY273/AY257</f>
        <v>0.77</v>
      </c>
      <c r="AZ274" s="1132">
        <f>+AZ273/AZ257</f>
        <v>0.77</v>
      </c>
      <c r="BA274" s="1132">
        <f>+BA273/BA257</f>
        <v>0.77</v>
      </c>
      <c r="BB274" s="1213">
        <f>+BB273/BB257</f>
        <v>0.77</v>
      </c>
      <c r="BC274" s="707">
        <f>+BC273/BC257</f>
        <v>0.77</v>
      </c>
      <c r="BD274" s="557"/>
      <c r="BE274" s="1131">
        <f>+BE273/BE257</f>
        <v>0.77000000000000013</v>
      </c>
      <c r="BF274" s="1132">
        <f>+BF273/BF257</f>
        <v>0.77</v>
      </c>
      <c r="BG274" s="1132">
        <f>+BG273/BG257</f>
        <v>0.77</v>
      </c>
      <c r="BH274" s="1213">
        <f>+BH273/BH257</f>
        <v>0.77</v>
      </c>
      <c r="BI274" s="707">
        <f>+BI273/BI257</f>
        <v>0.77000000000000024</v>
      </c>
      <c r="BJ274" s="557"/>
      <c r="BK274" s="1131">
        <f>+BK273/BK257</f>
        <v>0.77</v>
      </c>
      <c r="BL274" s="1132">
        <f>+BL273/BL257</f>
        <v>0.77</v>
      </c>
      <c r="BM274" s="1132">
        <f>+BM273/BM257</f>
        <v>0.77</v>
      </c>
      <c r="BN274" s="1213">
        <f>+BN273/BN257</f>
        <v>0.77</v>
      </c>
      <c r="BO274" s="707">
        <f>+BO273/BO257</f>
        <v>0.77</v>
      </c>
      <c r="BP274" s="557"/>
      <c r="BQ274" s="1131">
        <f>+BQ273/BQ257</f>
        <v>0.77</v>
      </c>
      <c r="BR274" s="1132">
        <f>+BR273/BR257</f>
        <v>0.77</v>
      </c>
      <c r="BS274" s="1132">
        <f>+BS273/BS257</f>
        <v>0.77</v>
      </c>
      <c r="BT274" s="1213">
        <f>+BT273/BT257</f>
        <v>0.77</v>
      </c>
      <c r="BU274" s="707">
        <f>+BU273/BU257</f>
        <v>0.77000000000000013</v>
      </c>
      <c r="BV274" s="557"/>
      <c r="BW274" s="1131">
        <f>+BW273/BW257</f>
        <v>0.7675895740218025</v>
      </c>
      <c r="BX274" s="1132">
        <f>+BX273/BX257</f>
        <v>0.76540581258280205</v>
      </c>
      <c r="BY274" s="1132">
        <f>+BY273/BY257</f>
        <v>0.76088055493951867</v>
      </c>
      <c r="BZ274" s="1213">
        <f>+BZ273/BZ257</f>
        <v>0.76145551517286203</v>
      </c>
      <c r="CA274" s="707">
        <f>+CA273/CA257</f>
        <v>0.76361701698855422</v>
      </c>
      <c r="CB274" s="557"/>
      <c r="CC274" s="1131">
        <f>+CC273/CC257</f>
        <v>0.75867921463410914</v>
      </c>
      <c r="CD274" s="1132">
        <f>+CD273/CD257</f>
        <v>0.75928998772109757</v>
      </c>
      <c r="CE274" s="1132">
        <f>+CE273/CE257</f>
        <v>0.75931598969575498</v>
      </c>
      <c r="CF274" s="1213">
        <f>+CF273/CF257</f>
        <v>0.76174814027239757</v>
      </c>
      <c r="CG274" s="707">
        <f>+CG273/CG257</f>
        <v>0.75991562982323024</v>
      </c>
      <c r="CH274" s="557"/>
      <c r="CI274" s="1131">
        <f>+CI273/CI257</f>
        <v>0.76296280814932216</v>
      </c>
      <c r="CJ274" s="1132">
        <f>+CJ273/CJ257</f>
        <v>0.7632790650885608</v>
      </c>
      <c r="CK274" s="1132">
        <f>+CK273/CK257</f>
        <v>0.76326889881533966</v>
      </c>
      <c r="CL274" s="1213">
        <f>+CL273/CL257</f>
        <v>0.76470996689416026</v>
      </c>
      <c r="CM274" s="707">
        <f>+CM273/CM257</f>
        <v>0.76363098255472828</v>
      </c>
      <c r="CN274" s="557"/>
      <c r="CO274" s="1131">
        <f>+CO273/CO257</f>
        <v>0.76301149485962283</v>
      </c>
      <c r="CP274" s="1132">
        <f>+CP273/CP257</f>
        <v>0.76332989785402661</v>
      </c>
      <c r="CQ274" s="1132">
        <f>+CQ273/CQ257</f>
        <v>0.76333713429189942</v>
      </c>
      <c r="CR274" s="1213">
        <f>+CR273/CR257</f>
        <v>0.76470566051042466</v>
      </c>
      <c r="CS274" s="707">
        <f>+CS273/CS257</f>
        <v>0.76366635516172165</v>
      </c>
      <c r="CT274" s="557"/>
      <c r="CU274" s="1131">
        <f>+CU273/CU257</f>
        <v>0.76442821998329291</v>
      </c>
      <c r="CV274" s="1132">
        <f>+CV273/CV257</f>
        <v>0.76466446600045679</v>
      </c>
      <c r="CW274" s="1132">
        <f>+CW273/CW257</f>
        <v>0.76466171487946288</v>
      </c>
      <c r="CX274" s="1213">
        <f>+CX273/CX257</f>
        <v>0.76570925256625</v>
      </c>
      <c r="CY274" s="707">
        <f>+CY273/CY257</f>
        <v>0.76491595012706004</v>
      </c>
      <c r="CZ274" s="48"/>
      <c r="DD274" s="48"/>
      <c r="DE274" s="48"/>
      <c r="DF274" s="48"/>
      <c r="DG274" s="48"/>
      <c r="DH274" s="48"/>
      <c r="DI274" s="48"/>
      <c r="DJ274" s="48"/>
      <c r="DK274" s="48"/>
    </row>
    <row r="275" spans="1:115" outlineLevel="1" x14ac:dyDescent="0.2">
      <c r="A275" s="432" t="s">
        <v>629</v>
      </c>
      <c r="B275" s="58"/>
      <c r="C275" s="558"/>
      <c r="D275" s="558"/>
      <c r="E275" s="558"/>
      <c r="F275" s="558"/>
      <c r="G275" s="629"/>
      <c r="H275" s="557"/>
      <c r="I275" s="704"/>
      <c r="J275" s="558"/>
      <c r="K275" s="558"/>
      <c r="L275" s="558"/>
      <c r="M275" s="629"/>
      <c r="N275" s="557"/>
      <c r="O275" s="704"/>
      <c r="P275" s="558"/>
      <c r="Q275" s="558"/>
      <c r="R275" s="558"/>
      <c r="S275" s="707"/>
      <c r="T275" s="557"/>
      <c r="U275" s="704"/>
      <c r="V275" s="558"/>
      <c r="W275" s="558"/>
      <c r="X275" s="558"/>
      <c r="Y275" s="707"/>
      <c r="Z275" s="557"/>
      <c r="AA275" s="685"/>
      <c r="AB275" s="578"/>
      <c r="AC275" s="578"/>
      <c r="AD275" s="582"/>
      <c r="AE275" s="707"/>
      <c r="AF275" s="557"/>
      <c r="AG275" s="1217">
        <v>0</v>
      </c>
      <c r="AH275" s="1216">
        <v>0</v>
      </c>
      <c r="AI275" s="1216">
        <v>0</v>
      </c>
      <c r="AJ275" s="1216">
        <v>0</v>
      </c>
      <c r="AK275" s="580">
        <f>+SUM(AG275:AJ275)</f>
        <v>0</v>
      </c>
      <c r="AL275" s="557"/>
      <c r="AM275" s="1217">
        <v>0</v>
      </c>
      <c r="AN275" s="1216">
        <v>0</v>
      </c>
      <c r="AO275" s="1216">
        <v>0</v>
      </c>
      <c r="AP275" s="1216">
        <v>0</v>
      </c>
      <c r="AQ275" s="580">
        <f>+SUM(AM275:AP275)</f>
        <v>0</v>
      </c>
      <c r="AR275" s="557"/>
      <c r="AS275" s="1217">
        <v>0</v>
      </c>
      <c r="AT275" s="1216">
        <v>0</v>
      </c>
      <c r="AU275" s="1216">
        <v>0</v>
      </c>
      <c r="AV275" s="1216">
        <v>0</v>
      </c>
      <c r="AW275" s="580">
        <f>+SUM(AS275:AV275)</f>
        <v>0</v>
      </c>
      <c r="AX275" s="557"/>
      <c r="AY275" s="1217">
        <v>0</v>
      </c>
      <c r="AZ275" s="1216">
        <v>0</v>
      </c>
      <c r="BA275" s="1216">
        <v>0</v>
      </c>
      <c r="BB275" s="1216">
        <v>0</v>
      </c>
      <c r="BC275" s="580">
        <f>+SUM(AY275:BB275)</f>
        <v>0</v>
      </c>
      <c r="BD275" s="557"/>
      <c r="BE275" s="1217">
        <v>5</v>
      </c>
      <c r="BF275" s="1216">
        <v>5</v>
      </c>
      <c r="BG275" s="1216">
        <v>5</v>
      </c>
      <c r="BH275" s="1216">
        <v>5</v>
      </c>
      <c r="BI275" s="580">
        <f>+SUM(BE275:BH275)</f>
        <v>20</v>
      </c>
      <c r="BJ275" s="557"/>
      <c r="BK275" s="1217">
        <v>8</v>
      </c>
      <c r="BL275" s="1216">
        <v>8</v>
      </c>
      <c r="BM275" s="1216">
        <v>8</v>
      </c>
      <c r="BN275" s="1216">
        <v>8</v>
      </c>
      <c r="BO275" s="580">
        <f>+SUM(BK275:BN275)</f>
        <v>32</v>
      </c>
      <c r="BP275" s="557"/>
      <c r="BQ275" s="1217">
        <v>10</v>
      </c>
      <c r="BR275" s="1216">
        <v>10</v>
      </c>
      <c r="BS275" s="1216">
        <v>10</v>
      </c>
      <c r="BT275" s="1216">
        <v>10</v>
      </c>
      <c r="BU275" s="580">
        <f>+SUM(BQ275:BT275)</f>
        <v>40</v>
      </c>
      <c r="BV275" s="557"/>
      <c r="BW275" s="1217">
        <v>7</v>
      </c>
      <c r="BX275" s="1216">
        <v>6</v>
      </c>
      <c r="BY275" s="1216">
        <v>6</v>
      </c>
      <c r="BZ275" s="1216">
        <v>5</v>
      </c>
      <c r="CA275" s="580">
        <f>+SUM(BW275:BZ275)</f>
        <v>24</v>
      </c>
      <c r="CB275" s="557"/>
      <c r="CC275" s="1217">
        <v>3</v>
      </c>
      <c r="CD275" s="1216">
        <v>3</v>
      </c>
      <c r="CE275" s="1216">
        <v>3</v>
      </c>
      <c r="CF275" s="1216">
        <v>3</v>
      </c>
      <c r="CG275" s="580">
        <f>+SUM(CC275:CF275)</f>
        <v>12</v>
      </c>
      <c r="CH275" s="557"/>
      <c r="CI275" s="1217">
        <v>3</v>
      </c>
      <c r="CJ275" s="1216">
        <v>3</v>
      </c>
      <c r="CK275" s="1216">
        <v>3</v>
      </c>
      <c r="CL275" s="1216">
        <v>3</v>
      </c>
      <c r="CM275" s="580">
        <f>+SUM(CI275:CL275)</f>
        <v>12</v>
      </c>
      <c r="CN275" s="557"/>
      <c r="CO275" s="1217">
        <v>2</v>
      </c>
      <c r="CP275" s="1216">
        <v>2</v>
      </c>
      <c r="CQ275" s="1216">
        <v>2</v>
      </c>
      <c r="CR275" s="1216">
        <v>2</v>
      </c>
      <c r="CS275" s="580">
        <f>+SUM(CO275:CR275)</f>
        <v>8</v>
      </c>
      <c r="CT275" s="557"/>
      <c r="CU275" s="1217">
        <v>2</v>
      </c>
      <c r="CV275" s="1216">
        <v>2</v>
      </c>
      <c r="CW275" s="1216">
        <v>2</v>
      </c>
      <c r="CX275" s="1216">
        <v>2</v>
      </c>
      <c r="CY275" s="580">
        <f>+SUM(CU275:CX275)</f>
        <v>8</v>
      </c>
      <c r="CZ275" s="48"/>
      <c r="DD275" s="48"/>
      <c r="DE275" s="48"/>
      <c r="DF275" s="48"/>
      <c r="DG275" s="48"/>
      <c r="DH275" s="48"/>
      <c r="DI275" s="48"/>
      <c r="DJ275" s="48"/>
      <c r="DK275" s="48"/>
    </row>
    <row r="276" spans="1:115" outlineLevel="1" x14ac:dyDescent="0.2">
      <c r="A276" s="354" t="s">
        <v>493</v>
      </c>
      <c r="B276" s="58"/>
      <c r="C276" s="558"/>
      <c r="D276" s="558"/>
      <c r="E276" s="558"/>
      <c r="F276" s="558"/>
      <c r="G276" s="629"/>
      <c r="H276" s="557"/>
      <c r="I276" s="704"/>
      <c r="J276" s="558"/>
      <c r="K276" s="558"/>
      <c r="L276" s="558"/>
      <c r="M276" s="629"/>
      <c r="N276" s="557"/>
      <c r="O276" s="704"/>
      <c r="P276" s="558"/>
      <c r="Q276" s="558"/>
      <c r="R276" s="558"/>
      <c r="S276" s="1134"/>
      <c r="T276" s="558"/>
      <c r="U276" s="704"/>
      <c r="V276" s="558"/>
      <c r="W276" s="558"/>
      <c r="X276" s="558"/>
      <c r="Y276" s="1134"/>
      <c r="Z276" s="578"/>
      <c r="AA276" s="581"/>
      <c r="AB276" s="550"/>
      <c r="AC276" s="550"/>
      <c r="AD276" s="582"/>
      <c r="AE276" s="580"/>
      <c r="AF276" s="557"/>
      <c r="AG276" s="581"/>
      <c r="AH276" s="550"/>
      <c r="AI276" s="550"/>
      <c r="AJ276" s="582"/>
      <c r="AK276" s="580"/>
      <c r="AL276" s="557"/>
      <c r="AM276" s="581"/>
      <c r="AN276" s="550"/>
      <c r="AO276" s="550"/>
      <c r="AP276" s="550"/>
      <c r="AQ276" s="580"/>
      <c r="AR276" s="557"/>
      <c r="AS276" s="581">
        <f>+AS263+AS269</f>
        <v>0</v>
      </c>
      <c r="AT276" s="550">
        <f>+AT263+AT269</f>
        <v>0</v>
      </c>
      <c r="AU276" s="550">
        <f>+AU263+AU269</f>
        <v>0</v>
      </c>
      <c r="AV276" s="582">
        <f>+AV263+AV269</f>
        <v>0</v>
      </c>
      <c r="AW276" s="580">
        <f>+AW263+AW269</f>
        <v>0</v>
      </c>
      <c r="AX276" s="557"/>
      <c r="AY276" s="581">
        <f>+AY263+AY269</f>
        <v>1.736945132277631</v>
      </c>
      <c r="AZ276" s="550">
        <f>+AZ263+AZ269</f>
        <v>1.7347288363448163</v>
      </c>
      <c r="BA276" s="550">
        <f>+BA263+BA269</f>
        <v>1.7436548807219454</v>
      </c>
      <c r="BB276" s="582">
        <f>+BB263+BB269</f>
        <v>1.6414248900534434</v>
      </c>
      <c r="BC276" s="580">
        <f>+BC263+BC269</f>
        <v>6.8567537393978357</v>
      </c>
      <c r="BD276" s="557"/>
      <c r="BE276" s="581">
        <f>+BE263+BE269</f>
        <v>7.0655091311566132</v>
      </c>
      <c r="BF276" s="550">
        <f>+BF263+BF269</f>
        <v>7.2217210472422035</v>
      </c>
      <c r="BG276" s="550">
        <f>+BG263+BG269</f>
        <v>7.4105983428604967</v>
      </c>
      <c r="BH276" s="582">
        <f>+BH263+BH269</f>
        <v>7.7609324379111122</v>
      </c>
      <c r="BI276" s="580">
        <f>+BI263+BI269</f>
        <v>29.458760959170426</v>
      </c>
      <c r="BJ276" s="557"/>
      <c r="BK276" s="581">
        <f>+BK263+BK269</f>
        <v>11.31089758738141</v>
      </c>
      <c r="BL276" s="550">
        <f>+BL263+BL269</f>
        <v>11.222452503796376</v>
      </c>
      <c r="BM276" s="550">
        <f>+BM263+BM269</f>
        <v>11.14470226305615</v>
      </c>
      <c r="BN276" s="582">
        <f>+BN263+BN269</f>
        <v>12.321450347828495</v>
      </c>
      <c r="BO276" s="580">
        <f>+BO263+BO269</f>
        <v>45.999502702062436</v>
      </c>
      <c r="BP276" s="557"/>
      <c r="BQ276" s="581">
        <f>+BQ263+BQ269</f>
        <v>15.695944068042005</v>
      </c>
      <c r="BR276" s="550">
        <f>+BR263+BR269</f>
        <v>15.962843428719724</v>
      </c>
      <c r="BS276" s="550">
        <f>+BS263+BS269</f>
        <v>15.872186313635497</v>
      </c>
      <c r="BT276" s="582">
        <f>+BT263+BT269</f>
        <v>17.475514213825914</v>
      </c>
      <c r="BU276" s="580">
        <f>+BU263+BU269</f>
        <v>65.006488024223145</v>
      </c>
      <c r="BV276" s="557"/>
      <c r="BW276" s="581">
        <f>+BW263+BW269</f>
        <v>15.070569838652499</v>
      </c>
      <c r="BX276" s="550">
        <f>+BX263+BX269</f>
        <v>14.023657572774086</v>
      </c>
      <c r="BY276" s="550">
        <f>+BY263+BY269</f>
        <v>13.259372502570859</v>
      </c>
      <c r="BZ276" s="582">
        <f>+BZ263+BZ269</f>
        <v>13.335725317873759</v>
      </c>
      <c r="CA276" s="580">
        <f>+CA263+CA269</f>
        <v>55.689325231871209</v>
      </c>
      <c r="CB276" s="557"/>
      <c r="CC276" s="581">
        <f>+CC263+CC269</f>
        <v>12.998236443408022</v>
      </c>
      <c r="CD276" s="550">
        <f>+CD263+CD269</f>
        <v>12.527353685873209</v>
      </c>
      <c r="CE276" s="550">
        <f>+CE263+CE269</f>
        <v>12.329770197716829</v>
      </c>
      <c r="CF276" s="582">
        <f>+CF263+CF269</f>
        <v>13.577483264515857</v>
      </c>
      <c r="CG276" s="580">
        <f>+CG263+CG269</f>
        <v>51.432843591513915</v>
      </c>
      <c r="CH276" s="557"/>
      <c r="CI276" s="581">
        <f>+CI263+CI269</f>
        <v>17.084404569085912</v>
      </c>
      <c r="CJ276" s="550">
        <f>+CJ263+CJ269</f>
        <v>16.191196262343485</v>
      </c>
      <c r="CK276" s="550">
        <f>+CK263+CK269</f>
        <v>15.964776709116133</v>
      </c>
      <c r="CL276" s="582">
        <f>+CL263+CL269</f>
        <v>17.215050252319163</v>
      </c>
      <c r="CM276" s="580">
        <f>+CM263+CM269</f>
        <v>66.455427792864697</v>
      </c>
      <c r="CN276" s="557"/>
      <c r="CO276" s="581">
        <f>+CO263+CO269</f>
        <v>18.642827316191358</v>
      </c>
      <c r="CP276" s="550">
        <f>+CP263+CP269</f>
        <v>18.393534351076688</v>
      </c>
      <c r="CQ276" s="550">
        <f>+CQ263+CQ269</f>
        <v>17.686124168005144</v>
      </c>
      <c r="CR276" s="582">
        <f>+CR263+CR269</f>
        <v>19.488525144331252</v>
      </c>
      <c r="CS276" s="580">
        <f>+CS263+CS269</f>
        <v>74.211010979604453</v>
      </c>
      <c r="CT276" s="557"/>
      <c r="CU276" s="581">
        <f>+CU263+CU269</f>
        <v>22.118562469788724</v>
      </c>
      <c r="CV276" s="550">
        <f>+CV263+CV269</f>
        <v>21.704901979029792</v>
      </c>
      <c r="CW276" s="550">
        <f>+CW263+CW269</f>
        <v>20.794291614269326</v>
      </c>
      <c r="CX276" s="582">
        <f>+CX263+CX269</f>
        <v>22.614232595354835</v>
      </c>
      <c r="CY276" s="580">
        <f>+CY263+CY269</f>
        <v>87.231988658442674</v>
      </c>
      <c r="CZ276" s="48"/>
      <c r="DD276" s="48"/>
      <c r="DE276" s="48"/>
      <c r="DF276" s="48"/>
      <c r="DG276" s="48"/>
      <c r="DH276" s="48"/>
      <c r="DI276" s="48"/>
      <c r="DJ276" s="48"/>
      <c r="DK276" s="48"/>
    </row>
    <row r="277" spans="1:115" outlineLevel="1" x14ac:dyDescent="0.2">
      <c r="A277" s="205" t="s">
        <v>473</v>
      </c>
      <c r="B277" s="58"/>
      <c r="C277" s="558"/>
      <c r="D277" s="558"/>
      <c r="E277" s="558"/>
      <c r="F277" s="558"/>
      <c r="G277" s="629"/>
      <c r="H277" s="557"/>
      <c r="I277" s="704"/>
      <c r="J277" s="558"/>
      <c r="K277" s="558"/>
      <c r="L277" s="558"/>
      <c r="M277" s="629"/>
      <c r="N277" s="557"/>
      <c r="O277" s="704"/>
      <c r="P277" s="558"/>
      <c r="Q277" s="558"/>
      <c r="R277" s="558"/>
      <c r="S277" s="1134"/>
      <c r="T277" s="558"/>
      <c r="U277" s="704"/>
      <c r="V277" s="558"/>
      <c r="W277" s="558"/>
      <c r="X277" s="558"/>
      <c r="Y277" s="1134"/>
      <c r="Z277" s="578"/>
      <c r="AA277" s="581"/>
      <c r="AB277" s="550"/>
      <c r="AC277" s="550"/>
      <c r="AD277" s="582"/>
      <c r="AE277" s="580"/>
      <c r="AF277" s="557"/>
      <c r="AG277" s="581"/>
      <c r="AH277" s="550"/>
      <c r="AI277" s="550"/>
      <c r="AJ277" s="582"/>
      <c r="AK277" s="580"/>
      <c r="AL277" s="557"/>
      <c r="AM277" s="581"/>
      <c r="AN277" s="550"/>
      <c r="AO277" s="550"/>
      <c r="AP277" s="550"/>
      <c r="AQ277" s="580"/>
      <c r="AR277" s="557"/>
      <c r="AS277" s="909">
        <v>0</v>
      </c>
      <c r="AT277" s="910">
        <v>0</v>
      </c>
      <c r="AU277" s="910">
        <v>0</v>
      </c>
      <c r="AV277" s="1002">
        <v>0</v>
      </c>
      <c r="AW277" s="1106">
        <v>0</v>
      </c>
      <c r="AX277" s="557"/>
      <c r="AY277" s="1131">
        <f>+AY276/AY257</f>
        <v>0.27791122116442096</v>
      </c>
      <c r="AZ277" s="1132">
        <f>+AZ276/AZ257</f>
        <v>0.27755661381517061</v>
      </c>
      <c r="BA277" s="1132">
        <f>+BA276/BA257</f>
        <v>0.27898478091551127</v>
      </c>
      <c r="BB277" s="1213">
        <f>+BB276/BB257</f>
        <v>0.26262798240855095</v>
      </c>
      <c r="BC277" s="707">
        <f>+BC276/BC257</f>
        <v>0.27427014957591345</v>
      </c>
      <c r="BD277" s="557"/>
      <c r="BE277" s="1131">
        <f>+BE276/BE257</f>
        <v>1.0093584473080877</v>
      </c>
      <c r="BF277" s="1132">
        <f>+BF276/BF257</f>
        <v>0.93788585029119509</v>
      </c>
      <c r="BG277" s="1132">
        <f>+BG276/BG257</f>
        <v>0.87492306291151056</v>
      </c>
      <c r="BH277" s="1213">
        <f>+BH276/BH257</f>
        <v>0.76357068456425714</v>
      </c>
      <c r="BI277" s="707">
        <f>+BI276/BI257</f>
        <v>0.88374515387203523</v>
      </c>
      <c r="BJ277" s="557"/>
      <c r="BK277" s="1131">
        <f>+BK276/BK257</f>
        <v>0.98355631194620952</v>
      </c>
      <c r="BL277" s="1132">
        <f>+BL276/BL257</f>
        <v>0.97586543511272839</v>
      </c>
      <c r="BM277" s="1132">
        <f>+BM276/BM257</f>
        <v>0.9691045446135782</v>
      </c>
      <c r="BN277" s="1213">
        <f>+BN276/BN257</f>
        <v>0.79493228050506426</v>
      </c>
      <c r="BO277" s="707">
        <f>+BO276/BO257</f>
        <v>0.91999005404124867</v>
      </c>
      <c r="BP277" s="557"/>
      <c r="BQ277" s="1131">
        <f>+BQ276/BQ257</f>
        <v>1.0296979556030394</v>
      </c>
      <c r="BR277" s="1132">
        <f>+BR276/BR257</f>
        <v>0.90131883528888546</v>
      </c>
      <c r="BS277" s="1132">
        <f>+BS276/BS257</f>
        <v>0.92272106000264498</v>
      </c>
      <c r="BT277" s="1213">
        <f>+BT276/BT257</f>
        <v>0.75767359704769266</v>
      </c>
      <c r="BU277" s="707">
        <f>+BU276/BU257</f>
        <v>0.88782431237438186</v>
      </c>
      <c r="BV277" s="557"/>
      <c r="BW277" s="1131">
        <f>+BW276/BW257</f>
        <v>0.75680193844431964</v>
      </c>
      <c r="BX277" s="1132">
        <f>+BX276/BX257</f>
        <v>0.67111782462429048</v>
      </c>
      <c r="BY277" s="1132">
        <f>+BY276/BY257</f>
        <v>0.62978187017527532</v>
      </c>
      <c r="BZ277" s="1213">
        <f>+BZ276/BZ257</f>
        <v>0.4896176168551637</v>
      </c>
      <c r="CA277" s="707">
        <f>+CA276/CA257</f>
        <v>0.62501770868177975</v>
      </c>
      <c r="CB277" s="557"/>
      <c r="CC277" s="1131">
        <f>+CC276/CC257</f>
        <v>0.50139627390385277</v>
      </c>
      <c r="CD277" s="1132">
        <f>+CD276/CD257</f>
        <v>0.4575517061914528</v>
      </c>
      <c r="CE277" s="1132">
        <f>+CE276/CE257</f>
        <v>0.43651783133573679</v>
      </c>
      <c r="CF277" s="1213">
        <f>+CF276/CF257</f>
        <v>0.37630042907216438</v>
      </c>
      <c r="CG277" s="707">
        <f>+CG276/CG257</f>
        <v>0.43724101423830308</v>
      </c>
      <c r="CH277" s="557"/>
      <c r="CI277" s="1131">
        <f>+CI276/CI257</f>
        <v>0.4876857492802853</v>
      </c>
      <c r="CJ277" s="1132">
        <f>+CJ276/CJ257</f>
        <v>0.44390825421841323</v>
      </c>
      <c r="CK277" s="1132">
        <f>+CK276/CK257</f>
        <v>0.43425799594163567</v>
      </c>
      <c r="CL277" s="1213">
        <f>+CL276/CL257</f>
        <v>0.37483499169274848</v>
      </c>
      <c r="CM277" s="707">
        <f>+CM276/CM257</f>
        <v>0.43097985525519417</v>
      </c>
      <c r="CN277" s="557"/>
      <c r="CO277" s="1131">
        <f>+CO276/CO257</f>
        <v>0.42279211544760159</v>
      </c>
      <c r="CP277" s="1132">
        <f>+CP276/CP257</f>
        <v>0.40037988766047067</v>
      </c>
      <c r="CQ277" s="1132">
        <f>+CQ276/CQ257</f>
        <v>0.38096280239327401</v>
      </c>
      <c r="CR277" s="1213">
        <f>+CR276/CR257</f>
        <v>0.33974587203272344</v>
      </c>
      <c r="CS277" s="707">
        <f>+CS276/CS257</f>
        <v>0.38288302810448033</v>
      </c>
      <c r="CT277" s="557"/>
      <c r="CU277" s="1131">
        <f>+CU276/CU257</f>
        <v>0.39992787279965614</v>
      </c>
      <c r="CV277" s="1132">
        <f>+CV276/CV257</f>
        <v>0.37792907233208928</v>
      </c>
      <c r="CW277" s="1132">
        <f>+CW276/CW257</f>
        <v>0.35886800394874518</v>
      </c>
      <c r="CX277" s="1213">
        <f>+CX276/CX257</f>
        <v>0.31950542374431129</v>
      </c>
      <c r="CY277" s="707">
        <f>+CY276/CY257</f>
        <v>0.36126811829187438</v>
      </c>
      <c r="CZ277" s="48"/>
      <c r="DD277" s="48"/>
      <c r="DE277" s="48"/>
      <c r="DF277" s="48"/>
      <c r="DG277" s="48"/>
      <c r="DH277" s="48"/>
      <c r="DI277" s="48"/>
      <c r="DJ277" s="48"/>
      <c r="DK277" s="48"/>
    </row>
    <row r="278" spans="1:115" x14ac:dyDescent="0.2">
      <c r="A278" s="354" t="s">
        <v>494</v>
      </c>
      <c r="B278" s="58"/>
      <c r="C278" s="558"/>
      <c r="D278" s="558"/>
      <c r="E278" s="558"/>
      <c r="F278" s="558"/>
      <c r="G278" s="629"/>
      <c r="H278" s="557"/>
      <c r="I278" s="704"/>
      <c r="J278" s="558"/>
      <c r="K278" s="558"/>
      <c r="L278" s="558"/>
      <c r="M278" s="629"/>
      <c r="N278" s="557"/>
      <c r="O278" s="704"/>
      <c r="P278" s="558"/>
      <c r="Q278" s="558"/>
      <c r="R278" s="558"/>
      <c r="S278" s="1134"/>
      <c r="T278" s="558"/>
      <c r="U278" s="704"/>
      <c r="V278" s="558"/>
      <c r="W278" s="558"/>
      <c r="X278" s="558"/>
      <c r="Y278" s="1134"/>
      <c r="Z278" s="578"/>
      <c r="AA278" s="581"/>
      <c r="AB278" s="550"/>
      <c r="AC278" s="550"/>
      <c r="AD278" s="582"/>
      <c r="AE278" s="580"/>
      <c r="AF278" s="557"/>
      <c r="AG278" s="581"/>
      <c r="AH278" s="550"/>
      <c r="AI278" s="550"/>
      <c r="AJ278" s="582"/>
      <c r="AK278" s="580"/>
      <c r="AL278" s="557"/>
      <c r="AM278" s="581"/>
      <c r="AN278" s="550"/>
      <c r="AO278" s="550"/>
      <c r="AP278" s="550"/>
      <c r="AQ278" s="580"/>
      <c r="AR278" s="557"/>
      <c r="AS278" s="581">
        <f>+AS265+AS271</f>
        <v>0</v>
      </c>
      <c r="AT278" s="550">
        <f>+AT265+AT271</f>
        <v>0</v>
      </c>
      <c r="AU278" s="550">
        <f>+AU265+AU271</f>
        <v>0</v>
      </c>
      <c r="AV278" s="582">
        <f>+AV265+AV271</f>
        <v>0</v>
      </c>
      <c r="AW278" s="580">
        <f>+AW265+AW271</f>
        <v>0</v>
      </c>
      <c r="AX278" s="557"/>
      <c r="AY278" s="581">
        <f>+AY265+AY271</f>
        <v>3.075554867722369</v>
      </c>
      <c r="AZ278" s="550">
        <f>+AZ265+AZ271</f>
        <v>3.0777711636551839</v>
      </c>
      <c r="BA278" s="550">
        <f>+BA265+BA271</f>
        <v>3.0688451192780546</v>
      </c>
      <c r="BB278" s="582">
        <f>+BB265+BB271</f>
        <v>3.1710751099465568</v>
      </c>
      <c r="BC278" s="580">
        <f>+BC265+BC271</f>
        <v>12.393246260602165</v>
      </c>
      <c r="BD278" s="557"/>
      <c r="BE278" s="581">
        <f>+BE265+BE271</f>
        <v>-1.6755091311566126</v>
      </c>
      <c r="BF278" s="550">
        <f>+BF265+BF271</f>
        <v>-1.2927210472422024</v>
      </c>
      <c r="BG278" s="550">
        <f>+BG265+BG271</f>
        <v>-0.88869834286049443</v>
      </c>
      <c r="BH278" s="582">
        <f>+BH265+BH271</f>
        <v>6.5347562088890143E-2</v>
      </c>
      <c r="BI278" s="580">
        <f>+BI265+BI271</f>
        <v>-3.7915809591704175</v>
      </c>
      <c r="BJ278" s="557"/>
      <c r="BK278" s="581">
        <f>+BK265+BK271</f>
        <v>-2.4558975873814095</v>
      </c>
      <c r="BL278" s="550">
        <f>+BL265+BL271</f>
        <v>-2.3674525037963754</v>
      </c>
      <c r="BM278" s="550">
        <f>+BM265+BM271</f>
        <v>-2.2897022630561494</v>
      </c>
      <c r="BN278" s="582">
        <f>+BN265+BN271</f>
        <v>-0.38645034782849486</v>
      </c>
      <c r="BO278" s="580">
        <f>+BO265+BO271</f>
        <v>-7.4995027020624363</v>
      </c>
      <c r="BP278" s="557"/>
      <c r="BQ278" s="581">
        <f>+BQ265+BQ271</f>
        <v>-3.9586410398794527</v>
      </c>
      <c r="BR278" s="550">
        <f>+BR265+BR271</f>
        <v>-2.3257275060566585</v>
      </c>
      <c r="BS278" s="550">
        <f>+BS265+BS271</f>
        <v>-2.6270313136354968</v>
      </c>
      <c r="BT278" s="582">
        <f>+BT265+BT271</f>
        <v>0.28430478617408284</v>
      </c>
      <c r="BU278" s="580">
        <f>+BU265+BU271</f>
        <v>-8.6270950733975269</v>
      </c>
      <c r="BV278" s="557"/>
      <c r="BW278" s="581">
        <f>+BW265+BW271</f>
        <v>0.21481950178216913</v>
      </c>
      <c r="BX278" s="550">
        <f>+BX265+BX271</f>
        <v>1.9702389175794126</v>
      </c>
      <c r="BY278" s="550">
        <f>+BY265+BY271</f>
        <v>2.7601402615836315</v>
      </c>
      <c r="BZ278" s="582">
        <f>+BZ265+BZ271</f>
        <v>7.4040545481951057</v>
      </c>
      <c r="CA278" s="580">
        <f>+CA265+CA271</f>
        <v>12.349253229140313</v>
      </c>
      <c r="CB278" s="557"/>
      <c r="CC278" s="581">
        <f>+CC265+CC271</f>
        <v>6.6698231927995728</v>
      </c>
      <c r="CD278" s="550">
        <f>+CD265+CD271</f>
        <v>8.2613224300988399</v>
      </c>
      <c r="CE278" s="550">
        <f>+CE265+CE271</f>
        <v>9.1176736140340893</v>
      </c>
      <c r="CF278" s="582">
        <f>+CF265+CF271</f>
        <v>13.907530908404784</v>
      </c>
      <c r="CG278" s="580">
        <f>+CG265+CG271</f>
        <v>37.956350145337282</v>
      </c>
      <c r="CH278" s="557"/>
      <c r="CI278" s="581">
        <f>+CI265+CI271</f>
        <v>9.6433915677199842</v>
      </c>
      <c r="CJ278" s="550">
        <f>+CJ265+CJ271</f>
        <v>11.648793258793724</v>
      </c>
      <c r="CK278" s="550">
        <f>+CK265+CK271</f>
        <v>12.095541471501949</v>
      </c>
      <c r="CL278" s="582">
        <f>+CL265+CL271</f>
        <v>17.905791718921414</v>
      </c>
      <c r="CM278" s="580">
        <f>+CM265+CM271</f>
        <v>51.293518016937071</v>
      </c>
      <c r="CN278" s="557"/>
      <c r="CO278" s="581">
        <f>+CO265+CO271</f>
        <v>15.001819826477281</v>
      </c>
      <c r="CP278" s="550">
        <f>+CP265+CP271</f>
        <v>16.673998085238775</v>
      </c>
      <c r="CQ278" s="550">
        <f>+CQ265+CQ271</f>
        <v>17.751654151356842</v>
      </c>
      <c r="CR278" s="582">
        <f>+CR265+CR271</f>
        <v>24.376571445965016</v>
      </c>
      <c r="CS278" s="580">
        <f>+CS265+CS271</f>
        <v>73.804043509037911</v>
      </c>
      <c r="CT278" s="557"/>
      <c r="CU278" s="581">
        <f>+CU265+CU271</f>
        <v>20.159194314220056</v>
      </c>
      <c r="CV278" s="550">
        <f>+CV265+CV271</f>
        <v>22.210659157804862</v>
      </c>
      <c r="CW278" s="550">
        <f>+CW265+CW271</f>
        <v>23.513360532233538</v>
      </c>
      <c r="CX278" s="582">
        <f>+CX265+CX271</f>
        <v>31.581802435980958</v>
      </c>
      <c r="CY278" s="580">
        <f>+CY265+CY271</f>
        <v>97.465016440239381</v>
      </c>
      <c r="CZ278" s="48"/>
      <c r="DD278" s="48"/>
      <c r="DE278" s="48"/>
      <c r="DF278" s="48"/>
      <c r="DG278" s="48"/>
      <c r="DH278" s="48"/>
      <c r="DI278" s="48"/>
      <c r="DJ278" s="48"/>
      <c r="DK278" s="48"/>
    </row>
    <row r="279" spans="1:115" x14ac:dyDescent="0.2">
      <c r="A279" s="205" t="s">
        <v>476</v>
      </c>
      <c r="B279" s="58"/>
      <c r="C279" s="558"/>
      <c r="D279" s="558"/>
      <c r="E279" s="558"/>
      <c r="F279" s="558"/>
      <c r="G279" s="629"/>
      <c r="H279" s="557"/>
      <c r="I279" s="704"/>
      <c r="J279" s="558"/>
      <c r="K279" s="558"/>
      <c r="L279" s="558"/>
      <c r="M279" s="629"/>
      <c r="N279" s="557"/>
      <c r="O279" s="704"/>
      <c r="P279" s="558"/>
      <c r="Q279" s="558"/>
      <c r="R279" s="558"/>
      <c r="S279" s="1134"/>
      <c r="T279" s="558"/>
      <c r="U279" s="704"/>
      <c r="V279" s="558"/>
      <c r="W279" s="558"/>
      <c r="X279" s="558"/>
      <c r="Y279" s="1134"/>
      <c r="Z279" s="578"/>
      <c r="AA279" s="581"/>
      <c r="AB279" s="550"/>
      <c r="AC279" s="550"/>
      <c r="AD279" s="582"/>
      <c r="AE279" s="580"/>
      <c r="AF279" s="557"/>
      <c r="AG279" s="581"/>
      <c r="AH279" s="550"/>
      <c r="AI279" s="550"/>
      <c r="AJ279" s="582"/>
      <c r="AK279" s="580"/>
      <c r="AL279" s="557"/>
      <c r="AM279" s="581"/>
      <c r="AN279" s="550"/>
      <c r="AO279" s="550"/>
      <c r="AP279" s="550"/>
      <c r="AQ279" s="580"/>
      <c r="AR279" s="557"/>
      <c r="AS279" s="909">
        <v>0</v>
      </c>
      <c r="AT279" s="910">
        <v>0</v>
      </c>
      <c r="AU279" s="910">
        <v>0</v>
      </c>
      <c r="AV279" s="1002">
        <v>0</v>
      </c>
      <c r="AW279" s="1106">
        <v>0</v>
      </c>
      <c r="AX279" s="557"/>
      <c r="AY279" s="1131">
        <f>+AY278/AY257</f>
        <v>0.49208877883557905</v>
      </c>
      <c r="AZ279" s="1132">
        <f>+AZ278/AZ257</f>
        <v>0.49244338618482941</v>
      </c>
      <c r="BA279" s="1132">
        <f>+BA278/BA257</f>
        <v>0.49101521908448875</v>
      </c>
      <c r="BB279" s="1213">
        <f>+BB278/BB257</f>
        <v>0.50737201759144912</v>
      </c>
      <c r="BC279" s="707">
        <f>+BC278/BC257</f>
        <v>0.49572985042408663</v>
      </c>
      <c r="BD279" s="557"/>
      <c r="BE279" s="1131">
        <f>+BE278/BE257</f>
        <v>-0.2393584473080875</v>
      </c>
      <c r="BF279" s="1132">
        <f>+BF278/BF257</f>
        <v>-0.1678858502911951</v>
      </c>
      <c r="BG279" s="1132">
        <f>+BG278/BG257</f>
        <v>-0.10492306291151053</v>
      </c>
      <c r="BH279" s="1213">
        <f>+BH278/BH257</f>
        <v>6.4293154357428295E-3</v>
      </c>
      <c r="BI279" s="707">
        <f>+BI278/BI257</f>
        <v>-0.11374515387203507</v>
      </c>
      <c r="BJ279" s="557"/>
      <c r="BK279" s="1131">
        <f>+BK278/BK257</f>
        <v>-0.21355631194620953</v>
      </c>
      <c r="BL279" s="1132">
        <f>+BL278/BL257</f>
        <v>-0.20586543511272828</v>
      </c>
      <c r="BM279" s="1132">
        <f>+BM278/BM257</f>
        <v>-0.19910454461357821</v>
      </c>
      <c r="BN279" s="1213">
        <f>+BN278/BN257</f>
        <v>-2.4932280505064183E-2</v>
      </c>
      <c r="BO279" s="707">
        <f>+BO278/BO257</f>
        <v>-0.14999005404124874</v>
      </c>
      <c r="BP279" s="557"/>
      <c r="BQ279" s="1131">
        <f>+BQ278/BQ257</f>
        <v>-0.25969795560303943</v>
      </c>
      <c r="BR279" s="1132">
        <f>+BR278/BR257</f>
        <v>-0.13131883528888538</v>
      </c>
      <c r="BS279" s="1132">
        <f>+BS278/BS257</f>
        <v>-0.15272106000264493</v>
      </c>
      <c r="BT279" s="1213">
        <f>+BT278/BT257</f>
        <v>1.232640295230733E-2</v>
      </c>
      <c r="BU279" s="707">
        <f>+BU278/BU257</f>
        <v>-0.11782431237438179</v>
      </c>
      <c r="BV279" s="557"/>
      <c r="BW279" s="1131">
        <f>+BW278/BW257</f>
        <v>1.0787635577482911E-2</v>
      </c>
      <c r="BX279" s="1132">
        <f>+BX278/BX257</f>
        <v>9.4287987958511538E-2</v>
      </c>
      <c r="BY279" s="1132">
        <f>+BY278/BY257</f>
        <v>0.1310986847642433</v>
      </c>
      <c r="BZ279" s="1213">
        <f>+BZ278/BZ257</f>
        <v>0.27183789831769839</v>
      </c>
      <c r="CA279" s="707">
        <f>+CA278/CA257</f>
        <v>0.13859930830677439</v>
      </c>
      <c r="CB279" s="557"/>
      <c r="CC279" s="1131">
        <f>+CC278/CC257</f>
        <v>0.25728294073025637</v>
      </c>
      <c r="CD279" s="1132">
        <f>+CD278/CD257</f>
        <v>0.30173828152964477</v>
      </c>
      <c r="CE279" s="1132">
        <f>+CE278/CE257</f>
        <v>0.32279815836001818</v>
      </c>
      <c r="CF279" s="1213">
        <f>+CF278/CF257</f>
        <v>0.38544771120023319</v>
      </c>
      <c r="CG279" s="707">
        <f>+CG278/CG257</f>
        <v>0.32267461558492716</v>
      </c>
      <c r="CH279" s="557"/>
      <c r="CI279" s="1131">
        <f>+CI278/CI257</f>
        <v>0.27527705886903692</v>
      </c>
      <c r="CJ279" s="1132">
        <f>+CJ278/CJ257</f>
        <v>0.31937081087014763</v>
      </c>
      <c r="CK279" s="1132">
        <f>+CK278/CK257</f>
        <v>0.32901090287370399</v>
      </c>
      <c r="CL279" s="1213">
        <f>+CL278/CL257</f>
        <v>0.3898749752014119</v>
      </c>
      <c r="CM279" s="707">
        <f>+CM278/CM257</f>
        <v>0.33265112729953411</v>
      </c>
      <c r="CN279" s="557"/>
      <c r="CO279" s="1131">
        <f>+CO278/CO257</f>
        <v>0.34021937941202124</v>
      </c>
      <c r="CP279" s="1132">
        <f>+CP278/CP257</f>
        <v>0.36295001019355588</v>
      </c>
      <c r="CQ279" s="1132">
        <f>+CQ278/CQ257</f>
        <v>0.38237433189862541</v>
      </c>
      <c r="CR279" s="1213">
        <f>+CR278/CR257</f>
        <v>0.42495978847770122</v>
      </c>
      <c r="CS279" s="707">
        <f>+CS278/CS257</f>
        <v>0.38078332705724133</v>
      </c>
      <c r="CT279" s="557"/>
      <c r="CU279" s="1131">
        <f>+CU278/CU257</f>
        <v>0.36450034718363683</v>
      </c>
      <c r="CV279" s="1132">
        <f>+CV278/CV257</f>
        <v>0.38673539366836751</v>
      </c>
      <c r="CW279" s="1132">
        <f>+CW278/CW257</f>
        <v>0.40579371093071775</v>
      </c>
      <c r="CX279" s="1213">
        <f>+CX278/CX257</f>
        <v>0.44620382882193882</v>
      </c>
      <c r="CY279" s="707">
        <f>+CY278/CY257</f>
        <v>0.4036478318351856</v>
      </c>
      <c r="CZ279" s="48"/>
      <c r="DD279" s="48"/>
      <c r="DE279" s="48"/>
      <c r="DF279" s="48"/>
      <c r="DG279" s="48"/>
      <c r="DH279" s="48"/>
      <c r="DI279" s="48"/>
      <c r="DJ279" s="48"/>
      <c r="DK279" s="48"/>
    </row>
    <row r="280" spans="1:115" x14ac:dyDescent="0.2">
      <c r="A280" s="1161" t="s">
        <v>455</v>
      </c>
      <c r="B280" s="1162"/>
      <c r="C280" s="1163"/>
      <c r="D280" s="1163"/>
      <c r="E280" s="1163"/>
      <c r="F280" s="1163"/>
      <c r="G280" s="1164"/>
      <c r="H280" s="1165"/>
      <c r="I280" s="1166"/>
      <c r="J280" s="1163"/>
      <c r="K280" s="1163"/>
      <c r="L280" s="1163"/>
      <c r="M280" s="1164"/>
      <c r="N280" s="1165"/>
      <c r="O280" s="1166"/>
      <c r="P280" s="1163"/>
      <c r="Q280" s="1163"/>
      <c r="R280" s="1163"/>
      <c r="S280" s="1164"/>
      <c r="T280" s="1163"/>
      <c r="U280" s="1166"/>
      <c r="V280" s="1163"/>
      <c r="W280" s="1163"/>
      <c r="X280" s="1163"/>
      <c r="Y280" s="1164"/>
      <c r="Z280" s="1167"/>
      <c r="AA280" s="1168"/>
      <c r="AB280" s="1169"/>
      <c r="AC280" s="1169"/>
      <c r="AD280" s="1170"/>
      <c r="AE280" s="1171"/>
      <c r="AF280" s="1165"/>
      <c r="AG280" s="1172"/>
      <c r="AH280" s="1173"/>
      <c r="AI280" s="1173"/>
      <c r="AJ280" s="1174"/>
      <c r="AK280" s="1171"/>
      <c r="AL280" s="1175"/>
      <c r="AM280" s="1176"/>
      <c r="AN280" s="1177"/>
      <c r="AO280" s="1177"/>
      <c r="AP280" s="1177"/>
      <c r="AQ280" s="1171"/>
      <c r="AR280" s="1178"/>
      <c r="AS280" s="1172"/>
      <c r="AT280" s="1173"/>
      <c r="AU280" s="1173"/>
      <c r="AV280" s="1173"/>
      <c r="AW280" s="1171"/>
      <c r="AX280" s="1173"/>
      <c r="AY280" s="1172"/>
      <c r="AZ280" s="1173"/>
      <c r="BA280" s="1173"/>
      <c r="BB280" s="1173"/>
      <c r="BC280" s="1171"/>
      <c r="BD280" s="1178"/>
      <c r="BE280" s="1172"/>
      <c r="BF280" s="1173"/>
      <c r="BG280" s="1173"/>
      <c r="BH280" s="1173"/>
      <c r="BI280" s="1171"/>
      <c r="BJ280" s="1179"/>
      <c r="BK280" s="1180"/>
      <c r="BL280" s="1173"/>
      <c r="BM280" s="1173"/>
      <c r="BN280" s="1173"/>
      <c r="BO280" s="1171"/>
      <c r="BP280" s="1178"/>
      <c r="BQ280" s="1300"/>
      <c r="BR280" s="1301"/>
      <c r="BS280" s="1301"/>
      <c r="BT280" s="1301"/>
      <c r="BU280" s="1302"/>
      <c r="BV280" s="1178"/>
      <c r="BW280" s="1288"/>
      <c r="BX280" s="1289"/>
      <c r="BY280" s="1289"/>
      <c r="BZ280" s="1289"/>
      <c r="CA280" s="1290"/>
      <c r="CB280" s="1178"/>
      <c r="CC280" s="1172"/>
      <c r="CD280" s="1173"/>
      <c r="CE280" s="1173"/>
      <c r="CF280" s="1173"/>
      <c r="CG280" s="1171"/>
      <c r="CH280" s="1178"/>
      <c r="CI280" s="1300"/>
      <c r="CJ280" s="1301"/>
      <c r="CK280" s="1301"/>
      <c r="CL280" s="1301"/>
      <c r="CM280" s="1302"/>
      <c r="CN280" s="1178"/>
      <c r="CO280" s="1300"/>
      <c r="CP280" s="1301"/>
      <c r="CQ280" s="1301"/>
      <c r="CR280" s="1301"/>
      <c r="CS280" s="1302"/>
      <c r="CT280" s="1178"/>
      <c r="CU280" s="1300"/>
      <c r="CV280" s="1301"/>
      <c r="CW280" s="1301"/>
      <c r="CX280" s="1301"/>
      <c r="CY280" s="1302"/>
      <c r="CZ280" s="48"/>
      <c r="DD280" s="48"/>
      <c r="DE280" s="48"/>
      <c r="DF280" s="48"/>
      <c r="DG280" s="48"/>
      <c r="DH280" s="48"/>
      <c r="DI280" s="48"/>
      <c r="DJ280" s="48"/>
      <c r="DK280" s="48"/>
    </row>
    <row r="281" spans="1:115" x14ac:dyDescent="0.2">
      <c r="A281" s="1141"/>
      <c r="B281" s="1268"/>
      <c r="C281" s="1143"/>
      <c r="D281" s="1143"/>
      <c r="E281" s="1143"/>
      <c r="F281" s="1143"/>
      <c r="G281" s="1144"/>
      <c r="H281" s="1145"/>
      <c r="I281" s="1146"/>
      <c r="J281" s="1143"/>
      <c r="K281" s="1143"/>
      <c r="L281" s="1143"/>
      <c r="M281" s="1144"/>
      <c r="N281" s="1145"/>
      <c r="O281" s="1146"/>
      <c r="P281" s="1143"/>
      <c r="Q281" s="1143"/>
      <c r="R281" s="1143"/>
      <c r="S281" s="1144"/>
      <c r="T281" s="1143"/>
      <c r="U281" s="1146"/>
      <c r="V281" s="1143"/>
      <c r="W281" s="1143"/>
      <c r="X281" s="1143"/>
      <c r="Y281" s="1144"/>
      <c r="Z281" s="1147"/>
      <c r="AA281" s="1148"/>
      <c r="AB281" s="1149"/>
      <c r="AC281" s="1149"/>
      <c r="AD281" s="1149"/>
      <c r="AE281" s="1151"/>
      <c r="AF281" s="1145"/>
      <c r="AG281" s="1152"/>
      <c r="AH281" s="1153"/>
      <c r="AI281" s="1153"/>
      <c r="AJ281" s="1153"/>
      <c r="AK281" s="1151"/>
      <c r="AL281" s="1155"/>
      <c r="AM281" s="1156"/>
      <c r="AN281" s="1157"/>
      <c r="AO281" s="1157"/>
      <c r="AP281" s="1157"/>
      <c r="AQ281" s="1151"/>
      <c r="AR281" s="1158"/>
      <c r="AS281" s="1152"/>
      <c r="AT281" s="1153"/>
      <c r="AU281" s="1153"/>
      <c r="AV281" s="1153"/>
      <c r="AW281" s="1151"/>
      <c r="AX281" s="1153"/>
      <c r="AY281" s="1152"/>
      <c r="AZ281" s="1153"/>
      <c r="BA281" s="1153"/>
      <c r="BB281" s="1153"/>
      <c r="BC281" s="1269">
        <f>+RevBuild!BC$6</f>
        <v>2012</v>
      </c>
      <c r="BD281" s="1158"/>
      <c r="BE281" s="1152"/>
      <c r="BF281" s="1153"/>
      <c r="BG281" s="1153"/>
      <c r="BH281" s="1153"/>
      <c r="BI281" s="1269">
        <f>+RevBuild!BI$6</f>
        <v>2013</v>
      </c>
      <c r="BJ281" s="1159"/>
      <c r="BK281" s="1160"/>
      <c r="BL281" s="1153"/>
      <c r="BM281" s="1153"/>
      <c r="BN281" s="1153"/>
      <c r="BO281" s="1269">
        <f>+RevBuild!BO$6</f>
        <v>2014</v>
      </c>
      <c r="BP281" s="1158"/>
      <c r="BQ281" s="1152"/>
      <c r="BR281" s="1153"/>
      <c r="BS281" s="1153"/>
      <c r="BT281" s="1153"/>
      <c r="BU281" s="1270">
        <f>+RevBuild!BU$6</f>
        <v>2015</v>
      </c>
      <c r="BV281" s="1158"/>
      <c r="BW281" s="1152"/>
      <c r="BX281" s="1153"/>
      <c r="BY281" s="1153"/>
      <c r="BZ281" s="1153"/>
      <c r="CA281" s="1270">
        <f>+RevBuild!CA$6</f>
        <v>2016</v>
      </c>
      <c r="CB281" s="1158"/>
      <c r="CC281" s="1152"/>
      <c r="CD281" s="1153"/>
      <c r="CE281" s="1153"/>
      <c r="CF281" s="1153"/>
      <c r="CG281" s="1270">
        <f>+RevBuild!CG$6</f>
        <v>2017</v>
      </c>
      <c r="CH281" s="1158"/>
      <c r="CI281" s="1152"/>
      <c r="CJ281" s="1153"/>
      <c r="CK281" s="1153"/>
      <c r="CL281" s="1153"/>
      <c r="CM281" s="1270">
        <f>+RevBuild!CM$6</f>
        <v>2018</v>
      </c>
      <c r="CN281" s="1158"/>
      <c r="CO281" s="1152"/>
      <c r="CP281" s="1153"/>
      <c r="CQ281" s="1153"/>
      <c r="CR281" s="1153"/>
      <c r="CS281" s="1270">
        <f>+RevBuild!CS$6</f>
        <v>2019</v>
      </c>
      <c r="CT281" s="1158"/>
      <c r="CU281" s="1152"/>
      <c r="CV281" s="1153"/>
      <c r="CW281" s="1153"/>
      <c r="CX281" s="1153"/>
      <c r="CY281" s="1270">
        <f>+RevBuild!CY$6</f>
        <v>2020</v>
      </c>
      <c r="CZ281" s="48"/>
      <c r="DD281" s="48"/>
      <c r="DE281" s="48"/>
      <c r="DF281" s="48"/>
      <c r="DG281" s="48"/>
      <c r="DH281" s="48"/>
      <c r="DI281" s="48"/>
      <c r="DJ281" s="48"/>
      <c r="DK281" s="48"/>
    </row>
    <row r="282" spans="1:115" s="5" customFormat="1" outlineLevel="1" x14ac:dyDescent="0.2">
      <c r="A282" s="205" t="s">
        <v>635</v>
      </c>
      <c r="B282" s="39"/>
      <c r="C282" s="565"/>
      <c r="D282" s="566"/>
      <c r="E282" s="566"/>
      <c r="F282" s="566"/>
      <c r="G282" s="584"/>
      <c r="H282" s="592"/>
      <c r="I282" s="565"/>
      <c r="J282" s="566"/>
      <c r="K282" s="566"/>
      <c r="L282" s="566"/>
      <c r="M282" s="584"/>
      <c r="N282" s="592"/>
      <c r="O282" s="565"/>
      <c r="P282" s="566"/>
      <c r="Q282" s="566"/>
      <c r="R282" s="566"/>
      <c r="S282" s="584"/>
      <c r="T282" s="591"/>
      <c r="U282" s="565"/>
      <c r="V282" s="566"/>
      <c r="W282" s="566"/>
      <c r="X282" s="566"/>
      <c r="Y282" s="584"/>
      <c r="Z282" s="593"/>
      <c r="AA282" s="909">
        <v>0.25</v>
      </c>
      <c r="AB282" s="910">
        <v>0.25</v>
      </c>
      <c r="AC282" s="910">
        <v>0.25</v>
      </c>
      <c r="AD282" s="910">
        <v>0.25</v>
      </c>
      <c r="AE282" s="584"/>
      <c r="AF282" s="592"/>
      <c r="AG282" s="909">
        <v>0.25</v>
      </c>
      <c r="AH282" s="910">
        <v>0.25</v>
      </c>
      <c r="AI282" s="910">
        <v>0.25</v>
      </c>
      <c r="AJ282" s="910">
        <v>0.25</v>
      </c>
      <c r="AK282" s="584"/>
      <c r="AL282" s="592"/>
      <c r="AM282" s="909">
        <v>0.25</v>
      </c>
      <c r="AN282" s="910">
        <v>0.25</v>
      </c>
      <c r="AO282" s="910">
        <v>0.25</v>
      </c>
      <c r="AP282" s="910">
        <v>0.25</v>
      </c>
      <c r="AQ282" s="584"/>
      <c r="AR282" s="592"/>
      <c r="AS282" s="909"/>
      <c r="AT282" s="910"/>
      <c r="AU282" s="910"/>
      <c r="AV282" s="910"/>
      <c r="AW282" s="584"/>
      <c r="AX282" s="592"/>
      <c r="AY282" s="1308">
        <v>0.1</v>
      </c>
      <c r="AZ282" s="1118">
        <v>0.1</v>
      </c>
      <c r="BA282" s="1118">
        <v>0.1</v>
      </c>
      <c r="BB282" s="1118">
        <v>0.1</v>
      </c>
      <c r="BC282" s="562"/>
      <c r="BD282" s="557"/>
      <c r="BE282" s="1308">
        <v>0.2</v>
      </c>
      <c r="BF282" s="1118">
        <v>0.2</v>
      </c>
      <c r="BG282" s="1118">
        <v>0.2</v>
      </c>
      <c r="BH282" s="1118">
        <v>0.2</v>
      </c>
      <c r="BI282" s="562">
        <f>+BH282</f>
        <v>0.2</v>
      </c>
      <c r="BJ282" s="629"/>
      <c r="BK282" s="909">
        <v>0.3</v>
      </c>
      <c r="BL282" s="910">
        <v>0.3</v>
      </c>
      <c r="BM282" s="910">
        <v>0.3</v>
      </c>
      <c r="BN282" s="910">
        <v>0.3</v>
      </c>
      <c r="BO282" s="562">
        <f>+BN282</f>
        <v>0.3</v>
      </c>
      <c r="BP282" s="557"/>
      <c r="BQ282" s="909">
        <v>0.3</v>
      </c>
      <c r="BR282" s="910">
        <v>0.3</v>
      </c>
      <c r="BS282" s="910">
        <v>0.3</v>
      </c>
      <c r="BT282" s="910">
        <v>0.3</v>
      </c>
      <c r="BU282" s="562">
        <f>+BT282</f>
        <v>0.3</v>
      </c>
      <c r="BV282" s="557"/>
      <c r="BW282" s="909">
        <v>0.2</v>
      </c>
      <c r="BX282" s="910">
        <v>0.2</v>
      </c>
      <c r="BY282" s="910">
        <v>0.2</v>
      </c>
      <c r="BZ282" s="910">
        <v>0.2</v>
      </c>
      <c r="CA282" s="562">
        <f>+BZ282</f>
        <v>0.2</v>
      </c>
      <c r="CB282" s="557"/>
      <c r="CC282" s="909">
        <v>0.2</v>
      </c>
      <c r="CD282" s="910">
        <v>0.2</v>
      </c>
      <c r="CE282" s="910">
        <v>0.2</v>
      </c>
      <c r="CF282" s="910">
        <v>0.2</v>
      </c>
      <c r="CG282" s="562">
        <f>+CF282</f>
        <v>0.2</v>
      </c>
      <c r="CH282" s="557"/>
      <c r="CI282" s="909">
        <v>0.2</v>
      </c>
      <c r="CJ282" s="910">
        <v>0.2</v>
      </c>
      <c r="CK282" s="910">
        <v>0.2</v>
      </c>
      <c r="CL282" s="910">
        <v>0.2</v>
      </c>
      <c r="CM282" s="562">
        <f>+CL282</f>
        <v>0.2</v>
      </c>
      <c r="CN282" s="557"/>
      <c r="CO282" s="909">
        <v>0.2</v>
      </c>
      <c r="CP282" s="910">
        <v>0.2</v>
      </c>
      <c r="CQ282" s="910">
        <v>0.2</v>
      </c>
      <c r="CR282" s="910">
        <v>0.2</v>
      </c>
      <c r="CS282" s="562">
        <f>+CR282</f>
        <v>0.2</v>
      </c>
      <c r="CT282" s="557"/>
      <c r="CU282" s="909">
        <v>0.2</v>
      </c>
      <c r="CV282" s="910">
        <v>0.2</v>
      </c>
      <c r="CW282" s="910">
        <v>0.2</v>
      </c>
      <c r="CX282" s="910">
        <v>0.2</v>
      </c>
      <c r="CY282" s="562">
        <f>+CX282</f>
        <v>0.2</v>
      </c>
      <c r="CZ282" s="48"/>
      <c r="DA282"/>
      <c r="DB282"/>
      <c r="DC282"/>
      <c r="DD282" s="48"/>
      <c r="DE282" s="48"/>
      <c r="DF282" s="48"/>
      <c r="DG282" s="48"/>
      <c r="DH282" s="48"/>
      <c r="DI282" s="48"/>
      <c r="DJ282" s="48"/>
      <c r="DK282" s="48"/>
    </row>
    <row r="283" spans="1:115" s="5" customFormat="1" outlineLevel="1" x14ac:dyDescent="0.2">
      <c r="A283" s="205" t="s">
        <v>636</v>
      </c>
      <c r="B283" s="39"/>
      <c r="C283" s="565"/>
      <c r="D283" s="566"/>
      <c r="E283" s="566"/>
      <c r="F283" s="566"/>
      <c r="G283" s="584"/>
      <c r="H283" s="592"/>
      <c r="I283" s="565"/>
      <c r="J283" s="566"/>
      <c r="K283" s="566"/>
      <c r="L283" s="566"/>
      <c r="M283" s="584"/>
      <c r="N283" s="592"/>
      <c r="O283" s="565"/>
      <c r="P283" s="566"/>
      <c r="Q283" s="566"/>
      <c r="R283" s="566"/>
      <c r="S283" s="584"/>
      <c r="T283" s="591"/>
      <c r="U283" s="565"/>
      <c r="V283" s="566"/>
      <c r="W283" s="566"/>
      <c r="X283" s="566"/>
      <c r="Y283" s="584"/>
      <c r="Z283" s="593"/>
      <c r="AA283" s="909">
        <v>0.25</v>
      </c>
      <c r="AB283" s="910">
        <v>0.25</v>
      </c>
      <c r="AC283" s="910">
        <v>0.25</v>
      </c>
      <c r="AD283" s="910">
        <v>0.25</v>
      </c>
      <c r="AE283" s="584"/>
      <c r="AF283" s="592"/>
      <c r="AG283" s="909">
        <v>0.25</v>
      </c>
      <c r="AH283" s="910">
        <v>0.25</v>
      </c>
      <c r="AI283" s="910">
        <v>0.25</v>
      </c>
      <c r="AJ283" s="910">
        <v>0.25</v>
      </c>
      <c r="AK283" s="584"/>
      <c r="AL283" s="592"/>
      <c r="AM283" s="909">
        <v>0.25</v>
      </c>
      <c r="AN283" s="910">
        <v>0.25</v>
      </c>
      <c r="AO283" s="910">
        <v>0.25</v>
      </c>
      <c r="AP283" s="910">
        <v>0.25</v>
      </c>
      <c r="AQ283" s="584"/>
      <c r="AR283" s="592"/>
      <c r="AS283" s="909"/>
      <c r="AT283" s="910"/>
      <c r="AU283" s="910"/>
      <c r="AV283" s="910"/>
      <c r="AW283" s="584"/>
      <c r="AX283" s="592"/>
      <c r="AY283" s="1308">
        <v>0.45</v>
      </c>
      <c r="AZ283" s="1118">
        <v>0.45</v>
      </c>
      <c r="BA283" s="1118">
        <v>0.45</v>
      </c>
      <c r="BB283" s="1118">
        <v>0.45</v>
      </c>
      <c r="BC283" s="562"/>
      <c r="BD283" s="557"/>
      <c r="BE283" s="1308">
        <v>0.4</v>
      </c>
      <c r="BF283" s="1118">
        <v>0.4</v>
      </c>
      <c r="BG283" s="1118">
        <v>0.4</v>
      </c>
      <c r="BH283" s="1118">
        <v>0.4</v>
      </c>
      <c r="BI283" s="562">
        <f>+BH283</f>
        <v>0.4</v>
      </c>
      <c r="BJ283" s="629"/>
      <c r="BK283" s="909">
        <v>0.4</v>
      </c>
      <c r="BL283" s="910">
        <v>0.4</v>
      </c>
      <c r="BM283" s="910">
        <v>0.4</v>
      </c>
      <c r="BN283" s="910">
        <v>0.4</v>
      </c>
      <c r="BO283" s="562">
        <f>+BN283</f>
        <v>0.4</v>
      </c>
      <c r="BP283" s="557"/>
      <c r="BQ283" s="909">
        <v>0.4</v>
      </c>
      <c r="BR283" s="910">
        <v>0.4</v>
      </c>
      <c r="BS283" s="910">
        <v>0.4</v>
      </c>
      <c r="BT283" s="910">
        <v>0.4</v>
      </c>
      <c r="BU283" s="562">
        <f>+BT283</f>
        <v>0.4</v>
      </c>
      <c r="BV283" s="557"/>
      <c r="BW283" s="909">
        <v>0.4</v>
      </c>
      <c r="BX283" s="910">
        <v>0.4</v>
      </c>
      <c r="BY283" s="910">
        <v>0.4</v>
      </c>
      <c r="BZ283" s="910">
        <v>0.4</v>
      </c>
      <c r="CA283" s="562">
        <f>+BZ283</f>
        <v>0.4</v>
      </c>
      <c r="CB283" s="557"/>
      <c r="CC283" s="909">
        <v>0.4</v>
      </c>
      <c r="CD283" s="910">
        <v>0.4</v>
      </c>
      <c r="CE283" s="910">
        <v>0.4</v>
      </c>
      <c r="CF283" s="910">
        <v>0.4</v>
      </c>
      <c r="CG283" s="562">
        <f>+CF283</f>
        <v>0.4</v>
      </c>
      <c r="CH283" s="557"/>
      <c r="CI283" s="909">
        <v>0.4</v>
      </c>
      <c r="CJ283" s="910">
        <v>0.4</v>
      </c>
      <c r="CK283" s="910">
        <v>0.4</v>
      </c>
      <c r="CL283" s="910">
        <v>0.4</v>
      </c>
      <c r="CM283" s="562">
        <f>+CL283</f>
        <v>0.4</v>
      </c>
      <c r="CN283" s="557"/>
      <c r="CO283" s="909">
        <v>0.4</v>
      </c>
      <c r="CP283" s="910">
        <v>0.4</v>
      </c>
      <c r="CQ283" s="910">
        <v>0.4</v>
      </c>
      <c r="CR283" s="910">
        <v>0.4</v>
      </c>
      <c r="CS283" s="562">
        <f>+CR283</f>
        <v>0.4</v>
      </c>
      <c r="CT283" s="557"/>
      <c r="CU283" s="909">
        <v>0.4</v>
      </c>
      <c r="CV283" s="910">
        <v>0.4</v>
      </c>
      <c r="CW283" s="910">
        <v>0.4</v>
      </c>
      <c r="CX283" s="910">
        <v>0.4</v>
      </c>
      <c r="CY283" s="562">
        <f>+CX283</f>
        <v>0.4</v>
      </c>
      <c r="CZ283" s="48"/>
      <c r="DA283"/>
      <c r="DB283"/>
      <c r="DC283"/>
      <c r="DD283" s="48"/>
      <c r="DE283" s="48"/>
      <c r="DF283" s="48"/>
      <c r="DG283" s="48"/>
      <c r="DH283" s="48"/>
      <c r="DI283" s="48"/>
      <c r="DJ283" s="48"/>
      <c r="DK283" s="48"/>
    </row>
    <row r="284" spans="1:115" s="5" customFormat="1" outlineLevel="1" x14ac:dyDescent="0.2">
      <c r="A284" s="205" t="s">
        <v>637</v>
      </c>
      <c r="B284" s="39"/>
      <c r="C284" s="565"/>
      <c r="D284" s="566"/>
      <c r="E284" s="566"/>
      <c r="F284" s="566"/>
      <c r="G284" s="584"/>
      <c r="H284" s="592"/>
      <c r="I284" s="565"/>
      <c r="J284" s="566"/>
      <c r="K284" s="566"/>
      <c r="L284" s="566"/>
      <c r="M284" s="584"/>
      <c r="N284" s="592"/>
      <c r="O284" s="565"/>
      <c r="P284" s="566"/>
      <c r="Q284" s="566"/>
      <c r="R284" s="566"/>
      <c r="S284" s="584"/>
      <c r="T284" s="591"/>
      <c r="U284" s="565"/>
      <c r="V284" s="566"/>
      <c r="W284" s="566"/>
      <c r="X284" s="566"/>
      <c r="Y284" s="584"/>
      <c r="Z284" s="593"/>
      <c r="AA284" s="909">
        <v>0.25</v>
      </c>
      <c r="AB284" s="910">
        <v>0.25</v>
      </c>
      <c r="AC284" s="910">
        <v>0.25</v>
      </c>
      <c r="AD284" s="910">
        <v>0.25</v>
      </c>
      <c r="AE284" s="584"/>
      <c r="AF284" s="592"/>
      <c r="AG284" s="909">
        <v>0.25</v>
      </c>
      <c r="AH284" s="910">
        <v>0.25</v>
      </c>
      <c r="AI284" s="910">
        <v>0.25</v>
      </c>
      <c r="AJ284" s="910">
        <v>0.25</v>
      </c>
      <c r="AK284" s="584"/>
      <c r="AL284" s="592"/>
      <c r="AM284" s="909">
        <v>0.25</v>
      </c>
      <c r="AN284" s="910">
        <v>0.25</v>
      </c>
      <c r="AO284" s="910">
        <v>0.25</v>
      </c>
      <c r="AP284" s="910">
        <v>0.25</v>
      </c>
      <c r="AQ284" s="584"/>
      <c r="AR284" s="592"/>
      <c r="AS284" s="909"/>
      <c r="AT284" s="910"/>
      <c r="AU284" s="910"/>
      <c r="AV284" s="910"/>
      <c r="AW284" s="584"/>
      <c r="AX284" s="592"/>
      <c r="AY284" s="1308">
        <v>0.45</v>
      </c>
      <c r="AZ284" s="1118">
        <v>0.45</v>
      </c>
      <c r="BA284" s="1118">
        <v>0.45</v>
      </c>
      <c r="BB284" s="1118">
        <v>0.45</v>
      </c>
      <c r="BC284" s="562"/>
      <c r="BD284" s="557"/>
      <c r="BE284" s="1308">
        <v>0.4</v>
      </c>
      <c r="BF284" s="1118">
        <v>0.4</v>
      </c>
      <c r="BG284" s="1118">
        <v>0.4</v>
      </c>
      <c r="BH284" s="1118">
        <v>0.4</v>
      </c>
      <c r="BI284" s="562">
        <f>+BH284</f>
        <v>0.4</v>
      </c>
      <c r="BJ284" s="629"/>
      <c r="BK284" s="1308">
        <v>0.3</v>
      </c>
      <c r="BL284" s="1118">
        <v>0.3</v>
      </c>
      <c r="BM284" s="1118">
        <v>0.3</v>
      </c>
      <c r="BN284" s="1118">
        <v>0.3</v>
      </c>
      <c r="BO284" s="562">
        <f>+BN284</f>
        <v>0.3</v>
      </c>
      <c r="BP284" s="557"/>
      <c r="BQ284" s="1308">
        <v>0.3</v>
      </c>
      <c r="BR284" s="1118">
        <v>0.3</v>
      </c>
      <c r="BS284" s="1118">
        <v>0.3</v>
      </c>
      <c r="BT284" s="1118">
        <v>0.3</v>
      </c>
      <c r="BU284" s="562">
        <f>+BT284</f>
        <v>0.3</v>
      </c>
      <c r="BV284" s="557"/>
      <c r="BW284" s="1308">
        <v>0.4</v>
      </c>
      <c r="BX284" s="1118">
        <v>0.4</v>
      </c>
      <c r="BY284" s="1118">
        <v>0.4</v>
      </c>
      <c r="BZ284" s="1118">
        <v>0.4</v>
      </c>
      <c r="CA284" s="562">
        <f>+BZ284</f>
        <v>0.4</v>
      </c>
      <c r="CB284" s="557"/>
      <c r="CC284" s="1308">
        <v>0.4</v>
      </c>
      <c r="CD284" s="1118">
        <v>0.4</v>
      </c>
      <c r="CE284" s="1118">
        <v>0.4</v>
      </c>
      <c r="CF284" s="1118">
        <v>0.4</v>
      </c>
      <c r="CG284" s="562">
        <f>+CF284</f>
        <v>0.4</v>
      </c>
      <c r="CH284" s="557"/>
      <c r="CI284" s="1308">
        <v>0.4</v>
      </c>
      <c r="CJ284" s="1118">
        <v>0.4</v>
      </c>
      <c r="CK284" s="1118">
        <v>0.4</v>
      </c>
      <c r="CL284" s="1118">
        <v>0.4</v>
      </c>
      <c r="CM284" s="562">
        <f>+CL284</f>
        <v>0.4</v>
      </c>
      <c r="CN284" s="557"/>
      <c r="CO284" s="1308">
        <v>0.4</v>
      </c>
      <c r="CP284" s="1118">
        <v>0.4</v>
      </c>
      <c r="CQ284" s="1118">
        <v>0.4</v>
      </c>
      <c r="CR284" s="1118">
        <v>0.4</v>
      </c>
      <c r="CS284" s="562">
        <f>+CR284</f>
        <v>0.4</v>
      </c>
      <c r="CT284" s="557"/>
      <c r="CU284" s="1308">
        <v>0.4</v>
      </c>
      <c r="CV284" s="1118">
        <v>0.4</v>
      </c>
      <c r="CW284" s="1118">
        <v>0.4</v>
      </c>
      <c r="CX284" s="1118">
        <v>0.4</v>
      </c>
      <c r="CY284" s="562">
        <f>+CX284</f>
        <v>0.4</v>
      </c>
      <c r="CZ284" s="48"/>
      <c r="DA284"/>
      <c r="DB284"/>
      <c r="DC284"/>
      <c r="DD284" s="48"/>
      <c r="DE284" s="48"/>
      <c r="DF284" s="48"/>
      <c r="DG284" s="48"/>
      <c r="DH284" s="48"/>
      <c r="DI284" s="48"/>
      <c r="DJ284" s="48"/>
      <c r="DK284" s="48"/>
    </row>
    <row r="285" spans="1:115" s="5" customFormat="1" outlineLevel="1" x14ac:dyDescent="0.2">
      <c r="A285" s="205" t="s">
        <v>638</v>
      </c>
      <c r="B285" s="39"/>
      <c r="C285" s="565"/>
      <c r="D285" s="566"/>
      <c r="E285" s="566"/>
      <c r="F285" s="566"/>
      <c r="G285" s="584"/>
      <c r="H285" s="592"/>
      <c r="I285" s="565"/>
      <c r="J285" s="566"/>
      <c r="K285" s="566"/>
      <c r="L285" s="566"/>
      <c r="M285" s="584"/>
      <c r="N285" s="592"/>
      <c r="O285" s="565"/>
      <c r="P285" s="566"/>
      <c r="Q285" s="566"/>
      <c r="R285" s="566"/>
      <c r="S285" s="584"/>
      <c r="T285" s="591"/>
      <c r="U285" s="565"/>
      <c r="V285" s="566"/>
      <c r="W285" s="566"/>
      <c r="X285" s="566"/>
      <c r="Y285" s="584"/>
      <c r="Z285" s="593"/>
      <c r="AA285" s="909">
        <v>0.25</v>
      </c>
      <c r="AB285" s="910">
        <v>0.25</v>
      </c>
      <c r="AC285" s="910">
        <v>0.25</v>
      </c>
      <c r="AD285" s="910">
        <v>0.25</v>
      </c>
      <c r="AE285" s="584"/>
      <c r="AF285" s="592"/>
      <c r="AG285" s="909">
        <v>0.25</v>
      </c>
      <c r="AH285" s="910">
        <v>0.25</v>
      </c>
      <c r="AI285" s="910">
        <v>0.25</v>
      </c>
      <c r="AJ285" s="910">
        <v>0.25</v>
      </c>
      <c r="AK285" s="584"/>
      <c r="AL285" s="592"/>
      <c r="AM285" s="909">
        <v>0.25</v>
      </c>
      <c r="AN285" s="910">
        <v>0.25</v>
      </c>
      <c r="AO285" s="910">
        <v>0.25</v>
      </c>
      <c r="AP285" s="910">
        <v>0.25</v>
      </c>
      <c r="AQ285" s="584"/>
      <c r="AR285" s="592"/>
      <c r="AS285" s="909"/>
      <c r="AT285" s="910"/>
      <c r="AU285" s="910"/>
      <c r="AV285" s="910"/>
      <c r="AW285" s="584"/>
      <c r="AX285" s="592"/>
      <c r="AY285" s="1308">
        <v>0</v>
      </c>
      <c r="AZ285" s="1118">
        <v>0</v>
      </c>
      <c r="BA285" s="1118">
        <v>0</v>
      </c>
      <c r="BB285" s="1118">
        <v>0</v>
      </c>
      <c r="BC285" s="562"/>
      <c r="BD285" s="557"/>
      <c r="BE285" s="1308">
        <v>0</v>
      </c>
      <c r="BF285" s="1118">
        <v>0</v>
      </c>
      <c r="BG285" s="1118">
        <v>0</v>
      </c>
      <c r="BH285" s="1118">
        <v>0</v>
      </c>
      <c r="BI285" s="562">
        <f>+BH285</f>
        <v>0</v>
      </c>
      <c r="BJ285" s="629"/>
      <c r="BK285" s="909">
        <v>0</v>
      </c>
      <c r="BL285" s="910">
        <v>0</v>
      </c>
      <c r="BM285" s="910">
        <v>0</v>
      </c>
      <c r="BN285" s="910">
        <v>0</v>
      </c>
      <c r="BO285" s="562">
        <f>+BN285</f>
        <v>0</v>
      </c>
      <c r="BP285" s="557"/>
      <c r="BQ285" s="909">
        <v>0</v>
      </c>
      <c r="BR285" s="910">
        <v>0</v>
      </c>
      <c r="BS285" s="910">
        <v>0</v>
      </c>
      <c r="BT285" s="910">
        <v>0</v>
      </c>
      <c r="BU285" s="562">
        <f>+BT285</f>
        <v>0</v>
      </c>
      <c r="BV285" s="909"/>
      <c r="BW285" s="909">
        <v>0</v>
      </c>
      <c r="BX285" s="910">
        <v>0</v>
      </c>
      <c r="BY285" s="910">
        <v>0</v>
      </c>
      <c r="BZ285" s="910">
        <v>0</v>
      </c>
      <c r="CA285" s="562">
        <f>+BZ285</f>
        <v>0</v>
      </c>
      <c r="CB285" s="557"/>
      <c r="CC285" s="909">
        <v>0</v>
      </c>
      <c r="CD285" s="910">
        <v>0</v>
      </c>
      <c r="CE285" s="910">
        <v>0</v>
      </c>
      <c r="CF285" s="910">
        <v>0</v>
      </c>
      <c r="CG285" s="562">
        <f>+CF285</f>
        <v>0</v>
      </c>
      <c r="CH285" s="557"/>
      <c r="CI285" s="909">
        <v>0</v>
      </c>
      <c r="CJ285" s="910">
        <v>0</v>
      </c>
      <c r="CK285" s="910">
        <v>0</v>
      </c>
      <c r="CL285" s="910">
        <v>0</v>
      </c>
      <c r="CM285" s="562">
        <f>+CL285</f>
        <v>0</v>
      </c>
      <c r="CN285" s="557"/>
      <c r="CO285" s="909">
        <v>0</v>
      </c>
      <c r="CP285" s="910">
        <v>0</v>
      </c>
      <c r="CQ285" s="910">
        <v>0</v>
      </c>
      <c r="CR285" s="910">
        <v>0</v>
      </c>
      <c r="CS285" s="562">
        <f>+CR285</f>
        <v>0</v>
      </c>
      <c r="CT285" s="557"/>
      <c r="CU285" s="909">
        <v>0</v>
      </c>
      <c r="CV285" s="910">
        <v>0</v>
      </c>
      <c r="CW285" s="910">
        <v>0</v>
      </c>
      <c r="CX285" s="910">
        <v>0</v>
      </c>
      <c r="CY285" s="562">
        <f>+CX285</f>
        <v>0</v>
      </c>
      <c r="CZ285" s="48"/>
      <c r="DA285"/>
      <c r="DB285"/>
      <c r="DC285"/>
      <c r="DD285" s="48"/>
      <c r="DE285" s="48"/>
      <c r="DF285" s="48"/>
      <c r="DG285" s="48"/>
      <c r="DH285" s="48"/>
      <c r="DI285" s="48"/>
      <c r="DJ285" s="48"/>
      <c r="DK285" s="48"/>
    </row>
    <row r="286" spans="1:115" s="5" customFormat="1" x14ac:dyDescent="0.2">
      <c r="A286" s="354" t="s">
        <v>457</v>
      </c>
      <c r="B286" s="48"/>
      <c r="C286" s="1128"/>
      <c r="D286" s="1129"/>
      <c r="E286" s="1129"/>
      <c r="F286" s="1129"/>
      <c r="G286" s="1463"/>
      <c r="H286" s="592"/>
      <c r="I286" s="1128"/>
      <c r="J286" s="1129"/>
      <c r="K286" s="1129"/>
      <c r="L286" s="1129"/>
      <c r="M286" s="1463"/>
      <c r="N286" s="592"/>
      <c r="O286" s="1128"/>
      <c r="P286" s="1129"/>
      <c r="Q286" s="1129"/>
      <c r="R286" s="1129"/>
      <c r="S286" s="1463"/>
      <c r="T286" s="591"/>
      <c r="U286" s="1128"/>
      <c r="V286" s="1129"/>
      <c r="W286" s="1129"/>
      <c r="X286" s="1129"/>
      <c r="Y286" s="1463"/>
      <c r="Z286" s="593"/>
      <c r="AA286" s="1128"/>
      <c r="AB286" s="1129"/>
      <c r="AC286" s="1129"/>
      <c r="AD286" s="1129"/>
      <c r="AE286" s="1463"/>
      <c r="AF286" s="592"/>
      <c r="AG286" s="1128"/>
      <c r="AH286" s="1129"/>
      <c r="AI286" s="1129"/>
      <c r="AJ286" s="1129"/>
      <c r="AK286" s="1463"/>
      <c r="AL286" s="601"/>
      <c r="AM286" s="1128"/>
      <c r="AN286" s="1129"/>
      <c r="AO286" s="1129"/>
      <c r="AP286" s="1129"/>
      <c r="AQ286" s="1463"/>
      <c r="AR286" s="601"/>
      <c r="AS286" s="1131"/>
      <c r="AT286" s="1132"/>
      <c r="AU286" s="1132"/>
      <c r="AV286" s="1132"/>
      <c r="AW286" s="1117"/>
      <c r="AX286" s="592"/>
      <c r="AY286" s="1131"/>
      <c r="AZ286" s="1132"/>
      <c r="BA286" s="1132"/>
      <c r="BB286" s="1132"/>
      <c r="BC286" s="1117"/>
      <c r="BD286" s="601"/>
      <c r="BE286" s="1471">
        <v>27</v>
      </c>
      <c r="BF286" s="1472">
        <v>27</v>
      </c>
      <c r="BG286" s="1472">
        <v>27</v>
      </c>
      <c r="BH286" s="1472">
        <v>27</v>
      </c>
      <c r="BI286" s="655">
        <f>+(BI294*1000)/BI289</f>
        <v>27</v>
      </c>
      <c r="BJ286" s="601"/>
      <c r="BK286" s="19">
        <f>+BE286*(1+BK287)</f>
        <v>26.877102933038177</v>
      </c>
      <c r="BL286" s="20">
        <f>+BF286*(1+BL287)</f>
        <v>27.185043677230954</v>
      </c>
      <c r="BM286" s="20">
        <f>+BG286*(1+BM287)</f>
        <v>26.999463020095053</v>
      </c>
      <c r="BN286" s="20">
        <f>+BH286*(1+BN287)</f>
        <v>25.706824096418767</v>
      </c>
      <c r="BO286" s="655">
        <f>+(BO294*1000)/BO289</f>
        <v>26.653921959198119</v>
      </c>
      <c r="BP286" s="601"/>
      <c r="BQ286" s="19">
        <f>+BK286*(1+BQ287)</f>
        <v>26.104527120323958</v>
      </c>
      <c r="BR286" s="20">
        <f>+BL286*(1+BR287)</f>
        <v>26.245347003100523</v>
      </c>
      <c r="BS286" s="20">
        <f>+BM286*(1+BS287)</f>
        <v>25.946483962311344</v>
      </c>
      <c r="BT286" s="20">
        <f>+BN286*(1+BT287)</f>
        <v>24.858498901236945</v>
      </c>
      <c r="BU286" s="655">
        <f>+(BU294*1000)/BU289</f>
        <v>25.760159824039235</v>
      </c>
      <c r="BV286" s="601"/>
      <c r="BW286" s="19">
        <f>+BQ286*(1+BW287)</f>
        <v>25.05586570313622</v>
      </c>
      <c r="BX286" s="20">
        <f>+BR286*(1+BX287)</f>
        <v>25.846866236737007</v>
      </c>
      <c r="BY286" s="20">
        <f>+BS286*(1+BY287)</f>
        <v>25.730894820825171</v>
      </c>
      <c r="BZ286" s="20">
        <f>+BT286*(1+BZ287)</f>
        <v>24.105111626072343</v>
      </c>
      <c r="CA286" s="655">
        <f>+(CA294*1000)/CA289</f>
        <v>25.130215476395222</v>
      </c>
      <c r="CB286" s="601"/>
      <c r="CC286" s="19">
        <f>+BW286*(1+CC287)</f>
        <v>25.764189204695828</v>
      </c>
      <c r="CD286" s="20">
        <f>+BX286*(1+CD287)</f>
        <v>26.555974299323601</v>
      </c>
      <c r="CE286" s="20">
        <f>+BY286*(1+CE287)</f>
        <v>27.169921048941841</v>
      </c>
      <c r="CF286" s="20">
        <f>+BZ286*(1+CF287)</f>
        <v>25.876442555661207</v>
      </c>
      <c r="CG286" s="655">
        <f>+(CG294*1000)/CG289</f>
        <v>26.336882339504765</v>
      </c>
      <c r="CH286" s="601"/>
      <c r="CI286" s="19">
        <f>+CC286*(1+CI287)</f>
        <v>27.052398664930621</v>
      </c>
      <c r="CJ286" s="20">
        <f>+CD286*(1+CJ287)</f>
        <v>27.750993142793163</v>
      </c>
      <c r="CK286" s="20">
        <f>+CE286*(1+CK287)</f>
        <v>27.849169075165385</v>
      </c>
      <c r="CL286" s="20">
        <f>+CF286*(1+CL287)</f>
        <v>26.39397140677443</v>
      </c>
      <c r="CM286" s="655">
        <f>+(CM294*1000)/CM289</f>
        <v>27.237868635761501</v>
      </c>
      <c r="CN286" s="601"/>
      <c r="CO286" s="19">
        <f>+CI286*(1+CO287)</f>
        <v>27.052398664930621</v>
      </c>
      <c r="CP286" s="20">
        <f>+CJ286*(1+CP287)</f>
        <v>27.750993142793163</v>
      </c>
      <c r="CQ286" s="20">
        <f>+CK286*(1+CQ287)</f>
        <v>27.849169075165385</v>
      </c>
      <c r="CR286" s="20">
        <f>+CL286*(1+CR287)</f>
        <v>26.39397140677443</v>
      </c>
      <c r="CS286" s="655">
        <f>+(CS294*1000)/CS289</f>
        <v>27.276715300356535</v>
      </c>
      <c r="CT286" s="601"/>
      <c r="CU286" s="19">
        <f>+CO286*(1+CU287)</f>
        <v>27.052398664930621</v>
      </c>
      <c r="CV286" s="20">
        <f>+CP286*(1+CV287)</f>
        <v>27.750993142793163</v>
      </c>
      <c r="CW286" s="20">
        <f>+CQ286*(1+CW287)</f>
        <v>27.849169075165385</v>
      </c>
      <c r="CX286" s="20">
        <f>+CR286*(1+CX287)</f>
        <v>26.39397140677443</v>
      </c>
      <c r="CY286" s="655">
        <f>+(CY294*1000)/CY289</f>
        <v>27.263520560215856</v>
      </c>
      <c r="CZ286" s="48"/>
      <c r="DA286"/>
      <c r="DB286"/>
      <c r="DC286"/>
      <c r="DD286" s="48"/>
      <c r="DE286" s="48"/>
      <c r="DF286" s="48"/>
      <c r="DG286" s="48"/>
      <c r="DH286" s="48"/>
      <c r="DI286" s="48"/>
      <c r="DJ286" s="48"/>
      <c r="DK286" s="48"/>
    </row>
    <row r="287" spans="1:115" s="5" customFormat="1" x14ac:dyDescent="0.2">
      <c r="A287" s="1139" t="s">
        <v>639</v>
      </c>
      <c r="B287" s="48"/>
      <c r="C287" s="1128"/>
      <c r="D287" s="1129"/>
      <c r="E287" s="1129"/>
      <c r="F287" s="1129"/>
      <c r="G287" s="1463"/>
      <c r="H287" s="592"/>
      <c r="I287" s="1128"/>
      <c r="J287" s="1129"/>
      <c r="K287" s="1129"/>
      <c r="L287" s="1129"/>
      <c r="M287" s="1463"/>
      <c r="N287" s="592"/>
      <c r="O287" s="1128"/>
      <c r="P287" s="1129"/>
      <c r="Q287" s="1129"/>
      <c r="R287" s="1129"/>
      <c r="S287" s="1463"/>
      <c r="T287" s="591"/>
      <c r="U287" s="1128"/>
      <c r="V287" s="1129"/>
      <c r="W287" s="1129"/>
      <c r="X287" s="1129"/>
      <c r="Y287" s="1463"/>
      <c r="Z287" s="593"/>
      <c r="AA287" s="1128"/>
      <c r="AB287" s="1129"/>
      <c r="AC287" s="1129"/>
      <c r="AD287" s="1129"/>
      <c r="AE287" s="1463"/>
      <c r="AF287" s="592"/>
      <c r="AG287" s="1128"/>
      <c r="AH287" s="1129"/>
      <c r="AI287" s="1129"/>
      <c r="AJ287" s="1129"/>
      <c r="AK287" s="1463"/>
      <c r="AL287" s="601"/>
      <c r="AM287" s="1128"/>
      <c r="AN287" s="1129"/>
      <c r="AO287" s="1129"/>
      <c r="AP287" s="1129"/>
      <c r="AQ287" s="1463"/>
      <c r="AR287" s="601"/>
      <c r="AS287" s="1131"/>
      <c r="AT287" s="1132"/>
      <c r="AU287" s="1132"/>
      <c r="AV287" s="1132"/>
      <c r="AW287" s="1117"/>
      <c r="AX287" s="592"/>
      <c r="AY287" s="1131"/>
      <c r="AZ287" s="1132"/>
      <c r="BA287" s="1132"/>
      <c r="BB287" s="1132"/>
      <c r="BC287" s="1117"/>
      <c r="BD287" s="601"/>
      <c r="BE287" s="1109">
        <f>+BE288+RevBuild!BE$59</f>
        <v>-5.8654890662636905E-3</v>
      </c>
      <c r="BF287" s="1110">
        <f>+BF288+RevBuild!BF$59</f>
        <v>-5.660567749418699E-5</v>
      </c>
      <c r="BG287" s="1110">
        <f>+BG288+RevBuild!BG$59</f>
        <v>-5.8438852538213321E-3</v>
      </c>
      <c r="BH287" s="1110">
        <f>+BH288+RevBuild!BH$59</f>
        <v>-3.6752738563822912E-3</v>
      </c>
      <c r="BI287" s="1106" t="s">
        <v>429</v>
      </c>
      <c r="BJ287" s="601"/>
      <c r="BK287" s="1109">
        <f>+BK288+RevBuild!BK$59</f>
        <v>-4.5517432208081604E-3</v>
      </c>
      <c r="BL287" s="1110">
        <f>+BL288+RevBuild!BL$59</f>
        <v>6.8534695270723658E-3</v>
      </c>
      <c r="BM287" s="1110">
        <f>+BM288+RevBuild!BM$59</f>
        <v>-1.9888144627576432E-5</v>
      </c>
      <c r="BN287" s="1110">
        <f>+BN288+RevBuild!BN$59</f>
        <v>-4.7895403836341902E-2</v>
      </c>
      <c r="BO287" s="1117">
        <f>+BO286/BI286-1</f>
        <v>-1.2817705214884456E-2</v>
      </c>
      <c r="BP287" s="601"/>
      <c r="BQ287" s="1109">
        <f>+BQ288+RevBuild!BQ$59</f>
        <v>-2.8744757745617938E-2</v>
      </c>
      <c r="BR287" s="1110">
        <f>+BR288+RevBuild!BR$59</f>
        <v>-3.4566678843245033E-2</v>
      </c>
      <c r="BS287" s="1110">
        <f>+BS288+RevBuild!BS$59</f>
        <v>-3.8999999999999993E-2</v>
      </c>
      <c r="BT287" s="1110">
        <f>+BT288+RevBuild!BT$59</f>
        <v>-3.3000000000000002E-2</v>
      </c>
      <c r="BU287" s="1117">
        <f>+BU286/BO286-1</f>
        <v>-3.3532105951501467E-2</v>
      </c>
      <c r="BV287" s="601"/>
      <c r="BW287" s="1109">
        <f>+BW288+RevBuild!BW$59</f>
        <v>-4.0171630474443241E-2</v>
      </c>
      <c r="BX287" s="1110">
        <f>+BX288+RevBuild!BX$59</f>
        <v>-1.5182910948612738E-2</v>
      </c>
      <c r="BY287" s="1110">
        <f>+BY288+RevBuild!BY$59</f>
        <v>-8.3089925324498076E-3</v>
      </c>
      <c r="BZ287" s="1110">
        <f>+BZ288+RevBuild!BZ$59</f>
        <v>-3.0307030129124765E-2</v>
      </c>
      <c r="CA287" s="1117">
        <f>+CA286/BU286-1</f>
        <v>-2.4454209599124921E-2</v>
      </c>
      <c r="CB287" s="601"/>
      <c r="CC287" s="1109">
        <f>+CC288+RevBuild!CC$59</f>
        <v>2.8269767644505957E-2</v>
      </c>
      <c r="CD287" s="1110">
        <f>+CD288+RevBuild!CD$59</f>
        <v>2.743497242921912E-2</v>
      </c>
      <c r="CE287" s="1110">
        <f>+CE288+RevBuild!CE$59</f>
        <v>5.5926007942483272E-2</v>
      </c>
      <c r="CF287" s="1110">
        <f>+CF288+RevBuild!CF$59</f>
        <v>7.3483622771237225E-2</v>
      </c>
      <c r="CG287" s="1117">
        <f>+CG286/CA286-1</f>
        <v>4.8016574479552876E-2</v>
      </c>
      <c r="CH287" s="601"/>
      <c r="CI287" s="1109">
        <f>+CI288+RevBuild!CI$59</f>
        <v>0.05</v>
      </c>
      <c r="CJ287" s="1110">
        <f>+CJ288+RevBuild!CJ$59</f>
        <v>4.4999999999999998E-2</v>
      </c>
      <c r="CK287" s="1110">
        <f>+CK288+RevBuild!CK$59</f>
        <v>2.5000000000000001E-2</v>
      </c>
      <c r="CL287" s="1110">
        <f>+CL288+RevBuild!CL$59</f>
        <v>0.02</v>
      </c>
      <c r="CM287" s="1117">
        <f>+CM286/CG286-1</f>
        <v>3.4210058906831042E-2</v>
      </c>
      <c r="CN287" s="601"/>
      <c r="CO287" s="1109">
        <f>+CO288+RevBuild!CO$59</f>
        <v>0</v>
      </c>
      <c r="CP287" s="1110">
        <f>+CP288+RevBuild!CP$59</f>
        <v>0</v>
      </c>
      <c r="CQ287" s="1110">
        <f>+CQ288+RevBuild!CQ$59</f>
        <v>0</v>
      </c>
      <c r="CR287" s="1110">
        <f>+CR288+RevBuild!CR$59</f>
        <v>0</v>
      </c>
      <c r="CS287" s="1117">
        <f>+CS286/CM286-1</f>
        <v>1.4262006001464211E-3</v>
      </c>
      <c r="CT287" s="601"/>
      <c r="CU287" s="1109">
        <f>+CU288+RevBuild!CU$59</f>
        <v>0</v>
      </c>
      <c r="CV287" s="1110">
        <f>+CV288+RevBuild!CV$59</f>
        <v>0</v>
      </c>
      <c r="CW287" s="1110">
        <f>+CW288+RevBuild!CW$59</f>
        <v>0</v>
      </c>
      <c r="CX287" s="1110">
        <f>+CX288+RevBuild!CX$59</f>
        <v>0</v>
      </c>
      <c r="CY287" s="1117">
        <f>+CY286/CS286-1</f>
        <v>-4.8373640283982944E-4</v>
      </c>
      <c r="CZ287" s="48"/>
      <c r="DA287"/>
      <c r="DB287"/>
      <c r="DC287"/>
      <c r="DD287" s="48"/>
      <c r="DE287" s="48"/>
      <c r="DF287" s="48"/>
      <c r="DG287" s="48"/>
      <c r="DH287" s="48"/>
      <c r="DI287" s="48"/>
      <c r="DJ287" s="48"/>
      <c r="DK287" s="48"/>
    </row>
    <row r="288" spans="1:115" s="5" customFormat="1" x14ac:dyDescent="0.2">
      <c r="A288" s="1139" t="s">
        <v>227</v>
      </c>
      <c r="B288" s="48"/>
      <c r="C288" s="1128"/>
      <c r="D288" s="1129"/>
      <c r="E288" s="1129"/>
      <c r="F288" s="1129"/>
      <c r="G288" s="1463"/>
      <c r="H288" s="592"/>
      <c r="I288" s="1128"/>
      <c r="J288" s="1129"/>
      <c r="K288" s="1129"/>
      <c r="L288" s="1129"/>
      <c r="M288" s="1463"/>
      <c r="N288" s="592"/>
      <c r="O288" s="1128"/>
      <c r="P288" s="1129"/>
      <c r="Q288" s="1129"/>
      <c r="R288" s="1129"/>
      <c r="S288" s="1463"/>
      <c r="T288" s="591"/>
      <c r="U288" s="1128"/>
      <c r="V288" s="1129"/>
      <c r="W288" s="1129"/>
      <c r="X288" s="1129"/>
      <c r="Y288" s="1463"/>
      <c r="Z288" s="593"/>
      <c r="AA288" s="1128"/>
      <c r="AB288" s="1129"/>
      <c r="AC288" s="1129"/>
      <c r="AD288" s="1129"/>
      <c r="AE288" s="1463"/>
      <c r="AF288" s="592"/>
      <c r="AG288" s="1128"/>
      <c r="AH288" s="1129"/>
      <c r="AI288" s="1129"/>
      <c r="AJ288" s="1129"/>
      <c r="AK288" s="1463"/>
      <c r="AL288" s="601"/>
      <c r="AM288" s="1128"/>
      <c r="AN288" s="1129"/>
      <c r="AO288" s="1129"/>
      <c r="AP288" s="1129"/>
      <c r="AQ288" s="1463"/>
      <c r="AR288" s="601"/>
      <c r="AS288" s="1131"/>
      <c r="AT288" s="1132"/>
      <c r="AU288" s="1132"/>
      <c r="AV288" s="1132"/>
      <c r="AW288" s="1117"/>
      <c r="AX288" s="592"/>
      <c r="AY288" s="1131"/>
      <c r="AZ288" s="1132"/>
      <c r="BA288" s="1132"/>
      <c r="BB288" s="1132"/>
      <c r="BC288" s="1117"/>
      <c r="BD288" s="601"/>
      <c r="BE288" s="909">
        <v>0</v>
      </c>
      <c r="BF288" s="910">
        <v>0</v>
      </c>
      <c r="BG288" s="910">
        <v>0</v>
      </c>
      <c r="BH288" s="910">
        <v>0</v>
      </c>
      <c r="BI288" s="1106" t="s">
        <v>429</v>
      </c>
      <c r="BJ288" s="601"/>
      <c r="BK288" s="909">
        <v>0</v>
      </c>
      <c r="BL288" s="910">
        <v>0</v>
      </c>
      <c r="BM288" s="910">
        <v>0</v>
      </c>
      <c r="BN288" s="910">
        <v>0</v>
      </c>
      <c r="BO288" s="1228">
        <f>+BO287-RevBuild!BO$59</f>
        <v>-3.2781211415952374E-3</v>
      </c>
      <c r="BP288" s="601"/>
      <c r="BQ288" s="909">
        <v>0.05</v>
      </c>
      <c r="BR288" s="910">
        <v>0.05</v>
      </c>
      <c r="BS288" s="910">
        <v>0.05</v>
      </c>
      <c r="BT288" s="910">
        <v>0.03</v>
      </c>
      <c r="BU288" s="1228">
        <f>+BU287-RevBuild!BU$59</f>
        <v>4.6717894048498423E-2</v>
      </c>
      <c r="BV288" s="601"/>
      <c r="BW288" s="909">
        <v>-0.02</v>
      </c>
      <c r="BX288" s="910">
        <v>0</v>
      </c>
      <c r="BY288" s="910">
        <v>0</v>
      </c>
      <c r="BZ288" s="910">
        <v>0</v>
      </c>
      <c r="CA288" s="1228">
        <f>+CA287-RevBuild!CA$59</f>
        <v>-5.7431283547736967E-3</v>
      </c>
      <c r="CB288" s="601"/>
      <c r="CC288" s="909">
        <v>0.05</v>
      </c>
      <c r="CD288" s="910">
        <v>0.05</v>
      </c>
      <c r="CE288" s="910">
        <v>0.05</v>
      </c>
      <c r="CF288" s="910">
        <v>0.05</v>
      </c>
      <c r="CG288" s="1228">
        <f>+CG287-RevBuild!CG$59</f>
        <v>5.1737981782691483E-2</v>
      </c>
      <c r="CH288" s="601"/>
      <c r="CI288" s="909">
        <v>0</v>
      </c>
      <c r="CJ288" s="910">
        <v>0</v>
      </c>
      <c r="CK288" s="910">
        <v>0</v>
      </c>
      <c r="CL288" s="910">
        <v>0</v>
      </c>
      <c r="CM288" s="1228">
        <f>+CM287-RevBuild!CM$59</f>
        <v>-7.8994109316895406E-4</v>
      </c>
      <c r="CN288" s="601"/>
      <c r="CO288" s="909">
        <v>0</v>
      </c>
      <c r="CP288" s="910">
        <v>0</v>
      </c>
      <c r="CQ288" s="910">
        <v>0</v>
      </c>
      <c r="CR288" s="910">
        <v>0</v>
      </c>
      <c r="CS288" s="1228">
        <f>+CS287-RevBuild!CS$59</f>
        <v>1.4262006001464211E-3</v>
      </c>
      <c r="CT288" s="601"/>
      <c r="CU288" s="909">
        <v>0</v>
      </c>
      <c r="CV288" s="910">
        <v>0</v>
      </c>
      <c r="CW288" s="910">
        <v>0</v>
      </c>
      <c r="CX288" s="910">
        <v>0</v>
      </c>
      <c r="CY288" s="1228">
        <f>+CY287-RevBuild!CY$59</f>
        <v>-4.8373640283982944E-4</v>
      </c>
      <c r="CZ288" s="48"/>
      <c r="DA288"/>
      <c r="DB288"/>
      <c r="DC288"/>
      <c r="DD288" s="48"/>
      <c r="DE288" s="48"/>
      <c r="DF288" s="48"/>
      <c r="DG288" s="48"/>
      <c r="DH288" s="48"/>
      <c r="DI288" s="48"/>
      <c r="DJ288" s="48"/>
      <c r="DK288" s="48"/>
    </row>
    <row r="289" spans="1:115" s="5" customFormat="1" x14ac:dyDescent="0.2">
      <c r="A289" s="354" t="s">
        <v>458</v>
      </c>
      <c r="B289" s="48"/>
      <c r="C289" s="1128"/>
      <c r="D289" s="1129"/>
      <c r="E289" s="1129"/>
      <c r="F289" s="1129"/>
      <c r="G289" s="1463"/>
      <c r="H289" s="592"/>
      <c r="I289" s="1128"/>
      <c r="J289" s="1129"/>
      <c r="K289" s="1129"/>
      <c r="L289" s="1129"/>
      <c r="M289" s="1463"/>
      <c r="N289" s="592"/>
      <c r="O289" s="1128"/>
      <c r="P289" s="1129"/>
      <c r="Q289" s="1129"/>
      <c r="R289" s="1129"/>
      <c r="S289" s="1463"/>
      <c r="T289" s="591"/>
      <c r="U289" s="1128"/>
      <c r="V289" s="1129"/>
      <c r="W289" s="1129"/>
      <c r="X289" s="1129"/>
      <c r="Y289" s="1463"/>
      <c r="Z289" s="593"/>
      <c r="AA289" s="1128"/>
      <c r="AB289" s="1129"/>
      <c r="AC289" s="1129"/>
      <c r="AD289" s="1129"/>
      <c r="AE289" s="1463"/>
      <c r="AF289" s="592"/>
      <c r="AG289" s="1128"/>
      <c r="AH289" s="1129"/>
      <c r="AI289" s="1129"/>
      <c r="AJ289" s="1129"/>
      <c r="AK289" s="1463"/>
      <c r="AL289" s="601"/>
      <c r="AM289" s="1128"/>
      <c r="AN289" s="1129"/>
      <c r="AO289" s="1129"/>
      <c r="AP289" s="1129"/>
      <c r="AQ289" s="1463"/>
      <c r="AR289" s="601"/>
      <c r="AS289" s="1131"/>
      <c r="AT289" s="1132"/>
      <c r="AU289" s="1132"/>
      <c r="AV289" s="1132"/>
      <c r="AW289" s="1117"/>
      <c r="AX289" s="592"/>
      <c r="AY289" s="1131"/>
      <c r="AZ289" s="1132"/>
      <c r="BA289" s="1132"/>
      <c r="BB289" s="1132"/>
      <c r="BC289" s="1117"/>
      <c r="BD289" s="601"/>
      <c r="BE289" s="1128">
        <f>+(BE296*1000000)/(BE286*1000)</f>
        <v>80.687456790123449</v>
      </c>
      <c r="BF289" s="1129">
        <f>+(BF296*1000000)/(BF286*1000)</f>
        <v>80.687456790123449</v>
      </c>
      <c r="BG289" s="1129">
        <f>+(BG296*1000000)/(BG286*1000)</f>
        <v>80.687456790123449</v>
      </c>
      <c r="BH289" s="1129">
        <f>+(BH296*1000000)/(BH286*1000)</f>
        <v>96.62977777777779</v>
      </c>
      <c r="BI289" s="1457">
        <f>+SUM(BE289:BH289)</f>
        <v>338.69214814814814</v>
      </c>
      <c r="BJ289" s="601"/>
      <c r="BK289" s="1128">
        <f>+(BK296*1000000)/(BK286*1000)</f>
        <v>134.27801385407872</v>
      </c>
      <c r="BL289" s="1129">
        <f>+(BL296*1000000)/(BL286*1000)</f>
        <v>132.75696897344881</v>
      </c>
      <c r="BM289" s="1129">
        <f>+(BM296*1000000)/(BM286*1000)</f>
        <v>133.66947325263118</v>
      </c>
      <c r="BN289" s="1129">
        <f>+(BN296*1000000)/(BN286*1000)</f>
        <v>154.85907497047</v>
      </c>
      <c r="BO289" s="1457">
        <f>+SUM(BK289:BN289)</f>
        <v>555.56353105062874</v>
      </c>
      <c r="BP289" s="601"/>
      <c r="BQ289" s="1128">
        <f>+(BQ296*1000000)/(BQ286*1000)</f>
        <v>171.65355952804521</v>
      </c>
      <c r="BR289" s="1129">
        <f>+(BR296*1000000)/(BR286*1000)</f>
        <v>219.09437887487991</v>
      </c>
      <c r="BS289" s="1129">
        <f>+(BS296*1000000)/(BS286*1000)</f>
        <v>221.61800451854998</v>
      </c>
      <c r="BT289" s="1129">
        <f>+(BT290*BT291)+(BT292*BT293)</f>
        <v>229.25074639132472</v>
      </c>
      <c r="BU289" s="1457">
        <f>+SUM(BQ289:BT289)</f>
        <v>841.61668931279985</v>
      </c>
      <c r="BV289" s="601"/>
      <c r="BW289" s="1128">
        <f>+(BW290*BW291)+(BW292*BW293)</f>
        <v>212.29998065572539</v>
      </c>
      <c r="BX289" s="1129">
        <f>+(BX290*BX291)+(BX292*BX293)</f>
        <v>242.04041411480145</v>
      </c>
      <c r="BY289" s="1129">
        <f>+(BY290*BY291)+(BY292*BY293)</f>
        <v>272.41079502695737</v>
      </c>
      <c r="BZ289" s="1129">
        <f>+(BZ290*BZ291)+(BZ292*BZ293)</f>
        <v>313.43705230977901</v>
      </c>
      <c r="CA289" s="1457">
        <f>+SUM(BW289:BZ289)</f>
        <v>1040.1882421072632</v>
      </c>
      <c r="CB289" s="601"/>
      <c r="CC289" s="1128">
        <f>+(CC290*CC291)+(CC292*CC293)</f>
        <v>253.12492198261845</v>
      </c>
      <c r="CD289" s="1129">
        <f>+(CD290*CD291)+(CD292*CD293)</f>
        <v>281.75138952478306</v>
      </c>
      <c r="CE289" s="1129">
        <f>+(CE290*CE291)+(CE292*CE293)</f>
        <v>255.35146773236221</v>
      </c>
      <c r="CF289" s="1129">
        <f>+(CF290*CF291)+(CF292*CF293)</f>
        <v>281.21856694468062</v>
      </c>
      <c r="CG289" s="1457">
        <f>+SUM(CC289:CF289)</f>
        <v>1071.4463461844443</v>
      </c>
      <c r="CH289" s="601"/>
      <c r="CI289" s="1128">
        <f>+(CI290*CI291)+(CI292*CI293)</f>
        <v>249.74474293806713</v>
      </c>
      <c r="CJ289" s="1129">
        <f>+(CJ290*CJ291)+(CJ292*CJ293)</f>
        <v>289.25095326809878</v>
      </c>
      <c r="CK289" s="1129">
        <f>+(CK290*CK291)+(CK292*CK293)</f>
        <v>300.35014871352723</v>
      </c>
      <c r="CL289" s="1129">
        <f>+(CL290*CL291)+(CL292*CL293)</f>
        <v>338.55518265271803</v>
      </c>
      <c r="CM289" s="1457">
        <f>+SUM(CI289:CL289)</f>
        <v>1177.9010275724113</v>
      </c>
      <c r="CN289" s="601"/>
      <c r="CO289" s="1128">
        <f>+(CO290*CO291)+(CO292*CO293)</f>
        <v>463.970039356028</v>
      </c>
      <c r="CP289" s="1129">
        <f>+(CP290*CP291)+(CP292*CP293)</f>
        <v>423.41203751905243</v>
      </c>
      <c r="CQ289" s="1129">
        <f>+(CQ290*CQ291)+(CQ292*CQ293)</f>
        <v>432.95368543671987</v>
      </c>
      <c r="CR289" s="1129">
        <f>+(CR290*CR291)+(CR292*CR293)</f>
        <v>390.35639158806146</v>
      </c>
      <c r="CS289" s="1457">
        <f>+SUM(CO289:CR289)</f>
        <v>1710.6921538998618</v>
      </c>
      <c r="CT289" s="601"/>
      <c r="CU289" s="1128">
        <f>+(CU290*CU291)+(CU292*CU293)</f>
        <v>627.36568101945716</v>
      </c>
      <c r="CV289" s="1129">
        <f>+(CV290*CV291)+(CV292*CV293)</f>
        <v>616.6224985742399</v>
      </c>
      <c r="CW289" s="1129">
        <f>+(CW290*CW291)+(CW292*CW293)</f>
        <v>625.14003626335034</v>
      </c>
      <c r="CX289" s="1129">
        <f>+(CX290*CX291)+(CX292*CX293)</f>
        <v>614.3968538181332</v>
      </c>
      <c r="CY289" s="1457">
        <f>+SUM(CU289:CX289)</f>
        <v>2483.5250696751809</v>
      </c>
      <c r="CZ289" s="48"/>
      <c r="DA289"/>
      <c r="DB289"/>
      <c r="DC289"/>
      <c r="DD289" s="48"/>
      <c r="DE289" s="48"/>
      <c r="DF289" s="48"/>
      <c r="DG289" s="48"/>
      <c r="DH289" s="48"/>
      <c r="DI289" s="48"/>
      <c r="DJ289" s="48"/>
      <c r="DK289" s="48"/>
    </row>
    <row r="290" spans="1:115" s="5" customFormat="1" x14ac:dyDescent="0.2">
      <c r="A290" s="354" t="s">
        <v>558</v>
      </c>
      <c r="B290" s="48"/>
      <c r="C290" s="1128"/>
      <c r="D290" s="1129"/>
      <c r="E290" s="1129"/>
      <c r="F290" s="1129"/>
      <c r="G290" s="1463"/>
      <c r="H290" s="592"/>
      <c r="I290" s="1128"/>
      <c r="J290" s="1129"/>
      <c r="K290" s="1129"/>
      <c r="L290" s="1129"/>
      <c r="M290" s="1463"/>
      <c r="N290" s="592"/>
      <c r="O290" s="1128"/>
      <c r="P290" s="1129"/>
      <c r="Q290" s="1129"/>
      <c r="R290" s="1129"/>
      <c r="S290" s="1463"/>
      <c r="T290" s="591"/>
      <c r="U290" s="1128"/>
      <c r="V290" s="1129"/>
      <c r="W290" s="1129"/>
      <c r="X290" s="1129"/>
      <c r="Y290" s="1463"/>
      <c r="Z290" s="593"/>
      <c r="AA290" s="1128"/>
      <c r="AB290" s="1129"/>
      <c r="AC290" s="1129"/>
      <c r="AD290" s="1129"/>
      <c r="AE290" s="1463"/>
      <c r="AF290" s="592"/>
      <c r="AG290" s="1128"/>
      <c r="AH290" s="1129"/>
      <c r="AI290" s="1129"/>
      <c r="AJ290" s="1129"/>
      <c r="AK290" s="1463"/>
      <c r="AL290" s="601"/>
      <c r="AM290" s="1128"/>
      <c r="AN290" s="1129"/>
      <c r="AO290" s="1129"/>
      <c r="AP290" s="1129"/>
      <c r="AQ290" s="1463"/>
      <c r="AR290" s="601"/>
      <c r="AS290" s="1131"/>
      <c r="AT290" s="1132"/>
      <c r="AU290" s="1132"/>
      <c r="AV290" s="1132"/>
      <c r="AW290" s="1117"/>
      <c r="AX290" s="592"/>
      <c r="AY290" s="1131"/>
      <c r="AZ290" s="1132"/>
      <c r="BA290" s="1132"/>
      <c r="BB290" s="1132"/>
      <c r="BC290" s="1117"/>
      <c r="BD290" s="48"/>
      <c r="BE290" s="1211">
        <v>0</v>
      </c>
      <c r="BF290" s="1212">
        <v>0</v>
      </c>
      <c r="BG290" s="1212">
        <v>0</v>
      </c>
      <c r="BH290" s="1212">
        <v>0</v>
      </c>
      <c r="BI290" s="1457">
        <f>+SUM(BE290:BH290)</f>
        <v>0</v>
      </c>
      <c r="BJ290" s="48"/>
      <c r="BK290" s="1211">
        <v>8.3534801638852088</v>
      </c>
      <c r="BL290" s="1212">
        <v>9.8276237222178935</v>
      </c>
      <c r="BM290" s="1212">
        <v>9.8276237222178935</v>
      </c>
      <c r="BN290" s="1212">
        <v>11.301767280550575</v>
      </c>
      <c r="BO290" s="1457">
        <f>+SUM(BK290:BN290)</f>
        <v>39.310494888871574</v>
      </c>
      <c r="BP290" s="48"/>
      <c r="BQ290" s="1211">
        <v>12.703456367598509</v>
      </c>
      <c r="BR290" s="1212">
        <v>14.945242785410011</v>
      </c>
      <c r="BS290" s="1212">
        <v>14.945242785410011</v>
      </c>
      <c r="BT290" s="1212">
        <v>17.187029203221513</v>
      </c>
      <c r="BU290" s="1457">
        <f>+SUM(BQ290:BT290)</f>
        <v>59.780971141640045</v>
      </c>
      <c r="BV290" s="48"/>
      <c r="BW290" s="1211">
        <v>21.188015967293232</v>
      </c>
      <c r="BX290" s="1212">
        <v>41.990784245748202</v>
      </c>
      <c r="BY290" s="1212">
        <v>41.990784245748202</v>
      </c>
      <c r="BZ290" s="1212">
        <v>63.302536987079669</v>
      </c>
      <c r="CA290" s="1457">
        <f>+SUM(BW290:BZ290)</f>
        <v>168.47212144586931</v>
      </c>
      <c r="CB290" s="48"/>
      <c r="CC290" s="1211">
        <v>57.001102623567874</v>
      </c>
      <c r="CD290" s="1212">
        <v>81.141617749742508</v>
      </c>
      <c r="CE290" s="1212">
        <v>81.141617749742508</v>
      </c>
      <c r="CF290" s="1212">
        <v>105.28213287591716</v>
      </c>
      <c r="CG290" s="1457">
        <f>+SUM(CC290:CF290)</f>
        <v>324.56647099897009</v>
      </c>
      <c r="CH290" s="48"/>
      <c r="CI290" s="1211">
        <v>117.36897577127942</v>
      </c>
      <c r="CJ290" s="1212">
        <v>171.58065275880412</v>
      </c>
      <c r="CK290" s="1212">
        <v>171.58065275880412</v>
      </c>
      <c r="CL290" s="1212">
        <v>225.79232974632879</v>
      </c>
      <c r="CM290" s="1457">
        <f>+SUM(CI290:CL290)</f>
        <v>686.32261103521637</v>
      </c>
      <c r="CN290" s="48"/>
      <c r="CO290" s="1211">
        <v>455.70595897453336</v>
      </c>
      <c r="CP290" s="1212">
        <v>351.42807544188179</v>
      </c>
      <c r="CQ290" s="1212">
        <v>351.42807544188179</v>
      </c>
      <c r="CR290" s="1212">
        <v>247.15019190923027</v>
      </c>
      <c r="CS290" s="1457">
        <f>+SUM(CO290:CR290)</f>
        <v>1405.7123017675272</v>
      </c>
      <c r="CT290" s="48"/>
      <c r="CU290" s="1211">
        <v>703.04659188524454</v>
      </c>
      <c r="CV290" s="1212">
        <v>664.52515161658914</v>
      </c>
      <c r="CW290" s="1212">
        <v>664.52515161658914</v>
      </c>
      <c r="CX290" s="1212">
        <v>626.00371134793374</v>
      </c>
      <c r="CY290" s="1457">
        <f>+SUM(CU290:CX290)</f>
        <v>2658.1006064663566</v>
      </c>
      <c r="CZ290" s="48"/>
      <c r="DA290"/>
      <c r="DB290"/>
      <c r="DC290"/>
      <c r="DD290" s="48"/>
      <c r="DE290" s="48"/>
      <c r="DF290" s="48"/>
      <c r="DG290" s="48"/>
      <c r="DH290" s="48"/>
      <c r="DI290" s="48"/>
      <c r="DJ290" s="48"/>
      <c r="DK290" s="48"/>
    </row>
    <row r="291" spans="1:115" s="5" customFormat="1" x14ac:dyDescent="0.2">
      <c r="A291" s="1139" t="s">
        <v>557</v>
      </c>
      <c r="B291" s="48"/>
      <c r="C291" s="1128"/>
      <c r="D291" s="1129"/>
      <c r="E291" s="1129"/>
      <c r="F291" s="1129"/>
      <c r="G291" s="1463"/>
      <c r="H291" s="592"/>
      <c r="I291" s="1128"/>
      <c r="J291" s="1129"/>
      <c r="K291" s="1129"/>
      <c r="L291" s="1129"/>
      <c r="M291" s="1463"/>
      <c r="N291" s="592"/>
      <c r="O291" s="1128"/>
      <c r="P291" s="1129"/>
      <c r="Q291" s="1129"/>
      <c r="R291" s="1129"/>
      <c r="S291" s="1463"/>
      <c r="T291" s="591"/>
      <c r="U291" s="1128"/>
      <c r="V291" s="1129"/>
      <c r="W291" s="1129"/>
      <c r="X291" s="1129"/>
      <c r="Y291" s="1463"/>
      <c r="Z291" s="593"/>
      <c r="AA291" s="1128"/>
      <c r="AB291" s="1129"/>
      <c r="AC291" s="1129"/>
      <c r="AD291" s="1129"/>
      <c r="AE291" s="1463"/>
      <c r="AF291" s="592"/>
      <c r="AG291" s="1128"/>
      <c r="AH291" s="1129"/>
      <c r="AI291" s="1129"/>
      <c r="AJ291" s="1129"/>
      <c r="AK291" s="1463"/>
      <c r="AL291" s="601"/>
      <c r="AM291" s="1128"/>
      <c r="AN291" s="1129"/>
      <c r="AO291" s="1129"/>
      <c r="AP291" s="1129"/>
      <c r="AQ291" s="1463"/>
      <c r="AR291" s="601"/>
      <c r="AS291" s="1131"/>
      <c r="AT291" s="1132"/>
      <c r="AU291" s="1132"/>
      <c r="AV291" s="1132"/>
      <c r="AW291" s="1117"/>
      <c r="AX291" s="592"/>
      <c r="AY291" s="909"/>
      <c r="AZ291" s="910"/>
      <c r="BA291" s="910"/>
      <c r="BB291" s="910"/>
      <c r="BC291" s="1117"/>
      <c r="BD291" s="48"/>
      <c r="BE291" s="909">
        <v>0</v>
      </c>
      <c r="BF291" s="910">
        <v>0</v>
      </c>
      <c r="BG291" s="910">
        <v>0</v>
      </c>
      <c r="BH291" s="910">
        <v>0</v>
      </c>
      <c r="BI291" s="708">
        <f>+AVERAGE(BE291:BH291)</f>
        <v>0</v>
      </c>
      <c r="BJ291" s="48"/>
      <c r="BK291" s="909">
        <v>0.5</v>
      </c>
      <c r="BL291" s="910">
        <v>0.5</v>
      </c>
      <c r="BM291" s="910">
        <v>0.5</v>
      </c>
      <c r="BN291" s="910">
        <v>0.5</v>
      </c>
      <c r="BO291" s="708">
        <f>+AVERAGE(BK291:BN291)</f>
        <v>0.5</v>
      </c>
      <c r="BP291" s="48"/>
      <c r="BQ291" s="909">
        <v>0.5</v>
      </c>
      <c r="BR291" s="910">
        <v>0.5</v>
      </c>
      <c r="BS291" s="910">
        <v>0.5</v>
      </c>
      <c r="BT291" s="910">
        <v>0.5</v>
      </c>
      <c r="BU291" s="708">
        <f>+AVERAGE(BQ291:BT291)</f>
        <v>0.5</v>
      </c>
      <c r="BV291" s="557"/>
      <c r="BW291" s="909">
        <v>0.5</v>
      </c>
      <c r="BX291" s="910">
        <v>0.5</v>
      </c>
      <c r="BY291" s="910">
        <v>0.5</v>
      </c>
      <c r="BZ291" s="910">
        <v>0.5</v>
      </c>
      <c r="CA291" s="708">
        <f>+AVERAGE(BW291:BZ291)</f>
        <v>0.5</v>
      </c>
      <c r="CB291" s="557"/>
      <c r="CC291" s="909">
        <v>0.5</v>
      </c>
      <c r="CD291" s="910">
        <v>0.5</v>
      </c>
      <c r="CE291" s="910">
        <v>0.5</v>
      </c>
      <c r="CF291" s="910">
        <v>0.5</v>
      </c>
      <c r="CG291" s="708">
        <f>+AVERAGE(CC291:CF291)</f>
        <v>0.5</v>
      </c>
      <c r="CH291" s="557"/>
      <c r="CI291" s="909">
        <v>0.5</v>
      </c>
      <c r="CJ291" s="910">
        <v>0.5</v>
      </c>
      <c r="CK291" s="910">
        <v>0.5</v>
      </c>
      <c r="CL291" s="910">
        <v>0.5</v>
      </c>
      <c r="CM291" s="708">
        <f>+AVERAGE(CI291:CL291)</f>
        <v>0.5</v>
      </c>
      <c r="CN291" s="557"/>
      <c r="CO291" s="909">
        <v>0.5</v>
      </c>
      <c r="CP291" s="910">
        <v>0.5</v>
      </c>
      <c r="CQ291" s="910">
        <v>0.5</v>
      </c>
      <c r="CR291" s="910">
        <v>0.5</v>
      </c>
      <c r="CS291" s="708">
        <f>+AVERAGE(CO291:CR291)</f>
        <v>0.5</v>
      </c>
      <c r="CT291" s="557"/>
      <c r="CU291" s="909">
        <v>0.5</v>
      </c>
      <c r="CV291" s="910">
        <v>0.5</v>
      </c>
      <c r="CW291" s="910">
        <v>0.5</v>
      </c>
      <c r="CX291" s="910">
        <v>0.5</v>
      </c>
      <c r="CY291" s="708">
        <f>+AVERAGE(CU291:CX291)</f>
        <v>0.5</v>
      </c>
      <c r="CZ291" s="48"/>
      <c r="DA291"/>
      <c r="DB291"/>
      <c r="DC291"/>
      <c r="DD291" s="48"/>
      <c r="DE291" s="48"/>
      <c r="DF291" s="48"/>
      <c r="DG291" s="48"/>
      <c r="DH291" s="48"/>
      <c r="DI291" s="48"/>
      <c r="DJ291" s="48"/>
      <c r="DK291" s="48"/>
    </row>
    <row r="292" spans="1:115" s="5" customFormat="1" x14ac:dyDescent="0.2">
      <c r="A292" s="354" t="s">
        <v>620</v>
      </c>
      <c r="B292" s="48"/>
      <c r="C292" s="1128"/>
      <c r="D292" s="1129"/>
      <c r="E292" s="1129"/>
      <c r="F292" s="1129"/>
      <c r="G292" s="1463"/>
      <c r="H292" s="592"/>
      <c r="I292" s="1128"/>
      <c r="J292" s="1129"/>
      <c r="K292" s="1129"/>
      <c r="L292" s="1129"/>
      <c r="M292" s="1463"/>
      <c r="N292" s="592"/>
      <c r="O292" s="1128"/>
      <c r="P292" s="1129"/>
      <c r="Q292" s="1129"/>
      <c r="R292" s="1129"/>
      <c r="S292" s="1463"/>
      <c r="T292" s="591"/>
      <c r="U292" s="1128"/>
      <c r="V292" s="1129"/>
      <c r="W292" s="1129"/>
      <c r="X292" s="1129"/>
      <c r="Y292" s="1463"/>
      <c r="Z292" s="593"/>
      <c r="AA292" s="1128"/>
      <c r="AB292" s="1129"/>
      <c r="AC292" s="1129"/>
      <c r="AD292" s="1129"/>
      <c r="AE292" s="1463"/>
      <c r="AF292" s="592"/>
      <c r="AG292" s="1128"/>
      <c r="AH292" s="1129"/>
      <c r="AI292" s="1129"/>
      <c r="AJ292" s="1129"/>
      <c r="AK292" s="1463"/>
      <c r="AL292" s="601"/>
      <c r="AM292" s="1128"/>
      <c r="AN292" s="1129"/>
      <c r="AO292" s="1129"/>
      <c r="AP292" s="1129"/>
      <c r="AQ292" s="1463"/>
      <c r="AR292" s="601"/>
      <c r="AS292" s="1131"/>
      <c r="AT292" s="1132"/>
      <c r="AU292" s="1132"/>
      <c r="AV292" s="1132"/>
      <c r="AW292" s="1117"/>
      <c r="AX292" s="592"/>
      <c r="AY292" s="1131"/>
      <c r="AZ292" s="1132"/>
      <c r="BA292" s="1132"/>
      <c r="BB292" s="1132"/>
      <c r="BC292" s="1117"/>
      <c r="BD292" s="48"/>
      <c r="BE292" s="1211">
        <v>200.20401060552322</v>
      </c>
      <c r="BF292" s="1212">
        <v>260.33755683471611</v>
      </c>
      <c r="BG292" s="1212">
        <v>261.38300271626821</v>
      </c>
      <c r="BH292" s="1212">
        <v>322.95818270992675</v>
      </c>
      <c r="BI292" s="1457">
        <f>+SUM(BE292:BH292)</f>
        <v>1044.8827528664342</v>
      </c>
      <c r="BJ292" s="48"/>
      <c r="BK292" s="1211">
        <v>304.46514378136254</v>
      </c>
      <c r="BL292" s="1212">
        <v>335.1778751926513</v>
      </c>
      <c r="BM292" s="1212">
        <v>336.92028499523815</v>
      </c>
      <c r="BN292" s="1212">
        <v>370.03573934730292</v>
      </c>
      <c r="BO292" s="1457">
        <f>+SUM(BK292:BN292)</f>
        <v>1346.5990433165548</v>
      </c>
      <c r="BP292" s="48"/>
      <c r="BQ292" s="1211">
        <v>388.40230962716754</v>
      </c>
      <c r="BR292" s="1212">
        <v>428.34544440949003</v>
      </c>
      <c r="BS292" s="1212">
        <v>426.20139616479116</v>
      </c>
      <c r="BT292" s="1212">
        <v>463.75362743651158</v>
      </c>
      <c r="BU292" s="1457">
        <f>+SUM(BQ292:BT292)</f>
        <v>1706.7027776379605</v>
      </c>
      <c r="BV292" s="48"/>
      <c r="BW292" s="1211">
        <v>504.26493168019692</v>
      </c>
      <c r="BX292" s="1212">
        <v>552.61255497981836</v>
      </c>
      <c r="BY292" s="1212">
        <v>628.53850726020823</v>
      </c>
      <c r="BZ292" s="1212">
        <v>704.464459540598</v>
      </c>
      <c r="CA292" s="1457">
        <f>+SUM(BW292:BZ292)</f>
        <v>2389.8804534608216</v>
      </c>
      <c r="CB292" s="48"/>
      <c r="CC292" s="1211">
        <v>748.74790223611501</v>
      </c>
      <c r="CD292" s="1212">
        <v>803.93526883303946</v>
      </c>
      <c r="CE292" s="1212">
        <v>859.12263542996379</v>
      </c>
      <c r="CF292" s="1212">
        <v>914.31000202688813</v>
      </c>
      <c r="CG292" s="1457">
        <f>+SUM(CC292:CF292)</f>
        <v>3326.1158085260063</v>
      </c>
      <c r="CH292" s="48"/>
      <c r="CI292" s="1211">
        <v>955.3012752621371</v>
      </c>
      <c r="CJ292" s="1212">
        <v>1017.3031344434835</v>
      </c>
      <c r="CK292" s="1212">
        <v>1072.7991116706257</v>
      </c>
      <c r="CL292" s="1212">
        <v>1128.295088897768</v>
      </c>
      <c r="CM292" s="1457">
        <f>+SUM(CI292:CL292)</f>
        <v>4173.6986102740138</v>
      </c>
      <c r="CN292" s="48"/>
      <c r="CO292" s="1211">
        <v>1180.5852993438066</v>
      </c>
      <c r="CP292" s="1212">
        <v>1238.4899989905578</v>
      </c>
      <c r="CQ292" s="1212">
        <v>1286.1982385788947</v>
      </c>
      <c r="CR292" s="1212">
        <v>1333.9064781672314</v>
      </c>
      <c r="CS292" s="1457">
        <f>+SUM(CO292:CR292)</f>
        <v>5039.1800150804902</v>
      </c>
      <c r="CT292" s="48"/>
      <c r="CU292" s="1211">
        <v>1379.2119253841743</v>
      </c>
      <c r="CV292" s="1212">
        <v>1421.7996138297267</v>
      </c>
      <c r="CW292" s="1212">
        <v>1464.3873022752791</v>
      </c>
      <c r="CX292" s="1212">
        <v>1506.9749907208318</v>
      </c>
      <c r="CY292" s="1457">
        <f>+SUM(CU292:CX292)</f>
        <v>5772.3738322100116</v>
      </c>
      <c r="CZ292" s="48"/>
      <c r="DA292"/>
      <c r="DB292"/>
      <c r="DC292"/>
      <c r="DD292" s="48"/>
      <c r="DE292" s="48"/>
      <c r="DF292" s="48"/>
      <c r="DG292" s="48"/>
      <c r="DH292" s="48"/>
      <c r="DI292" s="48"/>
      <c r="DJ292" s="48"/>
      <c r="DK292" s="48"/>
    </row>
    <row r="293" spans="1:115" s="5" customFormat="1" x14ac:dyDescent="0.2">
      <c r="A293" s="1139" t="s">
        <v>557</v>
      </c>
      <c r="B293" s="48"/>
      <c r="C293" s="1128"/>
      <c r="D293" s="1129"/>
      <c r="E293" s="1129"/>
      <c r="F293" s="1129"/>
      <c r="G293" s="1463"/>
      <c r="H293" s="592"/>
      <c r="I293" s="1128"/>
      <c r="J293" s="1129"/>
      <c r="K293" s="1129"/>
      <c r="L293" s="1129"/>
      <c r="M293" s="1463"/>
      <c r="N293" s="592"/>
      <c r="O293" s="1128"/>
      <c r="P293" s="1129"/>
      <c r="Q293" s="1129"/>
      <c r="R293" s="1129"/>
      <c r="S293" s="1463"/>
      <c r="T293" s="591"/>
      <c r="U293" s="1128"/>
      <c r="V293" s="1129"/>
      <c r="W293" s="1129"/>
      <c r="X293" s="1129"/>
      <c r="Y293" s="1463"/>
      <c r="Z293" s="593"/>
      <c r="AA293" s="1128"/>
      <c r="AB293" s="1129"/>
      <c r="AC293" s="1129"/>
      <c r="AD293" s="1129"/>
      <c r="AE293" s="1463"/>
      <c r="AF293" s="592"/>
      <c r="AG293" s="1128"/>
      <c r="AH293" s="1129"/>
      <c r="AI293" s="1129"/>
      <c r="AJ293" s="1129"/>
      <c r="AK293" s="1463"/>
      <c r="AL293" s="601"/>
      <c r="AM293" s="1128"/>
      <c r="AN293" s="1129"/>
      <c r="AO293" s="1129"/>
      <c r="AP293" s="1129"/>
      <c r="AQ293" s="1463"/>
      <c r="AR293" s="601"/>
      <c r="AS293" s="1131"/>
      <c r="AT293" s="1132"/>
      <c r="AU293" s="1132"/>
      <c r="AV293" s="1132"/>
      <c r="AW293" s="1117"/>
      <c r="AX293" s="592"/>
      <c r="AY293" s="1131"/>
      <c r="AZ293" s="1132"/>
      <c r="BA293" s="1132"/>
      <c r="BB293" s="1132"/>
      <c r="BC293" s="1117"/>
      <c r="BD293" s="601"/>
      <c r="BE293" s="1115">
        <f>+(BE289-(BE290*BE291))/BE292</f>
        <v>0.40302617587970263</v>
      </c>
      <c r="BF293" s="1114">
        <f>+(BF289-(BF290*BF291))/BF292</f>
        <v>0.30993398636428987</v>
      </c>
      <c r="BG293" s="1114">
        <f>+(BG289-(BG290*BG291))/BG292</f>
        <v>0.30869435254636601</v>
      </c>
      <c r="BH293" s="1114">
        <f>+(BH289-(BH290*BH291))/BH292</f>
        <v>0.29920213498528486</v>
      </c>
      <c r="BI293" s="708">
        <f>+AVERAGE(BE293:BH293)</f>
        <v>0.33021416244391089</v>
      </c>
      <c r="BJ293" s="48"/>
      <c r="BK293" s="1115">
        <f>+(BK289-(BK290*BK291))/BK292</f>
        <v>0.42731089725516264</v>
      </c>
      <c r="BL293" s="1114">
        <f>+(BL289-(BL290*BL291))/BL292</f>
        <v>0.38141884227549039</v>
      </c>
      <c r="BM293" s="1114">
        <f>+(BM289-(BM290*BM291))/BM292</f>
        <v>0.38215467315463658</v>
      </c>
      <c r="BN293" s="1114">
        <f>+(BN289-(BN290*BN291))/BN292</f>
        <v>0.40322643319096541</v>
      </c>
      <c r="BO293" s="708">
        <f>+AVERAGE(BK293:BN293)</f>
        <v>0.39852771146906374</v>
      </c>
      <c r="BP293" s="557"/>
      <c r="BQ293" s="1115">
        <f>+(BQ289-(BQ290*BQ291))/BQ292</f>
        <v>0.42559435731193601</v>
      </c>
      <c r="BR293" s="1114">
        <f>+(BR289-(BR290*BR291))/BR292</f>
        <v>0.49404460872442141</v>
      </c>
      <c r="BS293" s="1114">
        <f>+(BS289-(BS290*BS291))/BS292</f>
        <v>0.50245115349890934</v>
      </c>
      <c r="BT293" s="910">
        <v>0.4758070206575844</v>
      </c>
      <c r="BU293" s="708">
        <f>+AVERAGE(BQ293:BT293)</f>
        <v>0.47447428504821282</v>
      </c>
      <c r="BV293" s="557"/>
      <c r="BW293" s="909">
        <v>0.4</v>
      </c>
      <c r="BX293" s="910">
        <v>0.4</v>
      </c>
      <c r="BY293" s="910">
        <v>0.4</v>
      </c>
      <c r="BZ293" s="910">
        <v>0.4</v>
      </c>
      <c r="CA293" s="708">
        <f>+AVERAGE(BW293:BZ293)</f>
        <v>0.4</v>
      </c>
      <c r="CB293" s="557"/>
      <c r="CC293" s="909">
        <v>0.3</v>
      </c>
      <c r="CD293" s="910">
        <v>0.3</v>
      </c>
      <c r="CE293" s="910">
        <v>0.25</v>
      </c>
      <c r="CF293" s="910">
        <v>0.25</v>
      </c>
      <c r="CG293" s="708">
        <f>+AVERAGE(CC293:CF293)</f>
        <v>0.27500000000000002</v>
      </c>
      <c r="CH293" s="557"/>
      <c r="CI293" s="909">
        <v>0.2</v>
      </c>
      <c r="CJ293" s="910">
        <v>0.2</v>
      </c>
      <c r="CK293" s="910">
        <v>0.2</v>
      </c>
      <c r="CL293" s="910">
        <v>0.2</v>
      </c>
      <c r="CM293" s="708">
        <f>+AVERAGE(CI293:CL293)</f>
        <v>0.2</v>
      </c>
      <c r="CN293" s="557"/>
      <c r="CO293" s="909">
        <v>0.2</v>
      </c>
      <c r="CP293" s="910">
        <v>0.2</v>
      </c>
      <c r="CQ293" s="910">
        <v>0.2</v>
      </c>
      <c r="CR293" s="910">
        <v>0.2</v>
      </c>
      <c r="CS293" s="708">
        <f>+AVERAGE(CO293:CR293)</f>
        <v>0.2</v>
      </c>
      <c r="CT293" s="557"/>
      <c r="CU293" s="909">
        <v>0.2</v>
      </c>
      <c r="CV293" s="910">
        <v>0.2</v>
      </c>
      <c r="CW293" s="910">
        <v>0.2</v>
      </c>
      <c r="CX293" s="910">
        <v>0.2</v>
      </c>
      <c r="CY293" s="708">
        <f>+AVERAGE(CU293:CX293)</f>
        <v>0.2</v>
      </c>
      <c r="CZ293" s="48"/>
      <c r="DA293"/>
      <c r="DB293"/>
      <c r="DC293"/>
      <c r="DD293" s="48"/>
      <c r="DE293" s="48"/>
      <c r="DF293" s="48"/>
      <c r="DG293" s="48"/>
      <c r="DH293" s="48"/>
      <c r="DI293" s="48"/>
      <c r="DJ293" s="48"/>
      <c r="DK293" s="48"/>
    </row>
    <row r="294" spans="1:115" outlineLevel="1" x14ac:dyDescent="0.2">
      <c r="A294" s="1247" t="s">
        <v>461</v>
      </c>
      <c r="B294" s="1181"/>
      <c r="C294" s="1182"/>
      <c r="D294" s="1182"/>
      <c r="E294" s="1182"/>
      <c r="F294" s="1182"/>
      <c r="G294" s="1183"/>
      <c r="H294" s="1184"/>
      <c r="I294" s="1185"/>
      <c r="J294" s="1182"/>
      <c r="K294" s="1182"/>
      <c r="L294" s="1182"/>
      <c r="M294" s="1183"/>
      <c r="N294" s="1184"/>
      <c r="O294" s="1185"/>
      <c r="P294" s="1182"/>
      <c r="Q294" s="1182"/>
      <c r="R294" s="1182"/>
      <c r="S294" s="1186"/>
      <c r="T294" s="1187"/>
      <c r="U294" s="1185"/>
      <c r="V294" s="1182"/>
      <c r="W294" s="1182"/>
      <c r="X294" s="1182"/>
      <c r="Y294" s="1186"/>
      <c r="Z294" s="1188"/>
      <c r="AA294" s="1189"/>
      <c r="AB294" s="1190"/>
      <c r="AC294" s="1190"/>
      <c r="AD294" s="1191"/>
      <c r="AE294" s="1192"/>
      <c r="AF294" s="1184"/>
      <c r="AG294" s="1189"/>
      <c r="AH294" s="1190"/>
      <c r="AI294" s="1190"/>
      <c r="AJ294" s="1191"/>
      <c r="AK294" s="1192"/>
      <c r="AL294" s="1184"/>
      <c r="AM294" s="1189"/>
      <c r="AN294" s="1190"/>
      <c r="AO294" s="1190"/>
      <c r="AP294" s="1191"/>
      <c r="AQ294" s="1192"/>
      <c r="AR294" s="1184"/>
      <c r="AS294" s="1189">
        <f>+AS296</f>
        <v>0</v>
      </c>
      <c r="AT294" s="1190">
        <f>+AT296</f>
        <v>0</v>
      </c>
      <c r="AU294" s="1190">
        <f>+AU296</f>
        <v>0</v>
      </c>
      <c r="AV294" s="1191">
        <f>+AV296</f>
        <v>0</v>
      </c>
      <c r="AW294" s="1192">
        <f>+SUM(AS294:AV294)</f>
        <v>0</v>
      </c>
      <c r="AX294" s="1184"/>
      <c r="AY294" s="1189">
        <f>+AY296</f>
        <v>1.6979062222222225</v>
      </c>
      <c r="AZ294" s="1190">
        <f>+AZ296</f>
        <v>1.6979062222222225</v>
      </c>
      <c r="BA294" s="1190">
        <f>+BA296</f>
        <v>1.6979062222222225</v>
      </c>
      <c r="BB294" s="1191">
        <f>+BB296</f>
        <v>1.1785613333333331</v>
      </c>
      <c r="BC294" s="1192">
        <f>+SUM(AY294:BB294)</f>
        <v>6.2722800000000003</v>
      </c>
      <c r="BD294" s="1184"/>
      <c r="BE294" s="1189">
        <f>+BE296</f>
        <v>2.1785613333333331</v>
      </c>
      <c r="BF294" s="1190">
        <f>+BF296</f>
        <v>2.1785613333333331</v>
      </c>
      <c r="BG294" s="1190">
        <f>+BG296</f>
        <v>2.1785613333333331</v>
      </c>
      <c r="BH294" s="1191">
        <f>+BH296</f>
        <v>2.6090040000000005</v>
      </c>
      <c r="BI294" s="1192">
        <f>+SUM(BE294:BH294)</f>
        <v>9.1446880000000004</v>
      </c>
      <c r="BJ294" s="1183"/>
      <c r="BK294" s="1189">
        <f>+BK296</f>
        <v>3.6090040000000005</v>
      </c>
      <c r="BL294" s="1190">
        <f>+BL296</f>
        <v>3.6090040000000005</v>
      </c>
      <c r="BM294" s="1190">
        <f>+BM296</f>
        <v>3.6090040000000005</v>
      </c>
      <c r="BN294" s="1191">
        <f>+BN296</f>
        <v>3.9809349999999988</v>
      </c>
      <c r="BO294" s="1192">
        <f>+SUM(BK294:BN294)</f>
        <v>14.807947</v>
      </c>
      <c r="BP294" s="1184"/>
      <c r="BQ294" s="1189">
        <f>+BQ296</f>
        <v>4.4809349999999988</v>
      </c>
      <c r="BR294" s="1190">
        <f>+BR296</f>
        <v>5.7502079999999998</v>
      </c>
      <c r="BS294" s="1190">
        <f>+BS296</f>
        <v>5.7502079999999998</v>
      </c>
      <c r="BT294" s="1191">
        <f>+BT296</f>
        <v>5.698829427276495</v>
      </c>
      <c r="BU294" s="1192">
        <f>+SUM(BQ294:BT294)</f>
        <v>21.680180427276497</v>
      </c>
      <c r="BV294" s="1184"/>
      <c r="BW294" s="1189">
        <f>+BW296</f>
        <v>5.3193598040882728</v>
      </c>
      <c r="BX294" s="1190">
        <f>+BX296</f>
        <v>6.2559862075097055</v>
      </c>
      <c r="BY294" s="1190">
        <f>+BY296</f>
        <v>7.009373514896005</v>
      </c>
      <c r="BZ294" s="1191">
        <f>+BZ296</f>
        <v>7.5554351336742993</v>
      </c>
      <c r="CA294" s="1192">
        <f>+SUM(BW294:BZ294)</f>
        <v>26.140154660168285</v>
      </c>
      <c r="CB294" s="1184"/>
      <c r="CC294" s="1189">
        <f>+CC296</f>
        <v>6.5215583823840513</v>
      </c>
      <c r="CD294" s="1190">
        <f>+CD296</f>
        <v>7.4821826590188518</v>
      </c>
      <c r="CE294" s="1190">
        <f>+CE296</f>
        <v>6.9378792180197015</v>
      </c>
      <c r="CF294" s="1191">
        <f>+CF296</f>
        <v>7.2769360931293932</v>
      </c>
      <c r="CG294" s="1192">
        <f>+SUM(CC294:CF294)</f>
        <v>28.218556352552</v>
      </c>
      <c r="CH294" s="1184"/>
      <c r="CI294" s="1189">
        <f>+CI296</f>
        <v>6.7561943504312083</v>
      </c>
      <c r="CJ294" s="1190">
        <f>+CJ296</f>
        <v>8.0270012206893959</v>
      </c>
      <c r="CK294" s="1190">
        <f>+CK296</f>
        <v>8.3645020732740871</v>
      </c>
      <c r="CL294" s="1191">
        <f>+CL296</f>
        <v>8.9358158105511336</v>
      </c>
      <c r="CM294" s="1192">
        <f>+SUM(CI294:CL294)</f>
        <v>32.083513454945823</v>
      </c>
      <c r="CN294" s="1184"/>
      <c r="CO294" s="1189">
        <f>+CO296</f>
        <v>12.551502473242818</v>
      </c>
      <c r="CP294" s="1190">
        <f>+CP296</f>
        <v>11.750104549767306</v>
      </c>
      <c r="CQ294" s="1190">
        <f>+CQ296</f>
        <v>12.057400387443179</v>
      </c>
      <c r="CR294" s="1191">
        <f>+CR296</f>
        <v>10.303055438026936</v>
      </c>
      <c r="CS294" s="1192">
        <f>+SUM(CO294:CR294)</f>
        <v>46.66206284848024</v>
      </c>
      <c r="CT294" s="1184"/>
      <c r="CU294" s="1189">
        <f>+CU296</f>
        <v>16.971746511634052</v>
      </c>
      <c r="CV294" s="1190">
        <f>+CV296</f>
        <v>17.11188672962572</v>
      </c>
      <c r="CW294" s="1190">
        <f>+CW296</f>
        <v>17.409630565553062</v>
      </c>
      <c r="CX294" s="1191">
        <f>+CX296</f>
        <v>16.216372992087976</v>
      </c>
      <c r="CY294" s="1192">
        <f>+SUM(CU294:CX294)</f>
        <v>67.709636798900817</v>
      </c>
      <c r="CZ294" s="48"/>
      <c r="DD294" s="48"/>
      <c r="DE294" s="48"/>
      <c r="DF294" s="48"/>
      <c r="DG294" s="48"/>
      <c r="DH294" s="48"/>
      <c r="DI294" s="48"/>
      <c r="DJ294" s="48"/>
      <c r="DK294" s="48"/>
    </row>
    <row r="295" spans="1:115" outlineLevel="1" x14ac:dyDescent="0.2">
      <c r="A295" s="1248" t="s">
        <v>462</v>
      </c>
      <c r="B295" s="1233"/>
      <c r="C295" s="1236"/>
      <c r="D295" s="1237"/>
      <c r="E295" s="1237"/>
      <c r="F295" s="1238"/>
      <c r="G295" s="1239"/>
      <c r="H295" s="1233"/>
      <c r="I295" s="1236"/>
      <c r="J295" s="1237"/>
      <c r="K295" s="1237"/>
      <c r="L295" s="1238"/>
      <c r="M295" s="1239"/>
      <c r="N295" s="1233"/>
      <c r="O295" s="1236"/>
      <c r="P295" s="1237"/>
      <c r="Q295" s="1237"/>
      <c r="R295" s="1238"/>
      <c r="S295" s="1239"/>
      <c r="T295" s="1233"/>
      <c r="U295" s="1236"/>
      <c r="V295" s="1237"/>
      <c r="W295" s="1237"/>
      <c r="X295" s="1238"/>
      <c r="Y295" s="1239"/>
      <c r="Z295" s="1233"/>
      <c r="AA295" s="1236"/>
      <c r="AB295" s="1237"/>
      <c r="AC295" s="1237"/>
      <c r="AD295" s="1238"/>
      <c r="AE295" s="1239"/>
      <c r="AF295" s="1233"/>
      <c r="AG295" s="1236"/>
      <c r="AH295" s="1237"/>
      <c r="AI295" s="1237"/>
      <c r="AJ295" s="1238"/>
      <c r="AK295" s="1239"/>
      <c r="AL295" s="1233"/>
      <c r="AM295" s="1236"/>
      <c r="AN295" s="1237"/>
      <c r="AO295" s="1237"/>
      <c r="AP295" s="1238"/>
      <c r="AQ295" s="1239"/>
      <c r="AR295" s="1233"/>
      <c r="AS295" s="1236">
        <f>+AS296-AS294</f>
        <v>0</v>
      </c>
      <c r="AT295" s="1237">
        <f>+AT296-AT294</f>
        <v>0</v>
      </c>
      <c r="AU295" s="1237">
        <f>+AU296-AU294</f>
        <v>0</v>
      </c>
      <c r="AV295" s="1238">
        <f>+AV296-AV294</f>
        <v>0</v>
      </c>
      <c r="AW295" s="1239">
        <f>+SUM(AS295:AV295)</f>
        <v>0</v>
      </c>
      <c r="AX295" s="1233"/>
      <c r="AY295" s="1236">
        <f>+AY296-AY294</f>
        <v>0</v>
      </c>
      <c r="AZ295" s="1237">
        <f>+AZ296-AZ294</f>
        <v>0</v>
      </c>
      <c r="BA295" s="1237">
        <f>+BA296-BA294</f>
        <v>0</v>
      </c>
      <c r="BB295" s="1238">
        <f>+BB296-BB294</f>
        <v>0</v>
      </c>
      <c r="BC295" s="1239">
        <f>+SUM(AY295:BB295)</f>
        <v>0</v>
      </c>
      <c r="BD295" s="1233"/>
      <c r="BE295" s="1236">
        <f>+BE296-BE294</f>
        <v>0</v>
      </c>
      <c r="BF295" s="1237">
        <f>+BF296-BF294</f>
        <v>0</v>
      </c>
      <c r="BG295" s="1237">
        <f>+BG296-BG294</f>
        <v>0</v>
      </c>
      <c r="BH295" s="1238">
        <f>+BH296-BH294</f>
        <v>0</v>
      </c>
      <c r="BI295" s="1239">
        <f>+SUM(BE295:BH295)</f>
        <v>0</v>
      </c>
      <c r="BJ295" s="1233"/>
      <c r="BK295" s="1236">
        <f>+BK296-BK294</f>
        <v>0</v>
      </c>
      <c r="BL295" s="1237">
        <f>+BL296-BL294</f>
        <v>0</v>
      </c>
      <c r="BM295" s="1237">
        <f>+BM296-BM294</f>
        <v>0</v>
      </c>
      <c r="BN295" s="1238">
        <f>+BN296-BN294</f>
        <v>0</v>
      </c>
      <c r="BO295" s="1239">
        <f>+SUM(BK295:BN295)</f>
        <v>0</v>
      </c>
      <c r="BP295" s="1233"/>
      <c r="BQ295" s="1236">
        <f>+BQ296-BQ294</f>
        <v>0</v>
      </c>
      <c r="BR295" s="1237">
        <f>+BR296-BR294</f>
        <v>0</v>
      </c>
      <c r="BS295" s="1237">
        <f>+BS296-BS294</f>
        <v>0</v>
      </c>
      <c r="BT295" s="1238">
        <f>+BT296-BT294</f>
        <v>0</v>
      </c>
      <c r="BU295" s="1239">
        <f>+SUM(BQ295:BT295)</f>
        <v>0</v>
      </c>
      <c r="BV295" s="1233"/>
      <c r="BW295" s="1236">
        <f>+BW296-BW294</f>
        <v>0</v>
      </c>
      <c r="BX295" s="1237">
        <f>+BX296-BX294</f>
        <v>0</v>
      </c>
      <c r="BY295" s="1237">
        <f>+BY296-BY294</f>
        <v>0</v>
      </c>
      <c r="BZ295" s="1238">
        <f>+BZ296-BZ294</f>
        <v>0</v>
      </c>
      <c r="CA295" s="1239">
        <f>+SUM(BW295:BZ295)</f>
        <v>0</v>
      </c>
      <c r="CB295" s="1233"/>
      <c r="CC295" s="1236">
        <f>+CC296-CC294</f>
        <v>0</v>
      </c>
      <c r="CD295" s="1237">
        <f>+CD296-CD294</f>
        <v>0</v>
      </c>
      <c r="CE295" s="1237">
        <f>+CE296-CE294</f>
        <v>0</v>
      </c>
      <c r="CF295" s="1238">
        <f>+CF296-CF294</f>
        <v>0</v>
      </c>
      <c r="CG295" s="1239">
        <f>+SUM(CC295:CF295)</f>
        <v>0</v>
      </c>
      <c r="CH295" s="1233"/>
      <c r="CI295" s="1236">
        <f>+CI296-CI294</f>
        <v>0</v>
      </c>
      <c r="CJ295" s="1237">
        <f>+CJ296-CJ294</f>
        <v>0</v>
      </c>
      <c r="CK295" s="1237">
        <f>+CK296-CK294</f>
        <v>0</v>
      </c>
      <c r="CL295" s="1238">
        <f>+CL296-CL294</f>
        <v>0</v>
      </c>
      <c r="CM295" s="1239">
        <f>+SUM(CI295:CL295)</f>
        <v>0</v>
      </c>
      <c r="CN295" s="1233"/>
      <c r="CO295" s="1236">
        <f>+CO296-CO294</f>
        <v>0</v>
      </c>
      <c r="CP295" s="1237">
        <f>+CP296-CP294</f>
        <v>0</v>
      </c>
      <c r="CQ295" s="1237">
        <f>+CQ296-CQ294</f>
        <v>0</v>
      </c>
      <c r="CR295" s="1238">
        <f>+CR296-CR294</f>
        <v>0</v>
      </c>
      <c r="CS295" s="1239">
        <f>+SUM(CO295:CR295)</f>
        <v>0</v>
      </c>
      <c r="CT295" s="1233"/>
      <c r="CU295" s="1236">
        <f>+CU296-CU294</f>
        <v>0</v>
      </c>
      <c r="CV295" s="1237">
        <f>+CV296-CV294</f>
        <v>0</v>
      </c>
      <c r="CW295" s="1237">
        <f>+CW296-CW294</f>
        <v>0</v>
      </c>
      <c r="CX295" s="1238">
        <f>+CX296-CX294</f>
        <v>0</v>
      </c>
      <c r="CY295" s="1239">
        <f>+SUM(CU295:CX295)</f>
        <v>0</v>
      </c>
      <c r="CZ295" s="48"/>
      <c r="DD295" s="48"/>
      <c r="DE295" s="48"/>
      <c r="DF295" s="48"/>
      <c r="DG295" s="48"/>
      <c r="DH295" s="48"/>
      <c r="DI295" s="48"/>
      <c r="DJ295" s="48"/>
      <c r="DK295" s="48"/>
    </row>
    <row r="296" spans="1:115" x14ac:dyDescent="0.2">
      <c r="A296" s="1240" t="s">
        <v>456</v>
      </c>
      <c r="B296" s="1194"/>
      <c r="C296" s="1243"/>
      <c r="D296" s="1244"/>
      <c r="E296" s="1244"/>
      <c r="F296" s="1245"/>
      <c r="G296" s="1246"/>
      <c r="H296" s="1194"/>
      <c r="I296" s="1243"/>
      <c r="J296" s="1244"/>
      <c r="K296" s="1244"/>
      <c r="L296" s="1245"/>
      <c r="M296" s="1246"/>
      <c r="N296" s="1194"/>
      <c r="O296" s="1243"/>
      <c r="P296" s="1244"/>
      <c r="Q296" s="1244"/>
      <c r="R296" s="1245"/>
      <c r="S296" s="1246"/>
      <c r="T296" s="1194"/>
      <c r="U296" s="1243"/>
      <c r="V296" s="1244"/>
      <c r="W296" s="1244"/>
      <c r="X296" s="1245"/>
      <c r="Y296" s="1246"/>
      <c r="Z296" s="1194"/>
      <c r="AA296" s="1243"/>
      <c r="AB296" s="1244"/>
      <c r="AC296" s="1244"/>
      <c r="AD296" s="1245"/>
      <c r="AE296" s="1246"/>
      <c r="AF296" s="1194"/>
      <c r="AG296" s="1243"/>
      <c r="AH296" s="1244"/>
      <c r="AI296" s="1244"/>
      <c r="AJ296" s="1245"/>
      <c r="AK296" s="1246"/>
      <c r="AL296" s="1194"/>
      <c r="AM296" s="1243"/>
      <c r="AN296" s="1244"/>
      <c r="AO296" s="1244"/>
      <c r="AP296" s="1245"/>
      <c r="AQ296" s="1246"/>
      <c r="AR296" s="1194"/>
      <c r="AS296" s="1243">
        <v>0</v>
      </c>
      <c r="AT296" s="1244">
        <v>0</v>
      </c>
      <c r="AU296" s="1244">
        <v>0</v>
      </c>
      <c r="AV296" s="1245">
        <v>0</v>
      </c>
      <c r="AW296" s="1246">
        <f>+SUM(AS296:AV296)</f>
        <v>0</v>
      </c>
      <c r="AX296" s="592"/>
      <c r="AY296" s="1251">
        <f>+AZ296</f>
        <v>1.6979062222222225</v>
      </c>
      <c r="AZ296" s="1252">
        <f>+BA296</f>
        <v>1.6979062222222225</v>
      </c>
      <c r="BA296" s="1252">
        <f>+(BC296-BB296)/3</f>
        <v>1.6979062222222225</v>
      </c>
      <c r="BB296" s="1253">
        <f>+BE296-1</f>
        <v>1.1785613333333331</v>
      </c>
      <c r="BC296" s="1246">
        <f>0.005*RevBuild!BC17</f>
        <v>6.2722800000000012</v>
      </c>
      <c r="BD296" s="601"/>
      <c r="BE296" s="1251">
        <f>+BF296</f>
        <v>2.1785613333333331</v>
      </c>
      <c r="BF296" s="1252">
        <f>+BG296</f>
        <v>2.1785613333333331</v>
      </c>
      <c r="BG296" s="1252">
        <f>+(BI296-BH296)/3</f>
        <v>2.1785613333333331</v>
      </c>
      <c r="BH296" s="1253">
        <f>+BK296-1</f>
        <v>2.6090040000000005</v>
      </c>
      <c r="BI296" s="1246">
        <f>0.007*RevBuild!BI17</f>
        <v>9.1446880000000004</v>
      </c>
      <c r="BJ296" s="601"/>
      <c r="BK296" s="1251">
        <f>+BL296</f>
        <v>3.6090040000000005</v>
      </c>
      <c r="BL296" s="1252">
        <f>+BM296</f>
        <v>3.6090040000000005</v>
      </c>
      <c r="BM296" s="1252">
        <f>+(BO296-BN296)/3</f>
        <v>3.6090040000000005</v>
      </c>
      <c r="BN296" s="1253">
        <f>+BQ296-0.5</f>
        <v>3.9809349999999988</v>
      </c>
      <c r="BO296" s="1246">
        <f>0.011*RevBuild!BO17</f>
        <v>14.807947</v>
      </c>
      <c r="BP296" s="601"/>
      <c r="BQ296" s="1251">
        <f>0.015*RevBuild!BQ17</f>
        <v>4.4809349999999988</v>
      </c>
      <c r="BR296" s="1252">
        <f>0.018*RevBuild!BR17</f>
        <v>5.7502079999999998</v>
      </c>
      <c r="BS296" s="1252">
        <f>0.018*RevBuild!BR17</f>
        <v>5.7502079999999998</v>
      </c>
      <c r="BT296" s="1245">
        <f>+(BT289*BT286)/1000</f>
        <v>5.698829427276495</v>
      </c>
      <c r="BU296" s="1246">
        <f>+SUM(BQ296:BT296)</f>
        <v>21.680180427276497</v>
      </c>
      <c r="BV296" s="1194"/>
      <c r="BW296" s="1243">
        <f>+(BW289*BW286)/1000</f>
        <v>5.3193598040882728</v>
      </c>
      <c r="BX296" s="1244">
        <f>+(BX289*BX286)/1000</f>
        <v>6.2559862075097055</v>
      </c>
      <c r="BY296" s="1244">
        <f>+(BY289*BY286)/1000</f>
        <v>7.009373514896005</v>
      </c>
      <c r="BZ296" s="1245">
        <f>+(BZ289*BZ286)/1000</f>
        <v>7.5554351336742993</v>
      </c>
      <c r="CA296" s="1246">
        <f>+SUM(BW296:BZ296)</f>
        <v>26.140154660168285</v>
      </c>
      <c r="CB296" s="1194"/>
      <c r="CC296" s="1243">
        <f>+(CC289*CC286)/1000</f>
        <v>6.5215583823840513</v>
      </c>
      <c r="CD296" s="1244">
        <f>+(CD289*CD286)/1000</f>
        <v>7.4821826590188518</v>
      </c>
      <c r="CE296" s="1244">
        <f>+(CE289*CE286)/1000</f>
        <v>6.9378792180197015</v>
      </c>
      <c r="CF296" s="1245">
        <f>+(CF289*CF286)/1000</f>
        <v>7.2769360931293932</v>
      </c>
      <c r="CG296" s="1246">
        <f>+SUM(CC296:CF296)</f>
        <v>28.218556352552</v>
      </c>
      <c r="CH296" s="1194"/>
      <c r="CI296" s="1243">
        <f>+(CI289*CI286)/1000</f>
        <v>6.7561943504312083</v>
      </c>
      <c r="CJ296" s="1244">
        <f>+(CJ289*CJ286)/1000</f>
        <v>8.0270012206893959</v>
      </c>
      <c r="CK296" s="1244">
        <f>+(CK289*CK286)/1000</f>
        <v>8.3645020732740871</v>
      </c>
      <c r="CL296" s="1245">
        <f>+(CL289*CL286)/1000</f>
        <v>8.9358158105511336</v>
      </c>
      <c r="CM296" s="1246">
        <f>+SUM(CI296:CL296)</f>
        <v>32.083513454945823</v>
      </c>
      <c r="CN296" s="1194"/>
      <c r="CO296" s="1243">
        <f>+(CO289*CO286)/1000</f>
        <v>12.551502473242818</v>
      </c>
      <c r="CP296" s="1244">
        <f>+(CP289*CP286)/1000</f>
        <v>11.750104549767306</v>
      </c>
      <c r="CQ296" s="1244">
        <f>+(CQ289*CQ286)/1000</f>
        <v>12.057400387443179</v>
      </c>
      <c r="CR296" s="1245">
        <f>+(CR289*CR286)/1000</f>
        <v>10.303055438026936</v>
      </c>
      <c r="CS296" s="1246">
        <f>+SUM(CO296:CR296)</f>
        <v>46.66206284848024</v>
      </c>
      <c r="CT296" s="1194"/>
      <c r="CU296" s="1243">
        <f>+(CU289*CU286)/1000</f>
        <v>16.971746511634052</v>
      </c>
      <c r="CV296" s="1244">
        <f>+(CV289*CV286)/1000</f>
        <v>17.11188672962572</v>
      </c>
      <c r="CW296" s="1244">
        <f>+(CW289*CW286)/1000</f>
        <v>17.409630565553062</v>
      </c>
      <c r="CX296" s="1245">
        <f>+(CX289*CX286)/1000</f>
        <v>16.216372992087976</v>
      </c>
      <c r="CY296" s="1246">
        <f>+SUM(CU296:CX296)</f>
        <v>67.709636798900817</v>
      </c>
      <c r="CZ296" s="48"/>
      <c r="DD296" s="48"/>
      <c r="DE296" s="48"/>
      <c r="DF296" s="48"/>
      <c r="DG296" s="48"/>
      <c r="DH296" s="48"/>
      <c r="DI296" s="48"/>
      <c r="DJ296" s="48"/>
      <c r="DK296" s="48"/>
    </row>
    <row r="297" spans="1:115" x14ac:dyDescent="0.2">
      <c r="A297" s="205" t="s">
        <v>639</v>
      </c>
      <c r="B297" s="48"/>
      <c r="C297" s="565"/>
      <c r="D297" s="970"/>
      <c r="E297" s="970"/>
      <c r="F297" s="970"/>
      <c r="G297" s="708"/>
      <c r="H297" s="48"/>
      <c r="I297" s="565"/>
      <c r="J297" s="970"/>
      <c r="K297" s="970"/>
      <c r="L297" s="970"/>
      <c r="M297" s="708"/>
      <c r="N297" s="48"/>
      <c r="O297" s="565"/>
      <c r="P297" s="970"/>
      <c r="Q297" s="970"/>
      <c r="R297" s="970"/>
      <c r="S297" s="708"/>
      <c r="T297" s="48"/>
      <c r="U297" s="565"/>
      <c r="V297" s="970"/>
      <c r="W297" s="970"/>
      <c r="X297" s="970"/>
      <c r="Y297" s="708"/>
      <c r="Z297" s="48"/>
      <c r="AA297" s="565"/>
      <c r="AB297" s="970"/>
      <c r="AC297" s="970"/>
      <c r="AD297" s="970"/>
      <c r="AE297" s="708"/>
      <c r="AF297" s="48"/>
      <c r="AG297" s="565"/>
      <c r="AH297" s="970"/>
      <c r="AI297" s="970"/>
      <c r="AJ297" s="970"/>
      <c r="AK297" s="708"/>
      <c r="AL297" s="48"/>
      <c r="AM297" s="565"/>
      <c r="AN297" s="970"/>
      <c r="AO297" s="970"/>
      <c r="AP297" s="970"/>
      <c r="AQ297" s="708"/>
      <c r="AR297" s="48"/>
      <c r="AS297" s="565"/>
      <c r="AT297" s="970"/>
      <c r="AU297" s="970"/>
      <c r="AV297" s="970"/>
      <c r="AW297" s="708"/>
      <c r="AX297" s="48"/>
      <c r="AY297" s="586"/>
      <c r="AZ297" s="587"/>
      <c r="BA297" s="587"/>
      <c r="BB297" s="587"/>
      <c r="BC297" s="707"/>
      <c r="BD297" s="614"/>
      <c r="BE297" s="586"/>
      <c r="BF297" s="587"/>
      <c r="BG297" s="587"/>
      <c r="BH297" s="587"/>
      <c r="BI297" s="1106" t="s">
        <v>429</v>
      </c>
      <c r="BJ297" s="614"/>
      <c r="BK297" s="586">
        <f>BK296/BE296-1</f>
        <v>0.65659967648374717</v>
      </c>
      <c r="BL297" s="587">
        <f>BL296/BF296-1</f>
        <v>0.65659967648374717</v>
      </c>
      <c r="BM297" s="587">
        <f>BM296/BG296-1</f>
        <v>0.65659967648374717</v>
      </c>
      <c r="BN297" s="587">
        <f>BN296/BH296-1</f>
        <v>0.52584472848642538</v>
      </c>
      <c r="BO297" s="707">
        <f>BO296/BI296-1</f>
        <v>0.6192949393134024</v>
      </c>
      <c r="BP297" s="614"/>
      <c r="BQ297" s="586">
        <f>BQ296/BK296-1</f>
        <v>0.24159879013711216</v>
      </c>
      <c r="BR297" s="587">
        <f>BR296/BL296-1</f>
        <v>0.59329499219175119</v>
      </c>
      <c r="BS297" s="587">
        <f>BS296/BM296-1</f>
        <v>0.59329499219175119</v>
      </c>
      <c r="BT297" s="587">
        <f>BT296/BN296-1</f>
        <v>0.43153038853347181</v>
      </c>
      <c r="BU297" s="707">
        <f>BU296/BO296-1</f>
        <v>0.4640908984396348</v>
      </c>
      <c r="BV297" s="614"/>
      <c r="BW297" s="586">
        <f>BW296/BQ296-1</f>
        <v>0.18710934304743865</v>
      </c>
      <c r="BX297" s="587">
        <f>BX296/BR296-1</f>
        <v>8.7958245599064622E-2</v>
      </c>
      <c r="BY297" s="587">
        <f>BY296/BS296-1</f>
        <v>0.21897738566952807</v>
      </c>
      <c r="BZ297" s="587">
        <f>BZ296/BT296-1</f>
        <v>0.32578720421275831</v>
      </c>
      <c r="CA297" s="707">
        <f>CA296/BU296-1</f>
        <v>0.205716656641868</v>
      </c>
      <c r="CB297" s="614"/>
      <c r="CC297" s="586">
        <f>CC296/BW296-1</f>
        <v>0.22600437319013666</v>
      </c>
      <c r="CD297" s="587">
        <f>CD296/BX296-1</f>
        <v>0.19600370122894706</v>
      </c>
      <c r="CE297" s="587">
        <f>CE296/BY296-1</f>
        <v>-1.0199812682883391E-2</v>
      </c>
      <c r="CF297" s="587">
        <f>CF296/BZ296-1</f>
        <v>-3.6860754624660319E-2</v>
      </c>
      <c r="CG297" s="707">
        <f>CG296/CA296-1</f>
        <v>7.9509923311614106E-2</v>
      </c>
      <c r="CH297" s="614"/>
      <c r="CI297" s="586">
        <f>CI296/CC296-1</f>
        <v>3.597851223427706E-2</v>
      </c>
      <c r="CJ297" s="587">
        <f>CJ296/CD296-1</f>
        <v>7.2815458603357142E-2</v>
      </c>
      <c r="CK297" s="587">
        <f>CK296/CE296-1</f>
        <v>0.20562809043274033</v>
      </c>
      <c r="CL297" s="587">
        <f>CL296/CF296-1</f>
        <v>0.22796403543903487</v>
      </c>
      <c r="CM297" s="707">
        <f>CM296/CG296-1</f>
        <v>0.13696508971282961</v>
      </c>
      <c r="CN297" s="614"/>
      <c r="CO297" s="586">
        <f>CO296/CI296-1</f>
        <v>0.85777700021932168</v>
      </c>
      <c r="CP297" s="587">
        <f>CP296/CJ296-1</f>
        <v>0.46382244461128308</v>
      </c>
      <c r="CQ297" s="587">
        <f>CQ296/CK296-1</f>
        <v>0.44149649098282717</v>
      </c>
      <c r="CR297" s="587">
        <f>CR296/CL296-1</f>
        <v>0.15300669311708592</v>
      </c>
      <c r="CS297" s="707">
        <f>CS296/CM296-1</f>
        <v>0.45439379368493271</v>
      </c>
      <c r="CT297" s="614"/>
      <c r="CU297" s="586">
        <f>CU296/CO296-1</f>
        <v>0.35216851909277569</v>
      </c>
      <c r="CV297" s="587">
        <f>CV296/CP296-1</f>
        <v>0.45631782739878668</v>
      </c>
      <c r="CW297" s="587">
        <f>CW296/CQ296-1</f>
        <v>0.44389586528815972</v>
      </c>
      <c r="CX297" s="587">
        <f>CX296/CR296-1</f>
        <v>0.57393824478862143</v>
      </c>
      <c r="CY297" s="707">
        <f>CY296/CS296-1</f>
        <v>0.45106394071701628</v>
      </c>
      <c r="CZ297" s="48"/>
      <c r="DD297" s="48"/>
      <c r="DE297" s="48"/>
      <c r="DF297" s="48"/>
      <c r="DG297" s="48"/>
      <c r="DH297" s="48"/>
      <c r="DI297" s="48"/>
      <c r="DJ297" s="48"/>
      <c r="DK297" s="48"/>
    </row>
    <row r="298" spans="1:115" x14ac:dyDescent="0.2">
      <c r="A298" s="205" t="s">
        <v>227</v>
      </c>
      <c r="B298" s="48"/>
      <c r="C298" s="565"/>
      <c r="D298" s="970"/>
      <c r="E298" s="970"/>
      <c r="F298" s="970"/>
      <c r="G298" s="708"/>
      <c r="H298" s="48"/>
      <c r="I298" s="565"/>
      <c r="J298" s="970"/>
      <c r="K298" s="970"/>
      <c r="L298" s="970"/>
      <c r="M298" s="708"/>
      <c r="N298" s="48"/>
      <c r="O298" s="565"/>
      <c r="P298" s="970"/>
      <c r="Q298" s="970"/>
      <c r="R298" s="970"/>
      <c r="S298" s="708"/>
      <c r="T298" s="48"/>
      <c r="U298" s="565"/>
      <c r="V298" s="970"/>
      <c r="W298" s="970"/>
      <c r="X298" s="970"/>
      <c r="Y298" s="708"/>
      <c r="Z298" s="48"/>
      <c r="AA298" s="565"/>
      <c r="AB298" s="970"/>
      <c r="AC298" s="970"/>
      <c r="AD298" s="970"/>
      <c r="AE298" s="708"/>
      <c r="AF298" s="48"/>
      <c r="AG298" s="565"/>
      <c r="AH298" s="970"/>
      <c r="AI298" s="970"/>
      <c r="AJ298" s="970"/>
      <c r="AK298" s="708"/>
      <c r="AL298" s="48"/>
      <c r="AM298" s="565"/>
      <c r="AN298" s="970"/>
      <c r="AO298" s="970"/>
      <c r="AP298" s="970"/>
      <c r="AQ298" s="708"/>
      <c r="AR298" s="48"/>
      <c r="AS298" s="565"/>
      <c r="AT298" s="970"/>
      <c r="AU298" s="970"/>
      <c r="AV298" s="970"/>
      <c r="AW298" s="708"/>
      <c r="AX298" s="48"/>
      <c r="AY298" s="1109"/>
      <c r="AZ298" s="1110"/>
      <c r="BA298" s="1110"/>
      <c r="BB298" s="1110"/>
      <c r="BC298" s="562"/>
      <c r="BD298" s="614"/>
      <c r="BE298" s="1109"/>
      <c r="BF298" s="1110"/>
      <c r="BG298" s="1110"/>
      <c r="BH298" s="1110"/>
      <c r="BI298" s="1106" t="s">
        <v>429</v>
      </c>
      <c r="BJ298" s="614"/>
      <c r="BK298" s="1109">
        <f>+BK297-RevBuild!BK$59</f>
        <v>0.66115141970455538</v>
      </c>
      <c r="BL298" s="1110">
        <f>+BL297-RevBuild!BL$59</f>
        <v>0.64974620695667484</v>
      </c>
      <c r="BM298" s="1110">
        <f>+BM297-RevBuild!BM$59</f>
        <v>0.65661956462837479</v>
      </c>
      <c r="BN298" s="1110">
        <f>+BN297-RevBuild!BN$59</f>
        <v>0.57374013232276733</v>
      </c>
      <c r="BO298" s="1228">
        <f>+BO297-RevBuild!BO$59</f>
        <v>0.62883452338669166</v>
      </c>
      <c r="BP298" s="614"/>
      <c r="BQ298" s="1109">
        <f>+BQ297-RevBuild!BQ$59</f>
        <v>0.32034354788273012</v>
      </c>
      <c r="BR298" s="1110">
        <f>+BR297-RevBuild!BR$59</f>
        <v>0.67786167103499628</v>
      </c>
      <c r="BS298" s="1110">
        <f>+BS297-RevBuild!BS$59</f>
        <v>0.68229499219175116</v>
      </c>
      <c r="BT298" s="1110">
        <f>+BT297-RevBuild!BT$59</f>
        <v>0.49453038853347181</v>
      </c>
      <c r="BU298" s="1228">
        <f>+BU297-RevBuild!BU$59</f>
        <v>0.54434089843963473</v>
      </c>
      <c r="BV298" s="614"/>
      <c r="BW298" s="1109">
        <f>+BW297-RevBuild!BW$59</f>
        <v>0.20728097352188188</v>
      </c>
      <c r="BX298" s="1110">
        <f>+BX297-RevBuild!BX$59</f>
        <v>0.10314115654767736</v>
      </c>
      <c r="BY298" s="1110">
        <f>+BY297-RevBuild!BY$59</f>
        <v>0.22728637820197789</v>
      </c>
      <c r="BZ298" s="1110">
        <f>+BZ297-RevBuild!BZ$59</f>
        <v>0.35609423434188309</v>
      </c>
      <c r="CA298" s="1228">
        <f>+CA297-RevBuild!CA$59</f>
        <v>0.22442773788621923</v>
      </c>
      <c r="CB298" s="614"/>
      <c r="CC298" s="1109">
        <f>+CC297-RevBuild!CC$59</f>
        <v>0.2477346055456307</v>
      </c>
      <c r="CD298" s="1110">
        <f>+CD297-RevBuild!CD$59</f>
        <v>0.21856872879972794</v>
      </c>
      <c r="CE298" s="1110">
        <f>+CE297-RevBuild!CE$59</f>
        <v>-1.612582062536666E-2</v>
      </c>
      <c r="CF298" s="1110">
        <f>+CF297-RevBuild!CF$59</f>
        <v>-6.0344377395897542E-2</v>
      </c>
      <c r="CG298" s="1228">
        <f>+CG297-RevBuild!CG$59</f>
        <v>8.3231330614752713E-2</v>
      </c>
      <c r="CH298" s="614"/>
      <c r="CI298" s="1109">
        <f>+CI297-RevBuild!CI$59</f>
        <v>-1.4021487765722943E-2</v>
      </c>
      <c r="CJ298" s="1110">
        <f>+CJ297-RevBuild!CJ$59</f>
        <v>2.7815458603357143E-2</v>
      </c>
      <c r="CK298" s="1110">
        <f>+CK297-RevBuild!CK$59</f>
        <v>0.18062809043274033</v>
      </c>
      <c r="CL298" s="1110">
        <f>+CL297-RevBuild!CL$59</f>
        <v>0.20796403543903488</v>
      </c>
      <c r="CM298" s="1228">
        <f>+CM297-RevBuild!CM$59</f>
        <v>0.10196508971282961</v>
      </c>
      <c r="CN298" s="614"/>
      <c r="CO298" s="1109">
        <f>+CO297-RevBuild!CO$59</f>
        <v>0.85777700021932168</v>
      </c>
      <c r="CP298" s="1110">
        <f>+CP297-RevBuild!CP$59</f>
        <v>0.46382244461128308</v>
      </c>
      <c r="CQ298" s="1110">
        <f>+CQ297-RevBuild!CQ$59</f>
        <v>0.44149649098282717</v>
      </c>
      <c r="CR298" s="1110">
        <f>+CR297-RevBuild!CR$59</f>
        <v>0.15300669311708592</v>
      </c>
      <c r="CS298" s="1228">
        <f>+CS297-RevBuild!CS$59</f>
        <v>0.45439379368493271</v>
      </c>
      <c r="CT298" s="614"/>
      <c r="CU298" s="1109">
        <f>+CU297-RevBuild!CU$59</f>
        <v>0.35216851909277569</v>
      </c>
      <c r="CV298" s="1110">
        <f>+CV297-RevBuild!CV$59</f>
        <v>0.45631782739878668</v>
      </c>
      <c r="CW298" s="1110">
        <f>+CW297-RevBuild!CW$59</f>
        <v>0.44389586528815972</v>
      </c>
      <c r="CX298" s="1110">
        <f>+CX297-RevBuild!CX$59</f>
        <v>0.57393824478862143</v>
      </c>
      <c r="CY298" s="1228">
        <f>+CY297-RevBuild!CY$59</f>
        <v>0.45106394071701628</v>
      </c>
      <c r="CZ298" s="48"/>
      <c r="DD298" s="48"/>
      <c r="DE298" s="48"/>
      <c r="DF298" s="48"/>
      <c r="DG298" s="48"/>
      <c r="DH298" s="48"/>
      <c r="DI298" s="48"/>
      <c r="DJ298" s="48"/>
      <c r="DK298" s="48"/>
    </row>
    <row r="299" spans="1:115" x14ac:dyDescent="0.2">
      <c r="A299" s="1196" t="s">
        <v>425</v>
      </c>
      <c r="B299" s="1197"/>
      <c r="C299" s="1198"/>
      <c r="D299" s="1198"/>
      <c r="E299" s="1198"/>
      <c r="F299" s="1198"/>
      <c r="G299" s="1199"/>
      <c r="H299" s="1200"/>
      <c r="I299" s="1201"/>
      <c r="J299" s="1198"/>
      <c r="K299" s="1198"/>
      <c r="L299" s="1198"/>
      <c r="M299" s="1199"/>
      <c r="N299" s="1200"/>
      <c r="O299" s="1201"/>
      <c r="P299" s="1198"/>
      <c r="Q299" s="1198"/>
      <c r="R299" s="1198"/>
      <c r="S299" s="1199"/>
      <c r="T299" s="1198"/>
      <c r="U299" s="1201"/>
      <c r="V299" s="1198"/>
      <c r="W299" s="1198"/>
      <c r="X299" s="1198"/>
      <c r="Y299" s="1202"/>
      <c r="Z299" s="1203"/>
      <c r="AA299" s="1204"/>
      <c r="AB299" s="1205"/>
      <c r="AC299" s="1205"/>
      <c r="AD299" s="1206"/>
      <c r="AE299" s="1207"/>
      <c r="AF299" s="1200"/>
      <c r="AG299" s="1209">
        <f>AG296/AG$366</f>
        <v>0</v>
      </c>
      <c r="AH299" s="1210">
        <f>AH296/AH$366</f>
        <v>0</v>
      </c>
      <c r="AI299" s="1210">
        <f>AI296/AI$366</f>
        <v>0</v>
      </c>
      <c r="AJ299" s="1210">
        <f>AJ296/AJ$366</f>
        <v>0</v>
      </c>
      <c r="AK299" s="1208">
        <f>AK296/AK$366</f>
        <v>0</v>
      </c>
      <c r="AL299" s="1200"/>
      <c r="AM299" s="1209">
        <f>AM296/AM$366</f>
        <v>0</v>
      </c>
      <c r="AN299" s="1210">
        <f>AN296/AN$366</f>
        <v>0</v>
      </c>
      <c r="AO299" s="1210">
        <f>AO296/AO$366</f>
        <v>0</v>
      </c>
      <c r="AP299" s="1210">
        <f>AP296/AP$366</f>
        <v>0</v>
      </c>
      <c r="AQ299" s="1208">
        <f>AQ296/AQ$366</f>
        <v>0</v>
      </c>
      <c r="AR299" s="1200"/>
      <c r="AS299" s="1209">
        <f>AS296/AS$366</f>
        <v>0</v>
      </c>
      <c r="AT299" s="1210">
        <f>AT296/AT$366</f>
        <v>0</v>
      </c>
      <c r="AU299" s="1210">
        <f>AU296/AU$366</f>
        <v>0</v>
      </c>
      <c r="AV299" s="1210">
        <f>AV296/AV$366</f>
        <v>0</v>
      </c>
      <c r="AW299" s="1208">
        <f>AW296/AW$366</f>
        <v>0</v>
      </c>
      <c r="AX299" s="1200"/>
      <c r="AY299" s="1209">
        <f>AY296/AY$366</f>
        <v>5.7280033945598585E-3</v>
      </c>
      <c r="AZ299" s="1210">
        <f>AZ296/AZ$366</f>
        <v>5.5268046020911302E-3</v>
      </c>
      <c r="BA299" s="1210">
        <f>BA296/BA$366</f>
        <v>5.5799132476764607E-3</v>
      </c>
      <c r="BB299" s="1210">
        <f>BB296/BB$366</f>
        <v>3.4010173182659419E-3</v>
      </c>
      <c r="BC299" s="1208">
        <f>BC296/BC$366</f>
        <v>5.000000000000001E-3</v>
      </c>
      <c r="BD299" s="1200"/>
      <c r="BE299" s="1209">
        <f>BE296/BE$366</f>
        <v>7.176329266257323E-3</v>
      </c>
      <c r="BF299" s="1210">
        <f>BF296/BF$366</f>
        <v>6.8852045223737829E-3</v>
      </c>
      <c r="BG299" s="1210">
        <f>BG296/BG$366</f>
        <v>6.7278793287854129E-3</v>
      </c>
      <c r="BH299" s="1210">
        <f>BH296/BH$366</f>
        <v>7.1955651778203749E-3</v>
      </c>
      <c r="BI299" s="1208">
        <f>BI296/BI$366</f>
        <v>7.0000000000000001E-3</v>
      </c>
      <c r="BJ299" s="1200"/>
      <c r="BK299" s="1209">
        <f>BK296/BK$366</f>
        <v>1.1371490328414833E-2</v>
      </c>
      <c r="BL299" s="1210">
        <f>BL296/BL$366</f>
        <v>1.0895534013410341E-2</v>
      </c>
      <c r="BM299" s="1210">
        <f>BM296/BM$366</f>
        <v>1.0716938326449044E-2</v>
      </c>
      <c r="BN299" s="1210">
        <f>BN296/BN$366</f>
        <v>1.1033327790249712E-2</v>
      </c>
      <c r="BO299" s="1208">
        <f>BO296/BO$366</f>
        <v>1.1000000000000001E-2</v>
      </c>
      <c r="BP299" s="1200"/>
      <c r="BQ299" s="1209">
        <f>BQ296/BQ$366</f>
        <v>1.4999999999999996E-2</v>
      </c>
      <c r="BR299" s="1210">
        <f>BR296/BR$366</f>
        <v>1.7999999999999999E-2</v>
      </c>
      <c r="BS299" s="1210">
        <f>BS296/BS$366</f>
        <v>1.8280104653787342E-2</v>
      </c>
      <c r="BT299" s="1210">
        <f>BT296/BT$366</f>
        <v>1.6352451728196542E-2</v>
      </c>
      <c r="BU299" s="1208">
        <f>BU296/BU$366</f>
        <v>1.6921169258110075E-2</v>
      </c>
      <c r="BV299" s="1200"/>
      <c r="BW299" s="1209">
        <f>BW296/BW$366</f>
        <v>1.7827527420120962E-2</v>
      </c>
      <c r="BX299" s="1210">
        <f>BX296/BX$366</f>
        <v>1.8707421406856529E-2</v>
      </c>
      <c r="BY299" s="1210">
        <f>BY296/BY$366</f>
        <v>2.0695848693907334E-2</v>
      </c>
      <c r="BZ299" s="1210">
        <f>BZ296/BZ$366</f>
        <v>2.0614258989875719E-2</v>
      </c>
      <c r="CA299" s="1208">
        <f>CA296/CA$366</f>
        <v>1.9536868828092479E-2</v>
      </c>
      <c r="CB299" s="1200"/>
      <c r="CC299" s="1209">
        <f>CC296/CC$366</f>
        <v>2.1152875332896701E-2</v>
      </c>
      <c r="CD299" s="1210">
        <f>CD296/CD$366</f>
        <v>2.1401757003652259E-2</v>
      </c>
      <c r="CE299" s="1210">
        <f>CE296/CE$366</f>
        <v>1.9039185559878435E-2</v>
      </c>
      <c r="CF299" s="1210">
        <f>CF296/CF$366</f>
        <v>1.8324598019025803E-2</v>
      </c>
      <c r="CG299" s="1208">
        <f>CG296/CG$366</f>
        <v>1.9880272893990171E-2</v>
      </c>
      <c r="CH299" s="1200"/>
      <c r="CI299" s="1209">
        <f>CI296/CI$366</f>
        <v>1.9743583297475255E-2</v>
      </c>
      <c r="CJ299" s="1210">
        <f>CJ296/CJ$366</f>
        <v>2.0581645232990244E-2</v>
      </c>
      <c r="CK299" s="1210">
        <f>CK296/CK$366</f>
        <v>2.0756678747943673E-2</v>
      </c>
      <c r="CL299" s="1210">
        <f>CL296/CL$366</f>
        <v>2.0802266707490653E-2</v>
      </c>
      <c r="CM299" s="1208">
        <f>CM296/CM$366</f>
        <v>2.050401118447838E-2</v>
      </c>
      <c r="CN299" s="1200"/>
      <c r="CO299" s="1209">
        <f>CO296/CO$366</f>
        <v>3.3036433105958947E-2</v>
      </c>
      <c r="CP299" s="1210">
        <f>CP296/CP$366</f>
        <v>2.8011685377757976E-2</v>
      </c>
      <c r="CQ299" s="1210">
        <f>CQ296/CQ$366</f>
        <v>2.8234319160417107E-2</v>
      </c>
      <c r="CR299" s="1210">
        <f>CR296/CR$366</f>
        <v>2.203384001973813E-2</v>
      </c>
      <c r="CS299" s="1208">
        <f>CS296/CS$366</f>
        <v>2.7544682577547306E-2</v>
      </c>
      <c r="CT299" s="1200"/>
      <c r="CU299" s="1209">
        <f>CU296/CU$366</f>
        <v>4.0347176405599088E-2</v>
      </c>
      <c r="CV299" s="1210">
        <f>CV296/CV$366</f>
        <v>3.7062370993230717E-2</v>
      </c>
      <c r="CW299" s="1210">
        <f>CW296/CW$366</f>
        <v>3.71202530354591E-2</v>
      </c>
      <c r="CX299" s="1210">
        <f>CX296/CX$366</f>
        <v>3.1605126529067669E-2</v>
      </c>
      <c r="CY299" s="1208">
        <f>CY296/CY$366</f>
        <v>3.6316199147407004E-2</v>
      </c>
      <c r="CZ299" s="48"/>
      <c r="DD299" s="48"/>
      <c r="DE299" s="48"/>
      <c r="DF299" s="48"/>
      <c r="DG299" s="48"/>
      <c r="DH299" s="48"/>
      <c r="DI299" s="48"/>
      <c r="DJ299" s="48"/>
      <c r="DK299" s="48"/>
    </row>
    <row r="300" spans="1:115" outlineLevel="1" x14ac:dyDescent="0.2">
      <c r="A300" s="354" t="s">
        <v>522</v>
      </c>
      <c r="B300" s="58"/>
      <c r="C300" s="558"/>
      <c r="D300" s="558"/>
      <c r="E300" s="558"/>
      <c r="F300" s="558"/>
      <c r="G300" s="629"/>
      <c r="H300" s="557"/>
      <c r="I300" s="704"/>
      <c r="J300" s="558"/>
      <c r="K300" s="558"/>
      <c r="L300" s="558"/>
      <c r="M300" s="629"/>
      <c r="N300" s="557"/>
      <c r="O300" s="704"/>
      <c r="P300" s="558"/>
      <c r="Q300" s="558"/>
      <c r="R300" s="558"/>
      <c r="S300" s="1134"/>
      <c r="T300" s="558"/>
      <c r="U300" s="704"/>
      <c r="V300" s="558"/>
      <c r="W300" s="558"/>
      <c r="X300" s="558"/>
      <c r="Y300" s="1134"/>
      <c r="Z300" s="578"/>
      <c r="AA300" s="581"/>
      <c r="AB300" s="550"/>
      <c r="AC300" s="550"/>
      <c r="AD300" s="582"/>
      <c r="AE300" s="580"/>
      <c r="AF300" s="557"/>
      <c r="AG300" s="581"/>
      <c r="AH300" s="550"/>
      <c r="AI300" s="550"/>
      <c r="AJ300" s="582"/>
      <c r="AK300" s="580"/>
      <c r="AL300" s="557"/>
      <c r="AM300" s="581"/>
      <c r="AN300" s="550"/>
      <c r="AO300" s="550"/>
      <c r="AP300" s="550"/>
      <c r="AQ300" s="580"/>
      <c r="AR300" s="557"/>
      <c r="AS300" s="581">
        <f>+AS301*AS294</f>
        <v>0</v>
      </c>
      <c r="AT300" s="550">
        <f>+AT301*AT294</f>
        <v>0</v>
      </c>
      <c r="AU300" s="550">
        <f>+AU301*AU294</f>
        <v>0</v>
      </c>
      <c r="AV300" s="582">
        <f>+AV301*AV294</f>
        <v>0</v>
      </c>
      <c r="AW300" s="580">
        <f>+SUM(AS300:AV300)</f>
        <v>0</v>
      </c>
      <c r="AX300" s="557"/>
      <c r="AY300" s="581">
        <f>+AY301*AY294</f>
        <v>1.2904087288888892</v>
      </c>
      <c r="AZ300" s="550">
        <f>+AZ301*AZ294</f>
        <v>1.2904087288888892</v>
      </c>
      <c r="BA300" s="550">
        <f>+BA301*BA294</f>
        <v>1.2904087288888892</v>
      </c>
      <c r="BB300" s="582">
        <f>+BB301*BB294</f>
        <v>0.89570661333333323</v>
      </c>
      <c r="BC300" s="580">
        <f>+SUM(AY300:BB300)</f>
        <v>4.7669328000000011</v>
      </c>
      <c r="BD300" s="557"/>
      <c r="BE300" s="581">
        <f>+BE301*BE294</f>
        <v>1.6774922266666665</v>
      </c>
      <c r="BF300" s="550">
        <f>+BF301*BF294</f>
        <v>1.6774922266666665</v>
      </c>
      <c r="BG300" s="550">
        <f>+BG301*BG294</f>
        <v>1.6774922266666665</v>
      </c>
      <c r="BH300" s="582">
        <f>+BH301*BH294</f>
        <v>2.0089330800000003</v>
      </c>
      <c r="BI300" s="580">
        <f>+SUM(BE300:BH300)</f>
        <v>7.0414097599999996</v>
      </c>
      <c r="BJ300" s="557"/>
      <c r="BK300" s="581">
        <f>+BK301*BK294</f>
        <v>2.7789330800000003</v>
      </c>
      <c r="BL300" s="550">
        <f>+BL301*BL294</f>
        <v>2.7789330800000003</v>
      </c>
      <c r="BM300" s="550">
        <f>+BM301*BM294</f>
        <v>2.7789330800000003</v>
      </c>
      <c r="BN300" s="582">
        <f>+BN301*BN294</f>
        <v>3.0653199499999992</v>
      </c>
      <c r="BO300" s="580">
        <f>+SUM(BK300:BN300)</f>
        <v>11.402119190000001</v>
      </c>
      <c r="BP300" s="557"/>
      <c r="BQ300" s="581">
        <f>+BQ301*BQ294</f>
        <v>3.450319949999999</v>
      </c>
      <c r="BR300" s="550">
        <f>+BR301*BR294</f>
        <v>4.4276601600000003</v>
      </c>
      <c r="BS300" s="550">
        <f>+BS301*BS294</f>
        <v>4.4276601600000003</v>
      </c>
      <c r="BT300" s="582">
        <f>+BT301*BT294</f>
        <v>4.3880986590029014</v>
      </c>
      <c r="BU300" s="580">
        <f>+SUM(BQ300:BT300)</f>
        <v>16.693738929002901</v>
      </c>
      <c r="BV300" s="557"/>
      <c r="BW300" s="581">
        <f>+BW301*BW294</f>
        <v>4.0959070491479705</v>
      </c>
      <c r="BX300" s="550">
        <f>+BX301*BX294</f>
        <v>4.8171093797824733</v>
      </c>
      <c r="BY300" s="550">
        <f>+BY301*BY294</f>
        <v>5.3972176064699244</v>
      </c>
      <c r="BZ300" s="582">
        <f>+BZ301*BZ294</f>
        <v>5.8176850529292103</v>
      </c>
      <c r="CA300" s="580">
        <f>+SUM(BW300:BZ300)</f>
        <v>20.127919088329577</v>
      </c>
      <c r="CB300" s="557"/>
      <c r="CC300" s="581">
        <f>+CC301*CC294</f>
        <v>5.0215999544357199</v>
      </c>
      <c r="CD300" s="550">
        <f>+CD301*CD294</f>
        <v>5.761280647444516</v>
      </c>
      <c r="CE300" s="550">
        <f>+CE301*CE294</f>
        <v>5.3421669978751707</v>
      </c>
      <c r="CF300" s="582">
        <f>+CF301*CF294</f>
        <v>5.6032407917096325</v>
      </c>
      <c r="CG300" s="580">
        <f>+SUM(CC300:CF300)</f>
        <v>21.728288391465043</v>
      </c>
      <c r="CH300" s="557"/>
      <c r="CI300" s="581">
        <f>+CI301*CI294</f>
        <v>5.2022696498320302</v>
      </c>
      <c r="CJ300" s="550">
        <f>+CJ301*CJ294</f>
        <v>6.1807909399308354</v>
      </c>
      <c r="CK300" s="550">
        <f>+CK301*CK294</f>
        <v>6.440666596421047</v>
      </c>
      <c r="CL300" s="582">
        <f>+CL301*CL294</f>
        <v>6.8805781741243734</v>
      </c>
      <c r="CM300" s="580">
        <f>+SUM(CI300:CL300)</f>
        <v>24.704305360308286</v>
      </c>
      <c r="CN300" s="557"/>
      <c r="CO300" s="581">
        <f>+CO301*CO294</f>
        <v>9.6646569043969706</v>
      </c>
      <c r="CP300" s="550">
        <f>+CP301*CP294</f>
        <v>9.047580503320825</v>
      </c>
      <c r="CQ300" s="550">
        <f>+CQ301*CQ294</f>
        <v>9.2841982983312477</v>
      </c>
      <c r="CR300" s="582">
        <f>+CR301*CR294</f>
        <v>7.9333526872807409</v>
      </c>
      <c r="CS300" s="580">
        <f>+SUM(CO300:CR300)</f>
        <v>35.92978839332978</v>
      </c>
      <c r="CT300" s="557"/>
      <c r="CU300" s="581">
        <f>+CU301*CU294</f>
        <v>13.06824481395822</v>
      </c>
      <c r="CV300" s="550">
        <f>+CV301*CV294</f>
        <v>13.176152781811805</v>
      </c>
      <c r="CW300" s="550">
        <f>+CW301*CW294</f>
        <v>13.405415535475859</v>
      </c>
      <c r="CX300" s="582">
        <f>+CX301*CX294</f>
        <v>12.486607203907742</v>
      </c>
      <c r="CY300" s="580">
        <f>+SUM(CU300:CX300)</f>
        <v>52.13642033515363</v>
      </c>
      <c r="CZ300" s="48"/>
      <c r="DD300" s="48"/>
      <c r="DE300" s="48"/>
      <c r="DF300" s="48"/>
      <c r="DG300" s="48"/>
      <c r="DH300" s="48"/>
      <c r="DI300" s="48"/>
      <c r="DJ300" s="48"/>
      <c r="DK300" s="48"/>
    </row>
    <row r="301" spans="1:115" outlineLevel="1" x14ac:dyDescent="0.2">
      <c r="A301" s="205" t="s">
        <v>471</v>
      </c>
      <c r="B301" s="58"/>
      <c r="C301" s="558"/>
      <c r="D301" s="558"/>
      <c r="E301" s="558"/>
      <c r="F301" s="558"/>
      <c r="G301" s="629"/>
      <c r="H301" s="557"/>
      <c r="I301" s="704"/>
      <c r="J301" s="558"/>
      <c r="K301" s="558"/>
      <c r="L301" s="558"/>
      <c r="M301" s="629"/>
      <c r="N301" s="557"/>
      <c r="O301" s="704"/>
      <c r="P301" s="558"/>
      <c r="Q301" s="558"/>
      <c r="R301" s="558"/>
      <c r="S301" s="1134"/>
      <c r="T301" s="558"/>
      <c r="U301" s="704"/>
      <c r="V301" s="558"/>
      <c r="W301" s="558"/>
      <c r="X301" s="558"/>
      <c r="Y301" s="1134"/>
      <c r="Z301" s="578"/>
      <c r="AA301" s="581"/>
      <c r="AB301" s="550"/>
      <c r="AC301" s="550"/>
      <c r="AD301" s="582"/>
      <c r="AE301" s="580"/>
      <c r="AF301" s="557"/>
      <c r="AG301" s="581"/>
      <c r="AH301" s="550"/>
      <c r="AI301" s="550"/>
      <c r="AJ301" s="582"/>
      <c r="AK301" s="580"/>
      <c r="AL301" s="557"/>
      <c r="AM301" s="581"/>
      <c r="AN301" s="550"/>
      <c r="AO301" s="550"/>
      <c r="AP301" s="550"/>
      <c r="AQ301" s="580"/>
      <c r="AR301" s="557"/>
      <c r="AS301" s="909">
        <v>0.76</v>
      </c>
      <c r="AT301" s="910">
        <v>0.76</v>
      </c>
      <c r="AU301" s="910">
        <v>0.76</v>
      </c>
      <c r="AV301" s="910">
        <v>0.76</v>
      </c>
      <c r="AW301" s="1106">
        <v>0</v>
      </c>
      <c r="AX301" s="557"/>
      <c r="AY301" s="909">
        <v>0.76</v>
      </c>
      <c r="AZ301" s="910">
        <v>0.76</v>
      </c>
      <c r="BA301" s="910">
        <v>0.76</v>
      </c>
      <c r="BB301" s="910">
        <v>0.76</v>
      </c>
      <c r="BC301" s="1106">
        <v>0</v>
      </c>
      <c r="BD301" s="557"/>
      <c r="BE301" s="909">
        <v>0.77</v>
      </c>
      <c r="BF301" s="910">
        <v>0.77</v>
      </c>
      <c r="BG301" s="910">
        <v>0.77</v>
      </c>
      <c r="BH301" s="910">
        <v>0.77</v>
      </c>
      <c r="BI301" s="707">
        <f>+BI300/BI294</f>
        <v>0.76999999999999991</v>
      </c>
      <c r="BJ301" s="557"/>
      <c r="BK301" s="909">
        <v>0.77</v>
      </c>
      <c r="BL301" s="910">
        <v>0.77</v>
      </c>
      <c r="BM301" s="910">
        <v>0.77</v>
      </c>
      <c r="BN301" s="910">
        <v>0.77</v>
      </c>
      <c r="BO301" s="707">
        <f>+BO300/BO294</f>
        <v>0.77</v>
      </c>
      <c r="BP301" s="557"/>
      <c r="BQ301" s="909">
        <v>0.77</v>
      </c>
      <c r="BR301" s="910">
        <v>0.77</v>
      </c>
      <c r="BS301" s="910">
        <v>0.77</v>
      </c>
      <c r="BT301" s="910">
        <v>0.77</v>
      </c>
      <c r="BU301" s="707">
        <f>+BU300/BU294</f>
        <v>0.76999999999999991</v>
      </c>
      <c r="BV301" s="557"/>
      <c r="BW301" s="909">
        <v>0.77</v>
      </c>
      <c r="BX301" s="910">
        <v>0.77</v>
      </c>
      <c r="BY301" s="910">
        <v>0.77</v>
      </c>
      <c r="BZ301" s="910">
        <v>0.77</v>
      </c>
      <c r="CA301" s="707">
        <f>+CA300/CA294</f>
        <v>0.76999999999999991</v>
      </c>
      <c r="CB301" s="557"/>
      <c r="CC301" s="909">
        <v>0.77</v>
      </c>
      <c r="CD301" s="910">
        <v>0.77</v>
      </c>
      <c r="CE301" s="910">
        <v>0.77</v>
      </c>
      <c r="CF301" s="910">
        <v>0.77</v>
      </c>
      <c r="CG301" s="707">
        <f>+CG300/CG294</f>
        <v>0.77000000000000013</v>
      </c>
      <c r="CH301" s="557"/>
      <c r="CI301" s="909">
        <v>0.77</v>
      </c>
      <c r="CJ301" s="910">
        <v>0.77</v>
      </c>
      <c r="CK301" s="910">
        <v>0.77</v>
      </c>
      <c r="CL301" s="910">
        <v>0.77</v>
      </c>
      <c r="CM301" s="707">
        <f>+CM300/CM294</f>
        <v>0.77</v>
      </c>
      <c r="CN301" s="557"/>
      <c r="CO301" s="909">
        <v>0.77</v>
      </c>
      <c r="CP301" s="910">
        <v>0.77</v>
      </c>
      <c r="CQ301" s="910">
        <v>0.77</v>
      </c>
      <c r="CR301" s="910">
        <v>0.77</v>
      </c>
      <c r="CS301" s="707">
        <f>+CS300/CS294</f>
        <v>0.76999999999999991</v>
      </c>
      <c r="CT301" s="557"/>
      <c r="CU301" s="909">
        <v>0.77</v>
      </c>
      <c r="CV301" s="910">
        <v>0.77</v>
      </c>
      <c r="CW301" s="910">
        <v>0.77</v>
      </c>
      <c r="CX301" s="910">
        <v>0.77</v>
      </c>
      <c r="CY301" s="707">
        <f>+CY300/CY294</f>
        <v>0.77</v>
      </c>
      <c r="CZ301" s="48"/>
      <c r="DD301" s="48"/>
      <c r="DE301" s="48"/>
      <c r="DF301" s="48"/>
      <c r="DG301" s="48"/>
      <c r="DH301" s="48"/>
      <c r="DI301" s="48"/>
      <c r="DJ301" s="48"/>
      <c r="DK301" s="48"/>
    </row>
    <row r="302" spans="1:115" outlineLevel="1" x14ac:dyDescent="0.2">
      <c r="A302" s="354" t="s">
        <v>523</v>
      </c>
      <c r="B302" s="58"/>
      <c r="C302" s="558"/>
      <c r="D302" s="558"/>
      <c r="E302" s="558"/>
      <c r="F302" s="558"/>
      <c r="G302" s="629"/>
      <c r="H302" s="557"/>
      <c r="I302" s="704"/>
      <c r="J302" s="558"/>
      <c r="K302" s="558"/>
      <c r="L302" s="558"/>
      <c r="M302" s="629"/>
      <c r="N302" s="557"/>
      <c r="O302" s="704"/>
      <c r="P302" s="558"/>
      <c r="Q302" s="558"/>
      <c r="R302" s="558"/>
      <c r="S302" s="1134"/>
      <c r="T302" s="558"/>
      <c r="U302" s="704"/>
      <c r="V302" s="558"/>
      <c r="W302" s="558"/>
      <c r="X302" s="558"/>
      <c r="Y302" s="1134"/>
      <c r="Z302" s="578"/>
      <c r="AA302" s="581"/>
      <c r="AB302" s="550"/>
      <c r="AC302" s="550"/>
      <c r="AD302" s="582"/>
      <c r="AE302" s="580"/>
      <c r="AF302" s="557"/>
      <c r="AG302" s="581"/>
      <c r="AH302" s="550"/>
      <c r="AI302" s="550"/>
      <c r="AJ302" s="582"/>
      <c r="AK302" s="580"/>
      <c r="AL302" s="557"/>
      <c r="AM302" s="581"/>
      <c r="AN302" s="550"/>
      <c r="AO302" s="550"/>
      <c r="AP302" s="550"/>
      <c r="AQ302" s="580"/>
      <c r="AR302" s="557"/>
      <c r="AS302" s="581">
        <f>+AS303*AS294</f>
        <v>0</v>
      </c>
      <c r="AT302" s="550">
        <f>+AT303*AT294</f>
        <v>0</v>
      </c>
      <c r="AU302" s="550">
        <f>+AU303*AU294</f>
        <v>0</v>
      </c>
      <c r="AV302" s="550">
        <f>+AV303*AV294</f>
        <v>0</v>
      </c>
      <c r="AW302" s="580">
        <f>SUM(AS302:AV302)</f>
        <v>0</v>
      </c>
      <c r="AX302" s="557"/>
      <c r="AY302" s="581">
        <f>+AY303*AY294</f>
        <v>0.74367690410095422</v>
      </c>
      <c r="AZ302" s="550">
        <f>+AZ303*AZ294</f>
        <v>0.73555695271025545</v>
      </c>
      <c r="BA302" s="550">
        <f>+BA303*BA294</f>
        <v>0.75605129445283514</v>
      </c>
      <c r="BB302" s="550">
        <f>+BB303*BB294</f>
        <v>0.49033263875379007</v>
      </c>
      <c r="BC302" s="580">
        <f>SUM(AY302:BB302)</f>
        <v>2.7256177900178349</v>
      </c>
      <c r="BD302" s="557"/>
      <c r="BE302" s="581">
        <f>+BE303*BE294</f>
        <v>0.98110227099804259</v>
      </c>
      <c r="BF302" s="550">
        <f>+BF303*BF294</f>
        <v>0.92999422520984276</v>
      </c>
      <c r="BG302" s="550">
        <f>+BG303*BG294</f>
        <v>0.92058160689716939</v>
      </c>
      <c r="BH302" s="550">
        <f>+BH303*BH294</f>
        <v>1.0697739411976606</v>
      </c>
      <c r="BI302" s="580">
        <f>SUM(BE302:BH302)</f>
        <v>3.9014520443027152</v>
      </c>
      <c r="BJ302" s="557"/>
      <c r="BK302" s="581">
        <f>+BK303*BK294</f>
        <v>1.6479661915380837</v>
      </c>
      <c r="BL302" s="550">
        <f>+BL303*BL294</f>
        <v>1.5925953445461791</v>
      </c>
      <c r="BM302" s="550">
        <f>+BM303*BM294</f>
        <v>1.5878604530822957</v>
      </c>
      <c r="BN302" s="550">
        <f>+BN303*BN294</f>
        <v>1.7841488202360127</v>
      </c>
      <c r="BO302" s="580">
        <f>SUM(BK302:BN302)</f>
        <v>6.6125708094025715</v>
      </c>
      <c r="BP302" s="557"/>
      <c r="BQ302" s="581">
        <f>+BQ303*BQ294</f>
        <v>2.0616803322103814</v>
      </c>
      <c r="BR302" s="550">
        <f>+BR303*BR294</f>
        <v>2.4001098369635852</v>
      </c>
      <c r="BS302" s="550">
        <f>+BS303*BS294</f>
        <v>2.3865706141398135</v>
      </c>
      <c r="BT302" s="550">
        <f>+BT303*BT294</f>
        <v>2.2669070489987946</v>
      </c>
      <c r="BU302" s="580">
        <f>SUM(BQ302:BT302)</f>
        <v>9.1152678323125738</v>
      </c>
      <c r="BV302" s="557"/>
      <c r="BW302" s="581">
        <f>+BW303*BW294</f>
        <v>2.5357174032984231</v>
      </c>
      <c r="BX302" s="550">
        <f>+BX303*BX294</f>
        <v>2.8942060857317604</v>
      </c>
      <c r="BY302" s="550">
        <f>+BY303*BY294</f>
        <v>2.9848964482848088</v>
      </c>
      <c r="BZ302" s="550">
        <f>+BZ303*BZ294</f>
        <v>2.8240716449526837</v>
      </c>
      <c r="CA302" s="580">
        <f>SUM(BW302:BZ302)</f>
        <v>11.238891582267676</v>
      </c>
      <c r="CB302" s="557"/>
      <c r="CC302" s="581">
        <f>+CC303*CC294</f>
        <v>3.0587479703438958</v>
      </c>
      <c r="CD302" s="550">
        <f>+CD303*CD294</f>
        <v>3.1632747889136801</v>
      </c>
      <c r="CE302" s="550">
        <f>+CE303*CE294</f>
        <v>2.8544520610215653</v>
      </c>
      <c r="CF302" s="550">
        <f>+CF303*CF294</f>
        <v>2.6557290764770833</v>
      </c>
      <c r="CG302" s="580">
        <f>SUM(CC302:CF302)</f>
        <v>11.732203896756225</v>
      </c>
      <c r="CH302" s="557"/>
      <c r="CI302" s="581">
        <f>+CI303*CI294</f>
        <v>3.2399582677144179</v>
      </c>
      <c r="CJ302" s="550">
        <f>+CJ303*CJ294</f>
        <v>3.5091265716015432</v>
      </c>
      <c r="CK302" s="550">
        <f>+CK303*CK294</f>
        <v>3.6045579574359654</v>
      </c>
      <c r="CL302" s="550">
        <f>+CL303*CL294</f>
        <v>3.4408336571257263</v>
      </c>
      <c r="CM302" s="580">
        <f>SUM(CI302:CL302)</f>
        <v>13.794476453877651</v>
      </c>
      <c r="CN302" s="557"/>
      <c r="CO302" s="581">
        <f>+CO303*CO294</f>
        <v>5.6927808871259682</v>
      </c>
      <c r="CP302" s="550">
        <f>+CP303*CP294</f>
        <v>5.0662376091935784</v>
      </c>
      <c r="CQ302" s="550">
        <f>+CQ303*CQ294</f>
        <v>5.0030392409890796</v>
      </c>
      <c r="CR302" s="550">
        <f>+CR303*CR294</f>
        <v>3.9054859039403413</v>
      </c>
      <c r="CS302" s="580">
        <f>SUM(CO302:CR302)</f>
        <v>19.667543641248969</v>
      </c>
      <c r="CT302" s="557"/>
      <c r="CU302" s="581">
        <f>+CU303*CU294</f>
        <v>7.4430229039902676</v>
      </c>
      <c r="CV302" s="550">
        <f>+CV303*CV294</f>
        <v>7.1213738471624293</v>
      </c>
      <c r="CW302" s="550">
        <f>+CW303*CW294</f>
        <v>6.9627232154552487</v>
      </c>
      <c r="CX302" s="550">
        <f>+CX303*CX294</f>
        <v>5.9037480338132431</v>
      </c>
      <c r="CY302" s="580">
        <f>SUM(CU302:CX302)</f>
        <v>27.430868000421189</v>
      </c>
      <c r="CZ302" s="48"/>
      <c r="DD302" s="48"/>
      <c r="DE302" s="48"/>
      <c r="DF302" s="48"/>
      <c r="DG302" s="48"/>
      <c r="DH302" s="48"/>
      <c r="DI302" s="48"/>
      <c r="DJ302" s="48"/>
      <c r="DK302" s="48"/>
    </row>
    <row r="303" spans="1:115" outlineLevel="1" x14ac:dyDescent="0.2">
      <c r="A303" s="205" t="s">
        <v>473</v>
      </c>
      <c r="B303" s="58"/>
      <c r="C303" s="558"/>
      <c r="D303" s="558"/>
      <c r="E303" s="558"/>
      <c r="F303" s="558"/>
      <c r="G303" s="629"/>
      <c r="H303" s="557"/>
      <c r="I303" s="704"/>
      <c r="J303" s="558"/>
      <c r="K303" s="558"/>
      <c r="L303" s="558"/>
      <c r="M303" s="629"/>
      <c r="N303" s="557"/>
      <c r="O303" s="704"/>
      <c r="P303" s="558"/>
      <c r="Q303" s="558"/>
      <c r="R303" s="558"/>
      <c r="S303" s="1134"/>
      <c r="T303" s="558"/>
      <c r="U303" s="704"/>
      <c r="V303" s="558"/>
      <c r="W303" s="558"/>
      <c r="X303" s="558"/>
      <c r="Y303" s="1134"/>
      <c r="Z303" s="578"/>
      <c r="AA303" s="581"/>
      <c r="AB303" s="550"/>
      <c r="AC303" s="550"/>
      <c r="AD303" s="582"/>
      <c r="AE303" s="580"/>
      <c r="AF303" s="557"/>
      <c r="AG303" s="581"/>
      <c r="AH303" s="550"/>
      <c r="AI303" s="550"/>
      <c r="AJ303" s="582"/>
      <c r="AK303" s="580"/>
      <c r="AL303" s="557"/>
      <c r="AM303" s="581"/>
      <c r="AN303" s="550"/>
      <c r="AO303" s="550"/>
      <c r="AP303" s="550"/>
      <c r="AQ303" s="580"/>
      <c r="AR303" s="557"/>
      <c r="AS303" s="1115">
        <f>+AS$445</f>
        <v>0.46201340768534516</v>
      </c>
      <c r="AT303" s="1114">
        <f>+AT$445</f>
        <v>0.45686016954647124</v>
      </c>
      <c r="AU303" s="1114">
        <f>+AU$445</f>
        <v>0.4634790301557794</v>
      </c>
      <c r="AV303" s="1114">
        <f>+AV$445</f>
        <v>0.4049172361445923</v>
      </c>
      <c r="AW303" s="707">
        <f>+AW302/AW$93</f>
        <v>0</v>
      </c>
      <c r="AX303" s="557"/>
      <c r="AY303" s="1115">
        <f>+AY$445</f>
        <v>0.43799645373089491</v>
      </c>
      <c r="AZ303" s="1114">
        <f>+AZ$445</f>
        <v>0.43321412165364309</v>
      </c>
      <c r="BA303" s="1114">
        <f>+BA$445</f>
        <v>0.44528448306368412</v>
      </c>
      <c r="BB303" s="1114">
        <f>+BB$445</f>
        <v>0.41604337838488126</v>
      </c>
      <c r="BC303" s="1106">
        <v>0</v>
      </c>
      <c r="BD303" s="557"/>
      <c r="BE303" s="1115">
        <f>+BE$445</f>
        <v>0.45034411287236775</v>
      </c>
      <c r="BF303" s="1114">
        <f>+BF$445</f>
        <v>0.42688457331008178</v>
      </c>
      <c r="BG303" s="1114">
        <f>+BG$445</f>
        <v>0.4225640071783624</v>
      </c>
      <c r="BH303" s="1114">
        <f>+BH$445</f>
        <v>0.41003154506380995</v>
      </c>
      <c r="BI303" s="707">
        <f>+BI302/BI294</f>
        <v>0.42663588350993659</v>
      </c>
      <c r="BJ303" s="557"/>
      <c r="BK303" s="1115">
        <f>+BK$445</f>
        <v>0.45662631339230531</v>
      </c>
      <c r="BL303" s="1114">
        <f>+BL$445</f>
        <v>0.44128389565270054</v>
      </c>
      <c r="BM303" s="1114">
        <f>+BM$445</f>
        <v>0.43997192939722302</v>
      </c>
      <c r="BN303" s="1114">
        <f>+BN$445</f>
        <v>0.4481733111030482</v>
      </c>
      <c r="BO303" s="707">
        <f>+BO302/BO294</f>
        <v>0.4465555427367866</v>
      </c>
      <c r="BP303" s="557"/>
      <c r="BQ303" s="1115">
        <f>+BQ$445</f>
        <v>0.46010047729109704</v>
      </c>
      <c r="BR303" s="1114">
        <f>+BR$445</f>
        <v>0.41739530760688748</v>
      </c>
      <c r="BS303" s="1114">
        <f>+BS$445</f>
        <v>0.415040745333006</v>
      </c>
      <c r="BT303" s="1114">
        <f>+BT$445</f>
        <v>0.39778468156085223</v>
      </c>
      <c r="BU303" s="707">
        <f>+BU302/BU294</f>
        <v>0.42044243418031602</v>
      </c>
      <c r="BV303" s="557"/>
      <c r="BW303" s="1115">
        <f>+BW$445</f>
        <v>0.47669597408123432</v>
      </c>
      <c r="BX303" s="1114">
        <f>+BX$445</f>
        <v>0.46262986997278643</v>
      </c>
      <c r="BY303" s="1114">
        <f>+BY$445</f>
        <v>0.42584354249940332</v>
      </c>
      <c r="BZ303" s="1114">
        <f>+BZ$445</f>
        <v>0.37378014568160334</v>
      </c>
      <c r="CA303" s="707">
        <f>+CA302/CA294</f>
        <v>0.42994740193305814</v>
      </c>
      <c r="CB303" s="557"/>
      <c r="CC303" s="1115">
        <f>+CC$445</f>
        <v>0.46902102089680681</v>
      </c>
      <c r="CD303" s="1114">
        <f>+CD$445</f>
        <v>0.42277433378357065</v>
      </c>
      <c r="CE303" s="1114">
        <f>+CE$445</f>
        <v>0.41143005972310942</v>
      </c>
      <c r="CF303" s="1114">
        <f>+CF$445</f>
        <v>0.36495154588268569</v>
      </c>
      <c r="CG303" s="707">
        <f>+CG302/CG294</f>
        <v>0.41576201667365598</v>
      </c>
      <c r="CH303" s="557"/>
      <c r="CI303" s="1115">
        <f>+CI$445</f>
        <v>0.4795537398221279</v>
      </c>
      <c r="CJ303" s="1114">
        <f>+CJ$445</f>
        <v>0.43716532178378853</v>
      </c>
      <c r="CK303" s="1114">
        <f>+CK$445</f>
        <v>0.43093515021690298</v>
      </c>
      <c r="CL303" s="1114">
        <f>+CL$445</f>
        <v>0.38506094240023353</v>
      </c>
      <c r="CM303" s="707">
        <f>+CM302/CM294</f>
        <v>0.42995529380686232</v>
      </c>
      <c r="CN303" s="557"/>
      <c r="CO303" s="1115">
        <f>+CO$445</f>
        <v>0.45355373982212788</v>
      </c>
      <c r="CP303" s="1114">
        <f>+CP$445</f>
        <v>0.43116532178378852</v>
      </c>
      <c r="CQ303" s="1114">
        <f>+CQ$445</f>
        <v>0.41493515021690297</v>
      </c>
      <c r="CR303" s="1114">
        <f>+CR$445</f>
        <v>0.37906094240023352</v>
      </c>
      <c r="CS303" s="707">
        <f>+CS302/CS294</f>
        <v>0.4214889449939852</v>
      </c>
      <c r="CT303" s="557"/>
      <c r="CU303" s="1115">
        <f>+CU$445</f>
        <v>0.43855373982212792</v>
      </c>
      <c r="CV303" s="1114">
        <f>+CV$445</f>
        <v>0.41616532178378857</v>
      </c>
      <c r="CW303" s="1114">
        <f>+CW$445</f>
        <v>0.39993515021690296</v>
      </c>
      <c r="CX303" s="1114">
        <f>+CX$445</f>
        <v>0.36406094240023351</v>
      </c>
      <c r="CY303" s="707">
        <f>+CY302/CY294</f>
        <v>0.40512502056230931</v>
      </c>
      <c r="CZ303" s="48"/>
      <c r="DD303" s="48"/>
      <c r="DE303" s="48"/>
      <c r="DF303" s="48"/>
      <c r="DG303" s="48"/>
      <c r="DH303" s="48"/>
      <c r="DI303" s="48"/>
      <c r="DJ303" s="48"/>
      <c r="DK303" s="48"/>
    </row>
    <row r="304" spans="1:115" x14ac:dyDescent="0.2">
      <c r="A304" s="354" t="s">
        <v>524</v>
      </c>
      <c r="B304" s="58"/>
      <c r="C304" s="558"/>
      <c r="D304" s="558"/>
      <c r="E304" s="558"/>
      <c r="F304" s="558"/>
      <c r="G304" s="629"/>
      <c r="H304" s="557"/>
      <c r="I304" s="704"/>
      <c r="J304" s="558"/>
      <c r="K304" s="558"/>
      <c r="L304" s="558"/>
      <c r="M304" s="629"/>
      <c r="N304" s="557"/>
      <c r="O304" s="704"/>
      <c r="P304" s="558"/>
      <c r="Q304" s="558"/>
      <c r="R304" s="558"/>
      <c r="S304" s="1134"/>
      <c r="T304" s="558"/>
      <c r="U304" s="704"/>
      <c r="V304" s="558"/>
      <c r="W304" s="558"/>
      <c r="X304" s="558"/>
      <c r="Y304" s="1134"/>
      <c r="Z304" s="578"/>
      <c r="AA304" s="581"/>
      <c r="AB304" s="550"/>
      <c r="AC304" s="550"/>
      <c r="AD304" s="582"/>
      <c r="AE304" s="580"/>
      <c r="AF304" s="557"/>
      <c r="AG304" s="581"/>
      <c r="AH304" s="550"/>
      <c r="AI304" s="550"/>
      <c r="AJ304" s="582"/>
      <c r="AK304" s="580"/>
      <c r="AL304" s="557"/>
      <c r="AM304" s="581"/>
      <c r="AN304" s="550"/>
      <c r="AO304" s="550"/>
      <c r="AP304" s="550"/>
      <c r="AQ304" s="580"/>
      <c r="AR304" s="557"/>
      <c r="AS304" s="581">
        <f>+AS300-AS302</f>
        <v>0</v>
      </c>
      <c r="AT304" s="550">
        <f>+AT300-AT302</f>
        <v>0</v>
      </c>
      <c r="AU304" s="550">
        <f>+AU300-AU302</f>
        <v>0</v>
      </c>
      <c r="AV304" s="550">
        <f>+AV300-AV302</f>
        <v>0</v>
      </c>
      <c r="AW304" s="580">
        <f>+AW300-AW302</f>
        <v>0</v>
      </c>
      <c r="AX304" s="557"/>
      <c r="AY304" s="581">
        <f>+AY300-AY302</f>
        <v>0.54673182478793503</v>
      </c>
      <c r="AZ304" s="550">
        <f>+AZ300-AZ302</f>
        <v>0.55485177617863379</v>
      </c>
      <c r="BA304" s="550">
        <f>+BA300-BA302</f>
        <v>0.5343574344360541</v>
      </c>
      <c r="BB304" s="550">
        <f>+BB300-BB302</f>
        <v>0.40537397457954316</v>
      </c>
      <c r="BC304" s="580">
        <f>+BC300-BC302</f>
        <v>2.0413150099821662</v>
      </c>
      <c r="BD304" s="557"/>
      <c r="BE304" s="581">
        <f>+BE300-BE302</f>
        <v>0.69638995566862394</v>
      </c>
      <c r="BF304" s="550">
        <f>+BF300-BF302</f>
        <v>0.74749800145682377</v>
      </c>
      <c r="BG304" s="550">
        <f>+BG300-BG302</f>
        <v>0.75691061976949714</v>
      </c>
      <c r="BH304" s="550">
        <f>+BH300-BH302</f>
        <v>0.9391591388023397</v>
      </c>
      <c r="BI304" s="580">
        <f>+BI300-BI302</f>
        <v>3.1399577156972844</v>
      </c>
      <c r="BJ304" s="557"/>
      <c r="BK304" s="581">
        <f>+BK300-BK302</f>
        <v>1.1309668884619166</v>
      </c>
      <c r="BL304" s="550">
        <f>+BL300-BL302</f>
        <v>1.1863377354538212</v>
      </c>
      <c r="BM304" s="550">
        <f>+BM300-BM302</f>
        <v>1.1910726269177045</v>
      </c>
      <c r="BN304" s="550">
        <f>+BN300-BN302</f>
        <v>1.2811711297639865</v>
      </c>
      <c r="BO304" s="580">
        <f>+BO300-BO302</f>
        <v>4.789548380597429</v>
      </c>
      <c r="BP304" s="557"/>
      <c r="BQ304" s="581">
        <f>+BQ300-BQ302</f>
        <v>1.3886396177896176</v>
      </c>
      <c r="BR304" s="550">
        <f>+BR300-BR302</f>
        <v>2.0275503230364151</v>
      </c>
      <c r="BS304" s="550">
        <f>+BS300-BS302</f>
        <v>2.0410895458601868</v>
      </c>
      <c r="BT304" s="550">
        <f>+BT300-BT302</f>
        <v>2.1211916100041068</v>
      </c>
      <c r="BU304" s="580">
        <f>+BU300-BU302</f>
        <v>7.5784710966903273</v>
      </c>
      <c r="BV304" s="557"/>
      <c r="BW304" s="581">
        <f>+BW300-BW302</f>
        <v>1.5601896458495474</v>
      </c>
      <c r="BX304" s="550">
        <f>+BX300-BX302</f>
        <v>1.9229032940507129</v>
      </c>
      <c r="BY304" s="550">
        <f>+BY300-BY302</f>
        <v>2.4123211581851156</v>
      </c>
      <c r="BZ304" s="550">
        <f>+BZ300-BZ302</f>
        <v>2.9936134079765266</v>
      </c>
      <c r="CA304" s="580">
        <f>+CA300-CA302</f>
        <v>8.8890275060619004</v>
      </c>
      <c r="CB304" s="557"/>
      <c r="CC304" s="581">
        <f>+CC300-CC302</f>
        <v>1.9628519840918242</v>
      </c>
      <c r="CD304" s="550">
        <f>+CD300-CD302</f>
        <v>2.5980058585308359</v>
      </c>
      <c r="CE304" s="550">
        <f>+CE300-CE302</f>
        <v>2.4877149368536053</v>
      </c>
      <c r="CF304" s="550">
        <f>+CF300-CF302</f>
        <v>2.9475117152325492</v>
      </c>
      <c r="CG304" s="580">
        <f>+CG300-CG302</f>
        <v>9.9960844947088177</v>
      </c>
      <c r="CH304" s="557"/>
      <c r="CI304" s="581">
        <f>+CI300-CI302</f>
        <v>1.9623113821176124</v>
      </c>
      <c r="CJ304" s="550">
        <f>+CJ300-CJ302</f>
        <v>2.6716643683292922</v>
      </c>
      <c r="CK304" s="550">
        <f>+CK300-CK302</f>
        <v>2.8361086389850816</v>
      </c>
      <c r="CL304" s="550">
        <f>+CL300-CL302</f>
        <v>3.4397445169986471</v>
      </c>
      <c r="CM304" s="580">
        <f>+CM300-CM302</f>
        <v>10.909828906430635</v>
      </c>
      <c r="CN304" s="557"/>
      <c r="CO304" s="581">
        <f>+CO300-CO302</f>
        <v>3.9718760172710024</v>
      </c>
      <c r="CP304" s="550">
        <f>+CP300-CP302</f>
        <v>3.9813428941272466</v>
      </c>
      <c r="CQ304" s="550">
        <f>+CQ300-CQ302</f>
        <v>4.2811590573421681</v>
      </c>
      <c r="CR304" s="550">
        <f>+CR300-CR302</f>
        <v>4.0278667833404</v>
      </c>
      <c r="CS304" s="580">
        <f>+CS300-CS302</f>
        <v>16.262244752080811</v>
      </c>
      <c r="CT304" s="557"/>
      <c r="CU304" s="581">
        <f>+CU300-CU302</f>
        <v>5.6252219099679523</v>
      </c>
      <c r="CV304" s="550">
        <f>+CV300-CV302</f>
        <v>6.0547789346493754</v>
      </c>
      <c r="CW304" s="550">
        <f>+CW300-CW302</f>
        <v>6.4426923200206101</v>
      </c>
      <c r="CX304" s="550">
        <f>+CX300-CX302</f>
        <v>6.5828591700944985</v>
      </c>
      <c r="CY304" s="580">
        <f>+CY300-CY302</f>
        <v>24.705552334732442</v>
      </c>
      <c r="CZ304" s="48"/>
      <c r="DD304" s="48"/>
      <c r="DE304" s="48"/>
      <c r="DF304" s="48"/>
      <c r="DG304" s="48"/>
      <c r="DH304" s="48"/>
      <c r="DI304" s="48"/>
      <c r="DJ304" s="48"/>
      <c r="DK304" s="48"/>
    </row>
    <row r="305" spans="1:115" x14ac:dyDescent="0.2">
      <c r="A305" s="205" t="s">
        <v>476</v>
      </c>
      <c r="B305" s="58"/>
      <c r="C305" s="558"/>
      <c r="D305" s="558"/>
      <c r="E305" s="558"/>
      <c r="F305" s="558"/>
      <c r="G305" s="629"/>
      <c r="H305" s="557"/>
      <c r="I305" s="704"/>
      <c r="J305" s="558"/>
      <c r="K305" s="558"/>
      <c r="L305" s="558"/>
      <c r="M305" s="629"/>
      <c r="N305" s="557"/>
      <c r="O305" s="704"/>
      <c r="P305" s="558"/>
      <c r="Q305" s="558"/>
      <c r="R305" s="558"/>
      <c r="S305" s="1134"/>
      <c r="T305" s="558"/>
      <c r="U305" s="704"/>
      <c r="V305" s="558"/>
      <c r="W305" s="558"/>
      <c r="X305" s="558"/>
      <c r="Y305" s="1134"/>
      <c r="Z305" s="578"/>
      <c r="AA305" s="581"/>
      <c r="AB305" s="550"/>
      <c r="AC305" s="550"/>
      <c r="AD305" s="582"/>
      <c r="AE305" s="580"/>
      <c r="AF305" s="557"/>
      <c r="AG305" s="581"/>
      <c r="AH305" s="550"/>
      <c r="AI305" s="550"/>
      <c r="AJ305" s="582"/>
      <c r="AK305" s="580"/>
      <c r="AL305" s="557"/>
      <c r="AM305" s="581"/>
      <c r="AN305" s="550"/>
      <c r="AO305" s="550"/>
      <c r="AP305" s="550"/>
      <c r="AQ305" s="580"/>
      <c r="AR305" s="557"/>
      <c r="AS305" s="909">
        <v>0</v>
      </c>
      <c r="AT305" s="910">
        <v>0</v>
      </c>
      <c r="AU305" s="910">
        <v>0</v>
      </c>
      <c r="AV305" s="910">
        <v>0</v>
      </c>
      <c r="AW305" s="1106">
        <v>0</v>
      </c>
      <c r="AX305" s="557"/>
      <c r="AY305" s="909">
        <v>0</v>
      </c>
      <c r="AZ305" s="910">
        <v>0</v>
      </c>
      <c r="BA305" s="910">
        <v>0</v>
      </c>
      <c r="BB305" s="910">
        <v>0</v>
      </c>
      <c r="BC305" s="1106">
        <v>0</v>
      </c>
      <c r="BD305" s="557"/>
      <c r="BE305" s="1131">
        <f>+BE304/BE294</f>
        <v>0.31965588712763227</v>
      </c>
      <c r="BF305" s="1132">
        <f>+BF304/BF294</f>
        <v>0.34311542668991823</v>
      </c>
      <c r="BG305" s="1132">
        <f>+BG304/BG294</f>
        <v>0.34743599282163756</v>
      </c>
      <c r="BH305" s="1213">
        <f>+BH304/BH294</f>
        <v>0.35996845493619001</v>
      </c>
      <c r="BI305" s="707">
        <f>+BI304/BI294</f>
        <v>0.34336411649006332</v>
      </c>
      <c r="BJ305" s="557"/>
      <c r="BK305" s="1131">
        <f>+BK304/BK294</f>
        <v>0.31337368660769466</v>
      </c>
      <c r="BL305" s="1132">
        <f>+BL304/BL294</f>
        <v>0.32871610434729942</v>
      </c>
      <c r="BM305" s="1132">
        <f>+BM304/BM294</f>
        <v>0.33002807060277695</v>
      </c>
      <c r="BN305" s="1213">
        <f>+BN304/BN294</f>
        <v>0.32182668889695182</v>
      </c>
      <c r="BO305" s="707">
        <f>+BO304/BO294</f>
        <v>0.32344445726321341</v>
      </c>
      <c r="BP305" s="557"/>
      <c r="BQ305" s="1131">
        <f>+BQ304/BQ294</f>
        <v>0.30989952270890292</v>
      </c>
      <c r="BR305" s="1132">
        <f>+BR304/BR294</f>
        <v>0.3526046923931126</v>
      </c>
      <c r="BS305" s="1132">
        <f>+BS304/BS294</f>
        <v>0.35495925466699413</v>
      </c>
      <c r="BT305" s="1213">
        <f>+BT304/BT294</f>
        <v>0.37221531843914779</v>
      </c>
      <c r="BU305" s="707">
        <f>+BU304/BU294</f>
        <v>0.34955756581968395</v>
      </c>
      <c r="BV305" s="557"/>
      <c r="BW305" s="1131">
        <f>+BW304/BW294</f>
        <v>0.29330402591876575</v>
      </c>
      <c r="BX305" s="1132">
        <f>+BX304/BX294</f>
        <v>0.30737013002721358</v>
      </c>
      <c r="BY305" s="1132">
        <f>+BY304/BY294</f>
        <v>0.34415645750059676</v>
      </c>
      <c r="BZ305" s="1213">
        <f>+BZ304/BZ294</f>
        <v>0.39621985431839668</v>
      </c>
      <c r="CA305" s="707">
        <f>+CA304/CA294</f>
        <v>0.34005259806694177</v>
      </c>
      <c r="CB305" s="557"/>
      <c r="CC305" s="1131">
        <f>+CC304/CC294</f>
        <v>0.30097897910319327</v>
      </c>
      <c r="CD305" s="1132">
        <f>+CD304/CD294</f>
        <v>0.34722566621642936</v>
      </c>
      <c r="CE305" s="1132">
        <f>+CE304/CE294</f>
        <v>0.35856994027689065</v>
      </c>
      <c r="CF305" s="1213">
        <f>+CF304/CF294</f>
        <v>0.40504845411731427</v>
      </c>
      <c r="CG305" s="707">
        <f>+CG304/CG294</f>
        <v>0.35423798332634415</v>
      </c>
      <c r="CH305" s="557"/>
      <c r="CI305" s="1131">
        <f>+CI304/CI294</f>
        <v>0.29044626017787212</v>
      </c>
      <c r="CJ305" s="1132">
        <f>+CJ304/CJ294</f>
        <v>0.33283467821621154</v>
      </c>
      <c r="CK305" s="1132">
        <f>+CK304/CK294</f>
        <v>0.33906484978309698</v>
      </c>
      <c r="CL305" s="1213">
        <f>+CL304/CL294</f>
        <v>0.38493905759976654</v>
      </c>
      <c r="CM305" s="707">
        <f>+CM304/CM294</f>
        <v>0.34004470619313776</v>
      </c>
      <c r="CN305" s="557"/>
      <c r="CO305" s="1131">
        <f>+CO304/CO294</f>
        <v>0.31644626017787214</v>
      </c>
      <c r="CP305" s="1132">
        <f>+CP304/CP294</f>
        <v>0.33883467821621138</v>
      </c>
      <c r="CQ305" s="1132">
        <f>+CQ304/CQ294</f>
        <v>0.35506484978309699</v>
      </c>
      <c r="CR305" s="1213">
        <f>+CR304/CR294</f>
        <v>0.39093905759976649</v>
      </c>
      <c r="CS305" s="707">
        <f>+CS304/CS294</f>
        <v>0.3485110550060147</v>
      </c>
      <c r="CT305" s="557"/>
      <c r="CU305" s="1131">
        <f>+CU304/CU294</f>
        <v>0.33144626017787204</v>
      </c>
      <c r="CV305" s="1132">
        <f>+CV304/CV294</f>
        <v>0.35383467821621145</v>
      </c>
      <c r="CW305" s="1132">
        <f>+CW304/CW294</f>
        <v>0.37006484978309712</v>
      </c>
      <c r="CX305" s="1213">
        <f>+CX304/CX294</f>
        <v>0.40593905759976651</v>
      </c>
      <c r="CY305" s="707">
        <f>+CY304/CY294</f>
        <v>0.36487497943769071</v>
      </c>
      <c r="CZ305" s="48"/>
      <c r="DD305" s="48"/>
      <c r="DE305" s="48"/>
      <c r="DF305" s="48"/>
      <c r="DG305" s="48"/>
      <c r="DH305" s="48"/>
      <c r="DI305" s="48"/>
      <c r="DJ305" s="48"/>
      <c r="DK305" s="48"/>
    </row>
    <row r="306" spans="1:115" x14ac:dyDescent="0.2">
      <c r="A306" s="1161" t="s">
        <v>563</v>
      </c>
      <c r="B306" s="1162"/>
      <c r="C306" s="1163"/>
      <c r="D306" s="1163"/>
      <c r="E306" s="1163"/>
      <c r="F306" s="1163"/>
      <c r="G306" s="1164"/>
      <c r="H306" s="1165"/>
      <c r="I306" s="1166"/>
      <c r="J306" s="1163"/>
      <c r="K306" s="1163"/>
      <c r="L306" s="1163"/>
      <c r="M306" s="1164"/>
      <c r="N306" s="1165"/>
      <c r="O306" s="1166"/>
      <c r="P306" s="1163"/>
      <c r="Q306" s="1163"/>
      <c r="R306" s="1163"/>
      <c r="S306" s="1164"/>
      <c r="T306" s="1163"/>
      <c r="U306" s="1166"/>
      <c r="V306" s="1163"/>
      <c r="W306" s="1163"/>
      <c r="X306" s="1163"/>
      <c r="Y306" s="1164"/>
      <c r="Z306" s="1167"/>
      <c r="AA306" s="1168"/>
      <c r="AB306" s="1169"/>
      <c r="AC306" s="1169"/>
      <c r="AD306" s="1170"/>
      <c r="AE306" s="1171"/>
      <c r="AF306" s="1165"/>
      <c r="AG306" s="1172"/>
      <c r="AH306" s="1173"/>
      <c r="AI306" s="1173"/>
      <c r="AJ306" s="1174"/>
      <c r="AK306" s="1171"/>
      <c r="AL306" s="1175"/>
      <c r="AM306" s="1176"/>
      <c r="AN306" s="1177"/>
      <c r="AO306" s="1177"/>
      <c r="AP306" s="1177"/>
      <c r="AQ306" s="1171"/>
      <c r="AR306" s="1178"/>
      <c r="AS306" s="1172"/>
      <c r="AT306" s="1173"/>
      <c r="AU306" s="1173"/>
      <c r="AV306" s="1173"/>
      <c r="AW306" s="1171"/>
      <c r="AX306" s="1173"/>
      <c r="AY306" s="1172"/>
      <c r="AZ306" s="1173"/>
      <c r="BA306" s="1173"/>
      <c r="BB306" s="1173"/>
      <c r="BC306" s="1171"/>
      <c r="BD306" s="1178"/>
      <c r="BE306" s="1172"/>
      <c r="BF306" s="1173"/>
      <c r="BG306" s="1173"/>
      <c r="BH306" s="1173"/>
      <c r="BI306" s="1171"/>
      <c r="BJ306" s="1179"/>
      <c r="BK306" s="1180"/>
      <c r="BL306" s="1173"/>
      <c r="BM306" s="1173"/>
      <c r="BN306" s="1173"/>
      <c r="BO306" s="1171"/>
      <c r="BP306" s="1178"/>
      <c r="BQ306" s="1172"/>
      <c r="BR306" s="1173"/>
      <c r="BS306" s="1173"/>
      <c r="BT306" s="1173"/>
      <c r="BU306" s="1171"/>
      <c r="BV306" s="1178"/>
      <c r="BW306" s="1172"/>
      <c r="BX306" s="1173"/>
      <c r="BY306" s="1173"/>
      <c r="BZ306" s="1173"/>
      <c r="CA306" s="1171"/>
      <c r="CB306" s="1178"/>
      <c r="CC306" s="1172"/>
      <c r="CD306" s="1173"/>
      <c r="CE306" s="1173"/>
      <c r="CF306" s="1173"/>
      <c r="CG306" s="1171"/>
      <c r="CH306" s="1178"/>
      <c r="CI306" s="1172"/>
      <c r="CJ306" s="1173"/>
      <c r="CK306" s="1173"/>
      <c r="CL306" s="1173"/>
      <c r="CM306" s="1171"/>
      <c r="CN306" s="1178"/>
      <c r="CO306" s="1172"/>
      <c r="CP306" s="1173"/>
      <c r="CQ306" s="1173"/>
      <c r="CR306" s="1173"/>
      <c r="CS306" s="1171"/>
      <c r="CT306" s="1178"/>
      <c r="CU306" s="1172"/>
      <c r="CV306" s="1173"/>
      <c r="CW306" s="1173"/>
      <c r="CX306" s="1173"/>
      <c r="CY306" s="1171"/>
      <c r="CZ306" s="48"/>
      <c r="DD306" s="48"/>
      <c r="DE306" s="48"/>
      <c r="DF306" s="48"/>
      <c r="DG306" s="48"/>
      <c r="DH306" s="48"/>
      <c r="DI306" s="48"/>
      <c r="DJ306" s="48"/>
      <c r="DK306" s="48"/>
    </row>
    <row r="307" spans="1:115" outlineLevel="1" x14ac:dyDescent="0.2">
      <c r="A307" s="205" t="s">
        <v>635</v>
      </c>
      <c r="B307" s="39"/>
      <c r="C307" s="565"/>
      <c r="D307" s="566"/>
      <c r="E307" s="566"/>
      <c r="F307" s="566"/>
      <c r="G307" s="584"/>
      <c r="H307" s="592"/>
      <c r="I307" s="565"/>
      <c r="J307" s="566"/>
      <c r="K307" s="566"/>
      <c r="L307" s="566"/>
      <c r="M307" s="584"/>
      <c r="N307" s="592"/>
      <c r="O307" s="565"/>
      <c r="P307" s="566"/>
      <c r="Q307" s="566"/>
      <c r="R307" s="566"/>
      <c r="S307" s="584"/>
      <c r="T307" s="591"/>
      <c r="U307" s="565"/>
      <c r="V307" s="566"/>
      <c r="W307" s="566"/>
      <c r="X307" s="566"/>
      <c r="Y307" s="584"/>
      <c r="Z307" s="593"/>
      <c r="AA307" s="909">
        <v>0.25</v>
      </c>
      <c r="AB307" s="910">
        <v>0.25</v>
      </c>
      <c r="AC307" s="910">
        <v>0.25</v>
      </c>
      <c r="AD307" s="910">
        <v>0.25</v>
      </c>
      <c r="AE307" s="584"/>
      <c r="AF307" s="592"/>
      <c r="AG307" s="909">
        <v>0.25</v>
      </c>
      <c r="AH307" s="910">
        <v>0.25</v>
      </c>
      <c r="AI307" s="910">
        <v>0.25</v>
      </c>
      <c r="AJ307" s="910">
        <v>0.25</v>
      </c>
      <c r="AK307" s="584"/>
      <c r="AL307" s="592"/>
      <c r="AM307" s="909">
        <v>0.25</v>
      </c>
      <c r="AN307" s="910">
        <v>0.25</v>
      </c>
      <c r="AO307" s="910">
        <v>0.25</v>
      </c>
      <c r="AP307" s="910">
        <v>0.25</v>
      </c>
      <c r="AQ307" s="584"/>
      <c r="AR307" s="592"/>
      <c r="AS307" s="909">
        <v>0.25</v>
      </c>
      <c r="AT307" s="910">
        <v>0.25</v>
      </c>
      <c r="AU307" s="910">
        <v>0.25</v>
      </c>
      <c r="AV307" s="910">
        <v>0.25</v>
      </c>
      <c r="AW307" s="584"/>
      <c r="AX307" s="592"/>
      <c r="AY307" s="909"/>
      <c r="AZ307" s="910"/>
      <c r="BA307" s="910"/>
      <c r="BB307" s="910"/>
      <c r="BC307" s="562"/>
      <c r="BD307" s="557"/>
      <c r="BE307" s="909">
        <v>0.35</v>
      </c>
      <c r="BF307" s="910">
        <v>0.35</v>
      </c>
      <c r="BG307" s="910">
        <v>0.35</v>
      </c>
      <c r="BH307" s="910">
        <v>0.35</v>
      </c>
      <c r="BI307" s="562"/>
      <c r="BJ307" s="629"/>
      <c r="BK307" s="909"/>
      <c r="BL307" s="910"/>
      <c r="BM307" s="910"/>
      <c r="BN307" s="910"/>
      <c r="BO307" s="562"/>
      <c r="BP307" s="557"/>
      <c r="BQ307" s="909"/>
      <c r="BR307" s="910"/>
      <c r="BS307" s="910"/>
      <c r="BT307" s="910"/>
      <c r="BU307" s="562">
        <f>+BT307</f>
        <v>0</v>
      </c>
      <c r="BV307" s="557"/>
      <c r="BW307" s="909">
        <v>0.2</v>
      </c>
      <c r="BX307" s="910">
        <v>0.2</v>
      </c>
      <c r="BY307" s="910">
        <v>0.1</v>
      </c>
      <c r="BZ307" s="910">
        <v>0.1</v>
      </c>
      <c r="CA307" s="562">
        <f>+BZ307</f>
        <v>0.1</v>
      </c>
      <c r="CB307" s="557"/>
      <c r="CC307" s="909">
        <v>0.2</v>
      </c>
      <c r="CD307" s="910">
        <v>0.2</v>
      </c>
      <c r="CE307" s="910">
        <v>0.2</v>
      </c>
      <c r="CF307" s="910">
        <v>0.2</v>
      </c>
      <c r="CG307" s="562">
        <f>+CF307</f>
        <v>0.2</v>
      </c>
      <c r="CH307" s="557"/>
      <c r="CI307" s="909">
        <v>0.1</v>
      </c>
      <c r="CJ307" s="910">
        <v>0.1</v>
      </c>
      <c r="CK307" s="910">
        <v>0.1</v>
      </c>
      <c r="CL307" s="910">
        <v>0.1</v>
      </c>
      <c r="CM307" s="562">
        <f>+CL307</f>
        <v>0.1</v>
      </c>
      <c r="CN307" s="557"/>
      <c r="CO307" s="909">
        <v>0.1</v>
      </c>
      <c r="CP307" s="910">
        <v>0.1</v>
      </c>
      <c r="CQ307" s="910">
        <v>0.1</v>
      </c>
      <c r="CR307" s="910">
        <v>0.1</v>
      </c>
      <c r="CS307" s="562">
        <f>+CR307</f>
        <v>0.1</v>
      </c>
      <c r="CT307" s="557"/>
      <c r="CU307" s="909">
        <v>0.1</v>
      </c>
      <c r="CV307" s="910">
        <v>0.1</v>
      </c>
      <c r="CW307" s="910">
        <v>0.1</v>
      </c>
      <c r="CX307" s="910">
        <v>0.1</v>
      </c>
      <c r="CY307" s="562">
        <f>+CX307</f>
        <v>0.1</v>
      </c>
      <c r="CZ307" s="48"/>
      <c r="DD307" s="48"/>
      <c r="DE307" s="48"/>
      <c r="DF307" s="48"/>
      <c r="DG307" s="48"/>
      <c r="DH307" s="48"/>
      <c r="DI307" s="48"/>
      <c r="DJ307" s="48"/>
      <c r="DK307" s="48"/>
    </row>
    <row r="308" spans="1:115" outlineLevel="1" x14ac:dyDescent="0.2">
      <c r="A308" s="205" t="s">
        <v>636</v>
      </c>
      <c r="B308" s="39"/>
      <c r="C308" s="565"/>
      <c r="D308" s="566"/>
      <c r="E308" s="566"/>
      <c r="F308" s="566"/>
      <c r="G308" s="584"/>
      <c r="H308" s="592"/>
      <c r="I308" s="565"/>
      <c r="J308" s="566"/>
      <c r="K308" s="566"/>
      <c r="L308" s="566"/>
      <c r="M308" s="584"/>
      <c r="N308" s="592"/>
      <c r="O308" s="565"/>
      <c r="P308" s="566"/>
      <c r="Q308" s="566"/>
      <c r="R308" s="566"/>
      <c r="S308" s="584"/>
      <c r="T308" s="591"/>
      <c r="U308" s="565"/>
      <c r="V308" s="566"/>
      <c r="W308" s="566"/>
      <c r="X308" s="566"/>
      <c r="Y308" s="584"/>
      <c r="Z308" s="593"/>
      <c r="AA308" s="909">
        <v>0.25</v>
      </c>
      <c r="AB308" s="910">
        <v>0.25</v>
      </c>
      <c r="AC308" s="910">
        <v>0.25</v>
      </c>
      <c r="AD308" s="910">
        <v>0.25</v>
      </c>
      <c r="AE308" s="584"/>
      <c r="AF308" s="592"/>
      <c r="AG308" s="909">
        <v>0.25</v>
      </c>
      <c r="AH308" s="910">
        <v>0.25</v>
      </c>
      <c r="AI308" s="910">
        <v>0.25</v>
      </c>
      <c r="AJ308" s="910">
        <v>0.25</v>
      </c>
      <c r="AK308" s="584"/>
      <c r="AL308" s="592"/>
      <c r="AM308" s="909">
        <v>0.25</v>
      </c>
      <c r="AN308" s="910">
        <v>0.25</v>
      </c>
      <c r="AO308" s="910">
        <v>0.25</v>
      </c>
      <c r="AP308" s="910">
        <v>0.25</v>
      </c>
      <c r="AQ308" s="584"/>
      <c r="AR308" s="592"/>
      <c r="AS308" s="909">
        <v>0.25</v>
      </c>
      <c r="AT308" s="910">
        <v>0.25</v>
      </c>
      <c r="AU308" s="910">
        <v>0.25</v>
      </c>
      <c r="AV308" s="910">
        <v>0.25</v>
      </c>
      <c r="AW308" s="584"/>
      <c r="AX308" s="592"/>
      <c r="AY308" s="909"/>
      <c r="AZ308" s="910"/>
      <c r="BA308" s="910"/>
      <c r="BB308" s="910"/>
      <c r="BC308" s="562"/>
      <c r="BD308" s="557"/>
      <c r="BE308" s="909">
        <v>0.4</v>
      </c>
      <c r="BF308" s="910">
        <v>0.4</v>
      </c>
      <c r="BG308" s="910">
        <v>0.4</v>
      </c>
      <c r="BH308" s="910">
        <v>0.4</v>
      </c>
      <c r="BI308" s="562"/>
      <c r="BJ308" s="629"/>
      <c r="BK308" s="909"/>
      <c r="BL308" s="910"/>
      <c r="BM308" s="910"/>
      <c r="BN308" s="910"/>
      <c r="BO308" s="562"/>
      <c r="BP308" s="557"/>
      <c r="BQ308" s="909"/>
      <c r="BR308" s="910"/>
      <c r="BS308" s="910"/>
      <c r="BT308" s="910"/>
      <c r="BU308" s="562">
        <f>+BT308</f>
        <v>0</v>
      </c>
      <c r="BV308" s="557"/>
      <c r="BW308" s="909">
        <v>0.2</v>
      </c>
      <c r="BX308" s="910">
        <v>0.2</v>
      </c>
      <c r="BY308" s="910">
        <v>0.3</v>
      </c>
      <c r="BZ308" s="910">
        <v>0.3</v>
      </c>
      <c r="CA308" s="562">
        <f>+BZ308</f>
        <v>0.3</v>
      </c>
      <c r="CB308" s="557"/>
      <c r="CC308" s="909">
        <v>0.3</v>
      </c>
      <c r="CD308" s="910">
        <v>0.3</v>
      </c>
      <c r="CE308" s="910">
        <v>0.3</v>
      </c>
      <c r="CF308" s="910">
        <v>0.3</v>
      </c>
      <c r="CG308" s="562">
        <f>+CF308</f>
        <v>0.3</v>
      </c>
      <c r="CH308" s="557"/>
      <c r="CI308" s="909">
        <v>0.3</v>
      </c>
      <c r="CJ308" s="910">
        <v>0.3</v>
      </c>
      <c r="CK308" s="910">
        <v>0.3</v>
      </c>
      <c r="CL308" s="910">
        <v>0.3</v>
      </c>
      <c r="CM308" s="562">
        <f>+CL308</f>
        <v>0.3</v>
      </c>
      <c r="CN308" s="557"/>
      <c r="CO308" s="909">
        <v>0.3</v>
      </c>
      <c r="CP308" s="910">
        <v>0.3</v>
      </c>
      <c r="CQ308" s="910">
        <v>0.3</v>
      </c>
      <c r="CR308" s="910">
        <v>0.3</v>
      </c>
      <c r="CS308" s="562">
        <f>+CR308</f>
        <v>0.3</v>
      </c>
      <c r="CT308" s="557"/>
      <c r="CU308" s="909">
        <v>0.3</v>
      </c>
      <c r="CV308" s="910">
        <v>0.3</v>
      </c>
      <c r="CW308" s="910">
        <v>0.3</v>
      </c>
      <c r="CX308" s="910">
        <v>0.3</v>
      </c>
      <c r="CY308" s="562">
        <f>+CX308</f>
        <v>0.3</v>
      </c>
      <c r="CZ308" s="48"/>
      <c r="DD308" s="48"/>
      <c r="DE308" s="48"/>
      <c r="DF308" s="48"/>
      <c r="DG308" s="48"/>
      <c r="DH308" s="48"/>
      <c r="DI308" s="48"/>
      <c r="DJ308" s="48"/>
      <c r="DK308" s="48"/>
    </row>
    <row r="309" spans="1:115" outlineLevel="1" x14ac:dyDescent="0.2">
      <c r="A309" s="205" t="s">
        <v>637</v>
      </c>
      <c r="B309" s="39"/>
      <c r="C309" s="565"/>
      <c r="D309" s="566"/>
      <c r="E309" s="566"/>
      <c r="F309" s="566"/>
      <c r="G309" s="584"/>
      <c r="H309" s="592"/>
      <c r="I309" s="565"/>
      <c r="J309" s="566"/>
      <c r="K309" s="566"/>
      <c r="L309" s="566"/>
      <c r="M309" s="584"/>
      <c r="N309" s="592"/>
      <c r="O309" s="565"/>
      <c r="P309" s="566"/>
      <c r="Q309" s="566"/>
      <c r="R309" s="566"/>
      <c r="S309" s="584"/>
      <c r="T309" s="591"/>
      <c r="U309" s="565"/>
      <c r="V309" s="566"/>
      <c r="W309" s="566"/>
      <c r="X309" s="566"/>
      <c r="Y309" s="584"/>
      <c r="Z309" s="593"/>
      <c r="AA309" s="909">
        <v>0.25</v>
      </c>
      <c r="AB309" s="910">
        <v>0.25</v>
      </c>
      <c r="AC309" s="910">
        <v>0.25</v>
      </c>
      <c r="AD309" s="910">
        <v>0.25</v>
      </c>
      <c r="AE309" s="584"/>
      <c r="AF309" s="592"/>
      <c r="AG309" s="909">
        <v>0.25</v>
      </c>
      <c r="AH309" s="910">
        <v>0.25</v>
      </c>
      <c r="AI309" s="910">
        <v>0.25</v>
      </c>
      <c r="AJ309" s="910">
        <v>0.25</v>
      </c>
      <c r="AK309" s="584"/>
      <c r="AL309" s="592"/>
      <c r="AM309" s="909">
        <v>0.25</v>
      </c>
      <c r="AN309" s="910">
        <v>0.25</v>
      </c>
      <c r="AO309" s="910">
        <v>0.25</v>
      </c>
      <c r="AP309" s="910">
        <v>0.25</v>
      </c>
      <c r="AQ309" s="584"/>
      <c r="AR309" s="592"/>
      <c r="AS309" s="909">
        <v>0.25</v>
      </c>
      <c r="AT309" s="910">
        <v>0.25</v>
      </c>
      <c r="AU309" s="910">
        <v>0.25</v>
      </c>
      <c r="AV309" s="910">
        <v>0.25</v>
      </c>
      <c r="AW309" s="584"/>
      <c r="AX309" s="592"/>
      <c r="AY309" s="909"/>
      <c r="AZ309" s="910"/>
      <c r="BA309" s="910"/>
      <c r="BB309" s="910"/>
      <c r="BC309" s="562"/>
      <c r="BD309" s="557"/>
      <c r="BE309" s="909">
        <v>0.25</v>
      </c>
      <c r="BF309" s="910">
        <v>0.25</v>
      </c>
      <c r="BG309" s="910">
        <v>0.25</v>
      </c>
      <c r="BH309" s="910">
        <v>0.25</v>
      </c>
      <c r="BI309" s="562"/>
      <c r="BJ309" s="629"/>
      <c r="BK309" s="909"/>
      <c r="BL309" s="910"/>
      <c r="BM309" s="910"/>
      <c r="BN309" s="910"/>
      <c r="BO309" s="562"/>
      <c r="BP309" s="557"/>
      <c r="BQ309" s="909"/>
      <c r="BR309" s="910"/>
      <c r="BS309" s="910"/>
      <c r="BT309" s="910"/>
      <c r="BU309" s="562">
        <f>+BT309</f>
        <v>0</v>
      </c>
      <c r="BV309" s="557"/>
      <c r="BW309" s="909">
        <v>0.3</v>
      </c>
      <c r="BX309" s="910">
        <v>0.3</v>
      </c>
      <c r="BY309" s="910">
        <v>0.45</v>
      </c>
      <c r="BZ309" s="910">
        <v>0.45</v>
      </c>
      <c r="CA309" s="562">
        <f>+BZ309</f>
        <v>0.45</v>
      </c>
      <c r="CB309" s="557"/>
      <c r="CC309" s="909">
        <v>0.35</v>
      </c>
      <c r="CD309" s="910">
        <v>0.35</v>
      </c>
      <c r="CE309" s="910">
        <v>0.35</v>
      </c>
      <c r="CF309" s="910">
        <v>0.35</v>
      </c>
      <c r="CG309" s="562">
        <f>+CF309</f>
        <v>0.35</v>
      </c>
      <c r="CH309" s="557"/>
      <c r="CI309" s="909">
        <v>0.4</v>
      </c>
      <c r="CJ309" s="910">
        <v>0.4</v>
      </c>
      <c r="CK309" s="910">
        <v>0.4</v>
      </c>
      <c r="CL309" s="910">
        <v>0.4</v>
      </c>
      <c r="CM309" s="562">
        <f>+CL309</f>
        <v>0.4</v>
      </c>
      <c r="CN309" s="557"/>
      <c r="CO309" s="909">
        <v>0.4</v>
      </c>
      <c r="CP309" s="910">
        <v>0.4</v>
      </c>
      <c r="CQ309" s="910">
        <v>0.4</v>
      </c>
      <c r="CR309" s="910">
        <v>0.4</v>
      </c>
      <c r="CS309" s="562">
        <f>+CR309</f>
        <v>0.4</v>
      </c>
      <c r="CT309" s="557"/>
      <c r="CU309" s="909">
        <v>0.4</v>
      </c>
      <c r="CV309" s="910">
        <v>0.4</v>
      </c>
      <c r="CW309" s="910">
        <v>0.4</v>
      </c>
      <c r="CX309" s="910">
        <v>0.4</v>
      </c>
      <c r="CY309" s="562">
        <f>+CX309</f>
        <v>0.4</v>
      </c>
      <c r="CZ309" s="48"/>
      <c r="DD309" s="48"/>
      <c r="DE309" s="48"/>
      <c r="DF309" s="48"/>
      <c r="DG309" s="48"/>
      <c r="DH309" s="48"/>
      <c r="DI309" s="48"/>
      <c r="DJ309" s="48"/>
      <c r="DK309" s="48"/>
    </row>
    <row r="310" spans="1:115" outlineLevel="1" x14ac:dyDescent="0.2">
      <c r="A310" s="205" t="s">
        <v>638</v>
      </c>
      <c r="B310" s="39"/>
      <c r="C310" s="565"/>
      <c r="D310" s="566"/>
      <c r="E310" s="566"/>
      <c r="F310" s="566"/>
      <c r="G310" s="584"/>
      <c r="H310" s="592"/>
      <c r="I310" s="565"/>
      <c r="J310" s="566"/>
      <c r="K310" s="566"/>
      <c r="L310" s="566"/>
      <c r="M310" s="584"/>
      <c r="N310" s="592"/>
      <c r="O310" s="565"/>
      <c r="P310" s="566"/>
      <c r="Q310" s="566"/>
      <c r="R310" s="566"/>
      <c r="S310" s="584"/>
      <c r="T310" s="591"/>
      <c r="U310" s="565"/>
      <c r="V310" s="566"/>
      <c r="W310" s="566"/>
      <c r="X310" s="566"/>
      <c r="Y310" s="584"/>
      <c r="Z310" s="593"/>
      <c r="AA310" s="909">
        <v>0.25</v>
      </c>
      <c r="AB310" s="910">
        <v>0.25</v>
      </c>
      <c r="AC310" s="910">
        <v>0.25</v>
      </c>
      <c r="AD310" s="910">
        <v>0.25</v>
      </c>
      <c r="AE310" s="584"/>
      <c r="AF310" s="592"/>
      <c r="AG310" s="909">
        <v>0.25</v>
      </c>
      <c r="AH310" s="910">
        <v>0.25</v>
      </c>
      <c r="AI310" s="910">
        <v>0.25</v>
      </c>
      <c r="AJ310" s="910">
        <v>0.25</v>
      </c>
      <c r="AK310" s="584"/>
      <c r="AL310" s="592"/>
      <c r="AM310" s="909">
        <v>0.25</v>
      </c>
      <c r="AN310" s="910">
        <v>0.25</v>
      </c>
      <c r="AO310" s="910">
        <v>0.25</v>
      </c>
      <c r="AP310" s="910">
        <v>0.25</v>
      </c>
      <c r="AQ310" s="584"/>
      <c r="AR310" s="592"/>
      <c r="AS310" s="909">
        <v>0.25</v>
      </c>
      <c r="AT310" s="910">
        <v>0.25</v>
      </c>
      <c r="AU310" s="910">
        <v>0.25</v>
      </c>
      <c r="AV310" s="910">
        <v>0.25</v>
      </c>
      <c r="AW310" s="584"/>
      <c r="AX310" s="592"/>
      <c r="AY310" s="909"/>
      <c r="AZ310" s="910"/>
      <c r="BA310" s="910"/>
      <c r="BB310" s="910"/>
      <c r="BC310" s="562"/>
      <c r="BD310" s="557"/>
      <c r="BE310" s="909">
        <v>0</v>
      </c>
      <c r="BF310" s="910">
        <v>0</v>
      </c>
      <c r="BG310" s="910">
        <v>0</v>
      </c>
      <c r="BH310" s="910">
        <v>0</v>
      </c>
      <c r="BI310" s="562"/>
      <c r="BJ310" s="629"/>
      <c r="BK310" s="909"/>
      <c r="BL310" s="910"/>
      <c r="BM310" s="910"/>
      <c r="BN310" s="910"/>
      <c r="BO310" s="562"/>
      <c r="BP310" s="557"/>
      <c r="BQ310" s="909"/>
      <c r="BR310" s="910"/>
      <c r="BS310" s="910"/>
      <c r="BT310" s="910"/>
      <c r="BU310" s="562">
        <f>+BT310</f>
        <v>0</v>
      </c>
      <c r="BV310" s="909"/>
      <c r="BW310" s="909">
        <v>0.3</v>
      </c>
      <c r="BX310" s="910">
        <v>0.3</v>
      </c>
      <c r="BY310" s="910">
        <v>0.15</v>
      </c>
      <c r="BZ310" s="910">
        <v>0.15</v>
      </c>
      <c r="CA310" s="562">
        <f>+BZ310</f>
        <v>0.15</v>
      </c>
      <c r="CB310" s="557"/>
      <c r="CC310" s="909">
        <v>0.15</v>
      </c>
      <c r="CD310" s="910">
        <v>0.15</v>
      </c>
      <c r="CE310" s="910">
        <v>0.15</v>
      </c>
      <c r="CF310" s="910">
        <v>0.15</v>
      </c>
      <c r="CG310" s="562">
        <f>+CF310</f>
        <v>0.15</v>
      </c>
      <c r="CH310" s="557"/>
      <c r="CI310" s="909">
        <v>0.2</v>
      </c>
      <c r="CJ310" s="910">
        <v>0.2</v>
      </c>
      <c r="CK310" s="910">
        <v>0.2</v>
      </c>
      <c r="CL310" s="910">
        <v>0.2</v>
      </c>
      <c r="CM310" s="562">
        <f>+CL310</f>
        <v>0.2</v>
      </c>
      <c r="CN310" s="557"/>
      <c r="CO310" s="909">
        <v>0.2</v>
      </c>
      <c r="CP310" s="910">
        <v>0.2</v>
      </c>
      <c r="CQ310" s="910">
        <v>0.2</v>
      </c>
      <c r="CR310" s="910">
        <v>0.2</v>
      </c>
      <c r="CS310" s="562">
        <f>+CR310</f>
        <v>0.2</v>
      </c>
      <c r="CT310" s="557"/>
      <c r="CU310" s="909">
        <v>0.2</v>
      </c>
      <c r="CV310" s="910">
        <v>0.2</v>
      </c>
      <c r="CW310" s="910">
        <v>0.2</v>
      </c>
      <c r="CX310" s="910">
        <v>0.2</v>
      </c>
      <c r="CY310" s="562">
        <f>+CX310</f>
        <v>0.2</v>
      </c>
      <c r="CZ310" s="48"/>
      <c r="DD310" s="48"/>
      <c r="DE310" s="48"/>
      <c r="DF310" s="48"/>
      <c r="DG310" s="48"/>
      <c r="DH310" s="48"/>
      <c r="DI310" s="48"/>
      <c r="DJ310" s="48"/>
      <c r="DK310" s="48"/>
    </row>
    <row r="311" spans="1:115" x14ac:dyDescent="0.2">
      <c r="A311" s="354" t="s">
        <v>525</v>
      </c>
      <c r="B311" s="48"/>
      <c r="C311" s="1128"/>
      <c r="D311" s="1129"/>
      <c r="E311" s="1129"/>
      <c r="F311" s="1129"/>
      <c r="G311" s="1463"/>
      <c r="H311" s="592"/>
      <c r="I311" s="1128"/>
      <c r="J311" s="1129"/>
      <c r="K311" s="1129"/>
      <c r="L311" s="1129"/>
      <c r="M311" s="1463"/>
      <c r="N311" s="592"/>
      <c r="O311" s="1128"/>
      <c r="P311" s="1129"/>
      <c r="Q311" s="1129"/>
      <c r="R311" s="1129"/>
      <c r="S311" s="1463"/>
      <c r="T311" s="591"/>
      <c r="U311" s="1128"/>
      <c r="V311" s="1129"/>
      <c r="W311" s="1129"/>
      <c r="X311" s="1129"/>
      <c r="Y311" s="1463"/>
      <c r="Z311" s="593"/>
      <c r="AA311" s="1128"/>
      <c r="AB311" s="1129"/>
      <c r="AC311" s="1129"/>
      <c r="AD311" s="1129"/>
      <c r="AE311" s="1463"/>
      <c r="AF311" s="592"/>
      <c r="AG311" s="656">
        <f>+AG331-AG294-AG255-AG205-AG156-AG115-AG91-AG41</f>
        <v>140.787745</v>
      </c>
      <c r="AH311" s="654">
        <f>+AH331-AH294-AH255-AH205-AH156-AH115-AH91-AH41</f>
        <v>145.792035</v>
      </c>
      <c r="AI311" s="654">
        <f>+AI331-AI294-AI255-AI205-AI156-AI115-AI91-AI41</f>
        <v>157.59511499999999</v>
      </c>
      <c r="AJ311" s="654">
        <f>+AJ331-AJ294-AJ255-AJ205-AJ156-AJ115-AJ91-AJ41</f>
        <v>172.94634500000006</v>
      </c>
      <c r="AK311" s="655">
        <f>+AK331-AK294-AK255-AK205-AK156-AK115-AK91-AK41</f>
        <v>617.12124000000017</v>
      </c>
      <c r="AL311" s="601"/>
      <c r="AM311" s="656">
        <f>+AM331-AM294-AM255-AM205-AM156-AM115-AM91-AM41</f>
        <v>154.93391499999996</v>
      </c>
      <c r="AN311" s="654">
        <f>+AN331-AN294-AN255-AN205-AN156-AN115-AN91-AN41</f>
        <v>151.03298749999999</v>
      </c>
      <c r="AO311" s="654">
        <f>+AO331-AO294-AO255-AO205-AO156-AO115-AO91-AO41</f>
        <v>173.28672000000003</v>
      </c>
      <c r="AP311" s="654">
        <f>+AP331-AP294-AP255-AP205-AP156-AP115-AP91-AP41</f>
        <v>177.31956625000001</v>
      </c>
      <c r="AQ311" s="655">
        <f>+AQ331-AQ294-AQ255-AQ205-AQ156-AQ115-AQ91-AQ41</f>
        <v>656.57318874999999</v>
      </c>
      <c r="AR311" s="48"/>
      <c r="AS311" s="656">
        <f>+AS331-AS294-AS255-AS205-AS156-AS115-AS91-AS41</f>
        <v>168.97541140923462</v>
      </c>
      <c r="AT311" s="654">
        <f>+AT331-AT294-AT255-AT205-AT156-AT115-AT91-AT41</f>
        <v>174.94432899706032</v>
      </c>
      <c r="AU311" s="654">
        <f>+AU331-AU294-AU255-AU205-AU156-AU115-AU91-AU41</f>
        <v>176.07086274204204</v>
      </c>
      <c r="AV311" s="654">
        <f>+AV331-AV294-AV255-AV205-AV156-AV115-AV91-AV41</f>
        <v>203.35868263614671</v>
      </c>
      <c r="AW311" s="655">
        <f>+AW331-AW294-AW255-AW205-AW156-AW115-AW91-AW41</f>
        <v>723.34928578448387</v>
      </c>
      <c r="AX311" s="592"/>
      <c r="AY311" s="656">
        <f>+AY331-AY294-AY255-AY205-AY156-AY115-AY91-AY41</f>
        <v>167.73435784673717</v>
      </c>
      <c r="AZ311" s="654">
        <f>+AZ331-AZ294-AZ255-AZ205-AZ156-AZ115-AZ91-AZ41</f>
        <v>168.67300373391942</v>
      </c>
      <c r="BA311" s="654">
        <f>+BA331-BA294-BA255-BA205-BA156-BA115-BA91-BA41</f>
        <v>169.20860251818362</v>
      </c>
      <c r="BB311" s="654">
        <f>+BB331-BB294-BB255-BB205-BB156-BB115-BB91-BB41</f>
        <v>207.61664580093284</v>
      </c>
      <c r="BC311" s="655">
        <f>+BC331-BC294-BC255-BC205-BC156-BC115-BC91-BC41</f>
        <v>713.23260989977325</v>
      </c>
      <c r="BD311" s="601"/>
      <c r="BE311" s="656">
        <f>+BE331-BE294-BE255-BE205-BE156-BE115-BE91-BE41</f>
        <v>168.83364238085616</v>
      </c>
      <c r="BF311" s="654">
        <f>+BF331-BF294-BF255-BF205-BF156-BF115-BF91-BF41</f>
        <v>176.37854683733565</v>
      </c>
      <c r="BG311" s="654">
        <f>+BG331-BG294-BG255-BG205-BG156-BG115-BG91-BG41</f>
        <v>167.39589414479647</v>
      </c>
      <c r="BH311" s="654">
        <f>+BH331-BH294-BH255-BH205-BH156-BH115-BH91-BH41</f>
        <v>187.43097217464108</v>
      </c>
      <c r="BI311" s="655">
        <f>+BI331-BI294-BI255-BI205-BI156-BI115-BI91-BI41</f>
        <v>700.03905553762911</v>
      </c>
      <c r="BJ311" s="601"/>
      <c r="BK311" s="656">
        <f>+BK331-BK294-BK255-BK205-BK156-BK115-BK91-BK41</f>
        <v>172.33041202578028</v>
      </c>
      <c r="BL311" s="654">
        <f>+BL331-BL294-BL255-BL205-BL156-BL115-BL91-BL41</f>
        <v>185.06000052199943</v>
      </c>
      <c r="BM311" s="654">
        <f>+BM331-BM294-BM255-BM205-BM156-BM115-BM91-BM41</f>
        <v>173.58729468385704</v>
      </c>
      <c r="BN311" s="654">
        <f>+BN331-BN294-BN255-BN205-BN156-BN115-BN91-BN41</f>
        <v>175.4074129870923</v>
      </c>
      <c r="BO311" s="655">
        <f>+BO331-BO294-BO255-BO205-BO156-BO115-BO91-BO41</f>
        <v>706.3851202187293</v>
      </c>
      <c r="BP311" s="601"/>
      <c r="BQ311" s="656">
        <f>+BQ331-BQ294-BQ255-BQ205-BQ156-BQ115-BQ91-BQ41</f>
        <v>152.05918326512867</v>
      </c>
      <c r="BR311" s="654">
        <f>+BR331-BR294-BR255-BR205-BR156-BR115-BR91-BR41</f>
        <v>167.36171151333247</v>
      </c>
      <c r="BS311" s="654">
        <f>+BS331-BS294-BS255-BS205-BS156-BS115-BS91-BS41</f>
        <v>150.65568903000678</v>
      </c>
      <c r="BT311" s="654">
        <f>+BT331-BT294-BT255-BT205-BT156-BT115-BT91-BT41</f>
        <v>164.7910603329868</v>
      </c>
      <c r="BU311" s="655">
        <f>+BU331-BU294-BU255-BU205-BU156-BU115-BU91-BU41</f>
        <v>634.86764414145455</v>
      </c>
      <c r="BV311" s="601"/>
      <c r="BW311" s="656">
        <f>+BW331-BW294-BW255-BW205-BW156-BW115-BW91-BW41</f>
        <v>147.84638989752506</v>
      </c>
      <c r="BX311" s="654">
        <f>+BX331-BX294-BX255-BX205-BX156-BX115-BX91-BX41</f>
        <v>167.1074846083406</v>
      </c>
      <c r="BY311" s="654">
        <f>+BY331-BY294-BY255-BY205-BY156-BY115-BY91-BY41</f>
        <v>157.52433166934088</v>
      </c>
      <c r="BZ311" s="654">
        <f>+BZ331-BZ294-BZ255-BZ205-BZ156-BZ115-BZ91-BZ41</f>
        <v>165.59204365488318</v>
      </c>
      <c r="CA311" s="655">
        <f>+SUM(BW311:BZ311)</f>
        <v>638.07024983008978</v>
      </c>
      <c r="CB311" s="601"/>
      <c r="CC311" s="656">
        <f>+CC331-CC294-CC255-CC205-CC156-CC115-CC91-CC41</f>
        <v>143.72075755435961</v>
      </c>
      <c r="CD311" s="654">
        <f>+CD331-CD294-CD255-CD205-CD156-CD115-CD91-CD41</f>
        <v>158.43654003015712</v>
      </c>
      <c r="CE311" s="654">
        <f>+CE331-CE294-CE255-CE205-CE156-CE115-CE91-CE41</f>
        <v>149.78008678638801</v>
      </c>
      <c r="CF311" s="654">
        <f>+CF331-CF294-CF255-CF205-CF156-CF115-CF91-CF41</f>
        <v>156.82947531692446</v>
      </c>
      <c r="CG311" s="655">
        <f>+SUM(CC311:CF311)</f>
        <v>608.7668596878292</v>
      </c>
      <c r="CH311" s="601"/>
      <c r="CI311" s="656">
        <f>+CC311*(1+CI312)</f>
        <v>146.5951727054468</v>
      </c>
      <c r="CJ311" s="654">
        <f>+CD311*(1+CJ312)</f>
        <v>167.15054973181574</v>
      </c>
      <c r="CK311" s="654">
        <f>+CE311*(1+CK312)</f>
        <v>152.02678808818382</v>
      </c>
      <c r="CL311" s="654">
        <f>+CF311*(1+CL312)</f>
        <v>158.39777007009371</v>
      </c>
      <c r="CM311" s="655">
        <f>+SUM(CI311:CL311)</f>
        <v>624.17028059554013</v>
      </c>
      <c r="CN311" s="601"/>
      <c r="CO311" s="656">
        <f>+CI311*(1+CO312)</f>
        <v>134.86755888901106</v>
      </c>
      <c r="CP311" s="654">
        <f>+CJ311*(1+CP312)</f>
        <v>155.45001125058863</v>
      </c>
      <c r="CQ311" s="654">
        <f>+CK311*(1+CQ312)</f>
        <v>145.94571656465646</v>
      </c>
      <c r="CR311" s="654">
        <f>+CL311*(1+CR312)</f>
        <v>155.22981466869183</v>
      </c>
      <c r="CS311" s="655">
        <f>+SUM(CO311:CR311)</f>
        <v>591.49310137294799</v>
      </c>
      <c r="CT311" s="601"/>
      <c r="CU311" s="656">
        <f>+CO311*(1+CU312)</f>
        <v>130.82153212234073</v>
      </c>
      <c r="CV311" s="654">
        <f>+CP311*(1+CV312)</f>
        <v>152.34101102557685</v>
      </c>
      <c r="CW311" s="654">
        <f>+CQ311*(1+CW312)</f>
        <v>141.56734506771676</v>
      </c>
      <c r="CX311" s="654">
        <f>+CR311*(1+CX312)</f>
        <v>150.57292022863106</v>
      </c>
      <c r="CY311" s="655">
        <f>+SUM(CU311:CX311)</f>
        <v>575.30280844426534</v>
      </c>
      <c r="CZ311" s="48"/>
      <c r="DD311" s="48"/>
      <c r="DE311" s="48"/>
      <c r="DF311" s="48"/>
      <c r="DG311" s="48"/>
      <c r="DH311" s="48"/>
      <c r="DI311" s="48"/>
      <c r="DJ311" s="48"/>
      <c r="DK311" s="48"/>
    </row>
    <row r="312" spans="1:115" x14ac:dyDescent="0.2">
      <c r="A312" s="205" t="s">
        <v>639</v>
      </c>
      <c r="B312" s="48"/>
      <c r="C312" s="1128"/>
      <c r="D312" s="1129"/>
      <c r="E312" s="1129"/>
      <c r="F312" s="1129"/>
      <c r="G312" s="1463"/>
      <c r="H312" s="592"/>
      <c r="I312" s="1128"/>
      <c r="J312" s="1129"/>
      <c r="K312" s="1129"/>
      <c r="L312" s="1129"/>
      <c r="M312" s="1463"/>
      <c r="N312" s="592"/>
      <c r="O312" s="1128"/>
      <c r="P312" s="1129"/>
      <c r="Q312" s="1129"/>
      <c r="R312" s="1129"/>
      <c r="S312" s="1463"/>
      <c r="T312" s="591"/>
      <c r="U312" s="1128"/>
      <c r="V312" s="1129"/>
      <c r="W312" s="1129"/>
      <c r="X312" s="1129"/>
      <c r="Y312" s="1463"/>
      <c r="Z312" s="593"/>
      <c r="AA312" s="1128"/>
      <c r="AB312" s="1129"/>
      <c r="AC312" s="1129"/>
      <c r="AD312" s="1129"/>
      <c r="AE312" s="1463"/>
      <c r="AF312" s="592"/>
      <c r="AG312" s="1128"/>
      <c r="AH312" s="1129"/>
      <c r="AI312" s="1129"/>
      <c r="AJ312" s="1129"/>
      <c r="AK312" s="1463"/>
      <c r="AL312" s="601"/>
      <c r="AM312" s="1131">
        <f>+AM311/AG311-1</f>
        <v>0.10047870288710103</v>
      </c>
      <c r="AN312" s="1132">
        <f>+AN311/AH311-1</f>
        <v>3.5948140102441073E-2</v>
      </c>
      <c r="AO312" s="1132">
        <f>+AO311/AI311-1</f>
        <v>9.9569107836877002E-2</v>
      </c>
      <c r="AP312" s="1132">
        <f>+AP311/AJ311-1</f>
        <v>2.5286578042455599E-2</v>
      </c>
      <c r="AQ312" s="1117">
        <f>+AQ311/AK311-1</f>
        <v>6.3929008098959406E-2</v>
      </c>
      <c r="AR312" s="48"/>
      <c r="AS312" s="1131">
        <f>+AS311/AM311-1</f>
        <v>9.0628939501300687E-2</v>
      </c>
      <c r="AT312" s="1132">
        <f>+AT311/AN311-1</f>
        <v>0.15831866860913646</v>
      </c>
      <c r="AU312" s="1132">
        <f>+AU311/AO311-1</f>
        <v>1.6066682675060173E-2</v>
      </c>
      <c r="AV312" s="1132">
        <f>+AV311/AP311-1</f>
        <v>0.14684852290600903</v>
      </c>
      <c r="AW312" s="1117">
        <f>+AW311/AQ311-1</f>
        <v>0.10170396564869466</v>
      </c>
      <c r="AX312" s="601"/>
      <c r="AY312" s="1131">
        <f>+AY311/AS311-1</f>
        <v>-7.3445808011189939E-3</v>
      </c>
      <c r="AZ312" s="1132">
        <f>+AZ311/AT311-1</f>
        <v>-3.5847548183435496E-2</v>
      </c>
      <c r="BA312" s="1132">
        <f>+BA311/AU311-1</f>
        <v>-3.8974422667038211E-2</v>
      </c>
      <c r="BB312" s="1132">
        <f>+BB311/AV311-1</f>
        <v>2.0938192112527343E-2</v>
      </c>
      <c r="BC312" s="1117">
        <f>+BC311/AW311-1</f>
        <v>-1.3985879413344393E-2</v>
      </c>
      <c r="BD312" s="601"/>
      <c r="BE312" s="1131">
        <f>+BE311/AY311-1</f>
        <v>6.5537230906707045E-3</v>
      </c>
      <c r="BF312" s="1132">
        <f>+BF311/AZ311-1</f>
        <v>4.5683321769568241E-2</v>
      </c>
      <c r="BG312" s="1132">
        <f>+BG311/BA311-1</f>
        <v>-1.0712861795500905E-2</v>
      </c>
      <c r="BH312" s="1132">
        <f>+BH311/BB311-1</f>
        <v>-9.7225699550344324E-2</v>
      </c>
      <c r="BI312" s="1117">
        <f>+BI311/BC311-1</f>
        <v>-1.8498248928912719E-2</v>
      </c>
      <c r="BJ312" s="601"/>
      <c r="BK312" s="1131">
        <f>+BK311/BE311-1</f>
        <v>2.0711332146919448E-2</v>
      </c>
      <c r="BL312" s="1132">
        <f>+BL311/BF311-1</f>
        <v>4.9220576086672407E-2</v>
      </c>
      <c r="BM312" s="1132">
        <f>+BM311/BG311-1</f>
        <v>3.6986573480141782E-2</v>
      </c>
      <c r="BN312" s="1132">
        <f>+BN311/BH311-1</f>
        <v>-6.414926544981947E-2</v>
      </c>
      <c r="BO312" s="1117">
        <f>+BO311/BI311-1</f>
        <v>9.0653009012853225E-3</v>
      </c>
      <c r="BP312" s="48"/>
      <c r="BQ312" s="1131">
        <f>+BQ311/BK311-1</f>
        <v>-0.11763001389226113</v>
      </c>
      <c r="BR312" s="1132">
        <f>+BR311/BL311-1</f>
        <v>-9.5635409914326841E-2</v>
      </c>
      <c r="BS312" s="1132">
        <f>+BS311/BM311-1</f>
        <v>-0.13210417096259297</v>
      </c>
      <c r="BT312" s="1132">
        <f>+BT311/BN311-1</f>
        <v>-6.0523968020021579E-2</v>
      </c>
      <c r="BU312" s="1117">
        <f>+BU311/BO311-1</f>
        <v>-0.10124431281215218</v>
      </c>
      <c r="BV312" s="48"/>
      <c r="BW312" s="1131">
        <f>+BW311/BQ311-1</f>
        <v>-2.7704958537481006E-2</v>
      </c>
      <c r="BX312" s="1132">
        <f>+BX311/BR311-1</f>
        <v>-1.5190266799560703E-3</v>
      </c>
      <c r="BY312" s="1132">
        <f>+BY311/BS311-1</f>
        <v>4.5591657929134222E-2</v>
      </c>
      <c r="BZ312" s="1132">
        <f>+BZ311/BT311-1</f>
        <v>4.8605993570152162E-3</v>
      </c>
      <c r="CA312" s="1117">
        <f>+CA311/BU311-1</f>
        <v>5.0445249780624035E-3</v>
      </c>
      <c r="CB312" s="48"/>
      <c r="CC312" s="1131">
        <f>+CC311/BW311-1</f>
        <v>-2.7904856831641234E-2</v>
      </c>
      <c r="CD312" s="1132">
        <f>+CD311/BX311-1</f>
        <v>-5.1888427370599621E-2</v>
      </c>
      <c r="CE312" s="1132">
        <f>+CE311/BY311-1</f>
        <v>-4.9162213868069626E-2</v>
      </c>
      <c r="CF312" s="1132">
        <f>+CF311/BZ311-1</f>
        <v>-5.2916602419746273E-2</v>
      </c>
      <c r="CG312" s="1117">
        <f>+CG311/CA311-1</f>
        <v>-4.5925021813920552E-2</v>
      </c>
      <c r="CH312" s="48"/>
      <c r="CI312" s="1229">
        <f>+CI313+RevBuild!CI59</f>
        <v>2.0000000000000004E-2</v>
      </c>
      <c r="CJ312" s="1138">
        <f>+CJ313+RevBuild!CJ59</f>
        <v>5.5E-2</v>
      </c>
      <c r="CK312" s="1138">
        <f>+CK313+RevBuild!CK59</f>
        <v>1.5000000000000001E-2</v>
      </c>
      <c r="CL312" s="1138">
        <f>+CL313+RevBuild!CL59</f>
        <v>0.01</v>
      </c>
      <c r="CM312" s="1117">
        <f>+CM311/CG311-1</f>
        <v>2.5302660062030524E-2</v>
      </c>
      <c r="CN312" s="48"/>
      <c r="CO312" s="1229">
        <f>+CO313+RevBuild!CO59</f>
        <v>-0.08</v>
      </c>
      <c r="CP312" s="1138">
        <f>+CP313+RevBuild!CP59</f>
        <v>-7.0000000000000007E-2</v>
      </c>
      <c r="CQ312" s="1138">
        <f>+CQ313+RevBuild!CQ59</f>
        <v>-0.04</v>
      </c>
      <c r="CR312" s="1138">
        <f>+CR313+RevBuild!CR59</f>
        <v>-0.02</v>
      </c>
      <c r="CS312" s="1117">
        <f>+CS311/CM311-1</f>
        <v>-5.2352988020214375E-2</v>
      </c>
      <c r="CT312" s="48"/>
      <c r="CU312" s="1229">
        <f>+CU313+RevBuild!CU59</f>
        <v>-0.03</v>
      </c>
      <c r="CV312" s="1138">
        <f>+CV313+RevBuild!CV59</f>
        <v>-0.02</v>
      </c>
      <c r="CW312" s="1138">
        <f>+CW313+RevBuild!CW59</f>
        <v>-0.03</v>
      </c>
      <c r="CX312" s="1138">
        <f>+CX313+RevBuild!CX59</f>
        <v>-0.03</v>
      </c>
      <c r="CY312" s="1117">
        <f>+CY311/CS311-1</f>
        <v>-2.7371904915040379E-2</v>
      </c>
      <c r="CZ312" s="48"/>
      <c r="DD312" s="48"/>
      <c r="DE312" s="48"/>
      <c r="DF312" s="48"/>
      <c r="DG312" s="48"/>
      <c r="DH312" s="48"/>
      <c r="DI312" s="48"/>
      <c r="DJ312" s="48"/>
      <c r="DK312" s="48"/>
    </row>
    <row r="313" spans="1:115" x14ac:dyDescent="0.2">
      <c r="A313" s="205" t="s">
        <v>227</v>
      </c>
      <c r="B313" s="48"/>
      <c r="C313" s="1128"/>
      <c r="D313" s="1129"/>
      <c r="E313" s="1129"/>
      <c r="F313" s="1129"/>
      <c r="G313" s="1463"/>
      <c r="H313" s="592"/>
      <c r="I313" s="1128"/>
      <c r="J313" s="1129"/>
      <c r="K313" s="1129"/>
      <c r="L313" s="1129"/>
      <c r="M313" s="1463"/>
      <c r="N313" s="592"/>
      <c r="O313" s="1128"/>
      <c r="P313" s="1129"/>
      <c r="Q313" s="1129"/>
      <c r="R313" s="1129"/>
      <c r="S313" s="1463"/>
      <c r="T313" s="591"/>
      <c r="U313" s="1128"/>
      <c r="V313" s="1129"/>
      <c r="W313" s="1129"/>
      <c r="X313" s="1129"/>
      <c r="Y313" s="1463"/>
      <c r="Z313" s="593"/>
      <c r="AA313" s="1128"/>
      <c r="AB313" s="1129"/>
      <c r="AC313" s="1129"/>
      <c r="AD313" s="1129"/>
      <c r="AE313" s="1463"/>
      <c r="AF313" s="592"/>
      <c r="AG313" s="1128"/>
      <c r="AH313" s="1129"/>
      <c r="AI313" s="1129"/>
      <c r="AJ313" s="1129"/>
      <c r="AK313" s="1463"/>
      <c r="AL313" s="601"/>
      <c r="AM313" s="1229">
        <f>+AM312-RevBuild!AM$59</f>
        <v>4.3898744257109157E-2</v>
      </c>
      <c r="AN313" s="1138">
        <f>+AN312-RevBuild!AN$59</f>
        <v>5.2000872493053532E-2</v>
      </c>
      <c r="AO313" s="1138">
        <f>+AO312-RevBuild!AO$59</f>
        <v>0.11311814715382734</v>
      </c>
      <c r="AP313" s="1138">
        <f>+AP312-RevBuild!AP$59</f>
        <v>3.5820103712087104E-2</v>
      </c>
      <c r="AQ313" s="1228">
        <f>+AQ312-RevBuild!AQ$59</f>
        <v>6.7078068579736014E-2</v>
      </c>
      <c r="AR313" s="48"/>
      <c r="AS313" s="1229">
        <f>+AS312-RevBuild!AS$59</f>
        <v>7.1003423167760552E-2</v>
      </c>
      <c r="AT313" s="1138">
        <f>+AT312-RevBuild!AT$59</f>
        <v>9.4250656520128415E-2</v>
      </c>
      <c r="AU313" s="1138">
        <f>+AU312-RevBuild!AU$59</f>
        <v>-2.7039759871336784E-2</v>
      </c>
      <c r="AV313" s="1138">
        <f>+AV312-RevBuild!AV$59</f>
        <v>0.14767863981600513</v>
      </c>
      <c r="AW313" s="1228">
        <f>+AW312-RevBuild!AW$59</f>
        <v>6.6006289198418749E-2</v>
      </c>
      <c r="AX313" s="48"/>
      <c r="AY313" s="1229">
        <f>+AY312-RevBuild!AY$59</f>
        <v>9.7074661643514748E-4</v>
      </c>
      <c r="AZ313" s="1138">
        <f>+AZ312-RevBuild!AZ$59</f>
        <v>1.5427998725065284E-2</v>
      </c>
      <c r="BA313" s="1138">
        <f>+BA312-RevBuild!BA$59</f>
        <v>7.7033210718198408E-3</v>
      </c>
      <c r="BB313" s="1138">
        <f>+BB312-RevBuild!BB$59</f>
        <v>2.4720262562859717E-2</v>
      </c>
      <c r="BC313" s="1228">
        <f>+BC312-RevBuild!BC$59</f>
        <v>1.3597606588329675E-2</v>
      </c>
      <c r="BD313" s="48"/>
      <c r="BE313" s="1229">
        <f>+BE312-RevBuild!BE$59</f>
        <v>1.2419212156934395E-2</v>
      </c>
      <c r="BF313" s="1138">
        <f>+BF312-RevBuild!BF$59</f>
        <v>4.5739927447062428E-2</v>
      </c>
      <c r="BG313" s="1138">
        <f>+BG312-RevBuild!BG$59</f>
        <v>-4.8689765416795733E-3</v>
      </c>
      <c r="BH313" s="1138">
        <f>+BH312-RevBuild!BH$59</f>
        <v>-9.3550425693962033E-2</v>
      </c>
      <c r="BI313" s="1228">
        <f>+BI312-RevBuild!BI$59</f>
        <v>-9.8930846186460614E-3</v>
      </c>
      <c r="BJ313" s="48"/>
      <c r="BK313" s="1229">
        <f>+BK312-RevBuild!BK$59</f>
        <v>2.5263075367727608E-2</v>
      </c>
      <c r="BL313" s="1138">
        <f>+BL312-RevBuild!BL$59</f>
        <v>4.2367106559600042E-2</v>
      </c>
      <c r="BM313" s="1138">
        <f>+BM312-RevBuild!BM$59</f>
        <v>3.7006461624769359E-2</v>
      </c>
      <c r="BN313" s="1138">
        <f>+BN312-RevBuild!BN$59</f>
        <v>-1.6253861613477569E-2</v>
      </c>
      <c r="BO313" s="1228">
        <f>+BO312-RevBuild!BO$59</f>
        <v>1.8604884974574541E-2</v>
      </c>
      <c r="BP313" s="48"/>
      <c r="BQ313" s="1229">
        <f>+BQ312-RevBuild!BQ$59</f>
        <v>-3.8885256146643191E-2</v>
      </c>
      <c r="BR313" s="1138">
        <f>+BR312-RevBuild!BR$59</f>
        <v>-1.1068731071081805E-2</v>
      </c>
      <c r="BS313" s="1138">
        <f>+BS312-RevBuild!BS$59</f>
        <v>-4.3104170962592975E-2</v>
      </c>
      <c r="BT313" s="1138">
        <f>+BT312-RevBuild!BT$59</f>
        <v>2.4760319799784214E-3</v>
      </c>
      <c r="BU313" s="1228">
        <f>+BU312-RevBuild!BU$59</f>
        <v>-2.0994312812152291E-2</v>
      </c>
      <c r="BV313" s="48"/>
      <c r="BW313" s="1229">
        <f>+BW312-RevBuild!BW$59</f>
        <v>-7.5333280630377648E-3</v>
      </c>
      <c r="BX313" s="1138">
        <f>+BX312-RevBuild!BX$59</f>
        <v>1.3663884268656667E-2</v>
      </c>
      <c r="BY313" s="1138">
        <f>+BY312-RevBuild!BY$59</f>
        <v>5.3900650461584029E-2</v>
      </c>
      <c r="BZ313" s="1138">
        <f>+BZ312-RevBuild!BZ$59</f>
        <v>3.5167629486139981E-2</v>
      </c>
      <c r="CA313" s="1228">
        <f>+CA312-RevBuild!CA$59</f>
        <v>2.3755606222413628E-2</v>
      </c>
      <c r="CB313" s="48"/>
      <c r="CC313" s="1229">
        <f>+CC312-RevBuild!CC$59</f>
        <v>-6.1746244761471877E-3</v>
      </c>
      <c r="CD313" s="1138">
        <f>+CD312-RevBuild!CD$59</f>
        <v>-2.9323399799818739E-2</v>
      </c>
      <c r="CE313" s="1138">
        <f>+CE312-RevBuild!CE$59</f>
        <v>-5.5088221810552895E-2</v>
      </c>
      <c r="CF313" s="1138">
        <f>+CF312-RevBuild!CF$59</f>
        <v>-7.6400225190983495E-2</v>
      </c>
      <c r="CG313" s="1228">
        <f>+CG312-RevBuild!CG$59</f>
        <v>-4.2203614510781945E-2</v>
      </c>
      <c r="CH313" s="48"/>
      <c r="CI313" s="1682">
        <v>-0.03</v>
      </c>
      <c r="CJ313" s="1677">
        <v>0.01</v>
      </c>
      <c r="CK313" s="1677">
        <v>-0.01</v>
      </c>
      <c r="CL313" s="1677">
        <v>-0.01</v>
      </c>
      <c r="CM313" s="1228">
        <f>+CM312-RevBuild!CM$59</f>
        <v>-9.6973399379694722E-3</v>
      </c>
      <c r="CN313" s="48"/>
      <c r="CO313" s="1682">
        <v>-0.08</v>
      </c>
      <c r="CP313" s="1677">
        <v>-7.0000000000000007E-2</v>
      </c>
      <c r="CQ313" s="1677">
        <v>-0.04</v>
      </c>
      <c r="CR313" s="1677">
        <v>-0.02</v>
      </c>
      <c r="CS313" s="1228">
        <f>+CS312-RevBuild!CS$59</f>
        <v>-5.2352988020214375E-2</v>
      </c>
      <c r="CT313" s="48"/>
      <c r="CU313" s="1682">
        <v>-0.03</v>
      </c>
      <c r="CV313" s="1677">
        <v>-0.02</v>
      </c>
      <c r="CW313" s="1677">
        <v>-0.03</v>
      </c>
      <c r="CX313" s="1677">
        <v>-0.03</v>
      </c>
      <c r="CY313" s="1228">
        <f>+CY312-RevBuild!CY$59</f>
        <v>-2.7371904915040379E-2</v>
      </c>
      <c r="CZ313" s="48"/>
      <c r="DD313" s="48"/>
      <c r="DE313" s="48"/>
      <c r="DF313" s="48"/>
      <c r="DG313" s="48"/>
      <c r="DH313" s="48"/>
      <c r="DI313" s="48"/>
      <c r="DJ313" s="48"/>
      <c r="DK313" s="48"/>
    </row>
    <row r="314" spans="1:115" x14ac:dyDescent="0.2">
      <c r="A314" s="1196" t="s">
        <v>425</v>
      </c>
      <c r="B314" s="1197"/>
      <c r="C314" s="1198"/>
      <c r="D314" s="1198"/>
      <c r="E314" s="1198"/>
      <c r="F314" s="1198"/>
      <c r="G314" s="1199"/>
      <c r="H314" s="1200"/>
      <c r="I314" s="1201"/>
      <c r="J314" s="1198"/>
      <c r="K314" s="1198"/>
      <c r="L314" s="1198"/>
      <c r="M314" s="1199"/>
      <c r="N314" s="1200"/>
      <c r="O314" s="1201"/>
      <c r="P314" s="1198"/>
      <c r="Q314" s="1198"/>
      <c r="R314" s="1198"/>
      <c r="S314" s="1199"/>
      <c r="T314" s="1198"/>
      <c r="U314" s="1201"/>
      <c r="V314" s="1198"/>
      <c r="W314" s="1198"/>
      <c r="X314" s="1198"/>
      <c r="Y314" s="1202"/>
      <c r="Z314" s="1203"/>
      <c r="AA314" s="1204"/>
      <c r="AB314" s="1205"/>
      <c r="AC314" s="1205"/>
      <c r="AD314" s="1206"/>
      <c r="AE314" s="1207"/>
      <c r="AF314" s="1200"/>
      <c r="AG314" s="1209">
        <f>AG311/AG$366</f>
        <v>0.63724181086573761</v>
      </c>
      <c r="AH314" s="1210">
        <f>AH311/AH$366</f>
        <v>0.60707221555988611</v>
      </c>
      <c r="AI314" s="1210">
        <f>AI311/AI$366</f>
        <v>0.60693107113560474</v>
      </c>
      <c r="AJ314" s="1210">
        <f>AJ311/AJ$366</f>
        <v>0.59827085862936169</v>
      </c>
      <c r="AK314" s="1208">
        <f>AK311/AK$366</f>
        <v>0.61111701532443752</v>
      </c>
      <c r="AL314" s="1200"/>
      <c r="AM314" s="1209">
        <f>AM311/AM$366</f>
        <v>0.58606283382003588</v>
      </c>
      <c r="AN314" s="1210">
        <f>AN311/AN$366</f>
        <v>0.58069326514484432</v>
      </c>
      <c r="AO314" s="1210">
        <f>AO311/AO$366</f>
        <v>0.63170244643970308</v>
      </c>
      <c r="AP314" s="1210">
        <f>AP311/AP$366</f>
        <v>0.6199291206927896</v>
      </c>
      <c r="AQ314" s="1208">
        <f>AQ311/AQ$366</f>
        <v>0.6052460146665043</v>
      </c>
      <c r="AR314" s="1200"/>
      <c r="AS314" s="1209">
        <f>AS311/AS$366</f>
        <v>0.63941653797981057</v>
      </c>
      <c r="AT314" s="1210">
        <f>AT311/AT$366</f>
        <v>0.61998082408226152</v>
      </c>
      <c r="AU314" s="1210">
        <f>AU311/AU$366</f>
        <v>0.60948426793375232</v>
      </c>
      <c r="AV314" s="1210">
        <f>AV311/AV$366</f>
        <v>0.60809366256846675</v>
      </c>
      <c r="AW314" s="1208">
        <f>AW311/AW$366</f>
        <v>0.61838097108561407</v>
      </c>
      <c r="AX314" s="1200"/>
      <c r="AY314" s="1209">
        <f>AY311/AY$366</f>
        <v>0.56586339018944998</v>
      </c>
      <c r="AZ314" s="1210">
        <f>AZ311/AZ$366</f>
        <v>0.54904253314123885</v>
      </c>
      <c r="BA314" s="1210">
        <f>BA311/BA$366</f>
        <v>0.55607860461003722</v>
      </c>
      <c r="BB314" s="1210">
        <f>BB311/BB$366</f>
        <v>0.59912690834016158</v>
      </c>
      <c r="BC314" s="1208">
        <f>BC311/BC$366</f>
        <v>0.56855928777077336</v>
      </c>
      <c r="BD314" s="1200"/>
      <c r="BE314" s="1209">
        <f>BE311/BE$366</f>
        <v>0.5561495058267325</v>
      </c>
      <c r="BF314" s="1210">
        <f>BF311/BF$366</f>
        <v>0.55743317837925133</v>
      </c>
      <c r="BG314" s="1210">
        <f>BG311/BG$366</f>
        <v>0.51695555167920948</v>
      </c>
      <c r="BH314" s="1210">
        <f>BH311/BH$366</f>
        <v>0.51692974661014957</v>
      </c>
      <c r="BI314" s="1208">
        <f>BI311/BI$366</f>
        <v>0.53586009591179096</v>
      </c>
      <c r="BJ314" s="1200"/>
      <c r="BK314" s="1209">
        <f>BK311/BK$366</f>
        <v>0.54299014732122863</v>
      </c>
      <c r="BL314" s="1210">
        <f>BL311/BL$366</f>
        <v>0.55869362577851944</v>
      </c>
      <c r="BM314" s="1210">
        <f>BM311/BM$366</f>
        <v>0.51546751718258876</v>
      </c>
      <c r="BN314" s="1210">
        <f>BN311/BN$366</f>
        <v>0.48614897865106926</v>
      </c>
      <c r="BO314" s="1208">
        <f>BO311/BO$366</f>
        <v>0.52473420673412885</v>
      </c>
      <c r="BP314" s="1200"/>
      <c r="BQ314" s="1209">
        <f>BQ311/BQ$366</f>
        <v>0.50902049437827823</v>
      </c>
      <c r="BR314" s="1210">
        <f>BR311/BR$366</f>
        <v>0.52389597163093649</v>
      </c>
      <c r="BS314" s="1210">
        <f>BS311/BS$366</f>
        <v>0.47893950308527372</v>
      </c>
      <c r="BT314" s="1210">
        <f>BT311/BT$366</f>
        <v>0.4728581358191874</v>
      </c>
      <c r="BU314" s="1208">
        <f>BU311/BU$366</f>
        <v>0.49550800091586988</v>
      </c>
      <c r="BV314" s="1200"/>
      <c r="BW314" s="1209">
        <f>BW311/BW$366</f>
        <v>0.49549864399815352</v>
      </c>
      <c r="BX314" s="1210">
        <f>BX311/BX$366</f>
        <v>0.49970540712755707</v>
      </c>
      <c r="BY314" s="1210">
        <f>BY311/BY$366</f>
        <v>0.46510572263117905</v>
      </c>
      <c r="BZ314" s="1210">
        <f>BZ311/BZ$366</f>
        <v>0.45180154606191614</v>
      </c>
      <c r="CA314" s="1208">
        <f>CA311/CA$366</f>
        <v>0.47688680254956106</v>
      </c>
      <c r="CB314" s="1200"/>
      <c r="CC314" s="1209">
        <f>CC311/CC$366</f>
        <v>0.4661627005454308</v>
      </c>
      <c r="CD314" s="1210">
        <f>CD311/CD$366</f>
        <v>0.45318598659678933</v>
      </c>
      <c r="CE314" s="1210">
        <f>CE311/CE$366</f>
        <v>0.41103207131281017</v>
      </c>
      <c r="CF314" s="1210">
        <f>CF311/CF$366</f>
        <v>0.39492405264225661</v>
      </c>
      <c r="CG314" s="1208">
        <f>CG311/CG$366</f>
        <v>0.42888272341816525</v>
      </c>
      <c r="CH314" s="1200"/>
      <c r="CI314" s="1209">
        <f>CI311/CI$366</f>
        <v>0.42839413036320262</v>
      </c>
      <c r="CJ314" s="1210">
        <f>CJ311/CJ$366</f>
        <v>0.42858263260411728</v>
      </c>
      <c r="CK314" s="1210">
        <f>CK311/CK$366</f>
        <v>0.37725750723533119</v>
      </c>
      <c r="CL314" s="1210">
        <f>CL311/CL$366</f>
        <v>0.36874446930510785</v>
      </c>
      <c r="CM314" s="1208">
        <f>CM311/CM$366</f>
        <v>0.39889628772490598</v>
      </c>
      <c r="CN314" s="1200"/>
      <c r="CO314" s="1209">
        <f>CO311/CO$366</f>
        <v>0.35498085563055737</v>
      </c>
      <c r="CP314" s="1210">
        <f>CP311/CP$366</f>
        <v>0.37058536702183292</v>
      </c>
      <c r="CQ314" s="1210">
        <f>CQ311/CQ$366</f>
        <v>0.3417550889222889</v>
      </c>
      <c r="CR314" s="1210">
        <f>CR311/CR$366</f>
        <v>0.33197034833761446</v>
      </c>
      <c r="CS314" s="1208">
        <f>CS311/CS$366</f>
        <v>0.34915922549398182</v>
      </c>
      <c r="CT314" s="1200"/>
      <c r="CU314" s="1209">
        <f>CU311/CU$366</f>
        <v>0.31100390467018779</v>
      </c>
      <c r="CV314" s="1210">
        <f>CV311/CV$366</f>
        <v>0.32995304125866398</v>
      </c>
      <c r="CW314" s="1210">
        <f>CW311/CW$366</f>
        <v>0.30184532926674773</v>
      </c>
      <c r="CX314" s="1210">
        <f>CX311/CX$366</f>
        <v>0.29346119492928346</v>
      </c>
      <c r="CY314" s="1208">
        <f>CY311/CY$366</f>
        <v>0.30856481217845866</v>
      </c>
      <c r="CZ314" s="48"/>
      <c r="DD314" s="48"/>
      <c r="DE314" s="48"/>
      <c r="DF314" s="48"/>
      <c r="DG314" s="48"/>
      <c r="DH314" s="48"/>
      <c r="DI314" s="48"/>
      <c r="DJ314" s="48"/>
      <c r="DK314" s="48"/>
    </row>
    <row r="315" spans="1:115" outlineLevel="1" x14ac:dyDescent="0.2">
      <c r="A315" s="354" t="s">
        <v>530</v>
      </c>
      <c r="B315" s="961"/>
      <c r="C315" s="591"/>
      <c r="D315" s="591"/>
      <c r="E315" s="591"/>
      <c r="F315" s="591"/>
      <c r="G315" s="594"/>
      <c r="H315" s="592"/>
      <c r="I315" s="680"/>
      <c r="J315" s="591"/>
      <c r="K315" s="591"/>
      <c r="L315" s="591"/>
      <c r="M315" s="594"/>
      <c r="N315" s="592"/>
      <c r="O315" s="680"/>
      <c r="P315" s="591"/>
      <c r="Q315" s="591"/>
      <c r="R315" s="591"/>
      <c r="S315" s="594"/>
      <c r="T315" s="591"/>
      <c r="U315" s="680"/>
      <c r="V315" s="591"/>
      <c r="W315" s="591"/>
      <c r="X315" s="591"/>
      <c r="Y315" s="600"/>
      <c r="Z315" s="1136"/>
      <c r="AA315" s="688"/>
      <c r="AB315" s="593"/>
      <c r="AC315" s="593"/>
      <c r="AD315" s="689"/>
      <c r="AE315" s="594"/>
      <c r="AF315" s="592"/>
      <c r="AG315" s="688"/>
      <c r="AH315" s="593"/>
      <c r="AI315" s="593"/>
      <c r="AJ315" s="689"/>
      <c r="AK315" s="595"/>
      <c r="AL315" s="592"/>
      <c r="AM315" s="688"/>
      <c r="AN315" s="597"/>
      <c r="AO315" s="597"/>
      <c r="AP315" s="597"/>
      <c r="AQ315" s="598"/>
      <c r="AR315" s="592"/>
      <c r="AS315" s="695"/>
      <c r="AT315" s="599"/>
      <c r="AU315" s="599"/>
      <c r="AV315" s="599"/>
      <c r="AW315" s="584"/>
      <c r="AX315" s="592"/>
      <c r="AY315" s="600"/>
      <c r="AZ315" s="925">
        <f>(16.7/4)/3</f>
        <v>1.3916666666666666</v>
      </c>
      <c r="BA315" s="601">
        <f>16.7/4</f>
        <v>4.1749999999999998</v>
      </c>
      <c r="BB315" s="601">
        <f>16.7/4</f>
        <v>4.1749999999999998</v>
      </c>
      <c r="BC315" s="580">
        <f>SUM(AY315:BB315)</f>
        <v>9.7416666666666671</v>
      </c>
      <c r="BD315" s="592"/>
      <c r="BE315" s="924">
        <f>+(RevBuild!AY29*0.013)</f>
        <v>3.8534860000000002</v>
      </c>
      <c r="BF315" s="925">
        <f>+(RevBuild!AZ29*0.02)</f>
        <v>6.1442600000000009</v>
      </c>
      <c r="BG315" s="601">
        <f>+RevBuild!BA29*0.025</f>
        <v>7.6072249999999997</v>
      </c>
      <c r="BH315" s="601">
        <f>+RevBuild!BB29*0.025</f>
        <v>8.6632999999999978</v>
      </c>
      <c r="BI315" s="580">
        <f>SUM(BE315:BH315)</f>
        <v>26.268270999999999</v>
      </c>
      <c r="BJ315" s="594"/>
      <c r="BK315" s="550">
        <f>+BE315*(1+BK316)</f>
        <v>4.6802101567985606</v>
      </c>
      <c r="BL315" s="550">
        <f>+BF315*(1+BL316)</f>
        <v>7.4319874210713675</v>
      </c>
      <c r="BM315" s="550">
        <f>+BG315*(1+BM316)</f>
        <v>8.9793544653581794</v>
      </c>
      <c r="BN315" s="550">
        <f>BH315*(1+BN316)</f>
        <v>9.9203846479446174</v>
      </c>
      <c r="BO315" s="580">
        <f>SUM(BK315:BN315)</f>
        <v>31.011936691172721</v>
      </c>
      <c r="BP315" s="592"/>
      <c r="BQ315" s="581">
        <f>+BK315*(1+BQ316)</f>
        <v>4.9705982496469971</v>
      </c>
      <c r="BR315" s="550">
        <f>+BL315*(1+BR316)</f>
        <v>7.9189525212139404</v>
      </c>
      <c r="BS315" s="550">
        <f>+BM315*(1+BS316)</f>
        <v>9.5199046341520521</v>
      </c>
      <c r="BT315" s="582">
        <f>+BN315*(1+BT316)</f>
        <v>10.694220108488835</v>
      </c>
      <c r="BU315" s="580">
        <f>SUM(BQ315:BT315)</f>
        <v>33.103675513501827</v>
      </c>
      <c r="BV315" s="592"/>
      <c r="BW315" s="581">
        <f>+BQ315*(1+BW316)</f>
        <v>5.610952317715606</v>
      </c>
      <c r="BX315" s="550">
        <f>+BR315*(1+BX316)</f>
        <v>9.4554420259213288</v>
      </c>
      <c r="BY315" s="550">
        <f>+BS315*(1+BY316)</f>
        <v>10.554378343831491</v>
      </c>
      <c r="BZ315" s="582">
        <f>+BT315*(1+BZ316)</f>
        <v>11.904336259798184</v>
      </c>
      <c r="CA315" s="580">
        <f>SUM(BW315:BZ315)</f>
        <v>37.52510894726661</v>
      </c>
      <c r="CB315" s="592"/>
      <c r="CC315" s="581">
        <f>+BW315*(1+CC316)</f>
        <v>6.2414522578949914</v>
      </c>
      <c r="CD315" s="550">
        <f>+BX315*(1+CD316)</f>
        <v>10.420997877209594</v>
      </c>
      <c r="CE315" s="550">
        <f>+BY315*(1+CE316)</f>
        <v>11.830012636213999</v>
      </c>
      <c r="CF315" s="550">
        <f>+BZ315*(1+CF316)</f>
        <v>13.846482071462251</v>
      </c>
      <c r="CG315" s="580">
        <f>SUM(CC315:CF315)</f>
        <v>42.338944842780833</v>
      </c>
      <c r="CH315" s="592"/>
      <c r="CI315" s="581">
        <f>+CC315*(1+CI316)</f>
        <v>7.4273281868950392</v>
      </c>
      <c r="CJ315" s="550">
        <f>+CD315*(1+CJ316)</f>
        <v>12.34888248449337</v>
      </c>
      <c r="CK315" s="550">
        <f>+CE315*(1+CK316)</f>
        <v>13.781964721189309</v>
      </c>
      <c r="CL315" s="582">
        <f>+CF315*(1+CL316)</f>
        <v>16.06191920289621</v>
      </c>
      <c r="CM315" s="580">
        <f>SUM(CI315:CL315)</f>
        <v>49.62009459547393</v>
      </c>
      <c r="CN315" s="592"/>
      <c r="CO315" s="581">
        <f>+CI315*(1+CO316)</f>
        <v>8.4671541330603457</v>
      </c>
      <c r="CP315" s="550">
        <f>+CJ315*(1+CP316)</f>
        <v>14.077726032322444</v>
      </c>
      <c r="CQ315" s="550">
        <f>+CK315*(1+CQ316)</f>
        <v>15.711439782155814</v>
      </c>
      <c r="CR315" s="582">
        <f>+CL315*(1+CR316)</f>
        <v>18.31058789130168</v>
      </c>
      <c r="CS315" s="580">
        <f>SUM(CO315:CR315)</f>
        <v>56.56690783884028</v>
      </c>
      <c r="CT315" s="592"/>
      <c r="CU315" s="581">
        <f>+CO315*(1+CU316)</f>
        <v>9.6525557116887946</v>
      </c>
      <c r="CV315" s="550">
        <f>+CP315*(1+CV316)</f>
        <v>16.048607676847588</v>
      </c>
      <c r="CW315" s="550">
        <f>+CQ315*(1+CW316)</f>
        <v>17.91104135165763</v>
      </c>
      <c r="CX315" s="582">
        <f>+CR315*(1+CX316)</f>
        <v>20.874070196083917</v>
      </c>
      <c r="CY315" s="580">
        <f>SUM(CU315:CX315)</f>
        <v>64.486274936277937</v>
      </c>
      <c r="CZ315" s="48"/>
      <c r="DD315" s="48"/>
      <c r="DE315" s="48"/>
      <c r="DF315" s="48"/>
      <c r="DG315" s="48"/>
      <c r="DH315" s="48"/>
      <c r="DI315" s="48"/>
      <c r="DJ315" s="48"/>
      <c r="DK315" s="48"/>
    </row>
    <row r="316" spans="1:115" outlineLevel="1" x14ac:dyDescent="0.2">
      <c r="A316" s="205" t="s">
        <v>639</v>
      </c>
      <c r="B316" s="961"/>
      <c r="C316" s="591"/>
      <c r="D316" s="591"/>
      <c r="E316" s="591"/>
      <c r="F316" s="591"/>
      <c r="G316" s="594"/>
      <c r="H316" s="592"/>
      <c r="I316" s="680"/>
      <c r="J316" s="591"/>
      <c r="K316" s="591"/>
      <c r="L316" s="591"/>
      <c r="M316" s="594"/>
      <c r="N316" s="592"/>
      <c r="O316" s="680"/>
      <c r="P316" s="591"/>
      <c r="Q316" s="591"/>
      <c r="R316" s="591"/>
      <c r="S316" s="594"/>
      <c r="T316" s="591"/>
      <c r="U316" s="680"/>
      <c r="V316" s="591"/>
      <c r="W316" s="591"/>
      <c r="X316" s="591"/>
      <c r="Y316" s="594"/>
      <c r="Z316" s="593"/>
      <c r="AA316" s="688"/>
      <c r="AB316" s="593"/>
      <c r="AC316" s="593"/>
      <c r="AD316" s="689"/>
      <c r="AE316" s="594"/>
      <c r="AF316" s="592"/>
      <c r="AG316" s="688"/>
      <c r="AH316" s="593"/>
      <c r="AI316" s="593"/>
      <c r="AJ316" s="689"/>
      <c r="AK316" s="595"/>
      <c r="AL316" s="592"/>
      <c r="AM316" s="688"/>
      <c r="AN316" s="597"/>
      <c r="AO316" s="597"/>
      <c r="AP316" s="597"/>
      <c r="AQ316" s="598"/>
      <c r="AR316" s="592"/>
      <c r="AS316" s="695"/>
      <c r="AT316" s="599"/>
      <c r="AU316" s="599"/>
      <c r="AV316" s="599"/>
      <c r="AW316" s="584"/>
      <c r="AX316" s="592"/>
      <c r="AY316" s="600"/>
      <c r="AZ316" s="592"/>
      <c r="BA316" s="566"/>
      <c r="BB316" s="564"/>
      <c r="BC316" s="562"/>
      <c r="BD316" s="592"/>
      <c r="BE316" s="600"/>
      <c r="BF316" s="564"/>
      <c r="BG316" s="1114">
        <f>+BG315/BA315-1</f>
        <v>0.82208982035928146</v>
      </c>
      <c r="BH316" s="1114">
        <f>+BH315/BB315-1</f>
        <v>1.0750419161676641</v>
      </c>
      <c r="BI316" s="707">
        <f>BI315/BC315-1</f>
        <v>1.6964863301967492</v>
      </c>
      <c r="BJ316" s="594"/>
      <c r="BK316" s="1109">
        <f>+BK317+RevBuild!BK$34</f>
        <v>0.21453929164360802</v>
      </c>
      <c r="BL316" s="1110">
        <f>+BL317+RevBuild!BL$34</f>
        <v>0.20958218256899375</v>
      </c>
      <c r="BM316" s="1110">
        <f>+BM317+RevBuild!BM$34</f>
        <v>0.18037187875449734</v>
      </c>
      <c r="BN316" s="1110">
        <f>+BN317+RevBuild!BN$34</f>
        <v>0.1451045961636582</v>
      </c>
      <c r="BO316" s="707">
        <f>BO315/BI315-1</f>
        <v>0.1805853796457606</v>
      </c>
      <c r="BP316" s="592"/>
      <c r="BQ316" s="1109">
        <f>+BQ317+RevBuild!BQ$34</f>
        <v>6.2045951596129342E-2</v>
      </c>
      <c r="BR316" s="1110">
        <f>+BR317+RevBuild!BR$34</f>
        <v>6.55228638791715E-2</v>
      </c>
      <c r="BS316" s="1110">
        <f>+BS317+RevBuild!BS$34</f>
        <v>6.019922377263115E-2</v>
      </c>
      <c r="BT316" s="1110">
        <f>+BT317+RevBuild!BT$34</f>
        <v>7.8004582282456963E-2</v>
      </c>
      <c r="BU316" s="707">
        <f>BU315/BO315-1</f>
        <v>6.7449474154398725E-2</v>
      </c>
      <c r="BV316" s="592"/>
      <c r="BW316" s="1109">
        <f>+BW317+RevBuild!BW$34</f>
        <v>0.12882836952555676</v>
      </c>
      <c r="BX316" s="1110">
        <f>+BX317+RevBuild!BX$34</f>
        <v>0.19402686158192195</v>
      </c>
      <c r="BY316" s="1110">
        <f>+BY317+RevBuild!BY$34</f>
        <v>0.10866429333423477</v>
      </c>
      <c r="BZ316" s="1110">
        <f>+BZ317+RevBuild!BZ$34</f>
        <v>0.11315609170497472</v>
      </c>
      <c r="CA316" s="707">
        <f>CA315/BU315-1</f>
        <v>0.13356321813755812</v>
      </c>
      <c r="CB316" s="592"/>
      <c r="CC316" s="1109">
        <f>+CC317+RevBuild!CC$34</f>
        <v>0.11236950600857754</v>
      </c>
      <c r="CD316" s="1110">
        <f>+CD317+RevBuild!CD$34</f>
        <v>0.10211641598999513</v>
      </c>
      <c r="CE316" s="1110">
        <f>+CE317+RevBuild!CE$34</f>
        <v>0.12086304383128849</v>
      </c>
      <c r="CF316" s="1110">
        <f>+CF317+RevBuild!CF$34</f>
        <v>0.16314608133364261</v>
      </c>
      <c r="CG316" s="707">
        <f>CG315/CA315-1</f>
        <v>0.1282830624763549</v>
      </c>
      <c r="CH316" s="592"/>
      <c r="CI316" s="1109">
        <f>+CI317+RevBuild!CI$34</f>
        <v>0.19</v>
      </c>
      <c r="CJ316" s="1110">
        <f>+CJ317+RevBuild!CJ$34</f>
        <v>0.185</v>
      </c>
      <c r="CK316" s="1110">
        <f>+CK317+RevBuild!CK$34</f>
        <v>0.16500000000000001</v>
      </c>
      <c r="CL316" s="1110">
        <f>+CL317+RevBuild!CL$34</f>
        <v>0.16</v>
      </c>
      <c r="CM316" s="707">
        <f>CM315/CG315-1</f>
        <v>0.17197286752729735</v>
      </c>
      <c r="CN316" s="592"/>
      <c r="CO316" s="1109">
        <f>+CO317+RevBuild!CO$34</f>
        <v>0.14000000000000001</v>
      </c>
      <c r="CP316" s="1110">
        <f>+CP317+RevBuild!CP$34</f>
        <v>0.14000000000000001</v>
      </c>
      <c r="CQ316" s="1110">
        <f>+CQ317+RevBuild!CQ$34</f>
        <v>0.14000000000000001</v>
      </c>
      <c r="CR316" s="1110">
        <f>+CR317+RevBuild!CR$34</f>
        <v>0.14000000000000001</v>
      </c>
      <c r="CS316" s="707">
        <f>CS315/CM315-1</f>
        <v>0.1399999999999999</v>
      </c>
      <c r="CT316" s="592"/>
      <c r="CU316" s="1109">
        <f>+CU317+RevBuild!CU$34</f>
        <v>0.14000000000000001</v>
      </c>
      <c r="CV316" s="1110">
        <f>+CV317+RevBuild!CV$34</f>
        <v>0.14000000000000001</v>
      </c>
      <c r="CW316" s="1110">
        <f>+CW317+RevBuild!CW$34</f>
        <v>0.14000000000000001</v>
      </c>
      <c r="CX316" s="1110">
        <f>+CX317+RevBuild!CX$34</f>
        <v>0.14000000000000001</v>
      </c>
      <c r="CY316" s="707">
        <f>CY315/CS315-1</f>
        <v>0.14000000000000035</v>
      </c>
      <c r="CZ316" s="48"/>
      <c r="DD316" s="48"/>
      <c r="DE316" s="48"/>
      <c r="DF316" s="48"/>
      <c r="DG316" s="48"/>
      <c r="DH316" s="48"/>
      <c r="DI316" s="48"/>
      <c r="DJ316" s="48"/>
      <c r="DK316" s="48"/>
    </row>
    <row r="317" spans="1:115" outlineLevel="1" x14ac:dyDescent="0.2">
      <c r="A317" s="205" t="s">
        <v>227</v>
      </c>
      <c r="B317" s="961"/>
      <c r="C317" s="591"/>
      <c r="D317" s="591"/>
      <c r="E317" s="591"/>
      <c r="F317" s="591"/>
      <c r="G317" s="594"/>
      <c r="H317" s="592"/>
      <c r="I317" s="680"/>
      <c r="J317" s="591"/>
      <c r="K317" s="591"/>
      <c r="L317" s="591"/>
      <c r="M317" s="594"/>
      <c r="N317" s="592"/>
      <c r="O317" s="680"/>
      <c r="P317" s="591"/>
      <c r="Q317" s="591"/>
      <c r="R317" s="591"/>
      <c r="S317" s="594"/>
      <c r="T317" s="591"/>
      <c r="U317" s="680"/>
      <c r="V317" s="591"/>
      <c r="W317" s="591"/>
      <c r="X317" s="591"/>
      <c r="Y317" s="594"/>
      <c r="Z317" s="593"/>
      <c r="AA317" s="680"/>
      <c r="AB317" s="591"/>
      <c r="AC317" s="591"/>
      <c r="AD317" s="591"/>
      <c r="AE317" s="594"/>
      <c r="AF317" s="592"/>
      <c r="AG317" s="688"/>
      <c r="AH317" s="593"/>
      <c r="AI317" s="593"/>
      <c r="AJ317" s="593"/>
      <c r="AK317" s="595"/>
      <c r="AL317" s="592"/>
      <c r="AM317" s="688"/>
      <c r="AN317" s="597"/>
      <c r="AO317" s="597"/>
      <c r="AP317" s="597"/>
      <c r="AQ317" s="598"/>
      <c r="AR317" s="592"/>
      <c r="AS317" s="695"/>
      <c r="AT317" s="599"/>
      <c r="AU317" s="599"/>
      <c r="AV317" s="599"/>
      <c r="AW317" s="584"/>
      <c r="AX317" s="592"/>
      <c r="AY317" s="600"/>
      <c r="AZ317" s="592"/>
      <c r="BA317" s="566"/>
      <c r="BB317" s="564"/>
      <c r="BC317" s="562"/>
      <c r="BD317" s="592"/>
      <c r="BE317" s="1109"/>
      <c r="BF317" s="1110"/>
      <c r="BG317" s="1110">
        <f>+BG316-RevBuild!BG34</f>
        <v>0.81449876215407502</v>
      </c>
      <c r="BH317" s="1110">
        <f>+BH316-RevBuild!BH34</f>
        <v>1.0788388193729623</v>
      </c>
      <c r="BI317" s="707"/>
      <c r="BJ317" s="594"/>
      <c r="BK317" s="910">
        <v>0.2</v>
      </c>
      <c r="BL317" s="910">
        <v>0.2</v>
      </c>
      <c r="BM317" s="1118">
        <v>0.18</v>
      </c>
      <c r="BN317" s="910">
        <v>0.18</v>
      </c>
      <c r="BO317" s="1228">
        <f>+BO316-RevBuild!BO$59</f>
        <v>0.19012496371904983</v>
      </c>
      <c r="BP317" s="592"/>
      <c r="BQ317" s="909">
        <v>0.15</v>
      </c>
      <c r="BR317" s="910">
        <v>0.15</v>
      </c>
      <c r="BS317" s="910">
        <v>0.15</v>
      </c>
      <c r="BT317" s="910">
        <v>0.15</v>
      </c>
      <c r="BU317" s="1228">
        <f>+BU316-RevBuild!BU$59</f>
        <v>0.1476994741543986</v>
      </c>
      <c r="BV317" s="592"/>
      <c r="BW317" s="909">
        <v>0.15</v>
      </c>
      <c r="BX317" s="910">
        <v>0.2</v>
      </c>
      <c r="BY317" s="910">
        <v>0.1</v>
      </c>
      <c r="BZ317" s="910">
        <v>0.15</v>
      </c>
      <c r="CA317" s="1228">
        <f>+CA316-RevBuild!CA$34</f>
        <v>0.1478081261812374</v>
      </c>
      <c r="CB317" s="592"/>
      <c r="CC317" s="909">
        <v>0.15</v>
      </c>
      <c r="CD317" s="910">
        <v>0.15</v>
      </c>
      <c r="CE317" s="910">
        <v>0.15</v>
      </c>
      <c r="CF317" s="910">
        <v>0.15</v>
      </c>
      <c r="CG317" s="1228">
        <f>+CG316-RevBuild!CG$59</f>
        <v>0.13200446977949351</v>
      </c>
      <c r="CH317" s="592"/>
      <c r="CI317" s="909">
        <v>0.14000000000000001</v>
      </c>
      <c r="CJ317" s="910">
        <v>0.14000000000000001</v>
      </c>
      <c r="CK317" s="910">
        <v>0.14000000000000001</v>
      </c>
      <c r="CL317" s="910">
        <v>0.14000000000000001</v>
      </c>
      <c r="CM317" s="1228">
        <f>+CM316-RevBuild!CM$59</f>
        <v>0.13697286752729734</v>
      </c>
      <c r="CN317" s="592"/>
      <c r="CO317" s="909">
        <v>0.14000000000000001</v>
      </c>
      <c r="CP317" s="910">
        <v>0.14000000000000001</v>
      </c>
      <c r="CQ317" s="910">
        <v>0.14000000000000001</v>
      </c>
      <c r="CR317" s="910">
        <v>0.14000000000000001</v>
      </c>
      <c r="CS317" s="1228">
        <f>+CS316-RevBuild!CS$59</f>
        <v>0.1399999999999999</v>
      </c>
      <c r="CT317" s="592"/>
      <c r="CU317" s="909">
        <v>0.14000000000000001</v>
      </c>
      <c r="CV317" s="910">
        <v>0.14000000000000001</v>
      </c>
      <c r="CW317" s="910">
        <v>0.14000000000000001</v>
      </c>
      <c r="CX317" s="910">
        <v>0.14000000000000001</v>
      </c>
      <c r="CY317" s="1228">
        <f>+CY316-RevBuild!CY$59</f>
        <v>0.14000000000000035</v>
      </c>
      <c r="CZ317" s="48"/>
      <c r="DD317" s="48"/>
      <c r="DE317" s="48"/>
      <c r="DF317" s="48"/>
      <c r="DG317" s="48"/>
      <c r="DH317" s="48"/>
      <c r="DI317" s="48"/>
      <c r="DJ317" s="48"/>
      <c r="DK317" s="48"/>
    </row>
    <row r="318" spans="1:115" outlineLevel="1" x14ac:dyDescent="0.2">
      <c r="A318" s="354" t="s">
        <v>605</v>
      </c>
      <c r="B318" s="961"/>
      <c r="C318" s="591"/>
      <c r="D318" s="591"/>
      <c r="E318" s="591"/>
      <c r="F318" s="591"/>
      <c r="G318" s="594"/>
      <c r="H318" s="592"/>
      <c r="I318" s="680"/>
      <c r="J318" s="591"/>
      <c r="K318" s="591"/>
      <c r="L318" s="591"/>
      <c r="M318" s="594"/>
      <c r="N318" s="592"/>
      <c r="O318" s="680"/>
      <c r="P318" s="591"/>
      <c r="Q318" s="591"/>
      <c r="R318" s="591"/>
      <c r="S318" s="594"/>
      <c r="T318" s="591"/>
      <c r="U318" s="680"/>
      <c r="V318" s="591"/>
      <c r="W318" s="591"/>
      <c r="X318" s="591"/>
      <c r="Y318" s="594"/>
      <c r="Z318" s="593"/>
      <c r="AA318" s="680"/>
      <c r="AB318" s="591"/>
      <c r="AC318" s="591"/>
      <c r="AD318" s="591"/>
      <c r="AE318" s="594"/>
      <c r="AF318" s="592"/>
      <c r="AG318" s="688"/>
      <c r="AH318" s="593"/>
      <c r="AI318" s="593"/>
      <c r="AJ318" s="593"/>
      <c r="AK318" s="595"/>
      <c r="AL318" s="592"/>
      <c r="AM318" s="688"/>
      <c r="AN318" s="597"/>
      <c r="AO318" s="597"/>
      <c r="AP318" s="597"/>
      <c r="AQ318" s="598"/>
      <c r="AR318" s="592"/>
      <c r="AS318" s="695"/>
      <c r="AT318" s="599"/>
      <c r="AU318" s="599"/>
      <c r="AV318" s="599"/>
      <c r="AW318" s="584"/>
      <c r="AX318" s="592"/>
      <c r="AY318" s="600"/>
      <c r="AZ318" s="592"/>
      <c r="BA318" s="566"/>
      <c r="BB318" s="564"/>
      <c r="BC318" s="562"/>
      <c r="BD318" s="592"/>
      <c r="BE318" s="1109"/>
      <c r="BF318" s="1110"/>
      <c r="BG318" s="1110"/>
      <c r="BH318" s="1110"/>
      <c r="BI318" s="1464"/>
      <c r="BJ318" s="1228"/>
      <c r="BK318" s="592"/>
      <c r="BL318" s="910"/>
      <c r="BM318" s="1118"/>
      <c r="BN318" s="910"/>
      <c r="BO318" s="1228"/>
      <c r="BP318" s="592"/>
      <c r="BQ318" s="909"/>
      <c r="BR318" s="910"/>
      <c r="BS318" s="910"/>
      <c r="BT318" s="582">
        <v>0.5</v>
      </c>
      <c r="BU318" s="580">
        <f>+SUM(BQ318:BT318)</f>
        <v>0.5</v>
      </c>
      <c r="BV318" s="592"/>
      <c r="BW318" s="581">
        <f>+(RevBuild!BQ17*0.01)</f>
        <v>2.9872899999999993</v>
      </c>
      <c r="BX318" s="550">
        <f>+(RevBuild!BR17*0.015)</f>
        <v>4.7918399999999997</v>
      </c>
      <c r="BY318" s="550">
        <f>+(RevBuild!BS17*0.025)</f>
        <v>7.864024999999998</v>
      </c>
      <c r="BZ318" s="582">
        <f>+(RevBuild!BT17*0.035)</f>
        <v>12.197500000000002</v>
      </c>
      <c r="CA318" s="580">
        <f>+SUM(BW318:BZ318)</f>
        <v>27.840654999999998</v>
      </c>
      <c r="CB318" s="592"/>
      <c r="CC318" s="581">
        <f>+BW318*(1+CC319)</f>
        <v>3.221104494186755</v>
      </c>
      <c r="CD318" s="550">
        <f>+BX318*(1+CD319)</f>
        <v>5.1628959982852294</v>
      </c>
      <c r="CE318" s="550">
        <f>+BY318*(1+CE319)</f>
        <v>8.6970297746098844</v>
      </c>
      <c r="CF318" s="582">
        <f>+BZ318*(1+CF319)</f>
        <v>13.703691488752169</v>
      </c>
      <c r="CG318" s="580">
        <f>SUM(CC318:CF318)</f>
        <v>30.784721755834035</v>
      </c>
      <c r="CH318" s="592"/>
      <c r="CI318" s="581">
        <f>+CC318*(1+CI319)</f>
        <v>3.8331143480822383</v>
      </c>
      <c r="CJ318" s="550">
        <f>+CD318*(1+CJ319)</f>
        <v>6.118031757967997</v>
      </c>
      <c r="CK318" s="550">
        <f>+CE318*(1+CK319)</f>
        <v>10.132039687420516</v>
      </c>
      <c r="CL318" s="582">
        <f>+CF318*(1+CL319)</f>
        <v>15.896282126952514</v>
      </c>
      <c r="CM318" s="580">
        <f>SUM(CI318:CL318)</f>
        <v>35.979467920423261</v>
      </c>
      <c r="CN318" s="592"/>
      <c r="CO318" s="581">
        <f>+CI318*(1+CO319)</f>
        <v>4.3697503568137517</v>
      </c>
      <c r="CP318" s="550">
        <f>+CJ318*(1+CP319)</f>
        <v>6.974556204083517</v>
      </c>
      <c r="CQ318" s="550">
        <f>+CK318*(1+CQ319)</f>
        <v>11.55052524365939</v>
      </c>
      <c r="CR318" s="582">
        <f>+CL318*(1+CR319)</f>
        <v>18.121761624725867</v>
      </c>
      <c r="CS318" s="580">
        <f>SUM(CO318:CR318)</f>
        <v>41.016593429282523</v>
      </c>
      <c r="CT318" s="592"/>
      <c r="CU318" s="581">
        <f>+CO318*(1+CU319)</f>
        <v>4.9815154067676772</v>
      </c>
      <c r="CV318" s="550">
        <f>+CP318*(1+CV319)</f>
        <v>7.9509940726552104</v>
      </c>
      <c r="CW318" s="550">
        <f>+CQ318*(1+CW319)</f>
        <v>13.167598777771707</v>
      </c>
      <c r="CX318" s="582">
        <f>+CR318*(1+CX319)</f>
        <v>20.658808252187491</v>
      </c>
      <c r="CY318" s="580">
        <f>SUM(CU318:CX318)</f>
        <v>46.758916509382082</v>
      </c>
      <c r="CZ318" s="48"/>
      <c r="DD318" s="48"/>
      <c r="DE318" s="48"/>
      <c r="DF318" s="48"/>
      <c r="DG318" s="48"/>
      <c r="DH318" s="48"/>
      <c r="DI318" s="48"/>
      <c r="DJ318" s="48"/>
      <c r="DK318" s="48"/>
    </row>
    <row r="319" spans="1:115" outlineLevel="1" x14ac:dyDescent="0.2">
      <c r="A319" s="205" t="s">
        <v>639</v>
      </c>
      <c r="B319" s="961"/>
      <c r="C319" s="591"/>
      <c r="D319" s="591"/>
      <c r="E319" s="591"/>
      <c r="F319" s="591"/>
      <c r="G319" s="594"/>
      <c r="H319" s="592"/>
      <c r="I319" s="680"/>
      <c r="J319" s="591"/>
      <c r="K319" s="591"/>
      <c r="L319" s="591"/>
      <c r="M319" s="594"/>
      <c r="N319" s="592"/>
      <c r="O319" s="680"/>
      <c r="P319" s="591"/>
      <c r="Q319" s="591"/>
      <c r="R319" s="591"/>
      <c r="S319" s="594"/>
      <c r="T319" s="591"/>
      <c r="U319" s="680"/>
      <c r="V319" s="591"/>
      <c r="W319" s="591"/>
      <c r="X319" s="591"/>
      <c r="Y319" s="594"/>
      <c r="Z319" s="593"/>
      <c r="AA319" s="680"/>
      <c r="AB319" s="591"/>
      <c r="AC319" s="591"/>
      <c r="AD319" s="591"/>
      <c r="AE319" s="594"/>
      <c r="AF319" s="592"/>
      <c r="AG319" s="688"/>
      <c r="AH319" s="593"/>
      <c r="AI319" s="593"/>
      <c r="AJ319" s="593"/>
      <c r="AK319" s="595"/>
      <c r="AL319" s="592"/>
      <c r="AM319" s="688"/>
      <c r="AN319" s="597"/>
      <c r="AO319" s="597"/>
      <c r="AP319" s="597"/>
      <c r="AQ319" s="598"/>
      <c r="AR319" s="592"/>
      <c r="AS319" s="695"/>
      <c r="AT319" s="599"/>
      <c r="AU319" s="599"/>
      <c r="AV319" s="599"/>
      <c r="AW319" s="584"/>
      <c r="AX319" s="592"/>
      <c r="AY319" s="600"/>
      <c r="AZ319" s="592"/>
      <c r="BA319" s="566"/>
      <c r="BB319" s="564"/>
      <c r="BC319" s="562"/>
      <c r="BD319" s="592"/>
      <c r="BE319" s="1109"/>
      <c r="BF319" s="1110"/>
      <c r="BG319" s="1110"/>
      <c r="BH319" s="1110"/>
      <c r="BI319" s="1464"/>
      <c r="BJ319" s="1228"/>
      <c r="BK319" s="592"/>
      <c r="BL319" s="910"/>
      <c r="BM319" s="1118"/>
      <c r="BN319" s="910"/>
      <c r="BO319" s="1228"/>
      <c r="BP319" s="592"/>
      <c r="BQ319" s="909"/>
      <c r="BR319" s="910"/>
      <c r="BS319" s="910"/>
      <c r="BT319" s="910"/>
      <c r="BU319" s="1228"/>
      <c r="BV319" s="592"/>
      <c r="BW319" s="909"/>
      <c r="BX319" s="910"/>
      <c r="BY319" s="910"/>
      <c r="BZ319" s="910"/>
      <c r="CA319" s="1228"/>
      <c r="CB319" s="592"/>
      <c r="CC319" s="1109">
        <f>+CC320+RevBuild!CC$59</f>
        <v>7.8269767644505966E-2</v>
      </c>
      <c r="CD319" s="1110">
        <f>+CD320+RevBuild!CD$59</f>
        <v>7.7434972429219123E-2</v>
      </c>
      <c r="CE319" s="1110">
        <f>+CE320+RevBuild!CE$59</f>
        <v>0.10592600794248327</v>
      </c>
      <c r="CF319" s="1110">
        <f>+CF320+RevBuild!CF$59</f>
        <v>0.12348362277123723</v>
      </c>
      <c r="CG319" s="707">
        <f>CG318/CA318-1</f>
        <v>0.10574703633352156</v>
      </c>
      <c r="CH319" s="592"/>
      <c r="CI319" s="1109">
        <f>+CI320+RevBuild!CI$59</f>
        <v>0.19</v>
      </c>
      <c r="CJ319" s="1110">
        <f>+CJ320+RevBuild!CJ$59</f>
        <v>0.185</v>
      </c>
      <c r="CK319" s="1110">
        <f>+CK320+RevBuild!CK$59</f>
        <v>0.16500000000000001</v>
      </c>
      <c r="CL319" s="1110">
        <f>+CL320+RevBuild!CL$59</f>
        <v>0.16</v>
      </c>
      <c r="CM319" s="707">
        <f>CM318/CG318-1</f>
        <v>0.16874429484179987</v>
      </c>
      <c r="CN319" s="592"/>
      <c r="CO319" s="1109">
        <f>+CO320+RevBuild!CO$59</f>
        <v>0.14000000000000001</v>
      </c>
      <c r="CP319" s="1110">
        <f>+CP320+RevBuild!CP$59</f>
        <v>0.14000000000000001</v>
      </c>
      <c r="CQ319" s="1110">
        <f>+CQ320+RevBuild!CQ$59</f>
        <v>0.14000000000000001</v>
      </c>
      <c r="CR319" s="1110">
        <f>+CR320+RevBuild!CR$59</f>
        <v>0.14000000000000001</v>
      </c>
      <c r="CS319" s="707">
        <f>CS318/CM318-1</f>
        <v>0.14000000000000012</v>
      </c>
      <c r="CT319" s="592"/>
      <c r="CU319" s="1109">
        <f>+CU320+RevBuild!CU$59</f>
        <v>0.14000000000000001</v>
      </c>
      <c r="CV319" s="1110">
        <f>+CV320+RevBuild!CV$59</f>
        <v>0.14000000000000001</v>
      </c>
      <c r="CW319" s="1110">
        <f>+CW320+RevBuild!CW$59</f>
        <v>0.14000000000000001</v>
      </c>
      <c r="CX319" s="1110">
        <f>+CX320+RevBuild!CX$59</f>
        <v>0.14000000000000001</v>
      </c>
      <c r="CY319" s="707">
        <f>CY318/CS318-1</f>
        <v>0.14000000000000012</v>
      </c>
      <c r="CZ319" s="48"/>
      <c r="DD319" s="48"/>
      <c r="DE319" s="48"/>
      <c r="DF319" s="48"/>
      <c r="DG319" s="48"/>
      <c r="DH319" s="48"/>
      <c r="DI319" s="48"/>
      <c r="DJ319" s="48"/>
      <c r="DK319" s="48"/>
    </row>
    <row r="320" spans="1:115" outlineLevel="1" x14ac:dyDescent="0.2">
      <c r="A320" s="205" t="s">
        <v>227</v>
      </c>
      <c r="B320" s="961"/>
      <c r="C320" s="591"/>
      <c r="D320" s="591"/>
      <c r="E320" s="591"/>
      <c r="F320" s="591"/>
      <c r="G320" s="594"/>
      <c r="H320" s="592"/>
      <c r="I320" s="680"/>
      <c r="J320" s="591"/>
      <c r="K320" s="591"/>
      <c r="L320" s="591"/>
      <c r="M320" s="594"/>
      <c r="N320" s="592"/>
      <c r="O320" s="680"/>
      <c r="P320" s="591"/>
      <c r="Q320" s="591"/>
      <c r="R320" s="591"/>
      <c r="S320" s="594"/>
      <c r="T320" s="591"/>
      <c r="U320" s="680"/>
      <c r="V320" s="591"/>
      <c r="W320" s="591"/>
      <c r="X320" s="591"/>
      <c r="Y320" s="594"/>
      <c r="Z320" s="593"/>
      <c r="AA320" s="680"/>
      <c r="AB320" s="591"/>
      <c r="AC320" s="591"/>
      <c r="AD320" s="591"/>
      <c r="AE320" s="594"/>
      <c r="AF320" s="592"/>
      <c r="AG320" s="688"/>
      <c r="AH320" s="593"/>
      <c r="AI320" s="593"/>
      <c r="AJ320" s="593"/>
      <c r="AK320" s="595"/>
      <c r="AL320" s="592"/>
      <c r="AM320" s="688"/>
      <c r="AN320" s="597"/>
      <c r="AO320" s="597"/>
      <c r="AP320" s="597"/>
      <c r="AQ320" s="598"/>
      <c r="AR320" s="592"/>
      <c r="AS320" s="695"/>
      <c r="AT320" s="599"/>
      <c r="AU320" s="599"/>
      <c r="AV320" s="599"/>
      <c r="AW320" s="584"/>
      <c r="AX320" s="592"/>
      <c r="AY320" s="600"/>
      <c r="AZ320" s="592"/>
      <c r="BA320" s="566"/>
      <c r="BB320" s="564"/>
      <c r="BC320" s="562"/>
      <c r="BD320" s="592"/>
      <c r="BE320" s="1109"/>
      <c r="BF320" s="1110"/>
      <c r="BG320" s="1110"/>
      <c r="BH320" s="1110"/>
      <c r="BI320" s="1464"/>
      <c r="BJ320" s="1228"/>
      <c r="BK320" s="592"/>
      <c r="BL320" s="910"/>
      <c r="BM320" s="1118"/>
      <c r="BN320" s="910"/>
      <c r="BO320" s="1228"/>
      <c r="BP320" s="592"/>
      <c r="BQ320" s="909"/>
      <c r="BR320" s="910"/>
      <c r="BS320" s="910"/>
      <c r="BT320" s="910"/>
      <c r="BU320" s="1228"/>
      <c r="BV320" s="592"/>
      <c r="BW320" s="909"/>
      <c r="BX320" s="910"/>
      <c r="BY320" s="910"/>
      <c r="BZ320" s="910"/>
      <c r="CA320" s="1228"/>
      <c r="CB320" s="592"/>
      <c r="CC320" s="909">
        <v>0.1</v>
      </c>
      <c r="CD320" s="910">
        <v>0.1</v>
      </c>
      <c r="CE320" s="910">
        <v>0.1</v>
      </c>
      <c r="CF320" s="910">
        <v>0.1</v>
      </c>
      <c r="CG320" s="1228">
        <f>+CG319-RevBuild!CG$59</f>
        <v>0.10946844363666017</v>
      </c>
      <c r="CH320" s="592"/>
      <c r="CI320" s="909">
        <v>0.14000000000000001</v>
      </c>
      <c r="CJ320" s="910">
        <v>0.14000000000000001</v>
      </c>
      <c r="CK320" s="910">
        <v>0.14000000000000001</v>
      </c>
      <c r="CL320" s="910">
        <v>0.14000000000000001</v>
      </c>
      <c r="CM320" s="1228">
        <f>+CM319-RevBuild!CM$59</f>
        <v>0.13374429484179987</v>
      </c>
      <c r="CN320" s="592"/>
      <c r="CO320" s="909">
        <v>0.14000000000000001</v>
      </c>
      <c r="CP320" s="910">
        <v>0.14000000000000001</v>
      </c>
      <c r="CQ320" s="910">
        <v>0.14000000000000001</v>
      </c>
      <c r="CR320" s="910">
        <v>0.14000000000000001</v>
      </c>
      <c r="CS320" s="1228">
        <f>+CS319-RevBuild!CS$59</f>
        <v>0.14000000000000012</v>
      </c>
      <c r="CT320" s="592"/>
      <c r="CU320" s="909">
        <v>0.14000000000000001</v>
      </c>
      <c r="CV320" s="910">
        <v>0.14000000000000001</v>
      </c>
      <c r="CW320" s="910">
        <v>0.14000000000000001</v>
      </c>
      <c r="CX320" s="910">
        <v>0.14000000000000001</v>
      </c>
      <c r="CY320" s="1228">
        <f>+CY319-RevBuild!CY$59</f>
        <v>0.14000000000000012</v>
      </c>
      <c r="CZ320" s="48"/>
      <c r="DD320" s="48"/>
      <c r="DE320" s="48"/>
      <c r="DF320" s="48"/>
      <c r="DG320" s="48"/>
      <c r="DH320" s="48"/>
      <c r="DI320" s="48"/>
      <c r="DJ320" s="48"/>
      <c r="DK320" s="48"/>
    </row>
    <row r="321" spans="1:115" outlineLevel="1" x14ac:dyDescent="0.2">
      <c r="A321" s="354" t="s">
        <v>616</v>
      </c>
      <c r="B321" s="961"/>
      <c r="C321" s="591"/>
      <c r="D321" s="591"/>
      <c r="E321" s="591"/>
      <c r="F321" s="591"/>
      <c r="G321" s="594"/>
      <c r="H321" s="592"/>
      <c r="I321" s="680"/>
      <c r="J321" s="591"/>
      <c r="K321" s="591"/>
      <c r="L321" s="591"/>
      <c r="M321" s="594"/>
      <c r="N321" s="592"/>
      <c r="O321" s="680"/>
      <c r="P321" s="591"/>
      <c r="Q321" s="591"/>
      <c r="R321" s="591"/>
      <c r="S321" s="594"/>
      <c r="T321" s="591"/>
      <c r="U321" s="680"/>
      <c r="V321" s="591"/>
      <c r="W321" s="591"/>
      <c r="X321" s="591"/>
      <c r="Y321" s="594"/>
      <c r="Z321" s="593"/>
      <c r="AA321" s="680"/>
      <c r="AB321" s="591"/>
      <c r="AC321" s="591"/>
      <c r="AD321" s="591"/>
      <c r="AE321" s="594"/>
      <c r="AF321" s="592"/>
      <c r="AG321" s="688"/>
      <c r="AH321" s="593"/>
      <c r="AI321" s="593"/>
      <c r="AJ321" s="593"/>
      <c r="AK321" s="595"/>
      <c r="AL321" s="592"/>
      <c r="AM321" s="688"/>
      <c r="AN321" s="597"/>
      <c r="AO321" s="597"/>
      <c r="AP321" s="597"/>
      <c r="AQ321" s="598"/>
      <c r="AR321" s="592"/>
      <c r="AS321" s="695"/>
      <c r="AT321" s="599"/>
      <c r="AU321" s="599"/>
      <c r="AV321" s="599"/>
      <c r="AW321" s="584"/>
      <c r="AX321" s="592"/>
      <c r="AY321" s="600"/>
      <c r="AZ321" s="592"/>
      <c r="BA321" s="566"/>
      <c r="BB321" s="564"/>
      <c r="BC321" s="562"/>
      <c r="BD321" s="592"/>
      <c r="BE321" s="1109"/>
      <c r="BF321" s="1110"/>
      <c r="BG321" s="1110"/>
      <c r="BH321" s="1110"/>
      <c r="BI321" s="1464"/>
      <c r="BJ321" s="1228"/>
      <c r="BK321" s="592"/>
      <c r="BL321" s="910"/>
      <c r="BM321" s="1118"/>
      <c r="BN321" s="910"/>
      <c r="BO321" s="1228"/>
      <c r="BP321" s="592"/>
      <c r="BQ321" s="909"/>
      <c r="BR321" s="910"/>
      <c r="BS321" s="910"/>
      <c r="BT321" s="910"/>
      <c r="BU321" s="1228"/>
      <c r="BV321" s="592"/>
      <c r="BW321" s="1485">
        <f>180.5-BX321-BY321-BZ321</f>
        <v>125.80000000000001</v>
      </c>
      <c r="BX321" s="1484">
        <v>45.7</v>
      </c>
      <c r="BY321" s="1216">
        <v>3</v>
      </c>
      <c r="BZ321" s="1482">
        <v>6</v>
      </c>
      <c r="CA321" s="580">
        <f>+BZ321+BY321</f>
        <v>9</v>
      </c>
      <c r="CB321" s="1483"/>
      <c r="CC321" s="1217">
        <v>4</v>
      </c>
      <c r="CD321" s="1216">
        <v>5</v>
      </c>
      <c r="CE321" s="1216">
        <v>5</v>
      </c>
      <c r="CF321" s="1482">
        <v>6</v>
      </c>
      <c r="CG321" s="580">
        <f>SUM(CC321:CF321)</f>
        <v>20</v>
      </c>
      <c r="CH321" s="592"/>
      <c r="CI321" s="581">
        <f>+CC321*(1+CI322)</f>
        <v>4.4800000000000004</v>
      </c>
      <c r="CJ321" s="550">
        <f>+CD321*(1+CJ322)</f>
        <v>5.5750000000000002</v>
      </c>
      <c r="CK321" s="550">
        <f>+CE321*(1+CK322)</f>
        <v>5.4749999999999996</v>
      </c>
      <c r="CL321" s="582">
        <f>+CF321*(1+CL322)</f>
        <v>6.5400000000000009</v>
      </c>
      <c r="CM321" s="580">
        <f>SUM(CI321:CL321)</f>
        <v>22.07</v>
      </c>
      <c r="CN321" s="592"/>
      <c r="CO321" s="581">
        <f>+CI321*(1+CO322)</f>
        <v>4.7936000000000005</v>
      </c>
      <c r="CP321" s="550">
        <f>+CJ321*(1+CP322)</f>
        <v>5.9652500000000002</v>
      </c>
      <c r="CQ321" s="550">
        <f>+CK321*(1+CQ322)</f>
        <v>5.85825</v>
      </c>
      <c r="CR321" s="582">
        <f>+CL321*(1+CR322)</f>
        <v>6.9978000000000016</v>
      </c>
      <c r="CS321" s="580">
        <f>SUM(CO321:CR321)</f>
        <v>23.614900000000002</v>
      </c>
      <c r="CT321" s="592"/>
      <c r="CU321" s="581">
        <f>+CO321*(1+CU322)</f>
        <v>5.1291520000000013</v>
      </c>
      <c r="CV321" s="550">
        <f>+CP321*(1+CV322)</f>
        <v>6.3828175000000007</v>
      </c>
      <c r="CW321" s="550">
        <f>+CQ321*(1+CW322)</f>
        <v>6.2683275000000007</v>
      </c>
      <c r="CX321" s="582">
        <f>+CR321*(1+CX322)</f>
        <v>7.4876460000000025</v>
      </c>
      <c r="CY321" s="580">
        <f>SUM(CU321:CX321)</f>
        <v>25.267943000000006</v>
      </c>
      <c r="CZ321" s="48"/>
      <c r="DD321" s="48"/>
      <c r="DE321" s="48"/>
      <c r="DF321" s="48"/>
      <c r="DG321" s="48"/>
      <c r="DH321" s="48"/>
      <c r="DI321" s="48"/>
      <c r="DJ321" s="48"/>
      <c r="DK321" s="48"/>
    </row>
    <row r="322" spans="1:115" outlineLevel="1" x14ac:dyDescent="0.2">
      <c r="A322" s="205" t="s">
        <v>639</v>
      </c>
      <c r="B322" s="961"/>
      <c r="C322" s="591"/>
      <c r="D322" s="591"/>
      <c r="E322" s="591"/>
      <c r="F322" s="591"/>
      <c r="G322" s="594"/>
      <c r="H322" s="592"/>
      <c r="I322" s="680"/>
      <c r="J322" s="591"/>
      <c r="K322" s="591"/>
      <c r="L322" s="591"/>
      <c r="M322" s="594"/>
      <c r="N322" s="592"/>
      <c r="O322" s="680"/>
      <c r="P322" s="591"/>
      <c r="Q322" s="591"/>
      <c r="R322" s="591"/>
      <c r="S322" s="594"/>
      <c r="T322" s="591"/>
      <c r="U322" s="680"/>
      <c r="V322" s="591"/>
      <c r="W322" s="591"/>
      <c r="X322" s="591"/>
      <c r="Y322" s="594"/>
      <c r="Z322" s="593"/>
      <c r="AA322" s="680"/>
      <c r="AB322" s="591"/>
      <c r="AC322" s="591"/>
      <c r="AD322" s="591"/>
      <c r="AE322" s="594"/>
      <c r="AF322" s="592"/>
      <c r="AG322" s="688"/>
      <c r="AH322" s="593"/>
      <c r="AI322" s="593"/>
      <c r="AJ322" s="593"/>
      <c r="AK322" s="595"/>
      <c r="AL322" s="592"/>
      <c r="AM322" s="688"/>
      <c r="AN322" s="597"/>
      <c r="AO322" s="597"/>
      <c r="AP322" s="597"/>
      <c r="AQ322" s="598"/>
      <c r="AR322" s="592"/>
      <c r="AS322" s="695"/>
      <c r="AT322" s="599"/>
      <c r="AU322" s="599"/>
      <c r="AV322" s="599"/>
      <c r="AW322" s="584"/>
      <c r="AX322" s="592"/>
      <c r="AY322" s="600"/>
      <c r="AZ322" s="592"/>
      <c r="BA322" s="566"/>
      <c r="BB322" s="564"/>
      <c r="BC322" s="562"/>
      <c r="BD322" s="592"/>
      <c r="BE322" s="1109"/>
      <c r="BF322" s="1110"/>
      <c r="BG322" s="1110"/>
      <c r="BH322" s="1110"/>
      <c r="BI322" s="1464"/>
      <c r="BJ322" s="1228"/>
      <c r="BK322" s="592"/>
      <c r="BL322" s="910"/>
      <c r="BM322" s="1118"/>
      <c r="BN322" s="910"/>
      <c r="BO322" s="1228"/>
      <c r="BP322" s="592"/>
      <c r="BQ322" s="909"/>
      <c r="BR322" s="910"/>
      <c r="BS322" s="910"/>
      <c r="BT322" s="910"/>
      <c r="BU322" s="1228"/>
      <c r="BV322" s="592"/>
      <c r="BW322" s="909"/>
      <c r="BX322" s="910"/>
      <c r="BY322" s="910"/>
      <c r="BZ322" s="910"/>
      <c r="CA322" s="1228"/>
      <c r="CB322" s="592"/>
      <c r="CC322" s="909"/>
      <c r="CD322" s="910"/>
      <c r="CE322" s="1114">
        <f>+CE321/BY321-1</f>
        <v>0.66666666666666674</v>
      </c>
      <c r="CF322" s="1114">
        <f>+CF321/BZ321-1</f>
        <v>0</v>
      </c>
      <c r="CG322" s="1117">
        <f>+CG321/CA321-1</f>
        <v>1.2222222222222223</v>
      </c>
      <c r="CH322" s="592"/>
      <c r="CI322" s="1109">
        <f>+CI323+RevBuild!CI$59</f>
        <v>0.12000000000000001</v>
      </c>
      <c r="CJ322" s="1110">
        <f>+CJ323+RevBuild!CJ$59</f>
        <v>0.115</v>
      </c>
      <c r="CK322" s="1110">
        <f>+CK323+RevBuild!CK$59</f>
        <v>9.5000000000000001E-2</v>
      </c>
      <c r="CL322" s="1110">
        <f>+CL323+RevBuild!CL$59</f>
        <v>9.0000000000000011E-2</v>
      </c>
      <c r="CM322" s="707">
        <f>CM321/CG321-1</f>
        <v>0.10349999999999993</v>
      </c>
      <c r="CN322" s="592"/>
      <c r="CO322" s="1109">
        <f>+CO323+RevBuild!CO$59</f>
        <v>7.0000000000000007E-2</v>
      </c>
      <c r="CP322" s="1110">
        <f>+CP323+RevBuild!CP$59</f>
        <v>7.0000000000000007E-2</v>
      </c>
      <c r="CQ322" s="1110">
        <f>+CQ323+RevBuild!CQ$59</f>
        <v>7.0000000000000007E-2</v>
      </c>
      <c r="CR322" s="1110">
        <f>+CR323+RevBuild!CR$59</f>
        <v>7.0000000000000007E-2</v>
      </c>
      <c r="CS322" s="707">
        <f>CS321/CM321-1</f>
        <v>7.0000000000000062E-2</v>
      </c>
      <c r="CT322" s="592"/>
      <c r="CU322" s="1109">
        <f>+CU323+RevBuild!CU$59</f>
        <v>7.0000000000000007E-2</v>
      </c>
      <c r="CV322" s="1110">
        <f>+CV323+RevBuild!CV$59</f>
        <v>7.0000000000000007E-2</v>
      </c>
      <c r="CW322" s="1110">
        <f>+CW323+RevBuild!CW$59</f>
        <v>7.0000000000000007E-2</v>
      </c>
      <c r="CX322" s="1110">
        <f>+CX323+RevBuild!CX$59</f>
        <v>7.0000000000000007E-2</v>
      </c>
      <c r="CY322" s="707">
        <f>CY321/CS321-1</f>
        <v>7.0000000000000062E-2</v>
      </c>
      <c r="CZ322" s="48"/>
      <c r="DD322" s="48"/>
      <c r="DE322" s="48"/>
      <c r="DF322" s="48"/>
      <c r="DG322" s="48"/>
      <c r="DH322" s="48"/>
      <c r="DI322" s="48"/>
      <c r="DJ322" s="48"/>
      <c r="DK322" s="48"/>
    </row>
    <row r="323" spans="1:115" outlineLevel="1" x14ac:dyDescent="0.2">
      <c r="A323" s="205" t="s">
        <v>227</v>
      </c>
      <c r="B323" s="961"/>
      <c r="C323" s="591"/>
      <c r="D323" s="591"/>
      <c r="E323" s="591"/>
      <c r="F323" s="591"/>
      <c r="G323" s="594"/>
      <c r="H323" s="592"/>
      <c r="I323" s="680"/>
      <c r="J323" s="591"/>
      <c r="K323" s="591"/>
      <c r="L323" s="591"/>
      <c r="M323" s="594"/>
      <c r="N323" s="592"/>
      <c r="O323" s="680"/>
      <c r="P323" s="591"/>
      <c r="Q323" s="591"/>
      <c r="R323" s="591"/>
      <c r="S323" s="594"/>
      <c r="T323" s="591"/>
      <c r="U323" s="680"/>
      <c r="V323" s="591"/>
      <c r="W323" s="591"/>
      <c r="X323" s="591"/>
      <c r="Y323" s="594"/>
      <c r="Z323" s="593"/>
      <c r="AA323" s="680"/>
      <c r="AB323" s="591"/>
      <c r="AC323" s="591"/>
      <c r="AD323" s="591"/>
      <c r="AE323" s="594"/>
      <c r="AF323" s="592"/>
      <c r="AG323" s="688"/>
      <c r="AH323" s="593"/>
      <c r="AI323" s="593"/>
      <c r="AJ323" s="593"/>
      <c r="AK323" s="595"/>
      <c r="AL323" s="592"/>
      <c r="AM323" s="688"/>
      <c r="AN323" s="597"/>
      <c r="AO323" s="597"/>
      <c r="AP323" s="597"/>
      <c r="AQ323" s="598"/>
      <c r="AR323" s="592"/>
      <c r="AS323" s="695"/>
      <c r="AT323" s="599"/>
      <c r="AU323" s="599"/>
      <c r="AV323" s="599"/>
      <c r="AW323" s="584"/>
      <c r="AX323" s="592"/>
      <c r="AY323" s="600"/>
      <c r="AZ323" s="592"/>
      <c r="BA323" s="566"/>
      <c r="BB323" s="564"/>
      <c r="BC323" s="562"/>
      <c r="BD323" s="592"/>
      <c r="BE323" s="1109"/>
      <c r="BF323" s="1110"/>
      <c r="BG323" s="1110"/>
      <c r="BH323" s="1110"/>
      <c r="BI323" s="1464"/>
      <c r="BJ323" s="1228"/>
      <c r="BK323" s="592"/>
      <c r="BL323" s="910"/>
      <c r="BM323" s="1118"/>
      <c r="BN323" s="910"/>
      <c r="BO323" s="1228"/>
      <c r="BP323" s="592"/>
      <c r="BQ323" s="909"/>
      <c r="BR323" s="910"/>
      <c r="BS323" s="910"/>
      <c r="BT323" s="910"/>
      <c r="BU323" s="1228"/>
      <c r="BV323" s="592"/>
      <c r="BW323" s="909"/>
      <c r="BX323" s="910"/>
      <c r="BY323" s="910"/>
      <c r="BZ323" s="910"/>
      <c r="CA323" s="1228"/>
      <c r="CB323" s="592"/>
      <c r="CC323" s="909"/>
      <c r="CD323" s="910"/>
      <c r="CE323" s="1110">
        <f>+CE322+RevBuild!CE$59</f>
        <v>0.67259267460914995</v>
      </c>
      <c r="CF323" s="1110">
        <f>+CF322+RevBuild!CF$59</f>
        <v>2.3483622771237223E-2</v>
      </c>
      <c r="CG323" s="1228">
        <f>+CG322+RevBuild!CG$59</f>
        <v>1.2185008149190837</v>
      </c>
      <c r="CH323" s="592"/>
      <c r="CI323" s="909">
        <v>7.0000000000000007E-2</v>
      </c>
      <c r="CJ323" s="910">
        <v>7.0000000000000007E-2</v>
      </c>
      <c r="CK323" s="910">
        <v>7.0000000000000007E-2</v>
      </c>
      <c r="CL323" s="910">
        <v>7.0000000000000007E-2</v>
      </c>
      <c r="CM323" s="1228">
        <f>+CM322-RevBuild!CM$59</f>
        <v>6.8499999999999922E-2</v>
      </c>
      <c r="CN323" s="592"/>
      <c r="CO323" s="909">
        <v>7.0000000000000007E-2</v>
      </c>
      <c r="CP323" s="910">
        <v>7.0000000000000007E-2</v>
      </c>
      <c r="CQ323" s="910">
        <v>7.0000000000000007E-2</v>
      </c>
      <c r="CR323" s="910">
        <v>7.0000000000000007E-2</v>
      </c>
      <c r="CS323" s="1228">
        <f>+CS322-RevBuild!CS$59</f>
        <v>7.0000000000000062E-2</v>
      </c>
      <c r="CT323" s="592"/>
      <c r="CU323" s="909">
        <v>7.0000000000000007E-2</v>
      </c>
      <c r="CV323" s="910">
        <v>7.0000000000000007E-2</v>
      </c>
      <c r="CW323" s="910">
        <v>7.0000000000000007E-2</v>
      </c>
      <c r="CX323" s="910">
        <v>7.0000000000000007E-2</v>
      </c>
      <c r="CY323" s="1228">
        <f>+CY322-RevBuild!CY$59</f>
        <v>7.0000000000000062E-2</v>
      </c>
      <c r="CZ323" s="48"/>
      <c r="DD323" s="48"/>
      <c r="DE323" s="48"/>
      <c r="DF323" s="48"/>
      <c r="DG323" s="48"/>
      <c r="DH323" s="48"/>
      <c r="DI323" s="48"/>
      <c r="DJ323" s="48"/>
      <c r="DK323" s="48"/>
    </row>
    <row r="324" spans="1:115" outlineLevel="1" x14ac:dyDescent="0.2">
      <c r="A324" s="354" t="s">
        <v>526</v>
      </c>
      <c r="B324" s="58"/>
      <c r="C324" s="558"/>
      <c r="D324" s="558"/>
      <c r="E324" s="558"/>
      <c r="F324" s="558"/>
      <c r="G324" s="629"/>
      <c r="H324" s="557"/>
      <c r="I324" s="704"/>
      <c r="J324" s="558"/>
      <c r="K324" s="558"/>
      <c r="L324" s="558"/>
      <c r="M324" s="629"/>
      <c r="N324" s="557"/>
      <c r="O324" s="704"/>
      <c r="P324" s="558"/>
      <c r="Q324" s="558"/>
      <c r="R324" s="558"/>
      <c r="S324" s="629"/>
      <c r="T324" s="558"/>
      <c r="U324" s="704"/>
      <c r="V324" s="558"/>
      <c r="W324" s="558"/>
      <c r="X324" s="558"/>
      <c r="Y324" s="629"/>
      <c r="Z324" s="578"/>
      <c r="AA324" s="704"/>
      <c r="AB324" s="558"/>
      <c r="AC324" s="558"/>
      <c r="AD324" s="558"/>
      <c r="AE324" s="629"/>
      <c r="AF324" s="557"/>
      <c r="AG324" s="1214">
        <f>+'P&amp;L'!AG11-AG347-SUM(AG396:AG403)</f>
        <v>101.60142900000001</v>
      </c>
      <c r="AH324" s="1103">
        <f>+'P&amp;L'!AH11-AH347-SUM(AH396:AH403)</f>
        <v>106.49364699999998</v>
      </c>
      <c r="AI324" s="1103">
        <f>+'P&amp;L'!AI11-AI347-SUM(AI396:AI403)</f>
        <v>116.91832049999999</v>
      </c>
      <c r="AJ324" s="1215">
        <f>+'P&amp;L'!AJ11-AJ347-SUM(AJ396:AJ403)</f>
        <v>125.23041150000006</v>
      </c>
      <c r="AK324" s="580">
        <f>+SUM(AG324:AJ324)</f>
        <v>450.24380800000006</v>
      </c>
      <c r="AL324" s="557"/>
      <c r="AM324" s="1214">
        <f>+'P&amp;L'!AM11-AM347-SUM(AM396:AM403)</f>
        <v>113.59984299999996</v>
      </c>
      <c r="AN324" s="1103">
        <f>+'P&amp;L'!AN11-AN347-SUM(AN396:AN403)</f>
        <v>112.98085349999999</v>
      </c>
      <c r="AO324" s="1103">
        <f>+'P&amp;L'!AO11-AO347-SUM(AO396:AO403)</f>
        <v>126.75690300000001</v>
      </c>
      <c r="AP324" s="1215">
        <f>+'P&amp;L'!AP11-AP347-SUM(AP396:AP403)</f>
        <v>133.29992475000003</v>
      </c>
      <c r="AQ324" s="580">
        <f>+SUM(AM324:AP324)</f>
        <v>486.63752424999996</v>
      </c>
      <c r="AR324" s="557"/>
      <c r="AS324" s="1214">
        <f>+'P&amp;L'!AS11-AS347-SUM(AS396:AS403)</f>
        <v>125.94752885283651</v>
      </c>
      <c r="AT324" s="1103">
        <f>+'P&amp;L'!AT11-AT347-SUM(AT396:AT403)</f>
        <v>131.62907142571768</v>
      </c>
      <c r="AU324" s="1103">
        <f>+'P&amp;L'!AU11-AU347-SUM(AU396:AU403)</f>
        <v>132.45248618395198</v>
      </c>
      <c r="AV324" s="1215">
        <f>+'P&amp;L'!AV11-AV347-SUM(AV396:AV403)</f>
        <v>145.05293589207912</v>
      </c>
      <c r="AW324" s="580">
        <f>+SUM(AS324:AV324)</f>
        <v>535.08202235458532</v>
      </c>
      <c r="AX324" s="557"/>
      <c r="AY324" s="1214">
        <f>+'P&amp;L'!AY11-AY347-SUM(AY396:AY403)</f>
        <v>123.31501748378622</v>
      </c>
      <c r="AZ324" s="1103">
        <f>+'P&amp;L'!AZ11-AZ347-SUM(AZ396:AZ403)</f>
        <v>128.03627608543906</v>
      </c>
      <c r="BA324" s="1103">
        <f>+'P&amp;L'!BA11-BA347-SUM(BA396:BA403)</f>
        <v>129.20507899533251</v>
      </c>
      <c r="BB324" s="1215">
        <f>+'P&amp;L'!BB11-BB347-SUM(BB396:BB403)</f>
        <v>161.21279661149993</v>
      </c>
      <c r="BC324" s="580">
        <f>+SUM(AY324:BB324)</f>
        <v>541.76916917605774</v>
      </c>
      <c r="BD324" s="557"/>
      <c r="BE324" s="1214">
        <f>+'P&amp;L'!BE11-BE347-SUM(BE396:BE403)</f>
        <v>127.54208131087107</v>
      </c>
      <c r="BF324" s="1103">
        <f>+'P&amp;L'!BF11-BF347-SUM(BF396:BF403)</f>
        <v>130.59715342935601</v>
      </c>
      <c r="BG324" s="1103">
        <f>+'P&amp;L'!BG11-BG347-SUM(BG396:BG403)</f>
        <v>125.35028961679897</v>
      </c>
      <c r="BH324" s="1103">
        <f>+'P&amp;L'!BH11-BH347-SUM(BH396:BH403)</f>
        <v>146.2613939183037</v>
      </c>
      <c r="BI324" s="580">
        <f>+SUM(BE324:BH324)</f>
        <v>529.75091827532981</v>
      </c>
      <c r="BJ324" s="557"/>
      <c r="BK324" s="1214">
        <f>+'P&amp;L'!BK11-BK347-SUM(BK396:BK403)</f>
        <v>132.35757956432104</v>
      </c>
      <c r="BL324" s="1103">
        <f>+'P&amp;L'!BL11-BL347-SUM(BL396:BL403)</f>
        <v>140.79414062997859</v>
      </c>
      <c r="BM324" s="1103">
        <f>+'P&amp;L'!BM11-BM347-SUM(BM396:BM403)</f>
        <v>136.31740320990747</v>
      </c>
      <c r="BN324" s="1215">
        <f>+'P&amp;L'!BN11-BN347-SUM(BN396:BN403)</f>
        <v>123.89266283968433</v>
      </c>
      <c r="BO324" s="580">
        <f>+SUM(BK324:BN324)</f>
        <v>533.3617862438914</v>
      </c>
      <c r="BP324" s="557"/>
      <c r="BQ324" s="1214">
        <f>+'P&amp;L'!BQ11-BQ347-SUM(BQ396:BQ403)</f>
        <v>120.31792557673995</v>
      </c>
      <c r="BR324" s="1103">
        <f>+'P&amp;L'!BR11-BR347-SUM(BR396:BR403)</f>
        <v>125.08311493775325</v>
      </c>
      <c r="BS324" s="1103">
        <f>+'P&amp;L'!BS11-BS347-SUM(BS396:BS403)</f>
        <v>115.14995997396498</v>
      </c>
      <c r="BT324" s="1215">
        <f>+'P&amp;L'!BT11-BT347-SUM(BT396:BT403)</f>
        <v>126.06951238226719</v>
      </c>
      <c r="BU324" s="580">
        <f>+SUM(BQ324:BT324)</f>
        <v>486.62051287072541</v>
      </c>
      <c r="BV324" s="557"/>
      <c r="BW324" s="1214">
        <f>+'P&amp;L'!BW11-BW347-SUM(BW396:BW403)</f>
        <v>106.90301744626279</v>
      </c>
      <c r="BX324" s="1103">
        <f>+'P&amp;L'!BX11-BX347-SUM(BX396:BX403)</f>
        <v>123.13461470470303</v>
      </c>
      <c r="BY324" s="1103">
        <f>+'P&amp;L'!BY11-BY347-SUM(BY396:BY403)</f>
        <v>120.86850650032045</v>
      </c>
      <c r="BZ324" s="1103">
        <f>+'P&amp;L'!BZ11-BZ347-SUM(BZ396:BZ403)</f>
        <v>126.56641406112747</v>
      </c>
      <c r="CA324" s="580">
        <f>+SUM(BW324:BZ324)</f>
        <v>477.47255271241374</v>
      </c>
      <c r="CB324" s="557"/>
      <c r="CC324" s="1214">
        <f>+'P&amp;L'!CC11-CC347-SUM(CC396:CC403)</f>
        <v>105.18253587230527</v>
      </c>
      <c r="CD324" s="1103">
        <f>+'P&amp;L'!CD11-CD347-SUM(CD396:CD403)</f>
        <v>116.04977742353216</v>
      </c>
      <c r="CE324" s="1103">
        <f>+'P&amp;L'!CE11-CE347-SUM(CE396:CE403)</f>
        <v>113.02058781441853</v>
      </c>
      <c r="CF324" s="1103">
        <f>+'P&amp;L'!CF11-CF347-SUM(CF396:CF403)</f>
        <v>118.90521333643272</v>
      </c>
      <c r="CG324" s="580">
        <f>+SUM(CC324:CF324)</f>
        <v>453.15811444668867</v>
      </c>
      <c r="CH324" s="557"/>
      <c r="CI324" s="581">
        <f>+CI325*CI311</f>
        <v>111.41233125613957</v>
      </c>
      <c r="CJ324" s="550">
        <f>+CJ325*CJ311</f>
        <v>127.03441779617997</v>
      </c>
      <c r="CK324" s="550">
        <f>+CK325*CK311</f>
        <v>115.54035894701971</v>
      </c>
      <c r="CL324" s="582">
        <f>+CL325*CL311</f>
        <v>120.38230525327123</v>
      </c>
      <c r="CM324" s="580">
        <f>+SUM(CI324:CL324)</f>
        <v>474.36941325261051</v>
      </c>
      <c r="CN324" s="557"/>
      <c r="CO324" s="581">
        <f>+CO325*CO311</f>
        <v>102.49934475564841</v>
      </c>
      <c r="CP324" s="550">
        <f>+CP325*CP311</f>
        <v>118.14200855044736</v>
      </c>
      <c r="CQ324" s="550">
        <f>+CQ325*CQ311</f>
        <v>110.91874458913891</v>
      </c>
      <c r="CR324" s="582">
        <f>+CR325*CR311</f>
        <v>117.97465914820579</v>
      </c>
      <c r="CS324" s="580">
        <f>+SUM(CO324:CR324)</f>
        <v>449.53475704344044</v>
      </c>
      <c r="CT324" s="557"/>
      <c r="CU324" s="581">
        <f>+CU325*CU311</f>
        <v>99.42436441297896</v>
      </c>
      <c r="CV324" s="550">
        <f>+CV325*CV311</f>
        <v>115.7791683794384</v>
      </c>
      <c r="CW324" s="550">
        <f>+CW325*CW311</f>
        <v>107.59118225146474</v>
      </c>
      <c r="CX324" s="582">
        <f>+CX325*CX311</f>
        <v>114.43541937375961</v>
      </c>
      <c r="CY324" s="580">
        <f>+SUM(CU324:CX324)</f>
        <v>437.23013441764169</v>
      </c>
      <c r="CZ324" s="48"/>
      <c r="DD324" s="48"/>
      <c r="DE324" s="48"/>
      <c r="DF324" s="48"/>
      <c r="DG324" s="48"/>
      <c r="DH324" s="48"/>
      <c r="DI324" s="48"/>
      <c r="DJ324" s="48"/>
      <c r="DK324" s="48"/>
    </row>
    <row r="325" spans="1:115" outlineLevel="1" x14ac:dyDescent="0.2">
      <c r="A325" s="205" t="s">
        <v>471</v>
      </c>
      <c r="B325" s="58"/>
      <c r="C325" s="558"/>
      <c r="D325" s="558"/>
      <c r="E325" s="558"/>
      <c r="F325" s="558"/>
      <c r="G325" s="629"/>
      <c r="H325" s="557"/>
      <c r="I325" s="704"/>
      <c r="J325" s="558"/>
      <c r="K325" s="558"/>
      <c r="L325" s="558"/>
      <c r="M325" s="629"/>
      <c r="N325" s="557"/>
      <c r="O325" s="704"/>
      <c r="P325" s="558"/>
      <c r="Q325" s="558"/>
      <c r="R325" s="558"/>
      <c r="S325" s="629"/>
      <c r="T325" s="558"/>
      <c r="U325" s="704"/>
      <c r="V325" s="558"/>
      <c r="W325" s="558"/>
      <c r="X325" s="558"/>
      <c r="Y325" s="629"/>
      <c r="Z325" s="578"/>
      <c r="AA325" s="704"/>
      <c r="AB325" s="558"/>
      <c r="AC325" s="558"/>
      <c r="AD325" s="558"/>
      <c r="AE325" s="629"/>
      <c r="AF325" s="557"/>
      <c r="AG325" s="1115">
        <f>+AG324/AG311</f>
        <v>0.72166387067283455</v>
      </c>
      <c r="AH325" s="1114">
        <f>+AH324/AH311</f>
        <v>0.7304490056675591</v>
      </c>
      <c r="AI325" s="1114">
        <f>+AI324/AI311</f>
        <v>0.74189051164434883</v>
      </c>
      <c r="AJ325" s="1114">
        <f>+AJ324/AJ311</f>
        <v>0.72409978655518858</v>
      </c>
      <c r="AK325" s="1117">
        <f>+AK324/AK311</f>
        <v>0.7295872817471003</v>
      </c>
      <c r="AL325" s="557"/>
      <c r="AM325" s="1115">
        <f>+AM324/AM311</f>
        <v>0.73321482259065096</v>
      </c>
      <c r="AN325" s="1114">
        <f>+AN324/AN311</f>
        <v>0.74805415273931464</v>
      </c>
      <c r="AO325" s="1114">
        <f>+AO324/AO311</f>
        <v>0.73148653861069091</v>
      </c>
      <c r="AP325" s="1114">
        <f>+AP324/AP311</f>
        <v>0.75174966626109729</v>
      </c>
      <c r="AQ325" s="1117">
        <f>+AQ324/AQ311</f>
        <v>0.74117788022455244</v>
      </c>
      <c r="AR325" s="557"/>
      <c r="AS325" s="1115">
        <f>+AS324/AS311</f>
        <v>0.74536009590063579</v>
      </c>
      <c r="AT325" s="1114">
        <f>+AT324/AT311</f>
        <v>0.75240547767586974</v>
      </c>
      <c r="AU325" s="1114">
        <f>+AU324/AU311</f>
        <v>0.75226805912801997</v>
      </c>
      <c r="AV325" s="1114">
        <f>+AV324/AV311</f>
        <v>0.71328617008997175</v>
      </c>
      <c r="AW325" s="1117">
        <f>+AW324/AW311</f>
        <v>0.73972841733614259</v>
      </c>
      <c r="AX325" s="557"/>
      <c r="AY325" s="1115">
        <f>+AY324/AY311</f>
        <v>0.73518043093152119</v>
      </c>
      <c r="AZ325" s="1114">
        <f>+AZ324/AZ311</f>
        <v>0.75907983643556531</v>
      </c>
      <c r="BA325" s="1114">
        <f>+BA324/BA311</f>
        <v>0.76358457591686435</v>
      </c>
      <c r="BB325" s="1114">
        <f>+BB324/BB311</f>
        <v>0.7764926361736626</v>
      </c>
      <c r="BC325" s="1117">
        <f>+BC324/BC311</f>
        <v>0.75959674537622401</v>
      </c>
      <c r="BD325" s="557"/>
      <c r="BE325" s="1115">
        <f>+BE324/BE311</f>
        <v>0.75543049070256219</v>
      </c>
      <c r="BF325" s="1114">
        <f>+BF324/BF311</f>
        <v>0.74043672414309358</v>
      </c>
      <c r="BG325" s="1114">
        <f>+BG324/BG311</f>
        <v>0.74882535355599411</v>
      </c>
      <c r="BH325" s="1114">
        <f>+BH324/BH311</f>
        <v>0.78034805145236541</v>
      </c>
      <c r="BI325" s="1117">
        <f>+BI324/BI311</f>
        <v>0.75674480457162752</v>
      </c>
      <c r="BJ325" s="557"/>
      <c r="BK325" s="1115">
        <f>+BK324/BK311</f>
        <v>0.76804539609944544</v>
      </c>
      <c r="BL325" s="1114">
        <f>+BL324/BL311</f>
        <v>0.76080265985539841</v>
      </c>
      <c r="BM325" s="1114">
        <f>+BM324/BM311</f>
        <v>0.78529597144867813</v>
      </c>
      <c r="BN325" s="1114">
        <f>+BN324/BN311</f>
        <v>0.70631372260647396</v>
      </c>
      <c r="BO325" s="1117">
        <f>+BO324/BO311</f>
        <v>0.75505807098362732</v>
      </c>
      <c r="BP325" s="557"/>
      <c r="BQ325" s="1115">
        <f>+BQ324/BQ311</f>
        <v>0.79125721310073716</v>
      </c>
      <c r="BR325" s="1114">
        <f>+BR324/BR311</f>
        <v>0.7473819059730924</v>
      </c>
      <c r="BS325" s="1114">
        <f>+BS324/BS311</f>
        <v>0.76432533491005461</v>
      </c>
      <c r="BT325" s="1114">
        <f>+BT324/BT311</f>
        <v>0.76502640451201354</v>
      </c>
      <c r="BU325" s="707">
        <f>+BU324/BU311</f>
        <v>0.76649127949935614</v>
      </c>
      <c r="BV325" s="557"/>
      <c r="BW325" s="1115">
        <f>+BW324/BW311</f>
        <v>0.72306816230250304</v>
      </c>
      <c r="BX325" s="1114">
        <f>+BX324/BX311</f>
        <v>0.73685876484408042</v>
      </c>
      <c r="BY325" s="1114">
        <f>+BY324/BY311</f>
        <v>0.76730055109222983</v>
      </c>
      <c r="BZ325" s="1114">
        <f>+BZ324/BZ311</f>
        <v>0.76432666248693359</v>
      </c>
      <c r="CA325" s="707">
        <f>+CA324/CA311</f>
        <v>0.74830718536016805</v>
      </c>
      <c r="CB325" s="557"/>
      <c r="CC325" s="1115">
        <f>+CC324/CC311</f>
        <v>0.73185347518448751</v>
      </c>
      <c r="CD325" s="1114">
        <f>+CD324/CD311</f>
        <v>0.73246851642583855</v>
      </c>
      <c r="CE325" s="1114">
        <f>+CE324/CE311</f>
        <v>0.75457686157977188</v>
      </c>
      <c r="CF325" s="1114">
        <f>+CF324/CF311</f>
        <v>0.75818154142355221</v>
      </c>
      <c r="CG325" s="707">
        <f>+CG324/CG311</f>
        <v>0.74438696396690274</v>
      </c>
      <c r="CH325" s="557"/>
      <c r="CI325" s="909">
        <v>0.76</v>
      </c>
      <c r="CJ325" s="910">
        <v>0.76</v>
      </c>
      <c r="CK325" s="910">
        <v>0.76</v>
      </c>
      <c r="CL325" s="910">
        <v>0.76</v>
      </c>
      <c r="CM325" s="707">
        <f>+CM324/CM311</f>
        <v>0.76</v>
      </c>
      <c r="CN325" s="557"/>
      <c r="CO325" s="909">
        <v>0.76</v>
      </c>
      <c r="CP325" s="910">
        <v>0.76</v>
      </c>
      <c r="CQ325" s="910">
        <v>0.76</v>
      </c>
      <c r="CR325" s="910">
        <v>0.76</v>
      </c>
      <c r="CS325" s="707">
        <f>+CS324/CS311</f>
        <v>0.7599999999999999</v>
      </c>
      <c r="CT325" s="557"/>
      <c r="CU325" s="909">
        <v>0.76</v>
      </c>
      <c r="CV325" s="910">
        <v>0.76</v>
      </c>
      <c r="CW325" s="910">
        <v>0.76</v>
      </c>
      <c r="CX325" s="910">
        <v>0.76</v>
      </c>
      <c r="CY325" s="707">
        <f>+CY324/CY311</f>
        <v>0.76</v>
      </c>
      <c r="CZ325" s="48"/>
      <c r="DD325" s="48"/>
      <c r="DE325" s="48"/>
      <c r="DF325" s="48"/>
      <c r="DG325" s="48"/>
      <c r="DH325" s="48"/>
      <c r="DI325" s="48"/>
      <c r="DJ325" s="48"/>
      <c r="DK325" s="48"/>
    </row>
    <row r="326" spans="1:115" outlineLevel="1" x14ac:dyDescent="0.2">
      <c r="A326" s="354" t="s">
        <v>527</v>
      </c>
      <c r="B326" s="58"/>
      <c r="C326" s="558"/>
      <c r="D326" s="558"/>
      <c r="E326" s="558"/>
      <c r="F326" s="558"/>
      <c r="G326" s="629"/>
      <c r="H326" s="557"/>
      <c r="I326" s="704"/>
      <c r="J326" s="558"/>
      <c r="K326" s="558"/>
      <c r="L326" s="558"/>
      <c r="M326" s="629"/>
      <c r="N326" s="557"/>
      <c r="O326" s="704"/>
      <c r="P326" s="558"/>
      <c r="Q326" s="558"/>
      <c r="R326" s="558"/>
      <c r="S326" s="629"/>
      <c r="T326" s="558"/>
      <c r="U326" s="704"/>
      <c r="V326" s="558"/>
      <c r="W326" s="558"/>
      <c r="X326" s="558"/>
      <c r="Y326" s="629"/>
      <c r="Z326" s="578"/>
      <c r="AA326" s="704"/>
      <c r="AB326" s="558"/>
      <c r="AC326" s="558"/>
      <c r="AD326" s="558"/>
      <c r="AE326" s="629"/>
      <c r="AF326" s="557"/>
      <c r="AG326" s="581">
        <f>+AG324-AG328</f>
        <v>64.18873036669487</v>
      </c>
      <c r="AH326" s="550">
        <f>+AH324-AH328</f>
        <v>61.544981213461234</v>
      </c>
      <c r="AI326" s="550">
        <f>+AI324-AI328</f>
        <v>65.115206897854478</v>
      </c>
      <c r="AJ326" s="550">
        <f>+AJ324-AJ328</f>
        <v>74.395615645977472</v>
      </c>
      <c r="AK326" s="580">
        <f>SUM(AG326:AJ326)</f>
        <v>265.24453412398805</v>
      </c>
      <c r="AL326" s="557"/>
      <c r="AM326" s="581">
        <f>+AM324-AM328</f>
        <v>69.11594809917041</v>
      </c>
      <c r="AN326" s="550">
        <f>+AN324-AN328</f>
        <v>68.360824201767684</v>
      </c>
      <c r="AO326" s="550">
        <f>+AO324-AO328</f>
        <v>75.720162548426998</v>
      </c>
      <c r="AP326" s="550">
        <f>+AP324-AP328</f>
        <v>77.964559878950809</v>
      </c>
      <c r="AQ326" s="580">
        <f>SUM(AM326:AP326)</f>
        <v>291.16149472831592</v>
      </c>
      <c r="AR326" s="557"/>
      <c r="AS326" s="581">
        <f>+AS324-AS328</f>
        <v>78.80441223397375</v>
      </c>
      <c r="AT326" s="550">
        <f>+AT324-AT328</f>
        <v>80.650882812818779</v>
      </c>
      <c r="AU326" s="550">
        <f>+AU324-AU328</f>
        <v>82.35664862635663</v>
      </c>
      <c r="AV326" s="550">
        <f>+AV324-AV328</f>
        <v>83.064655293221961</v>
      </c>
      <c r="AW326" s="580">
        <f>SUM(AS326:AV326)</f>
        <v>324.87659896637109</v>
      </c>
      <c r="AX326" s="557"/>
      <c r="AY326" s="581">
        <f>+AY324-AY328</f>
        <v>75.442447526538501</v>
      </c>
      <c r="AZ326" s="550">
        <f>+AZ324-AZ328</f>
        <v>75.121620095009632</v>
      </c>
      <c r="BA326" s="550">
        <f>+BA324-BA328</f>
        <v>77.531549371313957</v>
      </c>
      <c r="BB326" s="550">
        <f>+BB324-BB328</f>
        <v>88.459703605166624</v>
      </c>
      <c r="BC326" s="580">
        <f>SUM(AY326:BB326)</f>
        <v>316.55532059802874</v>
      </c>
      <c r="BD326" s="557"/>
      <c r="BE326" s="581">
        <f>+BE324-BE328</f>
        <v>78.115099436571512</v>
      </c>
      <c r="BF326" s="550">
        <f>+BF324-BF328</f>
        <v>77.272470528436202</v>
      </c>
      <c r="BG326" s="550">
        <f>+BG324-BG328</f>
        <v>73.273636396172463</v>
      </c>
      <c r="BH326" s="550">
        <f>+BH324-BH328</f>
        <v>79.956141291147944</v>
      </c>
      <c r="BI326" s="580">
        <f>SUM(BE326:BH326)</f>
        <v>308.61734765232814</v>
      </c>
      <c r="BJ326" s="557"/>
      <c r="BK326" s="581">
        <f>+BK324-BK328</f>
        <v>82.106895654024839</v>
      </c>
      <c r="BL326" s="550">
        <f>+BL324-BL328</f>
        <v>84.847501822838311</v>
      </c>
      <c r="BM326" s="550">
        <f>+BM324-BM328</f>
        <v>80.138828951769653</v>
      </c>
      <c r="BN326" s="550">
        <f>+BN324-BN328</f>
        <v>68.700720390016897</v>
      </c>
      <c r="BO326" s="580">
        <f>SUM(BK326:BN326)</f>
        <v>315.79394681864972</v>
      </c>
      <c r="BP326" s="557"/>
      <c r="BQ326" s="581">
        <f>+BQ324-BQ328</f>
        <v>72.578421926348625</v>
      </c>
      <c r="BR326" s="550">
        <f>+BR324-BR328</f>
        <v>72.321591155986283</v>
      </c>
      <c r="BS326" s="550">
        <f>+BS324-BS328</f>
        <v>65.239837935783527</v>
      </c>
      <c r="BT326" s="550">
        <f>+BT324-BT328</f>
        <v>68.627145376467027</v>
      </c>
      <c r="BU326" s="580">
        <f>SUM(BQ326:BT326)</f>
        <v>278.76699639458548</v>
      </c>
      <c r="BV326" s="557"/>
      <c r="BW326" s="581">
        <f>+BW324-BW328</f>
        <v>73.513115478749327</v>
      </c>
      <c r="BX326" s="550">
        <f>+BX324-BX328</f>
        <v>80.634114696857452</v>
      </c>
      <c r="BY326" s="550">
        <f>+BY324-BY328</f>
        <v>70.513609373136688</v>
      </c>
      <c r="BZ326" s="550">
        <f>+BZ324-BZ328</f>
        <v>64.915159846178355</v>
      </c>
      <c r="CA326" s="580">
        <f>SUM(BW326:BZ326)</f>
        <v>289.57599939492184</v>
      </c>
      <c r="CB326" s="557"/>
      <c r="CC326" s="581">
        <f>+CC324-CC328</f>
        <v>71.557139622265694</v>
      </c>
      <c r="CD326" s="550">
        <f>+CD324-CD328</f>
        <v>70.900481644415493</v>
      </c>
      <c r="CE326" s="550">
        <f>+CE324-CE328</f>
        <v>66.125083567140621</v>
      </c>
      <c r="CF326" s="550">
        <f>+CF324-CF328</f>
        <v>61.991032991974578</v>
      </c>
      <c r="CG326" s="580">
        <f>SUM(CC326:CF326)</f>
        <v>270.5737378257964</v>
      </c>
      <c r="CH326" s="557"/>
      <c r="CI326" s="581">
        <f>+CI327*CI311</f>
        <v>70.300263310767747</v>
      </c>
      <c r="CJ326" s="550">
        <f>+CJ327*CJ311</f>
        <v>73.072423859846381</v>
      </c>
      <c r="CK326" s="550">
        <f>+CK327*CK311</f>
        <v>65.513686761774778</v>
      </c>
      <c r="CL326" s="550">
        <f>+CL327*CL311</f>
        <v>60.992794617285789</v>
      </c>
      <c r="CM326" s="580">
        <f>SUM(CI326:CL326)</f>
        <v>269.87916854967472</v>
      </c>
      <c r="CN326" s="557"/>
      <c r="CO326" s="581">
        <f>+CO327*CO311</f>
        <v>61.169685714792031</v>
      </c>
      <c r="CP326" s="550">
        <f>+CP327*CP311</f>
        <v>67.024654122153592</v>
      </c>
      <c r="CQ326" s="550">
        <f>+CQ327*CQ311</f>
        <v>60.558007826269275</v>
      </c>
      <c r="CR326" s="550">
        <f>+CR327*CR311</f>
        <v>58.841559836927921</v>
      </c>
      <c r="CS326" s="580">
        <f>SUM(CO326:CR326)</f>
        <v>247.59390750014282</v>
      </c>
      <c r="CT326" s="557"/>
      <c r="CU326" s="581">
        <f>+CU327*CU311</f>
        <v>57.372272161513166</v>
      </c>
      <c r="CV326" s="550">
        <f>+CV327*CV311</f>
        <v>63.399045874326873</v>
      </c>
      <c r="CW326" s="550">
        <f>+CW327*CW311</f>
        <v>56.617757415465441</v>
      </c>
      <c r="CX326" s="550">
        <f>+CX327*CX311</f>
        <v>54.817719238390609</v>
      </c>
      <c r="CY326" s="580">
        <f>SUM(CU326:CX326)</f>
        <v>232.2067946896961</v>
      </c>
      <c r="CZ326" s="48"/>
      <c r="DD326" s="48"/>
      <c r="DE326" s="48"/>
      <c r="DF326" s="48"/>
      <c r="DG326" s="48"/>
      <c r="DH326" s="48"/>
      <c r="DI326" s="48"/>
      <c r="DJ326" s="48"/>
      <c r="DK326" s="48"/>
    </row>
    <row r="327" spans="1:115" outlineLevel="1" x14ac:dyDescent="0.2">
      <c r="A327" s="205" t="s">
        <v>473</v>
      </c>
      <c r="B327" s="58"/>
      <c r="C327" s="558"/>
      <c r="D327" s="558"/>
      <c r="E327" s="558"/>
      <c r="F327" s="558"/>
      <c r="G327" s="629"/>
      <c r="H327" s="557"/>
      <c r="I327" s="704"/>
      <c r="J327" s="558"/>
      <c r="K327" s="558"/>
      <c r="L327" s="558"/>
      <c r="M327" s="629"/>
      <c r="N327" s="557"/>
      <c r="O327" s="704"/>
      <c r="P327" s="558"/>
      <c r="Q327" s="558"/>
      <c r="R327" s="558"/>
      <c r="S327" s="629"/>
      <c r="T327" s="558"/>
      <c r="U327" s="704"/>
      <c r="V327" s="558"/>
      <c r="W327" s="558"/>
      <c r="X327" s="558"/>
      <c r="Y327" s="629"/>
      <c r="Z327" s="578"/>
      <c r="AA327" s="704"/>
      <c r="AB327" s="558"/>
      <c r="AC327" s="558"/>
      <c r="AD327" s="558"/>
      <c r="AE327" s="629"/>
      <c r="AF327" s="557"/>
      <c r="AG327" s="1115">
        <f>+AG326/AG311</f>
        <v>0.45592555209045266</v>
      </c>
      <c r="AH327" s="1114">
        <f>+AH326/AH311</f>
        <v>0.42214227418844408</v>
      </c>
      <c r="AI327" s="1114">
        <f>+AI326/AI311</f>
        <v>0.41318036347671361</v>
      </c>
      <c r="AJ327" s="1114">
        <f>+AJ326/AJ311</f>
        <v>0.43016587396500022</v>
      </c>
      <c r="AK327" s="707">
        <f>+AK326/AK311</f>
        <v>0.42980943926672815</v>
      </c>
      <c r="AL327" s="557"/>
      <c r="AM327" s="1115">
        <f>+AM326/AM311</f>
        <v>0.44609953927240803</v>
      </c>
      <c r="AN327" s="1114">
        <f>+AN326/AN311</f>
        <v>0.45262181019737618</v>
      </c>
      <c r="AO327" s="1114">
        <f>+AO326/AO311</f>
        <v>0.43696460149067962</v>
      </c>
      <c r="AP327" s="1114">
        <f>+AP326/AP311</f>
        <v>0.43968390814260072</v>
      </c>
      <c r="AQ327" s="707">
        <f>+AQ326/AQ311</f>
        <v>0.44345626613635603</v>
      </c>
      <c r="AR327" s="557"/>
      <c r="AS327" s="1115">
        <f>+AS326/AS311</f>
        <v>0.46636615100832968</v>
      </c>
      <c r="AT327" s="1114">
        <f>+AT326/AT311</f>
        <v>0.46100884364290534</v>
      </c>
      <c r="AU327" s="1114">
        <f>+AU326/AU311</f>
        <v>0.46774717488046696</v>
      </c>
      <c r="AV327" s="1114">
        <f>+AV326/AV311</f>
        <v>0.40846377551453189</v>
      </c>
      <c r="AW327" s="707">
        <f>+AW326/AW311</f>
        <v>0.4491282501427194</v>
      </c>
      <c r="AX327" s="557"/>
      <c r="AY327" s="1115">
        <f>+AY326/AY311</f>
        <v>0.44977337079307295</v>
      </c>
      <c r="AZ327" s="1114">
        <f>+AZ326/AZ311</f>
        <v>0.44536836619992554</v>
      </c>
      <c r="BA327" s="1114">
        <f>+BA326/BA311</f>
        <v>0.45820099106948303</v>
      </c>
      <c r="BB327" s="1114">
        <f>+BB326/BB311</f>
        <v>0.42607230872029223</v>
      </c>
      <c r="BC327" s="707">
        <f>+BC326/BC311</f>
        <v>0.44383181055408077</v>
      </c>
      <c r="BD327" s="557"/>
      <c r="BE327" s="1115">
        <f>+BE326/BE311</f>
        <v>0.4626749641541163</v>
      </c>
      <c r="BF327" s="1114">
        <f>+BF326/BF311</f>
        <v>0.43810583494431671</v>
      </c>
      <c r="BG327" s="1114">
        <f>+BG326/BG311</f>
        <v>0.43772660476840131</v>
      </c>
      <c r="BH327" s="1114">
        <f>+BH326/BH311</f>
        <v>0.42658980190663387</v>
      </c>
      <c r="BI327" s="707">
        <f>+BI326/BI311</f>
        <v>0.4408573281890828</v>
      </c>
      <c r="BJ327" s="557"/>
      <c r="BK327" s="1115">
        <f>+BK326/BK311</f>
        <v>0.47645041109599284</v>
      </c>
      <c r="BL327" s="1114">
        <f>+BL326/BL311</f>
        <v>0.45848644538802902</v>
      </c>
      <c r="BM327" s="1114">
        <f>+BM326/BM311</f>
        <v>0.46166298690074731</v>
      </c>
      <c r="BN327" s="1114">
        <f>+BN326/BN311</f>
        <v>0.39166372287283191</v>
      </c>
      <c r="BO327" s="707">
        <f>+BO326/BO311</f>
        <v>0.44705634048586046</v>
      </c>
      <c r="BP327" s="557"/>
      <c r="BQ327" s="1115">
        <f>+BQ326/BQ311</f>
        <v>0.47730377322757095</v>
      </c>
      <c r="BR327" s="1114">
        <f>+BR326/BR311</f>
        <v>0.43212745915438944</v>
      </c>
      <c r="BS327" s="1114">
        <f>+BS326/BS311</f>
        <v>0.43303932533732203</v>
      </c>
      <c r="BT327" s="1114">
        <f>+BT326/BT311</f>
        <v>0.41644944354259789</v>
      </c>
      <c r="BU327" s="707">
        <f>+BU326/BU311</f>
        <v>0.4390946663718675</v>
      </c>
      <c r="BV327" s="557"/>
      <c r="BW327" s="1115">
        <f>+BW326/BW311</f>
        <v>0.49722631394451067</v>
      </c>
      <c r="BX327" s="1114">
        <f>+BX326/BX311</f>
        <v>0.48252844500558578</v>
      </c>
      <c r="BY327" s="1114">
        <f>+BY326/BY311</f>
        <v>0.44763630244216313</v>
      </c>
      <c r="BZ327" s="1114">
        <f>+BZ326/BZ311</f>
        <v>0.39201859227892955</v>
      </c>
      <c r="CA327" s="707">
        <f>+CA326/CA311</f>
        <v>0.45383090572242218</v>
      </c>
      <c r="CB327" s="557"/>
      <c r="CC327" s="1115">
        <f>+CC326/CC311</f>
        <v>0.49789008101491938</v>
      </c>
      <c r="CD327" s="1114">
        <f>+CD326/CD311</f>
        <v>0.44750082039736638</v>
      </c>
      <c r="CE327" s="1114">
        <f>+CE326/CE311</f>
        <v>0.44148114069025934</v>
      </c>
      <c r="CF327" s="1114">
        <f>+CF326/CF311</f>
        <v>0.39527667147200318</v>
      </c>
      <c r="CG327" s="707">
        <f>+CG326/CG311</f>
        <v>0.44446200301465894</v>
      </c>
      <c r="CH327" s="557"/>
      <c r="CI327" s="1115">
        <f>+CI$445</f>
        <v>0.4795537398221279</v>
      </c>
      <c r="CJ327" s="1114">
        <f>+CJ$445</f>
        <v>0.43716532178378853</v>
      </c>
      <c r="CK327" s="1114">
        <f>+CK$445</f>
        <v>0.43093515021690298</v>
      </c>
      <c r="CL327" s="1114">
        <f>+CL$445</f>
        <v>0.38506094240023353</v>
      </c>
      <c r="CM327" s="707">
        <f>+CM326/CM311</f>
        <v>0.43238067710012512</v>
      </c>
      <c r="CN327" s="557"/>
      <c r="CO327" s="1115">
        <f>+CO$445</f>
        <v>0.45355373982212788</v>
      </c>
      <c r="CP327" s="1114">
        <f>+CP$445</f>
        <v>0.43116532178378852</v>
      </c>
      <c r="CQ327" s="1114">
        <f>+CQ$445</f>
        <v>0.41493515021690297</v>
      </c>
      <c r="CR327" s="1114">
        <f>+CR$445</f>
        <v>0.37906094240023352</v>
      </c>
      <c r="CS327" s="707">
        <f>+CS326/CS311</f>
        <v>0.41859136974791195</v>
      </c>
      <c r="CT327" s="557"/>
      <c r="CU327" s="1115">
        <f>+CU$445</f>
        <v>0.43855373982212792</v>
      </c>
      <c r="CV327" s="1114">
        <f>+CV$445</f>
        <v>0.41616532178378857</v>
      </c>
      <c r="CW327" s="1114">
        <f>+CW$445</f>
        <v>0.39993515021690296</v>
      </c>
      <c r="CX327" s="1114">
        <f>+CX$445</f>
        <v>0.36406094240023351</v>
      </c>
      <c r="CY327" s="707">
        <f>+CY326/CY311</f>
        <v>0.40362534526405325</v>
      </c>
      <c r="CZ327" s="48"/>
      <c r="DD327" s="48"/>
      <c r="DE327" s="48"/>
      <c r="DF327" s="48"/>
      <c r="DG327" s="48"/>
      <c r="DH327" s="48"/>
      <c r="DI327" s="48"/>
      <c r="DJ327" s="48"/>
      <c r="DK327" s="48"/>
    </row>
    <row r="328" spans="1:115" x14ac:dyDescent="0.2">
      <c r="A328" s="354" t="s">
        <v>528</v>
      </c>
      <c r="B328" s="58"/>
      <c r="C328" s="558"/>
      <c r="D328" s="558"/>
      <c r="E328" s="558"/>
      <c r="F328" s="558"/>
      <c r="G328" s="629"/>
      <c r="H328" s="557"/>
      <c r="I328" s="704"/>
      <c r="J328" s="558"/>
      <c r="K328" s="558"/>
      <c r="L328" s="558"/>
      <c r="M328" s="629"/>
      <c r="N328" s="557"/>
      <c r="O328" s="704"/>
      <c r="P328" s="558"/>
      <c r="Q328" s="558"/>
      <c r="R328" s="558"/>
      <c r="S328" s="629"/>
      <c r="T328" s="558"/>
      <c r="U328" s="704"/>
      <c r="V328" s="558"/>
      <c r="W328" s="558"/>
      <c r="X328" s="558"/>
      <c r="Y328" s="629"/>
      <c r="Z328" s="578"/>
      <c r="AA328" s="704"/>
      <c r="AB328" s="558"/>
      <c r="AC328" s="558"/>
      <c r="AD328" s="558"/>
      <c r="AE328" s="629"/>
      <c r="AF328" s="557"/>
      <c r="AG328" s="1214">
        <f>+'P&amp;L'!AG17-AG351-SUM(AG426:AG433)</f>
        <v>37.412698633305141</v>
      </c>
      <c r="AH328" s="1103">
        <f>+'P&amp;L'!AH17-AH351-SUM(AH426:AH433)</f>
        <v>44.948665786538747</v>
      </c>
      <c r="AI328" s="1103">
        <f>+'P&amp;L'!AI17-AI351-SUM(AI426:AI433)</f>
        <v>51.803113602145515</v>
      </c>
      <c r="AJ328" s="1215">
        <f>+'P&amp;L'!AJ17-AJ351-SUM(AJ426:AJ433)</f>
        <v>50.834795854022587</v>
      </c>
      <c r="AK328" s="580">
        <f>+AK324-AK326</f>
        <v>184.99927387601201</v>
      </c>
      <c r="AL328" s="557"/>
      <c r="AM328" s="1214">
        <f>+'P&amp;L'!AM17-AM351-SUM(AM426:AM433)</f>
        <v>44.483894900829554</v>
      </c>
      <c r="AN328" s="1103">
        <f>+'P&amp;L'!AN17-AN351-SUM(AN426:AN433)</f>
        <v>44.620029298232318</v>
      </c>
      <c r="AO328" s="1103">
        <f>+'P&amp;L'!AO17-AO351-SUM(AO426:AO433)</f>
        <v>51.036740451573017</v>
      </c>
      <c r="AP328" s="1215">
        <f>+'P&amp;L'!AP17-AP351-SUM(AP426:AP433)</f>
        <v>55.335364871049222</v>
      </c>
      <c r="AQ328" s="580">
        <f>+AQ324-AQ326</f>
        <v>195.47602952168404</v>
      </c>
      <c r="AR328" s="557"/>
      <c r="AS328" s="1214">
        <f>+'P&amp;L'!AS17-AS351-SUM(AS426:AS433)</f>
        <v>47.143116618862763</v>
      </c>
      <c r="AT328" s="1103">
        <f>+'P&amp;L'!AT17-AT351-SUM(AT426:AT433)</f>
        <v>50.978188612898904</v>
      </c>
      <c r="AU328" s="1103">
        <f>+'P&amp;L'!AU17-AU351-SUM(AU426:AU433)</f>
        <v>50.095837557595345</v>
      </c>
      <c r="AV328" s="1215">
        <f>+'P&amp;L'!AV17-AV351-SUM(AV426:AV433)</f>
        <v>61.988280598857166</v>
      </c>
      <c r="AW328" s="580">
        <f>+AW324-AW326</f>
        <v>210.20542338821423</v>
      </c>
      <c r="AX328" s="557"/>
      <c r="AY328" s="1214">
        <f>+'P&amp;L'!AY17-AY351-SUM(AY426:AY433)</f>
        <v>47.872569957247713</v>
      </c>
      <c r="AZ328" s="1103">
        <f>+'P&amp;L'!AZ17-AZ351-SUM(AZ426:AZ433)</f>
        <v>52.914655990429424</v>
      </c>
      <c r="BA328" s="1103">
        <f>+'P&amp;L'!BA17-BA351-SUM(BA426:BA433)</f>
        <v>51.673529624018556</v>
      </c>
      <c r="BB328" s="1215">
        <f>+'P&amp;L'!BB17-BB351-SUM(BB426:BB433)</f>
        <v>72.753093006333302</v>
      </c>
      <c r="BC328" s="580">
        <f>+BC324-BC326</f>
        <v>225.213848578029</v>
      </c>
      <c r="BD328" s="557"/>
      <c r="BE328" s="1214">
        <f>+'P&amp;L'!BE17-BE351-SUM(BE426:BE433)</f>
        <v>49.426981874299557</v>
      </c>
      <c r="BF328" s="1103">
        <f>+'P&amp;L'!BF17-BF351-SUM(BF426:BF433)</f>
        <v>53.324682900919811</v>
      </c>
      <c r="BG328" s="1103">
        <f>+'P&amp;L'!BG17-BG351-SUM(BG426:BG433)</f>
        <v>52.076653220626504</v>
      </c>
      <c r="BH328" s="1215">
        <f>+'P&amp;L'!BH17-BH351-SUM(BH426:BH433)</f>
        <v>66.305252627155753</v>
      </c>
      <c r="BI328" s="580">
        <f>+BI324-BI326</f>
        <v>221.13357062300167</v>
      </c>
      <c r="BJ328" s="557"/>
      <c r="BK328" s="1214">
        <f>+'P&amp;L'!BK17-BK351-SUM(BK426:BK433)</f>
        <v>50.250683910296203</v>
      </c>
      <c r="BL328" s="1103">
        <f>+'P&amp;L'!BL17-BL351-SUM(BL426:BL433)</f>
        <v>55.946638807140275</v>
      </c>
      <c r="BM328" s="1103">
        <f>+'P&amp;L'!BM17-BM351-SUM(BM426:BM433)</f>
        <v>56.178574258137814</v>
      </c>
      <c r="BN328" s="1215">
        <f>+'P&amp;L'!BN17-BN351-SUM(BN426:BN433)+(0.06*'P&amp;L'!BN35)</f>
        <v>55.191942449667444</v>
      </c>
      <c r="BO328" s="580">
        <f>+BO324-BO326</f>
        <v>217.56783942524169</v>
      </c>
      <c r="BP328" s="557"/>
      <c r="BQ328" s="1214">
        <f>+'P&amp;L'!BQ17-BQ351-SUM(BQ426:BQ433)</f>
        <v>47.739503650391327</v>
      </c>
      <c r="BR328" s="1103">
        <f>+'P&amp;L'!BR17-BR351-SUM(BR426:BR433)</f>
        <v>52.761523781766968</v>
      </c>
      <c r="BS328" s="1103">
        <f>+'P&amp;L'!BS17-BS351-SUM(BS426:BS433)</f>
        <v>49.910122038181456</v>
      </c>
      <c r="BT328" s="1103">
        <f>+'P&amp;L'!BT17-BT351-SUM(BT426:BT433)</f>
        <v>57.442367005800165</v>
      </c>
      <c r="BU328" s="580">
        <f>+BU324-BU326</f>
        <v>207.85351647613993</v>
      </c>
      <c r="BV328" s="557"/>
      <c r="BW328" s="1214">
        <f>+'P&amp;L'!BW17-BW351-SUM(BW426:BW433)</f>
        <v>33.389901967513467</v>
      </c>
      <c r="BX328" s="1103">
        <f>+'P&amp;L'!BX17-BX351-SUM(BX426:BX433)</f>
        <v>42.500500007845574</v>
      </c>
      <c r="BY328" s="1103">
        <f>+'P&amp;L'!BY17-BY351-SUM(BY426:BY433)</f>
        <v>50.354897127183769</v>
      </c>
      <c r="BZ328" s="1103">
        <f>+'P&amp;L'!BZ17-BZ351-SUM(BZ426:BZ433)</f>
        <v>61.65125421494912</v>
      </c>
      <c r="CA328" s="580">
        <f>+CA324-CA326</f>
        <v>187.89655331749191</v>
      </c>
      <c r="CB328" s="557"/>
      <c r="CC328" s="1214">
        <f>+'P&amp;L'!CC17-CC351-SUM(CC426:CC433)</f>
        <v>33.625396250039572</v>
      </c>
      <c r="CD328" s="1103">
        <f>+'P&amp;L'!CD17-CD351-SUM(CD426:CD433)</f>
        <v>45.149295779116677</v>
      </c>
      <c r="CE328" s="1103">
        <f>+'P&amp;L'!CE17-CE351-SUM(CE426:CE433)</f>
        <v>46.89550424727792</v>
      </c>
      <c r="CF328" s="1103">
        <f>+'P&amp;L'!CF17-CF351-SUM(CF426:CF433)</f>
        <v>56.914180344458146</v>
      </c>
      <c r="CG328" s="580">
        <f>+CG324-CG326</f>
        <v>182.58437662089227</v>
      </c>
      <c r="CH328" s="557"/>
      <c r="CI328" s="581">
        <f>+CI324-CI326</f>
        <v>41.11206794537182</v>
      </c>
      <c r="CJ328" s="550">
        <f>+CJ324-CJ326</f>
        <v>53.961993936333585</v>
      </c>
      <c r="CK328" s="550">
        <f>+CK324-CK326</f>
        <v>50.026672185244934</v>
      </c>
      <c r="CL328" s="550">
        <f>+CL324-CL326</f>
        <v>59.389510635985438</v>
      </c>
      <c r="CM328" s="580">
        <f>+CM324-CM326</f>
        <v>204.4902447029358</v>
      </c>
      <c r="CN328" s="557"/>
      <c r="CO328" s="581">
        <f>+CO324-CO326</f>
        <v>41.329659040856377</v>
      </c>
      <c r="CP328" s="550">
        <f>+CP324-CP326</f>
        <v>51.117354428293766</v>
      </c>
      <c r="CQ328" s="550">
        <f>+CQ324-CQ326</f>
        <v>50.360736762869635</v>
      </c>
      <c r="CR328" s="550">
        <f>+CR324-CR326</f>
        <v>59.133099311277867</v>
      </c>
      <c r="CS328" s="580">
        <f>+CS324-CS326</f>
        <v>201.94084954329762</v>
      </c>
      <c r="CT328" s="557"/>
      <c r="CU328" s="581">
        <f>+CU324-CU326</f>
        <v>42.052092251465794</v>
      </c>
      <c r="CV328" s="550">
        <f>+CV324-CV326</f>
        <v>52.38012250511153</v>
      </c>
      <c r="CW328" s="550">
        <f>+CW324-CW326</f>
        <v>50.973424835999303</v>
      </c>
      <c r="CX328" s="550">
        <f>+CX324-CX326</f>
        <v>59.617700135369006</v>
      </c>
      <c r="CY328" s="580">
        <f>+CY324-CY326</f>
        <v>205.0233397279456</v>
      </c>
      <c r="CZ328" s="48"/>
      <c r="DD328" s="48"/>
      <c r="DE328" s="48"/>
      <c r="DF328" s="48"/>
      <c r="DG328" s="48"/>
      <c r="DH328" s="48"/>
      <c r="DI328" s="48"/>
      <c r="DJ328" s="48"/>
      <c r="DK328" s="48"/>
    </row>
    <row r="329" spans="1:115" x14ac:dyDescent="0.2">
      <c r="A329" s="205" t="s">
        <v>476</v>
      </c>
      <c r="B329" s="58"/>
      <c r="C329" s="558"/>
      <c r="D329" s="558"/>
      <c r="E329" s="558"/>
      <c r="F329" s="558"/>
      <c r="G329" s="629"/>
      <c r="H329" s="557"/>
      <c r="I329" s="704"/>
      <c r="J329" s="558"/>
      <c r="K329" s="558"/>
      <c r="L329" s="558"/>
      <c r="M329" s="629"/>
      <c r="N329" s="557"/>
      <c r="O329" s="704"/>
      <c r="P329" s="558"/>
      <c r="Q329" s="558"/>
      <c r="R329" s="558"/>
      <c r="S329" s="629"/>
      <c r="T329" s="558"/>
      <c r="U329" s="704"/>
      <c r="V329" s="558"/>
      <c r="W329" s="558"/>
      <c r="X329" s="558"/>
      <c r="Y329" s="629"/>
      <c r="Z329" s="578"/>
      <c r="AA329" s="704"/>
      <c r="AB329" s="558"/>
      <c r="AC329" s="558"/>
      <c r="AD329" s="558"/>
      <c r="AE329" s="629"/>
      <c r="AF329" s="557"/>
      <c r="AG329" s="1115">
        <f>+AG328/AG311</f>
        <v>0.26573831858238189</v>
      </c>
      <c r="AH329" s="1114">
        <f>+AH328/AH311</f>
        <v>0.30830673147911508</v>
      </c>
      <c r="AI329" s="1114">
        <f>+AI328/AI311</f>
        <v>0.32871014816763527</v>
      </c>
      <c r="AJ329" s="1114">
        <f>+AJ328/AJ311</f>
        <v>0.29393391259018842</v>
      </c>
      <c r="AK329" s="1117">
        <f>+AK328/AK311</f>
        <v>0.2997778424803722</v>
      </c>
      <c r="AL329" s="557"/>
      <c r="AM329" s="1115">
        <f>+AM328/AM311</f>
        <v>0.28711528331824293</v>
      </c>
      <c r="AN329" s="1114">
        <f>+AN328/AN311</f>
        <v>0.29543234254193851</v>
      </c>
      <c r="AO329" s="1114">
        <f>+AO328/AO311</f>
        <v>0.29452193712001135</v>
      </c>
      <c r="AP329" s="1114">
        <f>+AP328/AP311</f>
        <v>0.31206575811849652</v>
      </c>
      <c r="AQ329" s="1117">
        <f>+AQ328/AQ311</f>
        <v>0.29772161408819642</v>
      </c>
      <c r="AR329" s="557"/>
      <c r="AS329" s="1115">
        <f>+AS328/AS311</f>
        <v>0.27899394489230611</v>
      </c>
      <c r="AT329" s="1114">
        <f>+AT328/AT311</f>
        <v>0.2913966340329644</v>
      </c>
      <c r="AU329" s="1114">
        <f>+AU328/AU311</f>
        <v>0.28452088424755306</v>
      </c>
      <c r="AV329" s="1114">
        <f>+AV328/AV311</f>
        <v>0.30482239457543986</v>
      </c>
      <c r="AW329" s="1117">
        <f>+AW328/AW311</f>
        <v>0.29060016719342313</v>
      </c>
      <c r="AX329" s="557"/>
      <c r="AY329" s="1115">
        <f>+AY328/AY311</f>
        <v>0.28540706013844824</v>
      </c>
      <c r="AZ329" s="1114">
        <f>+AZ328/AZ311</f>
        <v>0.31371147023563983</v>
      </c>
      <c r="BA329" s="1114">
        <f>+BA328/BA311</f>
        <v>0.30538358484738137</v>
      </c>
      <c r="BB329" s="1114">
        <f>+BB328/BB311</f>
        <v>0.35042032745337037</v>
      </c>
      <c r="BC329" s="1117">
        <f>+BC328/BC311</f>
        <v>0.31576493482214324</v>
      </c>
      <c r="BD329" s="557"/>
      <c r="BE329" s="1115">
        <f>+BE328/BE311</f>
        <v>0.29275552654844589</v>
      </c>
      <c r="BF329" s="1114">
        <f>+BF328/BF311</f>
        <v>0.30233088919877693</v>
      </c>
      <c r="BG329" s="1114">
        <f>+BG328/BG311</f>
        <v>0.31109874878759275</v>
      </c>
      <c r="BH329" s="1114">
        <f>+BH328/BH311</f>
        <v>0.3537582495457316</v>
      </c>
      <c r="BI329" s="1117">
        <f>+BI328/BI311</f>
        <v>0.31588747638254466</v>
      </c>
      <c r="BJ329" s="557"/>
      <c r="BK329" s="1115">
        <f>+BK328/BK311</f>
        <v>0.2915949850034526</v>
      </c>
      <c r="BL329" s="1114">
        <f>+BL328/BL311</f>
        <v>0.30231621446736939</v>
      </c>
      <c r="BM329" s="1114">
        <f>+BM328/BM311</f>
        <v>0.32363298454793077</v>
      </c>
      <c r="BN329" s="1114">
        <f>+BN328/BN311</f>
        <v>0.31464999973364211</v>
      </c>
      <c r="BO329" s="1117">
        <f>+BO328/BO311</f>
        <v>0.30800173049776686</v>
      </c>
      <c r="BP329" s="557"/>
      <c r="BQ329" s="1115">
        <f>+BQ328/BQ311</f>
        <v>0.31395343987316615</v>
      </c>
      <c r="BR329" s="1114">
        <f>+BR328/BR311</f>
        <v>0.3152544468187029</v>
      </c>
      <c r="BS329" s="1132">
        <f>+BS328/BS311</f>
        <v>0.33128600957273263</v>
      </c>
      <c r="BT329" s="1213">
        <f>+BT328/BT311</f>
        <v>0.34857696096941565</v>
      </c>
      <c r="BU329" s="707">
        <f>+BU328/BU311</f>
        <v>0.32739661312748863</v>
      </c>
      <c r="BV329" s="557"/>
      <c r="BW329" s="1115">
        <f>+BW328/BW311</f>
        <v>0.22584184835799234</v>
      </c>
      <c r="BX329" s="1132">
        <f>+BX328/BX311</f>
        <v>0.25433031983849458</v>
      </c>
      <c r="BY329" s="1132">
        <f>+BY328/BY311</f>
        <v>0.31966424865006676</v>
      </c>
      <c r="BZ329" s="1132">
        <f>+BZ328/BZ311</f>
        <v>0.37230807020800405</v>
      </c>
      <c r="CA329" s="707">
        <f>+CA328/CA311</f>
        <v>0.29447627963774592</v>
      </c>
      <c r="CB329" s="557"/>
      <c r="CC329" s="1115">
        <f>+CC328/CC311</f>
        <v>0.23396339416956813</v>
      </c>
      <c r="CD329" s="1132">
        <f>+CD328/CD311</f>
        <v>0.28496769602847216</v>
      </c>
      <c r="CE329" s="1132">
        <f>+CE328/CE311</f>
        <v>0.31309572088951265</v>
      </c>
      <c r="CF329" s="1132">
        <f>+CF328/CF311</f>
        <v>0.36290486995154908</v>
      </c>
      <c r="CG329" s="707">
        <f>+CG328/CG311</f>
        <v>0.29992496095224386</v>
      </c>
      <c r="CH329" s="557"/>
      <c r="CI329" s="1131">
        <f>+CI328/CI311</f>
        <v>0.28044626017787205</v>
      </c>
      <c r="CJ329" s="1132">
        <f>+CJ328/CJ311</f>
        <v>0.32283467821621142</v>
      </c>
      <c r="CK329" s="1132">
        <f>+CK328/CK311</f>
        <v>0.32906484978309702</v>
      </c>
      <c r="CL329" s="1213">
        <f>+CL328/CL311</f>
        <v>0.37493905759976653</v>
      </c>
      <c r="CM329" s="707">
        <f>+CM328/CM311</f>
        <v>0.32761932289987494</v>
      </c>
      <c r="CN329" s="557"/>
      <c r="CO329" s="1131">
        <f>+CO328/CO311</f>
        <v>0.30644626017787213</v>
      </c>
      <c r="CP329" s="1132">
        <f>+CP328/CP311</f>
        <v>0.32883467821621148</v>
      </c>
      <c r="CQ329" s="1132">
        <f>+CQ328/CQ311</f>
        <v>0.34506484978309698</v>
      </c>
      <c r="CR329" s="1213">
        <f>+CR328/CR311</f>
        <v>0.38093905759976643</v>
      </c>
      <c r="CS329" s="707">
        <f>+CS328/CS311</f>
        <v>0.34140863025208801</v>
      </c>
      <c r="CT329" s="557"/>
      <c r="CU329" s="1131">
        <f>+CU328/CU311</f>
        <v>0.32144626017787215</v>
      </c>
      <c r="CV329" s="1132">
        <f>+CV328/CV311</f>
        <v>0.34383467821621139</v>
      </c>
      <c r="CW329" s="1132">
        <f>+CW328/CW311</f>
        <v>0.36006484978309705</v>
      </c>
      <c r="CX329" s="1213">
        <f>+CX328/CX311</f>
        <v>0.39593905759976655</v>
      </c>
      <c r="CY329" s="707">
        <f>+CY328/CY311</f>
        <v>0.35637465473594682</v>
      </c>
      <c r="CZ329" s="48"/>
      <c r="DD329" s="48"/>
      <c r="DE329" s="48"/>
      <c r="DF329" s="48"/>
      <c r="DG329" s="48"/>
      <c r="DH329" s="48"/>
      <c r="DI329" s="48"/>
      <c r="DJ329" s="48"/>
      <c r="DK329" s="48"/>
    </row>
    <row r="330" spans="1:115" x14ac:dyDescent="0.2">
      <c r="A330" s="1161" t="s">
        <v>564</v>
      </c>
      <c r="B330" s="1162"/>
      <c r="C330" s="1163"/>
      <c r="D330" s="1163"/>
      <c r="E330" s="1163"/>
      <c r="F330" s="1163"/>
      <c r="G330" s="1164"/>
      <c r="H330" s="1165"/>
      <c r="I330" s="1166"/>
      <c r="J330" s="1163"/>
      <c r="K330" s="1163"/>
      <c r="L330" s="1163"/>
      <c r="M330" s="1164"/>
      <c r="N330" s="1165"/>
      <c r="O330" s="1166"/>
      <c r="P330" s="1163"/>
      <c r="Q330" s="1163"/>
      <c r="R330" s="1163"/>
      <c r="S330" s="1164"/>
      <c r="T330" s="1163"/>
      <c r="U330" s="1166"/>
      <c r="V330" s="1163"/>
      <c r="W330" s="1163"/>
      <c r="X330" s="1163"/>
      <c r="Y330" s="1164"/>
      <c r="Z330" s="1167"/>
      <c r="AA330" s="1168"/>
      <c r="AB330" s="1169"/>
      <c r="AC330" s="1169"/>
      <c r="AD330" s="1170"/>
      <c r="AE330" s="1171"/>
      <c r="AF330" s="1165"/>
      <c r="AG330" s="1172"/>
      <c r="AH330" s="1173"/>
      <c r="AI330" s="1173"/>
      <c r="AJ330" s="1174"/>
      <c r="AK330" s="1171"/>
      <c r="AL330" s="1175"/>
      <c r="AM330" s="1176"/>
      <c r="AN330" s="1177"/>
      <c r="AO330" s="1177"/>
      <c r="AP330" s="1177"/>
      <c r="AQ330" s="1171"/>
      <c r="AR330" s="1178"/>
      <c r="AS330" s="1172"/>
      <c r="AT330" s="1173"/>
      <c r="AU330" s="1173"/>
      <c r="AV330" s="1173"/>
      <c r="AW330" s="1171"/>
      <c r="AX330" s="1173"/>
      <c r="AY330" s="1172"/>
      <c r="AZ330" s="1173"/>
      <c r="BA330" s="1173"/>
      <c r="BB330" s="1173"/>
      <c r="BC330" s="1171"/>
      <c r="BD330" s="1178"/>
      <c r="BE330" s="1172"/>
      <c r="BF330" s="1173"/>
      <c r="BG330" s="1173"/>
      <c r="BH330" s="1173"/>
      <c r="BI330" s="1171"/>
      <c r="BJ330" s="1179"/>
      <c r="BK330" s="1180"/>
      <c r="BL330" s="1173"/>
      <c r="BM330" s="1173"/>
      <c r="BN330" s="1173"/>
      <c r="BO330" s="1171"/>
      <c r="BP330" s="1178"/>
      <c r="BQ330" s="1172"/>
      <c r="BR330" s="1173"/>
      <c r="BS330" s="1173"/>
      <c r="BT330" s="1173"/>
      <c r="BU330" s="1171"/>
      <c r="BV330" s="1178"/>
      <c r="BW330" s="1172"/>
      <c r="BX330" s="1173"/>
      <c r="BY330" s="1173"/>
      <c r="BZ330" s="1173"/>
      <c r="CA330" s="1171"/>
      <c r="CB330" s="1178"/>
      <c r="CC330" s="1172"/>
      <c r="CD330" s="1173"/>
      <c r="CE330" s="1173"/>
      <c r="CF330" s="1173"/>
      <c r="CG330" s="1171"/>
      <c r="CH330" s="1178"/>
      <c r="CI330" s="1172"/>
      <c r="CJ330" s="1173"/>
      <c r="CK330" s="1173"/>
      <c r="CL330" s="1173"/>
      <c r="CM330" s="1171"/>
      <c r="CN330" s="1178"/>
      <c r="CO330" s="1172"/>
      <c r="CP330" s="1173"/>
      <c r="CQ330" s="1173"/>
      <c r="CR330" s="1173"/>
      <c r="CS330" s="1171"/>
      <c r="CT330" s="1178"/>
      <c r="CU330" s="1172"/>
      <c r="CV330" s="1173"/>
      <c r="CW330" s="1173"/>
      <c r="CX330" s="1173"/>
      <c r="CY330" s="1171"/>
      <c r="CZ330" s="48"/>
      <c r="DD330" s="48"/>
      <c r="DE330" s="48"/>
      <c r="DF330" s="48"/>
      <c r="DG330" s="48"/>
      <c r="DH330" s="48"/>
      <c r="DI330" s="48"/>
      <c r="DJ330" s="48"/>
      <c r="DK330" s="48"/>
    </row>
    <row r="331" spans="1:115" x14ac:dyDescent="0.2">
      <c r="A331" s="1240" t="s">
        <v>438</v>
      </c>
      <c r="B331" s="1194"/>
      <c r="C331" s="1243"/>
      <c r="D331" s="1244"/>
      <c r="E331" s="1244"/>
      <c r="F331" s="1245"/>
      <c r="G331" s="1246"/>
      <c r="H331" s="1194"/>
      <c r="I331" s="1243"/>
      <c r="J331" s="1244"/>
      <c r="K331" s="1244"/>
      <c r="L331" s="1245"/>
      <c r="M331" s="1246"/>
      <c r="N331" s="1194"/>
      <c r="O331" s="1243"/>
      <c r="P331" s="1244"/>
      <c r="Q331" s="1244"/>
      <c r="R331" s="1245"/>
      <c r="S331" s="1246"/>
      <c r="T331" s="1194"/>
      <c r="U331" s="1243"/>
      <c r="V331" s="1244"/>
      <c r="W331" s="1244"/>
      <c r="X331" s="1245"/>
      <c r="Y331" s="1246"/>
      <c r="Z331" s="1194"/>
      <c r="AA331" s="1243"/>
      <c r="AB331" s="1244"/>
      <c r="AC331" s="1244"/>
      <c r="AD331" s="1245"/>
      <c r="AE331" s="1246"/>
      <c r="AF331" s="1194"/>
      <c r="AG331" s="1243">
        <f>+RevBuild!AG20</f>
        <v>196.63037</v>
      </c>
      <c r="AH331" s="1244">
        <f>+RevBuild!AH20</f>
        <v>206.53415999999999</v>
      </c>
      <c r="AI331" s="1244">
        <f>+RevBuild!AI20</f>
        <v>223.30673999999999</v>
      </c>
      <c r="AJ331" s="1245">
        <f>+RevBuild!AJ20</f>
        <v>248.60622000000009</v>
      </c>
      <c r="AK331" s="1246">
        <f>+SUM(AG331:AJ331)</f>
        <v>875.07749000000013</v>
      </c>
      <c r="AL331" s="1194"/>
      <c r="AM331" s="1243">
        <f>+RevBuild!AM20</f>
        <v>227.35303999999996</v>
      </c>
      <c r="AN331" s="1244">
        <f>+RevBuild!AN20</f>
        <v>223.31030000000001</v>
      </c>
      <c r="AO331" s="1244">
        <f>+RevBuild!AO20</f>
        <v>241.39896000000002</v>
      </c>
      <c r="AP331" s="1245">
        <f>+RevBuild!AP20</f>
        <v>243.12720000000002</v>
      </c>
      <c r="AQ331" s="1246">
        <f>+SUM(AM331:AP331)</f>
        <v>935.18949999999995</v>
      </c>
      <c r="AR331" s="1194"/>
      <c r="AS331" s="1243">
        <f>+RevBuild!AS20</f>
        <v>232.55319999999998</v>
      </c>
      <c r="AT331" s="1244">
        <f>+RevBuild!AT20</f>
        <v>248.31576000000001</v>
      </c>
      <c r="AU331" s="1244">
        <f>+RevBuild!AU20</f>
        <v>251.32995</v>
      </c>
      <c r="AV331" s="1245">
        <f>+RevBuild!AV20</f>
        <v>284.25700000000006</v>
      </c>
      <c r="AW331" s="1246">
        <f>+SUM(AS331:AV331)</f>
        <v>1016.4559100000001</v>
      </c>
      <c r="AX331" s="1194"/>
      <c r="AY331" s="1243">
        <f>+RevBuild!AY20</f>
        <v>260.85136</v>
      </c>
      <c r="AZ331" s="1244">
        <f>+RevBuild!AZ20</f>
        <v>264.20318000000003</v>
      </c>
      <c r="BA331" s="1244">
        <f>+RevBuild!BA20</f>
        <v>264.73142999999999</v>
      </c>
      <c r="BB331" s="1245">
        <f>+RevBuild!BB20</f>
        <v>298.01751999999993</v>
      </c>
      <c r="BC331" s="1246">
        <f>+SUM(AY331:BB331)</f>
        <v>1087.80349</v>
      </c>
      <c r="BD331" s="1194"/>
      <c r="BE331" s="1243">
        <f>+RevBuild!BE20</f>
        <v>270.18264000000005</v>
      </c>
      <c r="BF331" s="1244">
        <f>+RevBuild!BF20</f>
        <v>275.27843999999999</v>
      </c>
      <c r="BG331" s="1244">
        <f>+RevBuild!BG20</f>
        <v>284.95367999999996</v>
      </c>
      <c r="BH331" s="1245">
        <f>+RevBuild!BH20</f>
        <v>311.82309999999995</v>
      </c>
      <c r="BI331" s="1246">
        <f>+SUM(BE331:BH331)</f>
        <v>1142.23786</v>
      </c>
      <c r="BJ331" s="1194"/>
      <c r="BK331" s="1243">
        <f>+RevBuild!BK20</f>
        <v>282.46197000000001</v>
      </c>
      <c r="BL331" s="1244">
        <f>+RevBuild!BL20</f>
        <v>291.48855999999995</v>
      </c>
      <c r="BM331" s="1244">
        <f>+RevBuild!BM20</f>
        <v>292.97859</v>
      </c>
      <c r="BN331" s="1245">
        <f>+RevBuild!BN20</f>
        <v>303.0804</v>
      </c>
      <c r="BO331" s="1246">
        <f>+SUM(BK331:BN331)</f>
        <v>1170.0095200000001</v>
      </c>
      <c r="BP331" s="1194"/>
      <c r="BQ331" s="1243">
        <f>+RevBuild!BQ20</f>
        <v>262.88151999999997</v>
      </c>
      <c r="BR331" s="1244">
        <f>+RevBuild!BR20</f>
        <v>281.12128000000001</v>
      </c>
      <c r="BS331" s="1244">
        <f>+RevBuild!BS20</f>
        <v>273.66807</v>
      </c>
      <c r="BT331" s="1244">
        <f>+RevBuild!BT20</f>
        <v>298.66449999999998</v>
      </c>
      <c r="BU331" s="1246">
        <f>+SUM(BQ331:BT331)</f>
        <v>1116.3353699999998</v>
      </c>
      <c r="BV331" s="1194"/>
      <c r="BW331" s="1243">
        <f>+RevBuild!BW20</f>
        <v>262.57352000000003</v>
      </c>
      <c r="BX331" s="1244">
        <f>+RevBuild!BX20</f>
        <v>291.77447000000001</v>
      </c>
      <c r="BY331" s="1244">
        <f>+RevBuild!BY20</f>
        <v>298.0428</v>
      </c>
      <c r="BZ331" s="1244">
        <f>+RevBuild!BZ20</f>
        <v>318.86804999999998</v>
      </c>
      <c r="CA331" s="1246">
        <f>+SUM(BW331:BZ331)</f>
        <v>1171.25884</v>
      </c>
      <c r="CB331" s="1194"/>
      <c r="CC331" s="1243">
        <f>+RevBuild!CC20</f>
        <v>273.62157500000001</v>
      </c>
      <c r="CD331" s="1244">
        <f>+RevBuild!CD20</f>
        <v>309.40131000000002</v>
      </c>
      <c r="CE331" s="1244">
        <f>+RevBuild!CE20</f>
        <v>321.76519999999999</v>
      </c>
      <c r="CF331" s="1244">
        <f>+RevBuild!CF20</f>
        <v>339.92872799999998</v>
      </c>
      <c r="CG331" s="1246">
        <f>+SUM(CC331:CF331)</f>
        <v>1244.716813</v>
      </c>
      <c r="CH331" s="1194"/>
      <c r="CI331" s="2157">
        <f>+CI311+CI294+CI255+CI205+CI156+CI115+CI91+CI41+CI68</f>
        <v>305.322871466528</v>
      </c>
      <c r="CJ331" s="1244">
        <f t="shared" ref="CJ331:CL331" si="54">+CJ311+CJ294+CJ255+CJ205+CJ156+CJ115+CJ91+CJ41+CJ68</f>
        <v>347.54376736480867</v>
      </c>
      <c r="CK331" s="1244">
        <f t="shared" si="54"/>
        <v>357.43291039376152</v>
      </c>
      <c r="CL331" s="1245">
        <f t="shared" si="54"/>
        <v>368.98908970026633</v>
      </c>
      <c r="CM331" s="1246">
        <f>+SUM(CI331:CL331)</f>
        <v>1379.2886389253645</v>
      </c>
      <c r="CN331" s="1194"/>
      <c r="CO331" s="2157">
        <f t="shared" ref="CO331:CX331" si="55">+CO311+CO294+CO255+CO205+CO156+CO115+CO91+CO41+CO68</f>
        <v>340.87897520363367</v>
      </c>
      <c r="CP331" s="1244">
        <f t="shared" si="55"/>
        <v>374.71257390463467</v>
      </c>
      <c r="CQ331" s="1244">
        <f t="shared" si="55"/>
        <v>380.52135412794564</v>
      </c>
      <c r="CR331" s="1245">
        <f t="shared" si="55"/>
        <v>405.98628792401155</v>
      </c>
      <c r="CS331" s="1246">
        <f t="shared" ref="CS331" si="56">+SUM(CO331:CR331)</f>
        <v>1502.0991911602255</v>
      </c>
      <c r="CT331" s="1194"/>
      <c r="CU331" s="2157">
        <f t="shared" ref="CU331" si="57">+CU311+CU294+CU255+CU205+CU156+CU115+CU91+CU41+CU68</f>
        <v>380.66475308335379</v>
      </c>
      <c r="CV331" s="1244">
        <f t="shared" si="55"/>
        <v>415.89923641769713</v>
      </c>
      <c r="CW331" s="1244">
        <f t="shared" si="55"/>
        <v>421.39833818425581</v>
      </c>
      <c r="CX331" s="1245">
        <f t="shared" si="55"/>
        <v>450.0963921421976</v>
      </c>
      <c r="CY331" s="1246">
        <f t="shared" ref="CY331" si="58">+SUM(CU331:CX331)</f>
        <v>1668.0587198275043</v>
      </c>
      <c r="CZ331" s="48"/>
      <c r="DD331" s="48"/>
      <c r="DE331" s="48"/>
      <c r="DF331" s="48"/>
      <c r="DG331" s="48"/>
      <c r="DH331" s="48"/>
      <c r="DI331" s="48"/>
      <c r="DJ331" s="48"/>
      <c r="DK331" s="48"/>
    </row>
    <row r="332" spans="1:115" x14ac:dyDescent="0.2">
      <c r="A332" s="205" t="s">
        <v>639</v>
      </c>
      <c r="B332" s="48"/>
      <c r="C332" s="1128"/>
      <c r="D332" s="1129"/>
      <c r="E332" s="1129"/>
      <c r="F332" s="1129"/>
      <c r="G332" s="1463"/>
      <c r="H332" s="592"/>
      <c r="I332" s="1128"/>
      <c r="J332" s="1129"/>
      <c r="K332" s="1129"/>
      <c r="L332" s="1129"/>
      <c r="M332" s="1463"/>
      <c r="N332" s="592"/>
      <c r="O332" s="1128"/>
      <c r="P332" s="1129"/>
      <c r="Q332" s="1129"/>
      <c r="R332" s="1129"/>
      <c r="S332" s="1463"/>
      <c r="T332" s="591"/>
      <c r="U332" s="1128"/>
      <c r="V332" s="1129"/>
      <c r="W332" s="1129"/>
      <c r="X332" s="1129"/>
      <c r="Y332" s="1463"/>
      <c r="Z332" s="593"/>
      <c r="AA332" s="1128"/>
      <c r="AB332" s="1129"/>
      <c r="AC332" s="1129"/>
      <c r="AD332" s="1129"/>
      <c r="AE332" s="1463"/>
      <c r="AF332" s="592"/>
      <c r="AG332" s="1128"/>
      <c r="AH332" s="1129"/>
      <c r="AI332" s="1129"/>
      <c r="AJ332" s="1129"/>
      <c r="AK332" s="1463"/>
      <c r="AL332" s="601"/>
      <c r="AM332" s="1131">
        <f>+AM331/AG331-1</f>
        <v>0.15624580272111555</v>
      </c>
      <c r="AN332" s="1132">
        <f>+AN331/AH331-1</f>
        <v>8.1226950544161847E-2</v>
      </c>
      <c r="AO332" s="1132">
        <f>+AO331/AI331-1</f>
        <v>8.1019587675678961E-2</v>
      </c>
      <c r="AP332" s="1132">
        <f>+AP331/AJ331-1</f>
        <v>-2.2038949789752182E-2</v>
      </c>
      <c r="AQ332" s="1117">
        <f>+AQ331/AK331-1</f>
        <v>6.8693356516346782E-2</v>
      </c>
      <c r="AR332" s="48"/>
      <c r="AS332" s="1131">
        <f>+AS331/AM331-1</f>
        <v>2.2872621364552703E-2</v>
      </c>
      <c r="AT332" s="1132">
        <f>+AT331/AN331-1</f>
        <v>0.11197629486862004</v>
      </c>
      <c r="AU332" s="1132">
        <f>+AU331/AO331-1</f>
        <v>4.113932388109709E-2</v>
      </c>
      <c r="AV332" s="1132">
        <f>+AV331/AP331-1</f>
        <v>0.16916988309000414</v>
      </c>
      <c r="AW332" s="1117">
        <f>+AW331/AQ331-1</f>
        <v>8.6898334508674679E-2</v>
      </c>
      <c r="AX332" s="601"/>
      <c r="AY332" s="1131">
        <f>+AY331/AS331-1</f>
        <v>0.12168467258244586</v>
      </c>
      <c r="AZ332" s="1132">
        <f>+AZ331/AT331-1</f>
        <v>6.3980715521237963E-2</v>
      </c>
      <c r="BA332" s="1132">
        <f>+BA331/AU331-1</f>
        <v>5.3322256261141954E-2</v>
      </c>
      <c r="BB332" s="1132">
        <f>+BB331/AV331-1</f>
        <v>4.8408728720840122E-2</v>
      </c>
      <c r="BC332" s="1117">
        <f>+BC331/AW331-1</f>
        <v>7.0192498561004735E-2</v>
      </c>
      <c r="BD332" s="601"/>
      <c r="BE332" s="1131">
        <f>+BE331/AY331-1</f>
        <v>3.57724031034381E-2</v>
      </c>
      <c r="BF332" s="1132">
        <f>+BF331/AZ331-1</f>
        <v>4.1919480303000078E-2</v>
      </c>
      <c r="BG332" s="1132">
        <f>+BG331/BA331-1</f>
        <v>7.6387794226019823E-2</v>
      </c>
      <c r="BH332" s="1132">
        <f>+BH331/BB331-1</f>
        <v>4.632472614361749E-2</v>
      </c>
      <c r="BI332" s="1117">
        <f>+BI331/BC331-1</f>
        <v>5.0040628202066006E-2</v>
      </c>
      <c r="BJ332" s="601"/>
      <c r="BK332" s="1131">
        <f>+BK331/BE331-1</f>
        <v>4.5448256779191842E-2</v>
      </c>
      <c r="BL332" s="1132">
        <f>+BL331/BF331-1</f>
        <v>5.8886268027383393E-2</v>
      </c>
      <c r="BM332" s="1132">
        <f>+BM331/BG331-1</f>
        <v>2.8162156038834318E-2</v>
      </c>
      <c r="BN332" s="1132">
        <f>+BN331/BH331-1</f>
        <v>-2.8037371188984861E-2</v>
      </c>
      <c r="BO332" s="1117">
        <f>+BO331/BI331-1</f>
        <v>2.431337725051419E-2</v>
      </c>
      <c r="BP332" s="48"/>
      <c r="BQ332" s="1131">
        <f>+BQ331/BK331-1</f>
        <v>-6.9320659343981905E-2</v>
      </c>
      <c r="BR332" s="1132">
        <f>+BR331/BL331-1</f>
        <v>-3.5566678843244937E-2</v>
      </c>
      <c r="BS332" s="1132">
        <f>+BS331/BM331-1</f>
        <v>-6.5911027833125968E-2</v>
      </c>
      <c r="BT332" s="1132">
        <f>+BT331/BN331-1</f>
        <v>-1.4570061277469626E-2</v>
      </c>
      <c r="BU332" s="1117">
        <f>+BU331/BO331-1</f>
        <v>-4.5874968607093281E-2</v>
      </c>
      <c r="BV332" s="48"/>
      <c r="BW332" s="1131">
        <f>+BW331/BQ331-1</f>
        <v>-1.1716304744431305E-3</v>
      </c>
      <c r="BX332" s="1132">
        <f>+BX331/BR331-1</f>
        <v>3.7895352496972068E-2</v>
      </c>
      <c r="BY332" s="1132">
        <f>+BY331/BS331-1</f>
        <v>8.9066766174073608E-2</v>
      </c>
      <c r="BZ332" s="1132">
        <f>+BZ331/BT331-1</f>
        <v>6.7646305469849954E-2</v>
      </c>
      <c r="CA332" s="1117">
        <f>+CA331/BU331-1</f>
        <v>4.9199793785984047E-2</v>
      </c>
      <c r="CB332" s="48"/>
      <c r="CC332" s="1131">
        <f>+CC331/BW331-1</f>
        <v>4.2076044073294128E-2</v>
      </c>
      <c r="CD332" s="1132">
        <f>+CD331/BX331-1</f>
        <v>6.0412550830783784E-2</v>
      </c>
      <c r="CE332" s="1132">
        <f>+CE331/BY331-1</f>
        <v>7.9593937515014535E-2</v>
      </c>
      <c r="CF332" s="1132">
        <f>+CF331/BZ331-1</f>
        <v>6.6048254128941331E-2</v>
      </c>
      <c r="CG332" s="1117">
        <f>+CG331/CA331-1</f>
        <v>6.2717112982472845E-2</v>
      </c>
      <c r="CH332" s="48"/>
      <c r="CI332" s="1131">
        <f>+CI331/CC331-1</f>
        <v>0.11585817553505429</v>
      </c>
      <c r="CJ332" s="1132">
        <f>+CJ331/CD331-1</f>
        <v>0.12327826719547064</v>
      </c>
      <c r="CK332" s="1132">
        <f>+CK331/CE331-1</f>
        <v>0.11085011801699363</v>
      </c>
      <c r="CL332" s="1132">
        <f>+CL331/CF331-1</f>
        <v>8.5489572685561122E-2</v>
      </c>
      <c r="CM332" s="1117">
        <f>+CM331/CG331-1</f>
        <v>0.10811441166366276</v>
      </c>
      <c r="CN332" s="48"/>
      <c r="CO332" s="1131">
        <f>+CO331/CI331-1</f>
        <v>0.11645411156498842</v>
      </c>
      <c r="CP332" s="1132">
        <f>+CP331/CJ331-1</f>
        <v>7.8173770014144717E-2</v>
      </c>
      <c r="CQ332" s="1132">
        <f>+CQ331/CK331-1</f>
        <v>6.4595181537002277E-2</v>
      </c>
      <c r="CR332" s="1132">
        <f>+CR331/CL331-1</f>
        <v>0.10026637441719055</v>
      </c>
      <c r="CS332" s="1117">
        <f>+CS331/CM331-1</f>
        <v>8.9039051558160942E-2</v>
      </c>
      <c r="CT332" s="48"/>
      <c r="CU332" s="1131">
        <f>+CU331/CO331-1</f>
        <v>0.11671525900344237</v>
      </c>
      <c r="CV332" s="1132">
        <f>+CV331/CP331-1</f>
        <v>0.10991534680537463</v>
      </c>
      <c r="CW332" s="1132">
        <f>+CW331/CQ331-1</f>
        <v>0.10742362711808751</v>
      </c>
      <c r="CX332" s="1132">
        <f>+CX331/CR331-1</f>
        <v>0.1086492463667692</v>
      </c>
      <c r="CY332" s="1117">
        <f>+CY331/CS331-1</f>
        <v>0.11048506626189658</v>
      </c>
      <c r="CZ332" s="48"/>
      <c r="DD332" s="48"/>
      <c r="DE332" s="48"/>
      <c r="DF332" s="48"/>
      <c r="DG332" s="48"/>
      <c r="DH332" s="48"/>
      <c r="DI332" s="48"/>
      <c r="DJ332" s="48"/>
      <c r="DK332" s="48"/>
    </row>
    <row r="333" spans="1:115" x14ac:dyDescent="0.2">
      <c r="A333" s="205" t="s">
        <v>227</v>
      </c>
      <c r="B333" s="48"/>
      <c r="C333" s="1128"/>
      <c r="D333" s="1129"/>
      <c r="E333" s="1129"/>
      <c r="F333" s="1129"/>
      <c r="G333" s="1463"/>
      <c r="H333" s="592"/>
      <c r="I333" s="1128"/>
      <c r="J333" s="1129"/>
      <c r="K333" s="1129"/>
      <c r="L333" s="1129"/>
      <c r="M333" s="1463"/>
      <c r="N333" s="592"/>
      <c r="O333" s="1128"/>
      <c r="P333" s="1129"/>
      <c r="Q333" s="1129"/>
      <c r="R333" s="1129"/>
      <c r="S333" s="1463"/>
      <c r="T333" s="591"/>
      <c r="U333" s="1128"/>
      <c r="V333" s="1129"/>
      <c r="W333" s="1129"/>
      <c r="X333" s="1129"/>
      <c r="Y333" s="1463"/>
      <c r="Z333" s="593"/>
      <c r="AA333" s="1128"/>
      <c r="AB333" s="1129"/>
      <c r="AC333" s="1129"/>
      <c r="AD333" s="1129"/>
      <c r="AE333" s="1463"/>
      <c r="AF333" s="592"/>
      <c r="AG333" s="1128"/>
      <c r="AH333" s="1129"/>
      <c r="AI333" s="1129"/>
      <c r="AJ333" s="1129"/>
      <c r="AK333" s="1463"/>
      <c r="AL333" s="601"/>
      <c r="AM333" s="1229">
        <f>+AM332-RevBuild!AM$59</f>
        <v>9.9665844091123668E-2</v>
      </c>
      <c r="AN333" s="1138">
        <f>+AN332-RevBuild!AN$59</f>
        <v>9.7279682934774306E-2</v>
      </c>
      <c r="AO333" s="1138">
        <f>+AO332-RevBuild!AO$59</f>
        <v>9.4568626992629301E-2</v>
      </c>
      <c r="AP333" s="1138">
        <f>+AP332-RevBuild!AP$59</f>
        <v>-1.1505424120120678E-2</v>
      </c>
      <c r="AQ333" s="1228">
        <f>+AQ332-RevBuild!AQ$59</f>
        <v>7.184241699712339E-2</v>
      </c>
      <c r="AR333" s="1264"/>
      <c r="AS333" s="1229">
        <f>+AS332-RevBuild!AS$59</f>
        <v>3.2471050310125711E-3</v>
      </c>
      <c r="AT333" s="1138">
        <f>+AT332-RevBuild!AT$59</f>
        <v>4.7908282779611996E-2</v>
      </c>
      <c r="AU333" s="1138">
        <f>+AU332-RevBuild!AU$59</f>
        <v>-1.9671186652998676E-3</v>
      </c>
      <c r="AV333" s="1138">
        <f>+AV332-RevBuild!AV$59</f>
        <v>0.17000000000000023</v>
      </c>
      <c r="AW333" s="1228">
        <f>+AW332-RevBuild!AW$59</f>
        <v>5.1200658058398761E-2</v>
      </c>
      <c r="AX333" s="1264"/>
      <c r="AY333" s="1229">
        <f>+AY332-RevBuild!AY$59</f>
        <v>0.13</v>
      </c>
      <c r="AZ333" s="1138">
        <f>+AZ332-RevBuild!AZ$59</f>
        <v>0.11525626242973874</v>
      </c>
      <c r="BA333" s="1138">
        <f>+BA332-RevBuild!BA$59</f>
        <v>0.1</v>
      </c>
      <c r="BB333" s="1138">
        <f>+BB332-RevBuild!BB$59</f>
        <v>5.2190799171172496E-2</v>
      </c>
      <c r="BC333" s="1228">
        <f>+BC332-RevBuild!BC$59</f>
        <v>9.7775984562678803E-2</v>
      </c>
      <c r="BD333" s="1264"/>
      <c r="BE333" s="1229">
        <f>+BE332-RevBuild!BE$59</f>
        <v>4.163789216970179E-2</v>
      </c>
      <c r="BF333" s="1138">
        <f>+BF332-RevBuild!BF$59</f>
        <v>4.1976085980494265E-2</v>
      </c>
      <c r="BG333" s="1138">
        <f>+BG332-RevBuild!BG$59</f>
        <v>8.2231679479841155E-2</v>
      </c>
      <c r="BH333" s="1138">
        <f>+BH332-RevBuild!BH$59</f>
        <v>4.9999999999999781E-2</v>
      </c>
      <c r="BI333" s="1228">
        <f>+BI332-RevBuild!BI$59</f>
        <v>5.8645792512332665E-2</v>
      </c>
      <c r="BJ333" s="1264"/>
      <c r="BK333" s="1229">
        <f>+BK332-RevBuild!BK$59</f>
        <v>0.05</v>
      </c>
      <c r="BL333" s="1138">
        <f>+BL332-RevBuild!BL$59</f>
        <v>5.2032798500311027E-2</v>
      </c>
      <c r="BM333" s="1138">
        <f>+BM332-RevBuild!BM$59</f>
        <v>2.8182044183461895E-2</v>
      </c>
      <c r="BN333" s="1138">
        <f>+BN332-RevBuild!BN$59</f>
        <v>1.9858032647357041E-2</v>
      </c>
      <c r="BO333" s="1228">
        <f>+BO332-RevBuild!BO$59</f>
        <v>3.3852961323803409E-2</v>
      </c>
      <c r="BP333" s="1264"/>
      <c r="BQ333" s="1229">
        <f>+BQ332-RevBuild!BQ$59</f>
        <v>9.4240984016360357E-3</v>
      </c>
      <c r="BR333" s="1138">
        <f>+BR332-RevBuild!BR$59</f>
        <v>4.9000000000000099E-2</v>
      </c>
      <c r="BS333" s="1138">
        <f>+BS332-RevBuild!BS$59</f>
        <v>2.3088972166874028E-2</v>
      </c>
      <c r="BT333" s="1138">
        <f>+BT332-RevBuild!BT$59</f>
        <v>4.8429938722530375E-2</v>
      </c>
      <c r="BU333" s="1228">
        <f>+BU332-RevBuild!BU$59</f>
        <v>3.437503139290661E-2</v>
      </c>
      <c r="BV333" s="1264"/>
      <c r="BW333" s="1229">
        <f>+BW332-RevBuild!BW$59</f>
        <v>1.9000000000000111E-2</v>
      </c>
      <c r="BX333" s="1138">
        <f>+BX332-RevBuild!BX$59</f>
        <v>5.3078263445584806E-2</v>
      </c>
      <c r="BY333" s="1138">
        <f>+BY332-RevBuild!BY$59</f>
        <v>9.7375758706523416E-2</v>
      </c>
      <c r="BZ333" s="1138">
        <f>+BZ332-RevBuild!BZ$59</f>
        <v>9.795333559897472E-2</v>
      </c>
      <c r="CA333" s="1228">
        <f>+CA332-RevBuild!CA$59</f>
        <v>6.7910875030335272E-2</v>
      </c>
      <c r="CB333" s="1264"/>
      <c r="CC333" s="1229">
        <f>+CC332-RevBuild!CC$59</f>
        <v>6.3806276428788167E-2</v>
      </c>
      <c r="CD333" s="1138">
        <f>+CD332-RevBuild!CD$59</f>
        <v>8.2977578401564667E-2</v>
      </c>
      <c r="CE333" s="1138">
        <f>+CE332-RevBuild!CE$59</f>
        <v>7.3667929572531266E-2</v>
      </c>
      <c r="CF333" s="1138">
        <f>+CF332-RevBuild!CF$59</f>
        <v>4.2564631357704108E-2</v>
      </c>
      <c r="CG333" s="1228">
        <f>+CG332-RevBuild!CG$59</f>
        <v>6.6438520285611452E-2</v>
      </c>
      <c r="CH333" s="1264"/>
      <c r="CI333" s="1229">
        <f>+CI332-RevBuild!CI$59</f>
        <v>6.5858175535054284E-2</v>
      </c>
      <c r="CJ333" s="1138">
        <f>+CJ332-RevBuild!CJ$59</f>
        <v>7.8278267195470638E-2</v>
      </c>
      <c r="CK333" s="1138">
        <f>+CK332-RevBuild!CK$59</f>
        <v>8.5850118016993632E-2</v>
      </c>
      <c r="CL333" s="1138">
        <f>+CL332-RevBuild!CL$59</f>
        <v>6.5489572685561118E-2</v>
      </c>
      <c r="CM333" s="1228">
        <f>+CM332-RevBuild!CM$59</f>
        <v>7.3114411663662754E-2</v>
      </c>
      <c r="CN333" s="1264"/>
      <c r="CO333" s="1229">
        <f>+CO332-RevBuild!CO$59</f>
        <v>0.11645411156498842</v>
      </c>
      <c r="CP333" s="1138">
        <f>+CP332-RevBuild!CP$59</f>
        <v>7.8173770014144717E-2</v>
      </c>
      <c r="CQ333" s="1138">
        <f>+CQ332-RevBuild!CQ$59</f>
        <v>6.4595181537002277E-2</v>
      </c>
      <c r="CR333" s="1138">
        <f>+CR332-RevBuild!CR$59</f>
        <v>0.10026637441719055</v>
      </c>
      <c r="CS333" s="1228">
        <f>+CS332-RevBuild!CS$59</f>
        <v>8.9039051558160942E-2</v>
      </c>
      <c r="CT333" s="1264"/>
      <c r="CU333" s="1229">
        <f>+CU332-RevBuild!CU$59</f>
        <v>0.11671525900344237</v>
      </c>
      <c r="CV333" s="1138">
        <f>+CV332-RevBuild!CV$59</f>
        <v>0.10991534680537463</v>
      </c>
      <c r="CW333" s="1138">
        <f>+CW332-RevBuild!CW$59</f>
        <v>0.10742362711808751</v>
      </c>
      <c r="CX333" s="1138">
        <f>+CX332-RevBuild!CX$59</f>
        <v>0.1086492463667692</v>
      </c>
      <c r="CY333" s="1228">
        <f>+CY332-RevBuild!CY$59</f>
        <v>0.11048506626189658</v>
      </c>
      <c r="CZ333" s="48"/>
      <c r="DD333" s="48"/>
      <c r="DE333" s="48"/>
      <c r="DF333" s="48"/>
      <c r="DG333" s="48"/>
      <c r="DH333" s="48"/>
      <c r="DI333" s="48"/>
      <c r="DJ333" s="48"/>
      <c r="DK333" s="48"/>
    </row>
    <row r="334" spans="1:115" x14ac:dyDescent="0.2">
      <c r="A334" s="205" t="s">
        <v>464</v>
      </c>
      <c r="B334" s="48"/>
      <c r="C334" s="1128"/>
      <c r="D334" s="1129"/>
      <c r="E334" s="1129"/>
      <c r="F334" s="1129"/>
      <c r="G334" s="1463"/>
      <c r="H334" s="592"/>
      <c r="I334" s="1128"/>
      <c r="J334" s="1129"/>
      <c r="K334" s="1129"/>
      <c r="L334" s="1129"/>
      <c r="M334" s="1463"/>
      <c r="N334" s="592"/>
      <c r="O334" s="1128"/>
      <c r="P334" s="1129"/>
      <c r="Q334" s="1129"/>
      <c r="R334" s="1129"/>
      <c r="S334" s="1463"/>
      <c r="T334" s="591"/>
      <c r="U334" s="1128"/>
      <c r="V334" s="1129"/>
      <c r="W334" s="1129"/>
      <c r="X334" s="1129"/>
      <c r="Y334" s="1463"/>
      <c r="Z334" s="593"/>
      <c r="AA334" s="1128"/>
      <c r="AB334" s="1129"/>
      <c r="AC334" s="1129"/>
      <c r="AD334" s="1129"/>
      <c r="AE334" s="1463"/>
      <c r="AF334" s="592"/>
      <c r="AG334" s="1128"/>
      <c r="AH334" s="1129"/>
      <c r="AI334" s="1129"/>
      <c r="AJ334" s="1129"/>
      <c r="AK334" s="1463"/>
      <c r="AL334" s="601"/>
      <c r="AM334" s="1131">
        <f>+AM$41/AM331</f>
        <v>0.29069767441860467</v>
      </c>
      <c r="AN334" s="1132">
        <f>+AN$41/AN331</f>
        <v>0.29411764705882354</v>
      </c>
      <c r="AO334" s="1132">
        <f>+AO$41/AO331</f>
        <v>0.25</v>
      </c>
      <c r="AP334" s="1132">
        <f>+AP$41/AP331</f>
        <v>0.23529411764705885</v>
      </c>
      <c r="AQ334" s="1117">
        <f>+AQ$41/AQ331</f>
        <v>0.26660547407771368</v>
      </c>
      <c r="AR334" s="48"/>
      <c r="AS334" s="1131">
        <f>+AS$41/AS331</f>
        <v>0.23175303152529872</v>
      </c>
      <c r="AT334" s="1132">
        <f>+AT$41/AT331</f>
        <v>0.2533997221050861</v>
      </c>
      <c r="AU334" s="1132">
        <f>+AU$41/AU331</f>
        <v>0.20178587284696209</v>
      </c>
      <c r="AV334" s="1132">
        <f>+AV$41/AV331</f>
        <v>0.19327161732721548</v>
      </c>
      <c r="AW334" s="1117">
        <f>+AW$41/AW331</f>
        <v>0.21886999223521458</v>
      </c>
      <c r="AX334" s="48"/>
      <c r="AY334" s="1131">
        <f>+AY$41/AY331</f>
        <v>0.20454545454545456</v>
      </c>
      <c r="AZ334" s="1132">
        <f>+AZ$41/AZ331</f>
        <v>0.19767441860465118</v>
      </c>
      <c r="BA334" s="1132">
        <f>+BA$41/BA331</f>
        <v>0.19540229885057475</v>
      </c>
      <c r="BB334" s="1132">
        <f>+BB$41/BB331</f>
        <v>0.14563459222128963</v>
      </c>
      <c r="BC334" s="1117">
        <f>+BC$41/BC331</f>
        <v>0.1845121493405027</v>
      </c>
      <c r="BD334" s="48"/>
      <c r="BE334" s="1131">
        <f>+BE$41/BE331</f>
        <v>0.19101123595505617</v>
      </c>
      <c r="BF334" s="1132">
        <f>+BF$41/BF331</f>
        <v>0.16091954022988506</v>
      </c>
      <c r="BG334" s="1132">
        <f>+BG$41/BG331</f>
        <v>0.18977272727272729</v>
      </c>
      <c r="BH334" s="1132">
        <f>+BH$41/BH331</f>
        <v>0.17676769617132287</v>
      </c>
      <c r="BI334" s="1117">
        <f>+BI$41/BI331</f>
        <v>0.17956180160233878</v>
      </c>
      <c r="BJ334" s="48"/>
      <c r="BK334" s="1131">
        <f>+BK$41/BK331</f>
        <v>0.13707865168539324</v>
      </c>
      <c r="BL334" s="1132">
        <f>+BL$41/BL331</f>
        <v>0.11427762053257264</v>
      </c>
      <c r="BM334" s="1132">
        <f>+BM$41/BM331</f>
        <v>0.13227350515713152</v>
      </c>
      <c r="BN334" s="1132">
        <f>+BN$41/BN331</f>
        <v>0.13538619056901818</v>
      </c>
      <c r="BO334" s="1117">
        <f>+BO$41/BO331</f>
        <v>0.12975649196144523</v>
      </c>
      <c r="BP334" s="48"/>
      <c r="BQ334" s="1131">
        <f>+BQ$41/BQ331</f>
        <v>0.11290233943946364</v>
      </c>
      <c r="BR334" s="1132">
        <f>+BR$41/BR331</f>
        <v>9.2402657547784386E-2</v>
      </c>
      <c r="BS334" s="1132">
        <f>+BS$41/BS331</f>
        <v>9.2650830347009813E-2</v>
      </c>
      <c r="BT334" s="1132">
        <f>+BT$41/BT331</f>
        <v>9.7175885005371998E-2</v>
      </c>
      <c r="BU334" s="1117">
        <f>+BU$41/BU331</f>
        <v>9.8567917811999015E-2</v>
      </c>
      <c r="BV334" s="48"/>
      <c r="BW334" s="1131">
        <f>+BW$41/BW331</f>
        <v>6.8799901648811793E-2</v>
      </c>
      <c r="BX334" s="1132">
        <f>+BX$41/BX331</f>
        <v>7.2786395190993489E-2</v>
      </c>
      <c r="BY334" s="1132">
        <f>+BY$41/BY331</f>
        <v>7.2837921126502669E-2</v>
      </c>
      <c r="BZ334" s="1132">
        <f>+BZ$41/BZ331</f>
        <v>8.4936813348509943E-2</v>
      </c>
      <c r="CA334" s="1117">
        <f>+CA$41/CA331</f>
        <v>7.5213689090295646E-2</v>
      </c>
      <c r="CB334" s="48"/>
      <c r="CC334" s="1131">
        <f>+CC$41/CC331</f>
        <v>4.4190627914548211E-2</v>
      </c>
      <c r="CD334" s="1132">
        <f>+CD$41/CD331</f>
        <v>5.5690023207780187E-2</v>
      </c>
      <c r="CE334" s="1132">
        <f>+CE$41/CE331</f>
        <v>6.4420077440327461E-2</v>
      </c>
      <c r="CF334" s="1132">
        <f>+CF$41/CF331</f>
        <v>6.6057393537313949E-2</v>
      </c>
      <c r="CG334" s="1117">
        <f>+CG$41/CG331</f>
        <v>5.8250213582012773E-2</v>
      </c>
      <c r="CH334" s="48"/>
      <c r="CI334" s="1131">
        <f>+CI$41/CI331</f>
        <v>3.621191792289289E-2</v>
      </c>
      <c r="CJ334" s="1132">
        <f>+CJ$41/CJ331</f>
        <v>3.5860283938582552E-2</v>
      </c>
      <c r="CK334" s="1132">
        <f>+CK$41/CK331</f>
        <v>4.1864881216083137E-2</v>
      </c>
      <c r="CL334" s="1132">
        <f>+CL$41/CL331</f>
        <v>4.1251138229903658E-2</v>
      </c>
      <c r="CM334" s="1117">
        <f>+CM$41/CM331</f>
        <v>3.8936339867964617E-2</v>
      </c>
      <c r="CN334" s="48"/>
      <c r="CO334" s="1131">
        <f>+CO$41/CO331</f>
        <v>2.8169075326320112E-2</v>
      </c>
      <c r="CP334" s="1132">
        <f>+CP$41/CP331</f>
        <v>2.877946048050754E-2</v>
      </c>
      <c r="CQ334" s="1132">
        <f>+CQ$41/CQ331</f>
        <v>3.391734979616165E-2</v>
      </c>
      <c r="CR334" s="1132">
        <f>+CR$41/CR331</f>
        <v>3.2280898847024592E-2</v>
      </c>
      <c r="CS334" s="1117">
        <f>+CS$41/CS331</f>
        <v>3.088887184120661E-2</v>
      </c>
      <c r="CT334" s="48"/>
      <c r="CU334" s="1131">
        <f>+CU$41/CU331</f>
        <v>2.1924382640507094E-2</v>
      </c>
      <c r="CV334" s="1132">
        <f>+CV$41/CV331</f>
        <v>2.245215973483039E-2</v>
      </c>
      <c r="CW334" s="1132">
        <f>+CW$41/CW331</f>
        <v>2.6432495624450419E-2</v>
      </c>
      <c r="CX334" s="1132">
        <f>+CX$41/CX331</f>
        <v>2.5084783956500257E-2</v>
      </c>
      <c r="CY334" s="1117">
        <f>+CY$41/CY331</f>
        <v>2.4047628422121197E-2</v>
      </c>
      <c r="CZ334" s="48"/>
      <c r="DD334" s="48"/>
      <c r="DE334" s="48"/>
      <c r="DF334" s="48"/>
      <c r="DG334" s="48"/>
      <c r="DH334" s="48"/>
      <c r="DI334" s="48"/>
      <c r="DJ334" s="48"/>
      <c r="DK334" s="48"/>
    </row>
    <row r="335" spans="1:115" x14ac:dyDescent="0.2">
      <c r="A335" s="2128" t="s">
        <v>726</v>
      </c>
      <c r="B335" s="48"/>
      <c r="C335" s="2158"/>
      <c r="D335" s="1129"/>
      <c r="E335" s="1129"/>
      <c r="F335" s="1129"/>
      <c r="G335" s="2159"/>
      <c r="H335" s="592"/>
      <c r="I335" s="2158"/>
      <c r="J335" s="1129"/>
      <c r="K335" s="1129"/>
      <c r="L335" s="1129"/>
      <c r="M335" s="2159"/>
      <c r="N335" s="592"/>
      <c r="O335" s="2158"/>
      <c r="P335" s="1129"/>
      <c r="Q335" s="1129"/>
      <c r="R335" s="1129"/>
      <c r="S335" s="2159"/>
      <c r="T335" s="591"/>
      <c r="U335" s="2158"/>
      <c r="V335" s="1129"/>
      <c r="W335" s="1129"/>
      <c r="X335" s="1129"/>
      <c r="Y335" s="2159"/>
      <c r="Z335" s="593"/>
      <c r="AA335" s="2158"/>
      <c r="AB335" s="1129"/>
      <c r="AC335" s="1129"/>
      <c r="AD335" s="1129"/>
      <c r="AE335" s="2159"/>
      <c r="AF335" s="592"/>
      <c r="AG335" s="2158"/>
      <c r="AH335" s="1129"/>
      <c r="AI335" s="1129"/>
      <c r="AJ335" s="1129"/>
      <c r="AK335" s="2159"/>
      <c r="AL335" s="601"/>
      <c r="AM335" s="2133"/>
      <c r="AN335" s="1132"/>
      <c r="AO335" s="1132"/>
      <c r="AP335" s="1132"/>
      <c r="AQ335" s="2160"/>
      <c r="AR335" s="48"/>
      <c r="AS335" s="2133"/>
      <c r="AT335" s="1132"/>
      <c r="AU335" s="1132"/>
      <c r="AV335" s="1132"/>
      <c r="AW335" s="2160"/>
      <c r="AX335" s="48"/>
      <c r="AY335" s="2133"/>
      <c r="AZ335" s="1132"/>
      <c r="BA335" s="1132"/>
      <c r="BB335" s="1132"/>
      <c r="BC335" s="1117">
        <f>+BC$67/BC331</f>
        <v>0</v>
      </c>
      <c r="BD335" s="48"/>
      <c r="BE335" s="2133"/>
      <c r="BF335" s="1132"/>
      <c r="BG335" s="1132"/>
      <c r="BH335" s="1132"/>
      <c r="BI335" s="1117">
        <f>+BI$67/BI331</f>
        <v>0</v>
      </c>
      <c r="BJ335" s="48"/>
      <c r="BK335" s="2133"/>
      <c r="BL335" s="1132"/>
      <c r="BM335" s="1132"/>
      <c r="BN335" s="1132"/>
      <c r="BO335" s="1117">
        <f>+BO$67/BO331</f>
        <v>0</v>
      </c>
      <c r="BP335" s="48"/>
      <c r="BQ335" s="2133"/>
      <c r="BR335" s="1132"/>
      <c r="BS335" s="1132"/>
      <c r="BT335" s="1132"/>
      <c r="BU335" s="1117">
        <f>+BU$67/BU331</f>
        <v>0</v>
      </c>
      <c r="BV335" s="48"/>
      <c r="BW335" s="2133"/>
      <c r="BX335" s="1132"/>
      <c r="BY335" s="1132"/>
      <c r="BZ335" s="1132"/>
      <c r="CA335" s="1117">
        <f>+CA$67/CA331</f>
        <v>0</v>
      </c>
      <c r="CB335" s="48"/>
      <c r="CC335" s="2133"/>
      <c r="CD335" s="1132"/>
      <c r="CE335" s="1132"/>
      <c r="CF335" s="1132"/>
      <c r="CG335" s="1117">
        <f>+CG$67/CG331</f>
        <v>0</v>
      </c>
      <c r="CH335" s="48"/>
      <c r="CI335" s="2133">
        <f t="shared" ref="CI335:CY335" si="59">+CI$67/CI331</f>
        <v>0</v>
      </c>
      <c r="CJ335" s="1132">
        <f t="shared" si="59"/>
        <v>0</v>
      </c>
      <c r="CK335" s="1132">
        <f t="shared" si="59"/>
        <v>3.7769325676048951E-3</v>
      </c>
      <c r="CL335" s="1132">
        <f t="shared" si="59"/>
        <v>4.2684188881557143E-3</v>
      </c>
      <c r="CM335" s="1117">
        <f>+CM$67/CM331</f>
        <v>2.1206583723323747E-3</v>
      </c>
      <c r="CN335" s="48"/>
      <c r="CO335" s="2133">
        <f t="shared" si="59"/>
        <v>4.4150566901374477E-3</v>
      </c>
      <c r="CP335" s="1132">
        <f t="shared" si="59"/>
        <v>4.0164117908224406E-3</v>
      </c>
      <c r="CQ335" s="1132">
        <f t="shared" si="59"/>
        <v>3.9550999797345462E-3</v>
      </c>
      <c r="CR335" s="1132">
        <f t="shared" si="59"/>
        <v>3.7070217511427153E-3</v>
      </c>
      <c r="CS335" s="1117">
        <f t="shared" si="59"/>
        <v>4.0077246798529568E-3</v>
      </c>
      <c r="CT335" s="48"/>
      <c r="CU335" s="2133">
        <f t="shared" si="59"/>
        <v>4.8467844344811254E-3</v>
      </c>
      <c r="CV335" s="1132">
        <f t="shared" si="59"/>
        <v>4.436170683773567E-3</v>
      </c>
      <c r="CW335" s="1132">
        <f t="shared" si="59"/>
        <v>4.3782801990863013E-3</v>
      </c>
      <c r="CX335" s="1132">
        <f t="shared" si="59"/>
        <v>4.0991219485649972E-3</v>
      </c>
      <c r="CY335" s="1117">
        <f t="shared" si="59"/>
        <v>4.4243046796117423E-3</v>
      </c>
      <c r="CZ335" s="48"/>
      <c r="DD335" s="48"/>
      <c r="DE335" s="48"/>
      <c r="DF335" s="48"/>
      <c r="DG335" s="48"/>
      <c r="DH335" s="48"/>
      <c r="DI335" s="48"/>
      <c r="DJ335" s="48"/>
      <c r="DK335" s="48"/>
    </row>
    <row r="336" spans="1:115" x14ac:dyDescent="0.2">
      <c r="A336" s="205" t="s">
        <v>465</v>
      </c>
      <c r="B336" s="48"/>
      <c r="C336" s="1128"/>
      <c r="D336" s="1129"/>
      <c r="E336" s="1129"/>
      <c r="F336" s="1129"/>
      <c r="G336" s="1463"/>
      <c r="H336" s="592"/>
      <c r="I336" s="1128"/>
      <c r="J336" s="1129"/>
      <c r="K336" s="1129"/>
      <c r="L336" s="1129"/>
      <c r="M336" s="1463"/>
      <c r="N336" s="592"/>
      <c r="O336" s="1128"/>
      <c r="P336" s="1129"/>
      <c r="Q336" s="1129"/>
      <c r="R336" s="1129"/>
      <c r="S336" s="1463"/>
      <c r="T336" s="591"/>
      <c r="U336" s="1128"/>
      <c r="V336" s="1129"/>
      <c r="W336" s="1129"/>
      <c r="X336" s="1129"/>
      <c r="Y336" s="1463"/>
      <c r="Z336" s="593"/>
      <c r="AA336" s="1128"/>
      <c r="AB336" s="1129"/>
      <c r="AC336" s="1129"/>
      <c r="AD336" s="1129"/>
      <c r="AE336" s="1463"/>
      <c r="AF336" s="592"/>
      <c r="AG336" s="1128"/>
      <c r="AH336" s="1129"/>
      <c r="AI336" s="1129"/>
      <c r="AJ336" s="1129"/>
      <c r="AK336" s="1463"/>
      <c r="AL336" s="601"/>
      <c r="AM336" s="1131">
        <f>+AM$91/AM331</f>
        <v>0</v>
      </c>
      <c r="AN336" s="1132">
        <f>+AN$91/AN331</f>
        <v>0</v>
      </c>
      <c r="AO336" s="1132">
        <f>+AO$91/AO331</f>
        <v>0</v>
      </c>
      <c r="AP336" s="1132">
        <f>+AP$91/AP331</f>
        <v>0</v>
      </c>
      <c r="AQ336" s="1117">
        <f>+AQ$91/AQ331</f>
        <v>0</v>
      </c>
      <c r="AR336" s="48"/>
      <c r="AS336" s="1131">
        <f>+AS$91/AS331</f>
        <v>0</v>
      </c>
      <c r="AT336" s="1132">
        <f>+AT$91/AT331</f>
        <v>0</v>
      </c>
      <c r="AU336" s="1132">
        <f>+AU$91/AU331</f>
        <v>5.3714250927913688E-2</v>
      </c>
      <c r="AV336" s="1132">
        <f>+AV$91/AV331</f>
        <v>4.9251205775055658E-2</v>
      </c>
      <c r="AW336" s="1117">
        <f>+AW$91/AW331</f>
        <v>2.7054788829945411E-2</v>
      </c>
      <c r="AX336" s="48"/>
      <c r="AY336" s="1131">
        <f>+AY$91/AY331</f>
        <v>5.7504013013388158E-2</v>
      </c>
      <c r="AZ336" s="1132">
        <f>+AZ$91/AZ331</f>
        <v>6.434441856453052E-2</v>
      </c>
      <c r="BA336" s="1132">
        <f>+BA$91/BA331</f>
        <v>6.1067193643050348E-2</v>
      </c>
      <c r="BB336" s="1132">
        <f>+BB$91/BB331</f>
        <v>6.0820006600983918E-2</v>
      </c>
      <c r="BC336" s="1117">
        <f>+BC$91/BC331</f>
        <v>6.0941000504438972E-2</v>
      </c>
      <c r="BD336" s="48"/>
      <c r="BE336" s="1131">
        <f>+BE$91/BE331</f>
        <v>7.2207429538386686E-2</v>
      </c>
      <c r="BF336" s="1132">
        <f>+BF$91/BF331</f>
        <v>8.2176517394147816E-2</v>
      </c>
      <c r="BG336" s="1132">
        <f>+BG$91/BG331</f>
        <v>7.6639719750734123E-2</v>
      </c>
      <c r="BH336" s="1132">
        <f>+BH$91/BH331</f>
        <v>7.6510836247984174E-2</v>
      </c>
      <c r="BI336" s="1117">
        <f>+BI$91/BI331</f>
        <v>7.689049439559667E-2</v>
      </c>
      <c r="BJ336" s="48"/>
      <c r="BK336" s="1131">
        <f>+BK$91/BK331</f>
        <v>8.857829604459673E-2</v>
      </c>
      <c r="BL336" s="1132">
        <f>+BL$91/BL331</f>
        <v>8.5835272574676699E-2</v>
      </c>
      <c r="BM336" s="1132">
        <f>+BM$91/BM331</f>
        <v>8.7241869789870988E-2</v>
      </c>
      <c r="BN336" s="1132">
        <f>+BN$91/BN331</f>
        <v>8.433405789354903E-2</v>
      </c>
      <c r="BO336" s="1117">
        <f>+BO$91/BO331</f>
        <v>8.6460834951154919E-2</v>
      </c>
      <c r="BP336" s="48"/>
      <c r="BQ336" s="1131">
        <f>+BQ$91/BQ331</f>
        <v>0.10092817089967453</v>
      </c>
      <c r="BR336" s="1132">
        <f>+BR$91/BR331</f>
        <v>9.3783293990816141E-2</v>
      </c>
      <c r="BS336" s="1132">
        <f>+BS$91/BS331</f>
        <v>0.11085071049757468</v>
      </c>
      <c r="BT336" s="1132">
        <f>+BT$91/BT331</f>
        <v>9.9204023243472189E-2</v>
      </c>
      <c r="BU336" s="1117">
        <f>+BU$91/BU331</f>
        <v>0.10110012963778149</v>
      </c>
      <c r="BV336" s="48"/>
      <c r="BW336" s="1131">
        <f>+BW$91/BW331</f>
        <v>0.11877416903023864</v>
      </c>
      <c r="BX336" s="1132">
        <f>+BX$91/BX331</f>
        <v>0.11401483676397942</v>
      </c>
      <c r="BY336" s="1132">
        <f>+BY$91/BY331</f>
        <v>0.13367638941155288</v>
      </c>
      <c r="BZ336" s="1132">
        <f>+BZ$91/BZ331</f>
        <v>0.12065890232616958</v>
      </c>
      <c r="CA336" s="1117">
        <f>+CA$91/CA331</f>
        <v>0.12189374341054032</v>
      </c>
      <c r="CB336" s="48"/>
      <c r="CC336" s="1131">
        <f>+CC$91/CC331</f>
        <v>0.12870541930813265</v>
      </c>
      <c r="CD336" s="1132">
        <f>+CD$91/CD331</f>
        <v>0.14197654040453467</v>
      </c>
      <c r="CE336" s="1132">
        <f>+CE$91/CE331</f>
        <v>0.15731619215135786</v>
      </c>
      <c r="CF336" s="1132">
        <f>+CF$91/CF331</f>
        <v>0.14043048690714902</v>
      </c>
      <c r="CG336" s="1117">
        <f>+CG$91/CG331</f>
        <v>0.14260234785640802</v>
      </c>
      <c r="CH336" s="48"/>
      <c r="CI336" s="1131">
        <f>+CI$91/CI331</f>
        <v>0.14187077643007329</v>
      </c>
      <c r="CJ336" s="1132">
        <f>+CJ$91/CJ331</f>
        <v>0.15935225361559355</v>
      </c>
      <c r="CK336" s="1132">
        <f>+CK$91/CK331</f>
        <v>0.18427462163183808</v>
      </c>
      <c r="CL336" s="1132">
        <f>+CL$91/CL331</f>
        <v>0.1501187681109718</v>
      </c>
      <c r="CM336" s="1117">
        <f>+CM$91/CM331</f>
        <v>0.1594708106068318</v>
      </c>
      <c r="CN336" s="48"/>
      <c r="CO336" s="1131">
        <f>+CO$91/CO331</f>
        <v>0.19060896676425787</v>
      </c>
      <c r="CP336" s="1132">
        <f>+CP$91/CP331</f>
        <v>0.17735796367611831</v>
      </c>
      <c r="CQ336" s="1132">
        <f>+CQ$91/CQ331</f>
        <v>0.17309360856376674</v>
      </c>
      <c r="CR336" s="1132">
        <f>+CR$91/CR331</f>
        <v>0.16372628112768364</v>
      </c>
      <c r="CS336" s="1117">
        <f>+CS$91/CS331</f>
        <v>0.17560044590348201</v>
      </c>
      <c r="CT336" s="48"/>
      <c r="CU336" s="1131">
        <f>+CU$91/CU331</f>
        <v>0.19799711669011724</v>
      </c>
      <c r="CV336" s="1132">
        <f>+CV$91/CV331</f>
        <v>0.18536119755119779</v>
      </c>
      <c r="CW336" s="1132">
        <f>+CW$91/CW331</f>
        <v>0.18131145211024002</v>
      </c>
      <c r="CX336" s="1132">
        <f>+CX$91/CX331</f>
        <v>0.17130980490946171</v>
      </c>
      <c r="CY336" s="1117">
        <f>+CY$91/CY331</f>
        <v>0.18343021751181238</v>
      </c>
      <c r="CZ336" s="48"/>
      <c r="DD336" s="48"/>
      <c r="DE336" s="48"/>
      <c r="DF336" s="48"/>
      <c r="DG336" s="48"/>
      <c r="DH336" s="48"/>
      <c r="DI336" s="48"/>
      <c r="DJ336" s="48"/>
      <c r="DK336" s="48"/>
    </row>
    <row r="337" spans="1:115" x14ac:dyDescent="0.2">
      <c r="A337" s="205" t="s">
        <v>640</v>
      </c>
      <c r="B337" s="48"/>
      <c r="C337" s="1128"/>
      <c r="D337" s="1129"/>
      <c r="E337" s="1129"/>
      <c r="F337" s="1129"/>
      <c r="G337" s="1463"/>
      <c r="H337" s="592"/>
      <c r="I337" s="1128"/>
      <c r="J337" s="1129"/>
      <c r="K337" s="1129"/>
      <c r="L337" s="1129"/>
      <c r="M337" s="1463"/>
      <c r="N337" s="592"/>
      <c r="O337" s="1128"/>
      <c r="P337" s="1129"/>
      <c r="Q337" s="1129"/>
      <c r="R337" s="1129"/>
      <c r="S337" s="1463"/>
      <c r="T337" s="591"/>
      <c r="U337" s="1128"/>
      <c r="V337" s="1129"/>
      <c r="W337" s="1129"/>
      <c r="X337" s="1129"/>
      <c r="Y337" s="1463"/>
      <c r="Z337" s="593"/>
      <c r="AA337" s="1128"/>
      <c r="AB337" s="1129"/>
      <c r="AC337" s="1129"/>
      <c r="AD337" s="1129"/>
      <c r="AE337" s="1463"/>
      <c r="AF337" s="592"/>
      <c r="AG337" s="1128"/>
      <c r="AH337" s="1129"/>
      <c r="AI337" s="1129"/>
      <c r="AJ337" s="1129"/>
      <c r="AK337" s="1463"/>
      <c r="AL337" s="601"/>
      <c r="AM337" s="1131">
        <f>+AM$115/AM331</f>
        <v>2.1772306189527975E-2</v>
      </c>
      <c r="AN337" s="1132">
        <f>+AN$115/AN331</f>
        <v>2.1494754160466402E-2</v>
      </c>
      <c r="AO337" s="1132">
        <f>+AO$115/AO331</f>
        <v>2.2701009150992199E-2</v>
      </c>
      <c r="AP337" s="1132">
        <f>+AP$115/AP331</f>
        <v>2.3529411764705885E-2</v>
      </c>
      <c r="AQ337" s="1117">
        <f>+AQ$115/AQ331</f>
        <v>2.240256119214341E-2</v>
      </c>
      <c r="AR337" s="48"/>
      <c r="AS337" s="1131">
        <f>+AS$115/AS331</f>
        <v>2.5585543436942599E-2</v>
      </c>
      <c r="AT337" s="1132">
        <f>+AT$115/AT331</f>
        <v>2.5370922892691144E-2</v>
      </c>
      <c r="AU337" s="1132">
        <f>+AU$115/AU331</f>
        <v>2.6459242123750074E-2</v>
      </c>
      <c r="AV337" s="1132">
        <f>+AV$115/AV331</f>
        <v>2.5856883031904219E-2</v>
      </c>
      <c r="AW337" s="1117">
        <f>+AW$115/AW331</f>
        <v>2.5825025701311528E-2</v>
      </c>
      <c r="AX337" s="48"/>
      <c r="AY337" s="1131">
        <f>+AY$115/AY331</f>
        <v>2.7958451127109329E-2</v>
      </c>
      <c r="AZ337" s="1132">
        <f>+AZ$115/AZ331</f>
        <v>3.0351640733468837E-2</v>
      </c>
      <c r="BA337" s="1132">
        <f>+BA$115/BA331</f>
        <v>3.1973914090971375E-2</v>
      </c>
      <c r="BB337" s="1132">
        <f>+BB$115/BB331</f>
        <v>3.1392449678797417E-2</v>
      </c>
      <c r="BC337" s="1117">
        <f>+BC$115/BC331</f>
        <v>3.0457707025742312E-2</v>
      </c>
      <c r="BD337" s="48"/>
      <c r="BE337" s="1131">
        <f>+BE$115/BE331</f>
        <v>2.9201358014711826E-2</v>
      </c>
      <c r="BF337" s="1132">
        <f>+BF$115/BF331</f>
        <v>2.5974700379731885E-2</v>
      </c>
      <c r="BG337" s="1132">
        <f>+BG$115/BG331</f>
        <v>2.9164740037749302E-2</v>
      </c>
      <c r="BH337" s="1132">
        <f>+BH$115/BH331</f>
        <v>2.4092987338013128E-2</v>
      </c>
      <c r="BI337" s="1117">
        <f>+BI$115/BI331</f>
        <v>2.7020050797475759E-2</v>
      </c>
      <c r="BJ337" s="48"/>
      <c r="BK337" s="1131">
        <f>+BK$115/BK331</f>
        <v>2.792368650547895E-2</v>
      </c>
      <c r="BL337" s="1132">
        <f>+BL$115/BL331</f>
        <v>3.0319337060775223E-2</v>
      </c>
      <c r="BM337" s="1132">
        <f>+BM$115/BM331</f>
        <v>3.6733834373358143E-2</v>
      </c>
      <c r="BN337" s="1132">
        <f>+BN$115/BN331</f>
        <v>3.6646545273135454E-2</v>
      </c>
      <c r="BO337" s="1117">
        <f>+BO$115/BO331</f>
        <v>3.298622390696445E-2</v>
      </c>
      <c r="BP337" s="48"/>
      <c r="BQ337" s="1131">
        <f>+BQ$115/BQ331</f>
        <v>2.344043271670351E-2</v>
      </c>
      <c r="BR337" s="1132">
        <f>+BR$115/BR331</f>
        <v>2.6263904305560103E-2</v>
      </c>
      <c r="BS337" s="1132">
        <f>+BS$115/BS331</f>
        <v>4.0741571247241239E-2</v>
      </c>
      <c r="BT337" s="1132">
        <f>+BT$115/BT331</f>
        <v>3.5589281843674096E-2</v>
      </c>
      <c r="BU337" s="1117">
        <f>+BU$115/BU331</f>
        <v>3.1643108483968688E-2</v>
      </c>
      <c r="BV337" s="48"/>
      <c r="BW337" s="1131">
        <f>+BW$115/BW331</f>
        <v>2.3229221360591804E-2</v>
      </c>
      <c r="BX337" s="1132">
        <f>+BX$115/BX331</f>
        <v>2.1125016203939355E-2</v>
      </c>
      <c r="BY337" s="1132">
        <f>+BY$115/BY331</f>
        <v>3.7098781351968757E-2</v>
      </c>
      <c r="BZ337" s="1132">
        <f>+BZ$115/BZ331</f>
        <v>3.315743076268763E-2</v>
      </c>
      <c r="CA337" s="1117">
        <f>+CA$115/CA331</f>
        <v>2.8937232001760061E-2</v>
      </c>
      <c r="CB337" s="48"/>
      <c r="CC337" s="1131">
        <f>+CC$115/CC331</f>
        <v>2.3590200380911221E-2</v>
      </c>
      <c r="CD337" s="1132">
        <f>+CD$115/CD331</f>
        <v>2.1065698354549255E-2</v>
      </c>
      <c r="CE337" s="1132">
        <f>+CE$115/CE331</f>
        <v>3.7316374363684478E-2</v>
      </c>
      <c r="CF337" s="1132">
        <f>+CF$115/CF331</f>
        <v>3.4321787665881322E-2</v>
      </c>
      <c r="CG337" s="1117">
        <f>+CG$115/CG331</f>
        <v>2.9441728714005768E-2</v>
      </c>
      <c r="CH337" s="48"/>
      <c r="CI337" s="1131">
        <f>+CI$115/CI331</f>
        <v>2.4311987878781884E-2</v>
      </c>
      <c r="CJ337" s="1132">
        <f>+CJ$115/CJ331</f>
        <v>2.1473062659870319E-2</v>
      </c>
      <c r="CK337" s="1132">
        <f>+CK$115/CK331</f>
        <v>3.7791706080102183E-2</v>
      </c>
      <c r="CL337" s="1132">
        <f>+CL$115/CL331</f>
        <v>3.5412963102614985E-2</v>
      </c>
      <c r="CM337" s="1117">
        <f>+CM$115/CM331</f>
        <v>3.005957591876033E-2</v>
      </c>
      <c r="CN337" s="48"/>
      <c r="CO337" s="1131">
        <f>+CO$115/CO331</f>
        <v>2.2864878196326141E-2</v>
      </c>
      <c r="CP337" s="1132">
        <f>+CP$115/CP331</f>
        <v>2.0911949835848855E-2</v>
      </c>
      <c r="CQ337" s="1132">
        <f>+CQ$115/CQ331</f>
        <v>3.7273596642451161E-2</v>
      </c>
      <c r="CR337" s="1132">
        <f>+CR$115/CR331</f>
        <v>3.3795099188995786E-2</v>
      </c>
      <c r="CS337" s="1117">
        <f>+CS$115/CS331</f>
        <v>2.8982022884798935E-2</v>
      </c>
      <c r="CT337" s="48"/>
      <c r="CU337" s="1131">
        <f>+CU$115/CU331</f>
        <v>2.1498875306465607E-2</v>
      </c>
      <c r="CV337" s="1132">
        <f>+CV$115/CV331</f>
        <v>1.9783082908837003E-2</v>
      </c>
      <c r="CW337" s="1132">
        <f>+CW$115/CW331</f>
        <v>3.5340835716520622E-2</v>
      </c>
      <c r="CX337" s="1132">
        <f>+CX$115/CX331</f>
        <v>3.2007286582961599E-2</v>
      </c>
      <c r="CY337" s="1117">
        <f>+CY$115/CY331</f>
        <v>2.7403451837020931E-2</v>
      </c>
      <c r="CZ337" s="48"/>
      <c r="DD337" s="48"/>
      <c r="DE337" s="48"/>
      <c r="DF337" s="48"/>
      <c r="DG337" s="48"/>
      <c r="DH337" s="48"/>
      <c r="DI337" s="48"/>
      <c r="DJ337" s="48"/>
      <c r="DK337" s="48"/>
    </row>
    <row r="338" spans="1:115" x14ac:dyDescent="0.2">
      <c r="A338" s="205" t="s">
        <v>469</v>
      </c>
      <c r="B338" s="48"/>
      <c r="C338" s="1128"/>
      <c r="D338" s="1129"/>
      <c r="E338" s="1129"/>
      <c r="F338" s="1129"/>
      <c r="G338" s="1463"/>
      <c r="H338" s="592"/>
      <c r="I338" s="1128"/>
      <c r="J338" s="1129"/>
      <c r="K338" s="1129"/>
      <c r="L338" s="1129"/>
      <c r="M338" s="1463"/>
      <c r="N338" s="592"/>
      <c r="O338" s="1128"/>
      <c r="P338" s="1129"/>
      <c r="Q338" s="1129"/>
      <c r="R338" s="1129"/>
      <c r="S338" s="1463"/>
      <c r="T338" s="591"/>
      <c r="U338" s="1128"/>
      <c r="V338" s="1129"/>
      <c r="W338" s="1129"/>
      <c r="X338" s="1129"/>
      <c r="Y338" s="1463"/>
      <c r="Z338" s="593"/>
      <c r="AA338" s="1128"/>
      <c r="AB338" s="1129"/>
      <c r="AC338" s="1129"/>
      <c r="AD338" s="1129"/>
      <c r="AE338" s="1463"/>
      <c r="AF338" s="592"/>
      <c r="AG338" s="1128"/>
      <c r="AH338" s="1129"/>
      <c r="AI338" s="1129"/>
      <c r="AJ338" s="1129"/>
      <c r="AK338" s="1463"/>
      <c r="AL338" s="601"/>
      <c r="AM338" s="1131">
        <f>+AM$205/AM331</f>
        <v>6.0616079732208564E-3</v>
      </c>
      <c r="AN338" s="1132">
        <f>+AN$205/AN331</f>
        <v>8.050737023773645E-3</v>
      </c>
      <c r="AO338" s="1132">
        <f>+AO$205/AO331</f>
        <v>9.4553017129816973E-3</v>
      </c>
      <c r="AP338" s="1132">
        <f>+AP$205/AP331</f>
        <v>1.1848093302600449E-2</v>
      </c>
      <c r="AQ338" s="1117">
        <f>+AQ$205/AQ331</f>
        <v>8.9169427693531651E-3</v>
      </c>
      <c r="AR338" s="48"/>
      <c r="AS338" s="1131">
        <f>+AS$205/AS331</f>
        <v>1.6051722787973934E-2</v>
      </c>
      <c r="AT338" s="1132">
        <f>+AT$205/AT331</f>
        <v>1.6705691272379964E-2</v>
      </c>
      <c r="AU338" s="1132">
        <f>+AU$205/AU331</f>
        <v>1.7484004292463409E-2</v>
      </c>
      <c r="AV338" s="1132">
        <f>+AV$205/AV331</f>
        <v>1.6215984961745998E-2</v>
      </c>
      <c r="AW338" s="1117">
        <f>+AW$205/AW331</f>
        <v>1.6611568608399654E-2</v>
      </c>
      <c r="AX338" s="48"/>
      <c r="AY338" s="1131">
        <f>+AY$205/AY331</f>
        <v>2.3078798328061513E-2</v>
      </c>
      <c r="AZ338" s="1132">
        <f>+AZ$205/AZ331</f>
        <v>2.587803842428528E-2</v>
      </c>
      <c r="BA338" s="1132">
        <f>+BA$205/BA331</f>
        <v>2.914231136205658E-2</v>
      </c>
      <c r="BB338" s="1132">
        <f>+BB$205/BB331</f>
        <v>2.8822887097795034E-2</v>
      </c>
      <c r="BC338" s="1117">
        <f>+BC$205/BC331</f>
        <v>2.6807973439583549E-2</v>
      </c>
      <c r="BD338" s="48"/>
      <c r="BE338" s="1131">
        <f>+BE$205/BE331</f>
        <v>3.7617599507930061E-2</v>
      </c>
      <c r="BF338" s="1132">
        <f>+BF$205/BF331</f>
        <v>4.0874807763503593E-2</v>
      </c>
      <c r="BG338" s="1132">
        <f>+BG$205/BG331</f>
        <v>4.3633117300782953E-2</v>
      </c>
      <c r="BH338" s="1132">
        <f>+BH$205/BH331</f>
        <v>4.3705154245852966E-2</v>
      </c>
      <c r="BI338" s="1117">
        <f>+BI$205/BI331</f>
        <v>4.1565133981465302E-2</v>
      </c>
      <c r="BJ338" s="48"/>
      <c r="BK338" s="1131">
        <f>+BK$205/BK331</f>
        <v>5.0964979371274942E-2</v>
      </c>
      <c r="BL338" s="1132">
        <f>+BL$205/BL331</f>
        <v>5.4020641839479126E-2</v>
      </c>
      <c r="BM338" s="1132">
        <f>+BM$205/BM331</f>
        <v>5.7918405907616613E-2</v>
      </c>
      <c r="BN338" s="1132">
        <f>+BN$205/BN331</f>
        <v>5.9316173027447044E-2</v>
      </c>
      <c r="BO338" s="1117">
        <f>+BO$205/BO331</f>
        <v>5.5630735312114592E-2</v>
      </c>
      <c r="BP338" s="48"/>
      <c r="BQ338" s="1131">
        <f>+BQ$205/BQ331</f>
        <v>6.8596330796867652E-2</v>
      </c>
      <c r="BR338" s="1132">
        <f>+BR$205/BR331</f>
        <v>6.8597347252623814E-2</v>
      </c>
      <c r="BS338" s="1132">
        <f>+BS$205/BS331</f>
        <v>7.2981882470540965E-2</v>
      </c>
      <c r="BT338" s="1132">
        <f>+BT$205/BT331</f>
        <v>7.1851200731992707E-2</v>
      </c>
      <c r="BU338" s="1117">
        <f>+BU$205/BU331</f>
        <v>7.0542506981809139E-2</v>
      </c>
      <c r="BV338" s="48"/>
      <c r="BW338" s="1131">
        <f>+BW$205/BW331</f>
        <v>8.5821004662327643E-2</v>
      </c>
      <c r="BX338" s="1132">
        <f>+BX$205/BX331</f>
        <v>8.3402909081761789E-2</v>
      </c>
      <c r="BY338" s="1132">
        <f>+BY$205/BY331</f>
        <v>8.497050959847377E-2</v>
      </c>
      <c r="BZ338" s="1132">
        <f>+BZ$205/BZ331</f>
        <v>8.3293088416466626E-2</v>
      </c>
      <c r="CA338" s="1117">
        <f>+CA$205/CA331</f>
        <v>8.4313998567477455E-2</v>
      </c>
      <c r="CB338" s="48"/>
      <c r="CC338" s="1131">
        <f>+CC$205/CC331</f>
        <v>0.10229387144079549</v>
      </c>
      <c r="CD338" s="1132">
        <f>+CD$205/CD331</f>
        <v>9.8622759830687065E-2</v>
      </c>
      <c r="CE338" s="1132">
        <f>+CE$205/CE331</f>
        <v>0.10086677719492</v>
      </c>
      <c r="CF338" s="1132">
        <f>+CF$205/CF331</f>
        <v>0.10275948369635052</v>
      </c>
      <c r="CG338" s="1117">
        <f>+CG$205/CG331</f>
        <v>0.10113958396754136</v>
      </c>
      <c r="CH338" s="48"/>
      <c r="CI338" s="1131">
        <f>+CI$205/CI331</f>
        <v>0.11726877673510075</v>
      </c>
      <c r="CJ338" s="1132">
        <f>+CJ$205/CJ331</f>
        <v>0.11123916630927361</v>
      </c>
      <c r="CK338" s="1132">
        <f>+CK$205/CK331</f>
        <v>0.11224736407225661</v>
      </c>
      <c r="CL338" s="1132">
        <f>+CL$205/CL331</f>
        <v>0.11565733455033712</v>
      </c>
      <c r="CM338" s="1117">
        <f>+CM$205/CM331</f>
        <v>0.11401711778294885</v>
      </c>
      <c r="CN338" s="48"/>
      <c r="CO338" s="1131">
        <f>+CO$205/CO331</f>
        <v>0.12505921802795156</v>
      </c>
      <c r="CP338" s="1132">
        <f>+CP$205/CP331</f>
        <v>0.12204373063513464</v>
      </c>
      <c r="CQ338" s="1132">
        <f>+CQ$205/CQ331</f>
        <v>0.12391609124129906</v>
      </c>
      <c r="CR338" s="1132">
        <f>+CR$205/CR331</f>
        <v>0.12279682317428529</v>
      </c>
      <c r="CS338" s="1117">
        <f>+CS$205/CS331</f>
        <v>0.12340591410607372</v>
      </c>
      <c r="CT338" s="48"/>
      <c r="CU338" s="1131">
        <f>+CU$205/CU331</f>
        <v>0.13021479710166362</v>
      </c>
      <c r="CV338" s="1132">
        <f>+CV$205/CV331</f>
        <v>0.12739644226550542</v>
      </c>
      <c r="CW338" s="1132">
        <f>+CW$205/CW331</f>
        <v>0.12917041131026666</v>
      </c>
      <c r="CX338" s="1132">
        <f>+CX$205/CX331</f>
        <v>0.12742608076442086</v>
      </c>
      <c r="CY338" s="1117">
        <f>+CY$205/CY331</f>
        <v>0.12849576575747465</v>
      </c>
      <c r="CZ338" s="48"/>
      <c r="DD338" s="48"/>
      <c r="DE338" s="48"/>
      <c r="DF338" s="48"/>
      <c r="DG338" s="48"/>
      <c r="DH338" s="48"/>
      <c r="DI338" s="48"/>
      <c r="DJ338" s="48"/>
      <c r="DK338" s="48"/>
    </row>
    <row r="339" spans="1:115" x14ac:dyDescent="0.2">
      <c r="A339" s="205" t="s">
        <v>466</v>
      </c>
      <c r="B339" s="48"/>
      <c r="C339" s="1128"/>
      <c r="D339" s="1129"/>
      <c r="E339" s="1129"/>
      <c r="F339" s="1129"/>
      <c r="G339" s="1463"/>
      <c r="H339" s="592"/>
      <c r="I339" s="1128"/>
      <c r="J339" s="1129"/>
      <c r="K339" s="1129"/>
      <c r="L339" s="1129"/>
      <c r="M339" s="1463"/>
      <c r="N339" s="592"/>
      <c r="O339" s="1128"/>
      <c r="P339" s="1129"/>
      <c r="Q339" s="1129"/>
      <c r="R339" s="1129"/>
      <c r="S339" s="1463"/>
      <c r="T339" s="591"/>
      <c r="U339" s="1128"/>
      <c r="V339" s="1129"/>
      <c r="W339" s="1129"/>
      <c r="X339" s="1129"/>
      <c r="Y339" s="1463"/>
      <c r="Z339" s="593"/>
      <c r="AA339" s="1128"/>
      <c r="AB339" s="1129"/>
      <c r="AC339" s="1129"/>
      <c r="AD339" s="1129"/>
      <c r="AE339" s="1463"/>
      <c r="AF339" s="592"/>
      <c r="AG339" s="1128"/>
      <c r="AH339" s="1129"/>
      <c r="AI339" s="1129"/>
      <c r="AJ339" s="1129"/>
      <c r="AK339" s="1463"/>
      <c r="AL339" s="601"/>
      <c r="AM339" s="1131">
        <f>+AM$156/AM331</f>
        <v>0</v>
      </c>
      <c r="AN339" s="1132">
        <f>+AN$156/AN331</f>
        <v>0</v>
      </c>
      <c r="AO339" s="1132">
        <f>+AO$156/AO331</f>
        <v>0</v>
      </c>
      <c r="AP339" s="1132">
        <f>+AP$156/AP331</f>
        <v>0</v>
      </c>
      <c r="AQ339" s="1117">
        <f>+AQ$156/AQ331</f>
        <v>0</v>
      </c>
      <c r="AR339" s="48"/>
      <c r="AS339" s="1131">
        <f>+AS$156/AS331</f>
        <v>0</v>
      </c>
      <c r="AT339" s="1132">
        <f>+AT$156/AT331</f>
        <v>0</v>
      </c>
      <c r="AU339" s="1132">
        <f>+AU$156/AU331</f>
        <v>0</v>
      </c>
      <c r="AV339" s="1132">
        <f>+AV$156/AV331</f>
        <v>0</v>
      </c>
      <c r="AW339" s="1117">
        <f>+AW$156/AW331</f>
        <v>0</v>
      </c>
      <c r="AX339" s="48"/>
      <c r="AY339" s="1131">
        <f>+AY$156/AY331</f>
        <v>1.3417603036457238E-2</v>
      </c>
      <c r="AZ339" s="1132">
        <f>+AZ$156/AZ331</f>
        <v>1.324738029269746E-2</v>
      </c>
      <c r="BA339" s="1132">
        <f>+BA$156/BA331</f>
        <v>1.3220946224632263E-2</v>
      </c>
      <c r="BB339" s="1132">
        <f>+BB$156/BB331</f>
        <v>1.1744275974110518E-2</v>
      </c>
      <c r="BC339" s="1117">
        <f>+BC$156/BC331</f>
        <v>1.2869971579149833E-2</v>
      </c>
      <c r="BD339" s="48"/>
      <c r="BE339" s="1131">
        <f>+BE$156/BE331</f>
        <v>1.1103600142481395E-2</v>
      </c>
      <c r="BF339" s="1132">
        <f>+BF$156/BF331</f>
        <v>1.3440936384266055E-2</v>
      </c>
      <c r="BG339" s="1132">
        <f>+BG$156/BG331</f>
        <v>3.5970758475552943E-2</v>
      </c>
      <c r="BH339" s="1132">
        <f>+BH$156/BH331</f>
        <v>3.6879884780826058E-2</v>
      </c>
      <c r="BI339" s="1117">
        <f>+BI$156/BI331</f>
        <v>2.4907246551957227E-2</v>
      </c>
      <c r="BJ339" s="48"/>
      <c r="BK339" s="1131">
        <f>+BK$156/BK331</f>
        <v>3.1862696418919687E-2</v>
      </c>
      <c r="BL339" s="1132">
        <f>+BL$156/BL331</f>
        <v>2.8834055884282221E-2</v>
      </c>
      <c r="BM339" s="1132">
        <f>+BM$156/BM331</f>
        <v>4.1770650828060869E-2</v>
      </c>
      <c r="BN339" s="1132">
        <f>+BN$156/BN331</f>
        <v>4.1291789812688669E-2</v>
      </c>
      <c r="BO339" s="1117">
        <f>+BO$156/BO331</f>
        <v>3.6031703387167449E-2</v>
      </c>
      <c r="BP339" s="48"/>
      <c r="BQ339" s="1131">
        <f>+BQ$156/BQ331</f>
        <v>4.0669641518694198E-2</v>
      </c>
      <c r="BR339" s="1132">
        <f>+BR$156/BR331</f>
        <v>4.0162277478164782E-2</v>
      </c>
      <c r="BS339" s="1132">
        <f>+BS$156/BS331</f>
        <v>4.8402873423815392E-2</v>
      </c>
      <c r="BT339" s="1132">
        <f>+BT$156/BT331</f>
        <v>4.8112665296108068E-2</v>
      </c>
      <c r="BU339" s="1117">
        <f>+BU$156/BU331</f>
        <v>4.4428973086596386E-2</v>
      </c>
      <c r="BV339" s="48"/>
      <c r="BW339" s="1131">
        <f>+BW$156/BW331</f>
        <v>4.478209358624935E-2</v>
      </c>
      <c r="BX339" s="1132">
        <f>+BX$156/BX331</f>
        <v>4.3912749688873869E-2</v>
      </c>
      <c r="BY339" s="1132">
        <f>+BY$156/BY331</f>
        <v>5.0741724052138885E-2</v>
      </c>
      <c r="BZ339" s="1132">
        <f>+BZ$156/BZ331</f>
        <v>5.181003556074025E-2</v>
      </c>
      <c r="CA339" s="1117">
        <f>+CA$156/CA331</f>
        <v>4.7995353218111436E-2</v>
      </c>
      <c r="CB339" s="48"/>
      <c r="CC339" s="1131">
        <f>+CC$156/CC331</f>
        <v>6.0739441182650879E-2</v>
      </c>
      <c r="CD339" s="1132">
        <f>+CD$156/CD331</f>
        <v>6.085873918153422E-2</v>
      </c>
      <c r="CE339" s="1132">
        <f>+CE$156/CE331</f>
        <v>6.8170836192706447E-2</v>
      </c>
      <c r="CF339" s="1132">
        <f>+CF$156/CF331</f>
        <v>7.0256578691054658E-2</v>
      </c>
      <c r="CG339" s="1117">
        <f>+CG$156/CG331</f>
        <v>6.5289250140889168E-2</v>
      </c>
      <c r="CH339" s="48"/>
      <c r="CI339" s="1131">
        <f>+CI$156/CI331</f>
        <v>6.5863857470746065E-2</v>
      </c>
      <c r="CJ339" s="1132">
        <f>+CJ$156/CJ331</f>
        <v>6.5286387937377552E-2</v>
      </c>
      <c r="CK339" s="1132">
        <f>+CK$156/CK331</f>
        <v>7.2721278575874765E-2</v>
      </c>
      <c r="CL339" s="1132">
        <f>+CL$156/CL331</f>
        <v>7.6373615133251332E-2</v>
      </c>
      <c r="CM339" s="1117">
        <f>+CM$156/CM331</f>
        <v>7.0306986911636296E-2</v>
      </c>
      <c r="CN339" s="48"/>
      <c r="CO339" s="1131">
        <f>+CO$156/CO331</f>
        <v>6.8432794393106677E-2</v>
      </c>
      <c r="CP339" s="1132">
        <f>+CP$156/CP331</f>
        <v>7.0241191275098827E-2</v>
      </c>
      <c r="CQ339" s="1132">
        <f>+CQ$156/CQ331</f>
        <v>7.9238272548092237E-2</v>
      </c>
      <c r="CR339" s="1132">
        <f>+CR$156/CR331</f>
        <v>8.0519950090721742E-2</v>
      </c>
      <c r="CS339" s="1117">
        <f>+CS$156/CS331</f>
        <v>7.4888136197513139E-2</v>
      </c>
      <c r="CT339" s="48"/>
      <c r="CU339" s="1131">
        <f>+CU$156/CU331</f>
        <v>7.1085302055283392E-2</v>
      </c>
      <c r="CV339" s="1132">
        <f>+CV$156/CV331</f>
        <v>7.3410807512153675E-2</v>
      </c>
      <c r="CW339" s="1132">
        <f>+CW$156/CW331</f>
        <v>8.3000212299051579E-2</v>
      </c>
      <c r="CX339" s="1132">
        <f>+CX$156/CX331</f>
        <v>8.4249497675964763E-2</v>
      </c>
      <c r="CY339" s="1117">
        <f>+CY$156/CY331</f>
        <v>7.82272906033189E-2</v>
      </c>
      <c r="CZ339" s="48"/>
      <c r="DD339" s="48"/>
      <c r="DE339" s="48"/>
      <c r="DF339" s="48"/>
      <c r="DG339" s="48"/>
      <c r="DH339" s="48"/>
      <c r="DI339" s="48"/>
      <c r="DJ339" s="48"/>
      <c r="DK339" s="48"/>
    </row>
    <row r="340" spans="1:115" x14ac:dyDescent="0.2">
      <c r="A340" s="205" t="s">
        <v>467</v>
      </c>
      <c r="B340" s="48"/>
      <c r="C340" s="1128"/>
      <c r="D340" s="1129"/>
      <c r="E340" s="1129"/>
      <c r="F340" s="1129"/>
      <c r="G340" s="1463"/>
      <c r="H340" s="592"/>
      <c r="I340" s="1128"/>
      <c r="J340" s="1129"/>
      <c r="K340" s="1129"/>
      <c r="L340" s="1129"/>
      <c r="M340" s="1463"/>
      <c r="N340" s="592"/>
      <c r="O340" s="1128"/>
      <c r="P340" s="1129"/>
      <c r="Q340" s="1129"/>
      <c r="R340" s="1129"/>
      <c r="S340" s="1463"/>
      <c r="T340" s="591"/>
      <c r="U340" s="1128"/>
      <c r="V340" s="1129"/>
      <c r="W340" s="1129"/>
      <c r="X340" s="1129"/>
      <c r="Y340" s="1463"/>
      <c r="Z340" s="593"/>
      <c r="AA340" s="1128"/>
      <c r="AB340" s="1129"/>
      <c r="AC340" s="1129"/>
      <c r="AD340" s="1129"/>
      <c r="AE340" s="1463"/>
      <c r="AF340" s="592"/>
      <c r="AG340" s="1128"/>
      <c r="AH340" s="1129"/>
      <c r="AI340" s="1129"/>
      <c r="AJ340" s="1129"/>
      <c r="AK340" s="1463"/>
      <c r="AL340" s="601"/>
      <c r="AM340" s="1131">
        <f>+AM$255/AM331</f>
        <v>0</v>
      </c>
      <c r="AN340" s="1132">
        <f>+AN$255/AN331</f>
        <v>0</v>
      </c>
      <c r="AO340" s="1132">
        <f>+AO$255/AO331</f>
        <v>0</v>
      </c>
      <c r="AP340" s="1132">
        <f>+AP$255/AP331</f>
        <v>0</v>
      </c>
      <c r="AQ340" s="1117">
        <f>+AQ$255/AQ331</f>
        <v>0</v>
      </c>
      <c r="AR340" s="48"/>
      <c r="AS340" s="1131">
        <f>+AS$255/AS331</f>
        <v>0</v>
      </c>
      <c r="AT340" s="1132">
        <f>+AT$255/AT331</f>
        <v>0</v>
      </c>
      <c r="AU340" s="1132">
        <f>+AU$255/AU331</f>
        <v>0</v>
      </c>
      <c r="AV340" s="1132">
        <f>+AV$255/AV331</f>
        <v>0</v>
      </c>
      <c r="AW340" s="1117">
        <f>+AW$255/AW331</f>
        <v>0</v>
      </c>
      <c r="AX340" s="48"/>
      <c r="AY340" s="1131">
        <f>+AY$255/AY331</f>
        <v>2.3960005422245068E-2</v>
      </c>
      <c r="AZ340" s="1132">
        <f>+AZ$255/AZ331</f>
        <v>2.3656036236959749E-2</v>
      </c>
      <c r="BA340" s="1132">
        <f>+BA$255/BA331</f>
        <v>2.3608832543986182E-2</v>
      </c>
      <c r="BB340" s="1132">
        <f>+BB$255/BB331</f>
        <v>2.0971921382340209E-2</v>
      </c>
      <c r="BC340" s="1117">
        <f>+BC$255/BC331</f>
        <v>2.2982092105624703E-2</v>
      </c>
      <c r="BD340" s="48"/>
      <c r="BE340" s="1131">
        <f>+BE$255/BE331</f>
        <v>2.5908400332456588E-2</v>
      </c>
      <c r="BF340" s="1132">
        <f>+BF$255/BF331</f>
        <v>2.7971678421310441E-2</v>
      </c>
      <c r="BG340" s="1132">
        <f>+BG$255/BG331</f>
        <v>2.9724129198822783E-2</v>
      </c>
      <c r="BH340" s="1132">
        <f>+BH$255/BH331</f>
        <v>3.2595404253244885E-2</v>
      </c>
      <c r="BI340" s="1117">
        <f>+BI$255/BI331</f>
        <v>2.9183063499576178E-2</v>
      </c>
      <c r="BJ340" s="48"/>
      <c r="BK340" s="1131">
        <f>+BK$255/BK331</f>
        <v>4.0713445424175154E-2</v>
      </c>
      <c r="BL340" s="1132">
        <f>+BL$255/BL331</f>
        <v>3.9452663253748285E-2</v>
      </c>
      <c r="BM340" s="1132">
        <f>+BM$255/BM331</f>
        <v>3.9252014968056199E-2</v>
      </c>
      <c r="BN340" s="1132">
        <f>+BN$255/BN331</f>
        <v>5.1141545279734357E-2</v>
      </c>
      <c r="BO340" s="1117">
        <f>+BO$255/BO331</f>
        <v>4.2734695013421767E-2</v>
      </c>
      <c r="BP340" s="48"/>
      <c r="BQ340" s="1131">
        <f>+BQ$255/BQ331</f>
        <v>5.7985250107825743E-2</v>
      </c>
      <c r="BR340" s="1132">
        <f>+BR$255/BR331</f>
        <v>6.2999642571713824E-2</v>
      </c>
      <c r="BS340" s="1132">
        <f>+BS$255/BS331</f>
        <v>6.285534150915012E-2</v>
      </c>
      <c r="BT340" s="1132">
        <f>+BT$255/BT331</f>
        <v>7.7226118269831182E-2</v>
      </c>
      <c r="BU340" s="1117">
        <f>+BU$255/BU331</f>
        <v>6.5589600413026486E-2</v>
      </c>
      <c r="BV340" s="48"/>
      <c r="BW340" s="1131">
        <f>+BW$255/BW331</f>
        <v>7.5268414918287077E-2</v>
      </c>
      <c r="BX340" s="1132">
        <f>+BX$255/BX331</f>
        <v>7.058866208545099E-2</v>
      </c>
      <c r="BY340" s="1132">
        <f>+BY$255/BY331</f>
        <v>6.8627434317219252E-2</v>
      </c>
      <c r="BZ340" s="1132">
        <f>+BZ$255/BZ331</f>
        <v>8.3137057112102022E-2</v>
      </c>
      <c r="CA340" s="1117">
        <f>+CA$255/CA331</f>
        <v>7.4554934486301461E-2</v>
      </c>
      <c r="CB340" s="48"/>
      <c r="CC340" s="1131">
        <f>+CC$255/CC331</f>
        <v>9.1392466952310722E-2</v>
      </c>
      <c r="CD340" s="1132">
        <f>+CD$255/CD331</f>
        <v>8.552890161928578E-2</v>
      </c>
      <c r="CE340" s="1132">
        <f>+CE$255/CE331</f>
        <v>8.4852826606393927E-2</v>
      </c>
      <c r="CF340" s="1132">
        <f>+CF$255/CF331</f>
        <v>0.103407154243743</v>
      </c>
      <c r="CG340" s="1117">
        <f>+CG$255/CG331</f>
        <v>9.1525600760276618E-2</v>
      </c>
      <c r="CH340" s="48"/>
      <c r="CI340" s="1131">
        <f>+CI$255/CI331</f>
        <v>0.11221300573578155</v>
      </c>
      <c r="CJ340" s="1132">
        <f>+CJ$255/CJ331</f>
        <v>0.10274426928129884</v>
      </c>
      <c r="CK340" s="1132">
        <f>+CK$255/CK331</f>
        <v>0.1006903358967786</v>
      </c>
      <c r="CL340" s="1132">
        <f>+CL$255/CL331</f>
        <v>0.12240951076011193</v>
      </c>
      <c r="CM340" s="1117">
        <f>+CM$255/CM331</f>
        <v>0.10956890170587652</v>
      </c>
      <c r="CN340" s="48"/>
      <c r="CO340" s="1131">
        <f>+CO$255/CO331</f>
        <v>0.12653043174288359</v>
      </c>
      <c r="CP340" s="1132">
        <f>+CP$255/CP331</f>
        <v>0.12004567738774478</v>
      </c>
      <c r="CQ340" s="1132">
        <f>+CQ$255/CQ331</f>
        <v>0.11946287222654185</v>
      </c>
      <c r="CR340" s="1132">
        <f>+CR$255/CR331</f>
        <v>0.13895302174134955</v>
      </c>
      <c r="CS340" s="1117">
        <f>+CS$255/CS331</f>
        <v>0.12647991902464303</v>
      </c>
      <c r="CT340" s="48"/>
      <c r="CU340" s="1131">
        <f>+CU$255/CU331</f>
        <v>0.14275919734477518</v>
      </c>
      <c r="CV340" s="1132">
        <f>+CV$255/CV331</f>
        <v>0.13578666700816006</v>
      </c>
      <c r="CW340" s="1132">
        <f>+CW$255/CW331</f>
        <v>0.13521052506231915</v>
      </c>
      <c r="CX340" s="1132">
        <f>+CX$255/CX331</f>
        <v>0.15514415552283534</v>
      </c>
      <c r="CY340" s="1117">
        <f>+CY$255/CY331</f>
        <v>0.14245558512811562</v>
      </c>
      <c r="CZ340" s="48"/>
      <c r="DD340" s="48"/>
      <c r="DE340" s="48"/>
      <c r="DF340" s="48"/>
      <c r="DG340" s="48"/>
      <c r="DH340" s="48"/>
      <c r="DI340" s="48"/>
      <c r="DJ340" s="48"/>
      <c r="DK340" s="48"/>
    </row>
    <row r="341" spans="1:115" x14ac:dyDescent="0.2">
      <c r="A341" s="205" t="s">
        <v>468</v>
      </c>
      <c r="B341" s="48"/>
      <c r="C341" s="1128"/>
      <c r="D341" s="1129"/>
      <c r="E341" s="1129"/>
      <c r="F341" s="1129"/>
      <c r="G341" s="1463"/>
      <c r="H341" s="592"/>
      <c r="I341" s="1128"/>
      <c r="J341" s="1129"/>
      <c r="K341" s="1129"/>
      <c r="L341" s="1129"/>
      <c r="M341" s="1463"/>
      <c r="N341" s="592"/>
      <c r="O341" s="1128"/>
      <c r="P341" s="1129"/>
      <c r="Q341" s="1129"/>
      <c r="R341" s="1129"/>
      <c r="S341" s="1463"/>
      <c r="T341" s="591"/>
      <c r="U341" s="1128"/>
      <c r="V341" s="1129"/>
      <c r="W341" s="1129"/>
      <c r="X341" s="1129"/>
      <c r="Y341" s="1463"/>
      <c r="Z341" s="593"/>
      <c r="AA341" s="1128"/>
      <c r="AB341" s="1129"/>
      <c r="AC341" s="1129"/>
      <c r="AD341" s="1129"/>
      <c r="AE341" s="1463"/>
      <c r="AF341" s="592"/>
      <c r="AG341" s="1128"/>
      <c r="AH341" s="1129"/>
      <c r="AI341" s="1129"/>
      <c r="AJ341" s="1129"/>
      <c r="AK341" s="1463"/>
      <c r="AL341" s="601"/>
      <c r="AM341" s="1131">
        <f>+AM$294/AM331</f>
        <v>0</v>
      </c>
      <c r="AN341" s="1132">
        <f>+AN$294/AN331</f>
        <v>0</v>
      </c>
      <c r="AO341" s="1132">
        <f>+AO$294/AO331</f>
        <v>0</v>
      </c>
      <c r="AP341" s="1132">
        <f>+AP$294/AP331</f>
        <v>0</v>
      </c>
      <c r="AQ341" s="1117">
        <f>+AQ$294/AQ331</f>
        <v>0</v>
      </c>
      <c r="AR341" s="48"/>
      <c r="AS341" s="1131">
        <f>+AS$294/AS331</f>
        <v>0</v>
      </c>
      <c r="AT341" s="1132">
        <f>+AT$294/AT331</f>
        <v>0</v>
      </c>
      <c r="AU341" s="1132">
        <f>+AU$294/AU331</f>
        <v>0</v>
      </c>
      <c r="AV341" s="1132">
        <f>+AV$294/AV331</f>
        <v>0</v>
      </c>
      <c r="AW341" s="1117">
        <f>+AW$294/AW331</f>
        <v>0</v>
      </c>
      <c r="AX341" s="48"/>
      <c r="AY341" s="1131">
        <f>+AY$294/AY331</f>
        <v>6.5090947665452942E-3</v>
      </c>
      <c r="AZ341" s="1132">
        <f>+AZ$294/AZ331</f>
        <v>6.4265169791757329E-3</v>
      </c>
      <c r="BA341" s="1132">
        <f>+BA$294/BA331</f>
        <v>6.4136933881338634E-3</v>
      </c>
      <c r="BB341" s="1132">
        <f>+BB$294/BB331</f>
        <v>3.9546713003092348E-3</v>
      </c>
      <c r="BC341" s="1117">
        <f>+BC$294/BC331</f>
        <v>5.7660046668907084E-3</v>
      </c>
      <c r="BD341" s="48"/>
      <c r="BE341" s="1131">
        <f>+BE$294/BE331</f>
        <v>8.063291310401486E-3</v>
      </c>
      <c r="BF341" s="1132">
        <f>+BF$294/BF331</f>
        <v>7.9140281866365309E-3</v>
      </c>
      <c r="BG341" s="1132">
        <f>+BG$294/BG331</f>
        <v>7.645317419074333E-3</v>
      </c>
      <c r="BH341" s="1132">
        <f>+BH$294/BH331</f>
        <v>8.3669362532795069E-3</v>
      </c>
      <c r="BI341" s="1117">
        <f>+BI$294/BI331</f>
        <v>8.005940198830391E-3</v>
      </c>
      <c r="BJ341" s="48"/>
      <c r="BK341" s="1131">
        <f>+BK$294/BK331</f>
        <v>1.2776955425185204E-2</v>
      </c>
      <c r="BL341" s="1132">
        <f>+BL$294/BL331</f>
        <v>1.238128865160266E-2</v>
      </c>
      <c r="BM341" s="1132">
        <f>+BM$294/BM331</f>
        <v>1.231831991545867E-2</v>
      </c>
      <c r="BN341" s="1132">
        <f>+BN$294/BN331</f>
        <v>1.3134914036011563E-2</v>
      </c>
      <c r="BO341" s="1117">
        <f>+BO$294/BO331</f>
        <v>1.2656261976398277E-2</v>
      </c>
      <c r="BP341" s="48"/>
      <c r="BQ341" s="1131">
        <f>+BQ$294/BQ331</f>
        <v>1.7045454545454544E-2</v>
      </c>
      <c r="BR341" s="1132">
        <f>+BR$294/BR331</f>
        <v>2.0454545454545454E-2</v>
      </c>
      <c r="BS341" s="1132">
        <f>+BS$294/BS331</f>
        <v>2.1011614544583151E-2</v>
      </c>
      <c r="BT341" s="1132">
        <f>+BT$294/BT331</f>
        <v>1.9081040522983133E-2</v>
      </c>
      <c r="BU341" s="1117">
        <f>+BU$294/BU331</f>
        <v>1.9420848796788102E-2</v>
      </c>
      <c r="BV341" s="48"/>
      <c r="BW341" s="1131">
        <f>+BW$294/BW331</f>
        <v>2.0258553886501093E-2</v>
      </c>
      <c r="BX341" s="1132">
        <f>+BX$294/BX331</f>
        <v>2.1441170666884272E-2</v>
      </c>
      <c r="BY341" s="1132">
        <f>+BY$294/BY331</f>
        <v>2.3518009879440152E-2</v>
      </c>
      <c r="BZ341" s="1132">
        <f>+BZ$294/BZ331</f>
        <v>2.3694550563075539E-2</v>
      </c>
      <c r="CA341" s="1117">
        <f>+CA$294/CA331</f>
        <v>2.2317999888195751E-2</v>
      </c>
      <c r="CB341" s="48"/>
      <c r="CC341" s="1131">
        <f>+CC$294/CC331</f>
        <v>2.3834225727207552E-2</v>
      </c>
      <c r="CD341" s="1132">
        <f>+CD$294/CD331</f>
        <v>2.4182776275313286E-2</v>
      </c>
      <c r="CE341" s="1132">
        <f>+CE$294/CE331</f>
        <v>2.1561931551391206E-2</v>
      </c>
      <c r="CF341" s="1132">
        <f>+CF$294/CF331</f>
        <v>2.1407240676432012E-2</v>
      </c>
      <c r="CG341" s="1117">
        <f>+CG$294/CG331</f>
        <v>2.2670663766917398E-2</v>
      </c>
      <c r="CH341" s="48"/>
      <c r="CI341" s="1131">
        <f>+CI$294/CI331</f>
        <v>2.212803226296094E-2</v>
      </c>
      <c r="CJ341" s="1132">
        <f>+CJ$294/CJ331</f>
        <v>2.3096375117162258E-2</v>
      </c>
      <c r="CK341" s="1132">
        <f>+CK$294/CK331</f>
        <v>2.3401600216553752E-2</v>
      </c>
      <c r="CL341" s="1132">
        <f>+CL$294/CL331</f>
        <v>2.4217019039261538E-2</v>
      </c>
      <c r="CM341" s="1117">
        <f>+CM$294/CM331</f>
        <v>2.3260913306690344E-2</v>
      </c>
      <c r="CN341" s="48"/>
      <c r="CO341" s="1131">
        <f>+CO$294/CO331</f>
        <v>3.6820993332735835E-2</v>
      </c>
      <c r="CP341" s="1132">
        <f>+CP$294/CP331</f>
        <v>3.1357646815336752E-2</v>
      </c>
      <c r="CQ341" s="1132">
        <f>+CQ$294/CQ331</f>
        <v>3.1686527593373974E-2</v>
      </c>
      <c r="CR341" s="1132">
        <f>+CR$294/CR331</f>
        <v>2.5377840938202719E-2</v>
      </c>
      <c r="CS341" s="1117">
        <f>+CS$294/CS331</f>
        <v>3.1064568254269769E-2</v>
      </c>
      <c r="CT341" s="48"/>
      <c r="CU341" s="1131">
        <f>+CU$294/CU331</f>
        <v>4.4584496920621816E-2</v>
      </c>
      <c r="CV341" s="1132">
        <f>+CV$294/CV331</f>
        <v>4.1144309080769409E-2</v>
      </c>
      <c r="CW341" s="1132">
        <f>+CW$294/CW331</f>
        <v>4.1313951641500604E-2</v>
      </c>
      <c r="CX341" s="1132">
        <f>+CX$294/CX331</f>
        <v>3.6028666914896722E-2</v>
      </c>
      <c r="CY341" s="1117">
        <f>+CY$294/CY331</f>
        <v>4.0591878447721996E-2</v>
      </c>
      <c r="CZ341" s="48"/>
      <c r="DD341" s="48"/>
      <c r="DE341" s="48"/>
      <c r="DF341" s="48"/>
      <c r="DG341" s="48"/>
      <c r="DH341" s="48"/>
      <c r="DI341" s="48"/>
      <c r="DJ341" s="48"/>
      <c r="DK341" s="48"/>
    </row>
    <row r="342" spans="1:115" x14ac:dyDescent="0.2">
      <c r="A342" s="1161" t="s">
        <v>566</v>
      </c>
      <c r="B342" s="1162"/>
      <c r="C342" s="1163"/>
      <c r="D342" s="1163"/>
      <c r="E342" s="1163"/>
      <c r="F342" s="1163"/>
      <c r="G342" s="1164"/>
      <c r="H342" s="1165"/>
      <c r="I342" s="1166"/>
      <c r="J342" s="1163"/>
      <c r="K342" s="1163"/>
      <c r="L342" s="1163"/>
      <c r="M342" s="1164"/>
      <c r="N342" s="1165"/>
      <c r="O342" s="1166"/>
      <c r="P342" s="1163"/>
      <c r="Q342" s="1163"/>
      <c r="R342" s="1163"/>
      <c r="S342" s="1164"/>
      <c r="T342" s="1163"/>
      <c r="U342" s="1166"/>
      <c r="V342" s="1163"/>
      <c r="W342" s="1163"/>
      <c r="X342" s="1163"/>
      <c r="Y342" s="1164"/>
      <c r="Z342" s="1167"/>
      <c r="AA342" s="1168"/>
      <c r="AB342" s="1169"/>
      <c r="AC342" s="1169"/>
      <c r="AD342" s="1170"/>
      <c r="AE342" s="1171"/>
      <c r="AF342" s="1165"/>
      <c r="AG342" s="1172"/>
      <c r="AH342" s="1173"/>
      <c r="AI342" s="1173"/>
      <c r="AJ342" s="1174"/>
      <c r="AK342" s="1171"/>
      <c r="AL342" s="1175"/>
      <c r="AM342" s="1176"/>
      <c r="AN342" s="1177"/>
      <c r="AO342" s="1177"/>
      <c r="AP342" s="1177"/>
      <c r="AQ342" s="1171"/>
      <c r="AR342" s="1178"/>
      <c r="AS342" s="1172"/>
      <c r="AT342" s="1173"/>
      <c r="AU342" s="1173"/>
      <c r="AV342" s="1173"/>
      <c r="AW342" s="1171"/>
      <c r="AX342" s="1173"/>
      <c r="AY342" s="1172"/>
      <c r="AZ342" s="1173"/>
      <c r="BA342" s="1173"/>
      <c r="BB342" s="1173"/>
      <c r="BC342" s="1171"/>
      <c r="BD342" s="1178"/>
      <c r="BE342" s="1172"/>
      <c r="BF342" s="1173"/>
      <c r="BG342" s="1173"/>
      <c r="BH342" s="1173"/>
      <c r="BI342" s="1171"/>
      <c r="BJ342" s="1179"/>
      <c r="BK342" s="1180"/>
      <c r="BL342" s="1173"/>
      <c r="BM342" s="1173"/>
      <c r="BN342" s="1173"/>
      <c r="BO342" s="1171"/>
      <c r="BP342" s="1178"/>
      <c r="BQ342" s="1172"/>
      <c r="BR342" s="1173"/>
      <c r="BS342" s="1173"/>
      <c r="BT342" s="1173"/>
      <c r="BU342" s="1171"/>
      <c r="BV342" s="1178"/>
      <c r="BW342" s="1172"/>
      <c r="BX342" s="1173"/>
      <c r="BY342" s="1173"/>
      <c r="BZ342" s="1173"/>
      <c r="CA342" s="1171"/>
      <c r="CB342" s="1178"/>
      <c r="CC342" s="1172"/>
      <c r="CD342" s="1173"/>
      <c r="CE342" s="1173"/>
      <c r="CF342" s="1173"/>
      <c r="CG342" s="1171"/>
      <c r="CH342" s="1178"/>
      <c r="CI342" s="1172"/>
      <c r="CJ342" s="1173"/>
      <c r="CK342" s="1173"/>
      <c r="CL342" s="1173"/>
      <c r="CM342" s="1171"/>
      <c r="CN342" s="1178"/>
      <c r="CO342" s="1172"/>
      <c r="CP342" s="1173"/>
      <c r="CQ342" s="1173"/>
      <c r="CR342" s="1173"/>
      <c r="CS342" s="1171"/>
      <c r="CT342" s="1178"/>
      <c r="CU342" s="1172"/>
      <c r="CV342" s="1173"/>
      <c r="CW342" s="1173"/>
      <c r="CX342" s="1173"/>
      <c r="CY342" s="1171"/>
      <c r="CZ342" s="48"/>
      <c r="DD342" s="48"/>
      <c r="DE342" s="48"/>
      <c r="DF342" s="48"/>
      <c r="DG342" s="48"/>
      <c r="DH342" s="48"/>
      <c r="DI342" s="48"/>
      <c r="DJ342" s="48"/>
      <c r="DK342" s="48"/>
    </row>
    <row r="343" spans="1:115" x14ac:dyDescent="0.2">
      <c r="A343" s="354" t="s">
        <v>529</v>
      </c>
      <c r="B343" s="48"/>
      <c r="C343" s="1128"/>
      <c r="D343" s="1129"/>
      <c r="E343" s="1129"/>
      <c r="F343" s="1129"/>
      <c r="G343" s="1463"/>
      <c r="H343" s="592"/>
      <c r="I343" s="1128"/>
      <c r="J343" s="1129"/>
      <c r="K343" s="1129"/>
      <c r="L343" s="1129"/>
      <c r="M343" s="1463"/>
      <c r="N343" s="592"/>
      <c r="O343" s="1128"/>
      <c r="P343" s="1129"/>
      <c r="Q343" s="1129"/>
      <c r="R343" s="1129"/>
      <c r="S343" s="1463"/>
      <c r="T343" s="591"/>
      <c r="U343" s="1128"/>
      <c r="V343" s="1129"/>
      <c r="W343" s="1129"/>
      <c r="X343" s="1129"/>
      <c r="Y343" s="1463"/>
      <c r="Z343" s="593"/>
      <c r="AA343" s="1128"/>
      <c r="AB343" s="1129"/>
      <c r="AC343" s="1129"/>
      <c r="AD343" s="1129"/>
      <c r="AE343" s="1463"/>
      <c r="AF343" s="592"/>
      <c r="AG343" s="656">
        <f>+AG354-AG295-AG256-AG206-AG157-AG92-AG42</f>
        <v>23.802630000000001</v>
      </c>
      <c r="AH343" s="654">
        <f>+AH354-AH295-AH256-AH206-AH157-AH92-AH42</f>
        <v>33.121839999999999</v>
      </c>
      <c r="AI343" s="654">
        <f>+AI354-AI295-AI256-AI206-AI157-AI92-AI42</f>
        <v>35.852260000000001</v>
      </c>
      <c r="AJ343" s="654">
        <f>+AJ354-AJ295-AJ256-AJ206-AJ157-AJ92-AJ42</f>
        <v>39.970780000000019</v>
      </c>
      <c r="AK343" s="655">
        <f>+AK354-AK295-AK256-AK206-AK157-AK92-AK42</f>
        <v>132.74751000000003</v>
      </c>
      <c r="AL343" s="601"/>
      <c r="AM343" s="656">
        <f>+AM354-AM295-AM256-AM206-AM157-AM92-AM42</f>
        <v>35.729709999999997</v>
      </c>
      <c r="AN343" s="654">
        <f>+AN354-AN295-AN256-AN206-AN157-AN92-AN42</f>
        <v>35.114895000000004</v>
      </c>
      <c r="AO343" s="654">
        <f>+AO354-AO295-AO256-AO206-AO157-AO92-AO42</f>
        <v>31.002414999999999</v>
      </c>
      <c r="AP343" s="654">
        <f>+AP354-AP295-AP256-AP206-AP157-AP92-AP42</f>
        <v>40.667300000000004</v>
      </c>
      <c r="AQ343" s="655">
        <f>+AQ354-AQ295-AQ256-AQ206-AQ157-AQ92-AQ42</f>
        <v>142.51432</v>
      </c>
      <c r="AR343" s="48"/>
      <c r="AS343" s="656">
        <f>+AS354-AS295-AS256-AS206-AS157-AS92-AS42</f>
        <v>31.311799999999998</v>
      </c>
      <c r="AT343" s="654">
        <f>+AT354-AT295-AT256-AT206-AT157-AT92-AT42</f>
        <v>33.461240000000004</v>
      </c>
      <c r="AU343" s="654">
        <f>+AU354-AU295-AU256-AU206-AU157-AU92-AU42</f>
        <v>36.488383333333331</v>
      </c>
      <c r="AV343" s="654">
        <f>+AV354-AV295-AV256-AV206-AV157-AV92-AV42</f>
        <v>49.451888888888902</v>
      </c>
      <c r="AW343" s="655">
        <f>+AW354-AW295-AW256-AW206-AW157-AW92-AW42</f>
        <v>150.71331222222221</v>
      </c>
      <c r="AX343" s="592"/>
      <c r="AY343" s="656">
        <f>+AY354-AY295-AY256-AY206-AY157-AY92-AY42</f>
        <v>33.09142831854389</v>
      </c>
      <c r="AZ343" s="654">
        <f>+AZ354-AZ295-AZ256-AZ206-AZ157-AZ92-AZ42</f>
        <v>40.638008867271253</v>
      </c>
      <c r="BA343" s="654">
        <f>+BA354-BA295-BA256-BA206-BA157-BA92-BA42</f>
        <v>37.174264359347141</v>
      </c>
      <c r="BB343" s="654">
        <f>+BB354-BB295-BB256-BB206-BB157-BB92-BB42</f>
        <v>46.023935176125825</v>
      </c>
      <c r="BC343" s="655">
        <f>+BC354-BC295-BC256-BC206-BC157-BC92-BC42</f>
        <v>156.92763672128811</v>
      </c>
      <c r="BD343" s="601"/>
      <c r="BE343" s="656">
        <f>+BE354-BE295-BE256-BE206-BE157-BE92-BE42</f>
        <v>30.466564502720875</v>
      </c>
      <c r="BF343" s="654">
        <f>+BF354-BF295-BF256-BF206-BF157-BF92-BF42</f>
        <v>38.317193711231177</v>
      </c>
      <c r="BG343" s="654">
        <f>+BG354-BG295-BG256-BG206-BG157-BG92-BG42</f>
        <v>36.043683772292631</v>
      </c>
      <c r="BH343" s="654">
        <f>+BH354-BH295-BH256-BH206-BH157-BH92-BH42</f>
        <v>47.815247724856135</v>
      </c>
      <c r="BI343" s="655">
        <f>+BI354-BI295-BI256-BI206-BI157-BI92-BI42</f>
        <v>152.64268971110079</v>
      </c>
      <c r="BJ343" s="601"/>
      <c r="BK343" s="656">
        <f>+BK354-BK295-BK256-BK206-BK157-BK92-BK42</f>
        <v>32.580251219427439</v>
      </c>
      <c r="BL343" s="654">
        <f>+BL354-BL295-BL256-BL206-BL157-BL92-BL42</f>
        <v>37.479905464555216</v>
      </c>
      <c r="BM343" s="654">
        <f>+BM354-BM295-BM256-BM206-BM157-BM92-BM42</f>
        <v>41.527545784237489</v>
      </c>
      <c r="BN343" s="654">
        <f>+BN354-BN295-BN256-BN206-BN157-BN92-BN42</f>
        <v>55.485183060431545</v>
      </c>
      <c r="BO343" s="655">
        <f>+BO354-BO295-BO256-BO206-BO157-BO92-BO42</f>
        <v>167.07288552865171</v>
      </c>
      <c r="BP343" s="601"/>
      <c r="BQ343" s="656">
        <f>+BQ354-BQ295-BQ256-BQ206-BQ157-BQ92-BQ42</f>
        <v>33.805113657961613</v>
      </c>
      <c r="BR343" s="654">
        <f>+BR354-BR295-BR256-BR206-BR157-BR92-BR42</f>
        <v>36.37519705055503</v>
      </c>
      <c r="BS343" s="654">
        <f>+BS354-BS295-BS256-BS206-BS157-BS92-BS42</f>
        <v>39.090183943760614</v>
      </c>
      <c r="BT343" s="654">
        <f>+BT354-BT295-BT256-BT206-BT157-BT92-BT42</f>
        <v>47.667841174747124</v>
      </c>
      <c r="BU343" s="655">
        <f>+BU354-BU295-BU256-BU206-BU157-BU92-BU42</f>
        <v>156.93833582702439</v>
      </c>
      <c r="BV343" s="601"/>
      <c r="BW343" s="656">
        <f>+BW354-BW295-BW256-BW206-BW157-BW92-BW42</f>
        <v>34.120719310928415</v>
      </c>
      <c r="BX343" s="654">
        <f>+BX354-BX295-BX256-BX206-BX157-BX92-BX42</f>
        <v>40.710011709757509</v>
      </c>
      <c r="BY343" s="654">
        <f>+BY354-BY295-BY256-BY206-BY157-BY92-BY42</f>
        <v>38.423962581589478</v>
      </c>
      <c r="BZ343" s="654">
        <f>+BZ354-BZ295-BZ256-BZ206-BZ157-BZ92-BZ42</f>
        <v>44.891130915866512</v>
      </c>
      <c r="CA343" s="655">
        <f>+SUM(BW343:BZ343)</f>
        <v>158.14582451814192</v>
      </c>
      <c r="CB343" s="601"/>
      <c r="CC343" s="656">
        <f>+CC354-CC295-CC256-CC206-CC157-CC92-CC42</f>
        <v>32.4023789267533</v>
      </c>
      <c r="CD343" s="654">
        <f>+CD354-CD295-CD256-CD206-CD157-CD92-CD42</f>
        <v>37.852211877447218</v>
      </c>
      <c r="CE343" s="654">
        <f>+CE354-CE295-CE256-CE206-CE157-CE92-CE42</f>
        <v>40.22217823000787</v>
      </c>
      <c r="CF343" s="654">
        <f>+CF354-CF295-CF256-CF206-CF157-CF92-CF42</f>
        <v>54.639024035034602</v>
      </c>
      <c r="CG343" s="655">
        <f>+SUM(CC343:CF343)</f>
        <v>165.11579306924298</v>
      </c>
      <c r="CH343" s="601"/>
      <c r="CI343" s="656">
        <f>+CC343*(1+CI344)</f>
        <v>34.670545451626033</v>
      </c>
      <c r="CJ343" s="654">
        <f>+CD343*(1+CJ344)</f>
        <v>40.312605649481284</v>
      </c>
      <c r="CK343" s="654">
        <f>+CE343*(1+CK344)</f>
        <v>42.032176250358219</v>
      </c>
      <c r="CL343" s="654">
        <f>+CF343*(1+CL344)</f>
        <v>56.824584996435988</v>
      </c>
      <c r="CM343" s="655">
        <f>+SUM(CI343:CL343)</f>
        <v>173.83991234790153</v>
      </c>
      <c r="CN343" s="601"/>
      <c r="CO343" s="656">
        <f>+CI343*(1+CO344)</f>
        <v>35.363956360658555</v>
      </c>
      <c r="CP343" s="654">
        <f>+CJ343*(1+CP344)</f>
        <v>41.11885776247091</v>
      </c>
      <c r="CQ343" s="654">
        <f>+CK343*(1+CQ344)</f>
        <v>42.872819775365386</v>
      </c>
      <c r="CR343" s="654">
        <f>+CL343*(1+CR344)</f>
        <v>57.961076696364707</v>
      </c>
      <c r="CS343" s="655">
        <f>+SUM(CO343:CR343)</f>
        <v>177.31671059485956</v>
      </c>
      <c r="CT343" s="601"/>
      <c r="CU343" s="656">
        <f>+CO343*(1+CU344)</f>
        <v>36.071235487871725</v>
      </c>
      <c r="CV343" s="654">
        <f>+CP343*(1+CV344)</f>
        <v>41.94123491772033</v>
      </c>
      <c r="CW343" s="654">
        <f>+CQ343*(1+CW344)</f>
        <v>43.730276170872692</v>
      </c>
      <c r="CX343" s="654">
        <f>+CR343*(1+CX344)</f>
        <v>59.120298230292001</v>
      </c>
      <c r="CY343" s="655">
        <f>+SUM(CU343:CX343)</f>
        <v>180.86304480675676</v>
      </c>
      <c r="CZ343" s="48"/>
      <c r="DD343" s="48"/>
      <c r="DE343" s="48"/>
      <c r="DF343" s="48"/>
      <c r="DG343" s="48"/>
      <c r="DH343" s="48"/>
      <c r="DI343" s="48"/>
      <c r="DJ343" s="48"/>
      <c r="DK343" s="48"/>
    </row>
    <row r="344" spans="1:115" x14ac:dyDescent="0.2">
      <c r="A344" s="205" t="s">
        <v>639</v>
      </c>
      <c r="B344" s="48"/>
      <c r="C344" s="1128"/>
      <c r="D344" s="1129"/>
      <c r="E344" s="1129"/>
      <c r="F344" s="1129"/>
      <c r="G344" s="1463"/>
      <c r="H344" s="592"/>
      <c r="I344" s="1128"/>
      <c r="J344" s="1129"/>
      <c r="K344" s="1129"/>
      <c r="L344" s="1129"/>
      <c r="M344" s="1463"/>
      <c r="N344" s="592"/>
      <c r="O344" s="1128"/>
      <c r="P344" s="1129"/>
      <c r="Q344" s="1129"/>
      <c r="R344" s="1129"/>
      <c r="S344" s="1463"/>
      <c r="T344" s="591"/>
      <c r="U344" s="1128"/>
      <c r="V344" s="1129"/>
      <c r="W344" s="1129"/>
      <c r="X344" s="1129"/>
      <c r="Y344" s="1463"/>
      <c r="Z344" s="593"/>
      <c r="AA344" s="1128"/>
      <c r="AB344" s="1129"/>
      <c r="AC344" s="1129"/>
      <c r="AD344" s="1129"/>
      <c r="AE344" s="1463"/>
      <c r="AF344" s="592"/>
      <c r="AG344" s="1128"/>
      <c r="AH344" s="1129"/>
      <c r="AI344" s="1129"/>
      <c r="AJ344" s="1129"/>
      <c r="AK344" s="1463"/>
      <c r="AL344" s="601"/>
      <c r="AM344" s="1131">
        <f>+AM343/AG343-1</f>
        <v>0.50108244341066488</v>
      </c>
      <c r="AN344" s="1132">
        <f>+AN343/AH343-1</f>
        <v>6.0173438432164605E-2</v>
      </c>
      <c r="AO344" s="1132">
        <f>+AO343/AI343-1</f>
        <v>-0.13527306228393976</v>
      </c>
      <c r="AP344" s="1132">
        <f>+AP343/AJ343-1</f>
        <v>1.7425729495396114E-2</v>
      </c>
      <c r="AQ344" s="1117">
        <f>+AQ343/AK343-1</f>
        <v>7.3574336723905009E-2</v>
      </c>
      <c r="AR344" s="48"/>
      <c r="AS344" s="1131">
        <f>+AS343/AM343-1</f>
        <v>-0.12364807886769857</v>
      </c>
      <c r="AT344" s="1132">
        <f>+AT343/AN343-1</f>
        <v>-4.7092693855413814E-2</v>
      </c>
      <c r="AU344" s="1132">
        <f>+AU343/AO343-1</f>
        <v>0.1769529352256376</v>
      </c>
      <c r="AV344" s="1132">
        <f>+AV343/AP343-1</f>
        <v>0.21601111676676088</v>
      </c>
      <c r="AW344" s="1117">
        <f>+AW343/AQ343-1</f>
        <v>5.7531006162905074E-2</v>
      </c>
      <c r="AX344" s="601"/>
      <c r="AY344" s="1131">
        <f>+AY343/AS343-1</f>
        <v>5.6835707897466614E-2</v>
      </c>
      <c r="AZ344" s="1132">
        <f>+AZ343/AT343-1</f>
        <v>0.21448006311993373</v>
      </c>
      <c r="BA344" s="1132">
        <f>+BA343/AU343-1</f>
        <v>1.8797243488374527E-2</v>
      </c>
      <c r="BB344" s="1132">
        <f>+BB343/AV343-1</f>
        <v>-6.9318964144426953E-2</v>
      </c>
      <c r="BC344" s="1117">
        <f>+BC343/AW343-1</f>
        <v>4.1232751158060132E-2</v>
      </c>
      <c r="BD344" s="601"/>
      <c r="BE344" s="1131">
        <f>+BE343/AY343-1</f>
        <v>-7.9321562990742445E-2</v>
      </c>
      <c r="BF344" s="1132">
        <f>+BF343/AZ343-1</f>
        <v>-5.7109470191321288E-2</v>
      </c>
      <c r="BG344" s="1132">
        <f>+BG343/BA343-1</f>
        <v>-3.0412991528916078E-2</v>
      </c>
      <c r="BH344" s="1132">
        <f>+BH343/BB343-1</f>
        <v>3.8921325216439318E-2</v>
      </c>
      <c r="BI344" s="1117">
        <f>+BI343/BC343-1</f>
        <v>-2.7305241445760298E-2</v>
      </c>
      <c r="BJ344" s="601"/>
      <c r="BK344" s="1131">
        <f>+BK343/BE343-1</f>
        <v>6.9377258355394655E-2</v>
      </c>
      <c r="BL344" s="1132">
        <f>+BL343/BF343-1</f>
        <v>-2.1851502304317871E-2</v>
      </c>
      <c r="BM344" s="1132">
        <f>+BM343/BG343-1</f>
        <v>0.1521448819324176</v>
      </c>
      <c r="BN344" s="1132">
        <f>+BN343/BH343-1</f>
        <v>0.16040772976249351</v>
      </c>
      <c r="BO344" s="1117">
        <f>+BO343/BI343-1</f>
        <v>9.4535780553017146E-2</v>
      </c>
      <c r="BP344" s="48"/>
      <c r="BQ344" s="1131">
        <f>+BQ343/BK343-1</f>
        <v>3.7595242292171038E-2</v>
      </c>
      <c r="BR344" s="1132">
        <f>+BR343/BL343-1</f>
        <v>-2.9474685176164805E-2</v>
      </c>
      <c r="BS344" s="1132">
        <f>+BS343/BM343-1</f>
        <v>-5.8692653140172246E-2</v>
      </c>
      <c r="BT344" s="1132">
        <f>+BT343/BN343-1</f>
        <v>-0.14089062078375381</v>
      </c>
      <c r="BU344" s="1117">
        <f>+BU343/BO343-1</f>
        <v>-6.0659452128091318E-2</v>
      </c>
      <c r="BV344" s="48"/>
      <c r="BW344" s="1131">
        <f>+BW343/BQ343-1</f>
        <v>9.3360328901741507E-3</v>
      </c>
      <c r="BX344" s="1132">
        <f>+BX343/BR343-1</f>
        <v>0.11916951688750599</v>
      </c>
      <c r="BY344" s="1132">
        <f>+BY343/BS343-1</f>
        <v>-1.7043188211384064E-2</v>
      </c>
      <c r="BZ344" s="1132">
        <f>+BZ343/BT343-1</f>
        <v>-5.8251227461746713E-2</v>
      </c>
      <c r="CA344" s="1117">
        <f>+CA343/BU343-1</f>
        <v>7.6940327215424542E-3</v>
      </c>
      <c r="CB344" s="48"/>
      <c r="CC344" s="1131">
        <f>+CC343/BW343-1</f>
        <v>-5.036061428003813E-2</v>
      </c>
      <c r="CD344" s="1132">
        <f>+CD343/BX343-1</f>
        <v>-7.0198944001416907E-2</v>
      </c>
      <c r="CE344" s="1132">
        <f>+CE343/BY343-1</f>
        <v>4.6799328533595697E-2</v>
      </c>
      <c r="CF344" s="1132">
        <f>+CF343/BZ343-1</f>
        <v>0.21714518926772586</v>
      </c>
      <c r="CG344" s="1117">
        <f>+CG343/CA343-1</f>
        <v>4.4073048228355116E-2</v>
      </c>
      <c r="CH344" s="48"/>
      <c r="CI344" s="1229">
        <f>+CI345+RevBuild!CI$59</f>
        <v>7.0000000000000007E-2</v>
      </c>
      <c r="CJ344" s="1138">
        <f>+CJ345+RevBuild!CJ$59</f>
        <v>6.5000000000000002E-2</v>
      </c>
      <c r="CK344" s="1138">
        <f>+CK345+RevBuild!CK$59</f>
        <v>4.4999999999999998E-2</v>
      </c>
      <c r="CL344" s="1138">
        <f>+CL345+RevBuild!CL$59</f>
        <v>0.04</v>
      </c>
      <c r="CM344" s="1117">
        <f>+CM343/CG343-1</f>
        <v>5.2836370867322291E-2</v>
      </c>
      <c r="CN344" s="48"/>
      <c r="CO344" s="1229">
        <f>+CO345+RevBuild!CO$59</f>
        <v>0.02</v>
      </c>
      <c r="CP344" s="1138">
        <f>+CP345+RevBuild!CP$59</f>
        <v>0.02</v>
      </c>
      <c r="CQ344" s="1138">
        <f>+CQ345+RevBuild!CQ$59</f>
        <v>0.02</v>
      </c>
      <c r="CR344" s="1138">
        <f>+CR345+RevBuild!CR$59</f>
        <v>0.02</v>
      </c>
      <c r="CS344" s="1117">
        <f>+CS343/CM343-1</f>
        <v>2.0000000000000018E-2</v>
      </c>
      <c r="CT344" s="48"/>
      <c r="CU344" s="1229">
        <f>+CU345+RevBuild!CU$59</f>
        <v>0.02</v>
      </c>
      <c r="CV344" s="1138">
        <f>+CV345+RevBuild!CV$59</f>
        <v>0.02</v>
      </c>
      <c r="CW344" s="1138">
        <f>+CW345+RevBuild!CW$59</f>
        <v>0.02</v>
      </c>
      <c r="CX344" s="1138">
        <f>+CX345+RevBuild!CX$59</f>
        <v>0.02</v>
      </c>
      <c r="CY344" s="1117">
        <f>+CY343/CS343-1</f>
        <v>2.0000000000000018E-2</v>
      </c>
      <c r="CZ344" s="48"/>
      <c r="DD344" s="48"/>
      <c r="DE344" s="48"/>
      <c r="DF344" s="48"/>
      <c r="DG344" s="48"/>
      <c r="DH344" s="48"/>
      <c r="DI344" s="48"/>
      <c r="DJ344" s="48"/>
      <c r="DK344" s="48"/>
    </row>
    <row r="345" spans="1:115" x14ac:dyDescent="0.2">
      <c r="A345" s="205" t="s">
        <v>227</v>
      </c>
      <c r="B345" s="48"/>
      <c r="C345" s="1128"/>
      <c r="D345" s="1129"/>
      <c r="E345" s="1129"/>
      <c r="F345" s="1129"/>
      <c r="G345" s="1463"/>
      <c r="H345" s="592"/>
      <c r="I345" s="1128"/>
      <c r="J345" s="1129"/>
      <c r="K345" s="1129"/>
      <c r="L345" s="1129"/>
      <c r="M345" s="1463"/>
      <c r="N345" s="592"/>
      <c r="O345" s="1128"/>
      <c r="P345" s="1129"/>
      <c r="Q345" s="1129"/>
      <c r="R345" s="1129"/>
      <c r="S345" s="1463"/>
      <c r="T345" s="591"/>
      <c r="U345" s="1128"/>
      <c r="V345" s="1129"/>
      <c r="W345" s="1129"/>
      <c r="X345" s="1129"/>
      <c r="Y345" s="1463"/>
      <c r="Z345" s="593"/>
      <c r="AA345" s="1128"/>
      <c r="AB345" s="1129"/>
      <c r="AC345" s="1129"/>
      <c r="AD345" s="1129"/>
      <c r="AE345" s="1463"/>
      <c r="AF345" s="592"/>
      <c r="AG345" s="1128"/>
      <c r="AH345" s="1129"/>
      <c r="AI345" s="1129"/>
      <c r="AJ345" s="1129"/>
      <c r="AK345" s="1463"/>
      <c r="AL345" s="601"/>
      <c r="AM345" s="1229">
        <f>+AM344-RevBuild!AM$59</f>
        <v>0.444502484780673</v>
      </c>
      <c r="AN345" s="1138">
        <f>+AN344-RevBuild!AN$59</f>
        <v>7.6226170822777065E-2</v>
      </c>
      <c r="AO345" s="1138">
        <f>+AO344-RevBuild!AO$59</f>
        <v>-0.12172402296698942</v>
      </c>
      <c r="AP345" s="1138">
        <f>+AP344-RevBuild!AP$59</f>
        <v>2.7959255165027619E-2</v>
      </c>
      <c r="AQ345" s="1228">
        <f>+AQ344-RevBuild!AQ$59</f>
        <v>7.6723397204681618E-2</v>
      </c>
      <c r="AR345" s="1264"/>
      <c r="AS345" s="1229">
        <f>+AS344-RevBuild!AS$59</f>
        <v>-0.1432735952012387</v>
      </c>
      <c r="AT345" s="1138">
        <f>+AT344-RevBuild!AT$59</f>
        <v>-0.11116070594442186</v>
      </c>
      <c r="AU345" s="1138">
        <f>+AU344-RevBuild!AU$59</f>
        <v>0.13384649267924065</v>
      </c>
      <c r="AV345" s="1138">
        <f>+AV344-RevBuild!AV$59</f>
        <v>0.21684123367675698</v>
      </c>
      <c r="AW345" s="1228">
        <f>+AW344-RevBuild!AW$59</f>
        <v>2.1833329712629156E-2</v>
      </c>
      <c r="AX345" s="1264"/>
      <c r="AY345" s="1229">
        <f>+AY344-RevBuild!AY$59</f>
        <v>6.5151035315020756E-2</v>
      </c>
      <c r="AZ345" s="1138">
        <f>+AZ344-RevBuild!AZ$59</f>
        <v>0.26575561002843451</v>
      </c>
      <c r="BA345" s="1138">
        <f>+BA344-RevBuild!BA$59</f>
        <v>6.5474987227232578E-2</v>
      </c>
      <c r="BB345" s="1138">
        <f>+BB344-RevBuild!BB$59</f>
        <v>-6.5536893694094572E-2</v>
      </c>
      <c r="BC345" s="1228">
        <f>+BC344-RevBuild!BC$59</f>
        <v>6.88162371597342E-2</v>
      </c>
      <c r="BD345" s="1264"/>
      <c r="BE345" s="1229">
        <f>+BE344-RevBuild!BE$59</f>
        <v>-7.3456073924478754E-2</v>
      </c>
      <c r="BF345" s="1138">
        <f>+BF344-RevBuild!BF$59</f>
        <v>-5.7052864513827101E-2</v>
      </c>
      <c r="BG345" s="1138">
        <f>+BG344-RevBuild!BG$59</f>
        <v>-2.4569106275094746E-2</v>
      </c>
      <c r="BH345" s="1138">
        <f>+BH344-RevBuild!BH$59</f>
        <v>4.2596599072821609E-2</v>
      </c>
      <c r="BI345" s="1228">
        <f>+BI344-RevBuild!BI$59</f>
        <v>-1.870007713549364E-2</v>
      </c>
      <c r="BJ345" s="1264"/>
      <c r="BK345" s="1229">
        <f>+BK344-RevBuild!BK$59</f>
        <v>7.3929001576202816E-2</v>
      </c>
      <c r="BL345" s="1138">
        <f>+BL344-RevBuild!BL$59</f>
        <v>-2.8704971831390237E-2</v>
      </c>
      <c r="BM345" s="1138">
        <f>+BM344-RevBuild!BM$59</f>
        <v>0.15216477007704518</v>
      </c>
      <c r="BN345" s="1138">
        <f>+BN344-RevBuild!BN$59</f>
        <v>0.2083031335988354</v>
      </c>
      <c r="BO345" s="1228">
        <f>+BO344-RevBuild!BO$59</f>
        <v>0.10407536462630637</v>
      </c>
      <c r="BP345" s="1264"/>
      <c r="BQ345" s="1229">
        <f>+BQ344-RevBuild!BQ$59</f>
        <v>0.11634000003778898</v>
      </c>
      <c r="BR345" s="1138">
        <f>+BR344-RevBuild!BR$59</f>
        <v>5.509199366708023E-2</v>
      </c>
      <c r="BS345" s="1138">
        <f>+BS344-RevBuild!BS$59</f>
        <v>3.030734685982775E-2</v>
      </c>
      <c r="BT345" s="1138">
        <f>+BT344-RevBuild!BT$59</f>
        <v>-7.7890620783753806E-2</v>
      </c>
      <c r="BU345" s="1228">
        <f>+BU344-RevBuild!BU$59</f>
        <v>1.9590547871908573E-2</v>
      </c>
      <c r="BV345" s="48"/>
      <c r="BW345" s="1229">
        <f>+BW344-RevBuild!BW$59</f>
        <v>2.9507663364617392E-2</v>
      </c>
      <c r="BX345" s="1138">
        <f>+BX344-RevBuild!BX$59</f>
        <v>0.13435242783611873</v>
      </c>
      <c r="BY345" s="1138">
        <f>+BY344-RevBuild!BY$59</f>
        <v>-8.7341956789342562E-3</v>
      </c>
      <c r="BZ345" s="1138">
        <f>+BZ344-RevBuild!BZ$59</f>
        <v>-2.7944197332621948E-2</v>
      </c>
      <c r="CA345" s="1228">
        <f>+CA344-RevBuild!CA$59</f>
        <v>2.6405113965893678E-2</v>
      </c>
      <c r="CB345" s="48"/>
      <c r="CC345" s="1229">
        <f>+CC344-RevBuild!CC$59</f>
        <v>-2.8630381924544084E-2</v>
      </c>
      <c r="CD345" s="1138">
        <f>+CD344-RevBuild!CD$59</f>
        <v>-4.7633916430636025E-2</v>
      </c>
      <c r="CE345" s="1138">
        <f>+CE344-RevBuild!CE$59</f>
        <v>4.0873320591112428E-2</v>
      </c>
      <c r="CF345" s="1138">
        <f>+CF344-RevBuild!CF$59</f>
        <v>0.19366156649648864</v>
      </c>
      <c r="CG345" s="1228">
        <f>+CG344-RevBuild!CG$59</f>
        <v>4.7794455531493724E-2</v>
      </c>
      <c r="CH345" s="48"/>
      <c r="CI345" s="1682">
        <v>0.02</v>
      </c>
      <c r="CJ345" s="1677">
        <f>+CI345</f>
        <v>0.02</v>
      </c>
      <c r="CK345" s="1677">
        <f>+CJ345</f>
        <v>0.02</v>
      </c>
      <c r="CL345" s="1677">
        <f>+CK345</f>
        <v>0.02</v>
      </c>
      <c r="CM345" s="1228">
        <f>+CM344-RevBuild!CM$59</f>
        <v>1.7836370867322295E-2</v>
      </c>
      <c r="CN345" s="48"/>
      <c r="CO345" s="909">
        <v>0.02</v>
      </c>
      <c r="CP345" s="910">
        <f>+CO345</f>
        <v>0.02</v>
      </c>
      <c r="CQ345" s="910">
        <f>+CP345</f>
        <v>0.02</v>
      </c>
      <c r="CR345" s="910">
        <f>+CQ345</f>
        <v>0.02</v>
      </c>
      <c r="CS345" s="1228">
        <f>+CS344-RevBuild!CS$59</f>
        <v>2.0000000000000018E-2</v>
      </c>
      <c r="CT345" s="48"/>
      <c r="CU345" s="909">
        <v>0.02</v>
      </c>
      <c r="CV345" s="910">
        <f>+CU345</f>
        <v>0.02</v>
      </c>
      <c r="CW345" s="910">
        <f>+CV345</f>
        <v>0.02</v>
      </c>
      <c r="CX345" s="910">
        <f>+CW345</f>
        <v>0.02</v>
      </c>
      <c r="CY345" s="1228">
        <f>+CY344-RevBuild!CY$59</f>
        <v>2.0000000000000018E-2</v>
      </c>
      <c r="CZ345" s="48"/>
      <c r="DD345" s="48"/>
      <c r="DE345" s="48"/>
      <c r="DF345" s="48"/>
      <c r="DG345" s="48"/>
      <c r="DH345" s="48"/>
      <c r="DI345" s="48"/>
      <c r="DJ345" s="48"/>
      <c r="DK345" s="48"/>
    </row>
    <row r="346" spans="1:115" x14ac:dyDescent="0.2">
      <c r="A346" s="1196" t="s">
        <v>425</v>
      </c>
      <c r="B346" s="1197"/>
      <c r="C346" s="1198"/>
      <c r="D346" s="1198"/>
      <c r="E346" s="1198"/>
      <c r="F346" s="1198"/>
      <c r="G346" s="1199"/>
      <c r="H346" s="1200"/>
      <c r="I346" s="1201"/>
      <c r="J346" s="1198"/>
      <c r="K346" s="1198"/>
      <c r="L346" s="1198"/>
      <c r="M346" s="1199"/>
      <c r="N346" s="1200"/>
      <c r="O346" s="1201"/>
      <c r="P346" s="1198"/>
      <c r="Q346" s="1198"/>
      <c r="R346" s="1198"/>
      <c r="S346" s="1199"/>
      <c r="T346" s="1198"/>
      <c r="U346" s="1201"/>
      <c r="V346" s="1198"/>
      <c r="W346" s="1198"/>
      <c r="X346" s="1198"/>
      <c r="Y346" s="1202"/>
      <c r="Z346" s="1203"/>
      <c r="AA346" s="1204"/>
      <c r="AB346" s="1205"/>
      <c r="AC346" s="1205"/>
      <c r="AD346" s="1206"/>
      <c r="AE346" s="1207"/>
      <c r="AF346" s="1200"/>
      <c r="AG346" s="1209">
        <f>AG343/AG$366</f>
        <v>0.10773687045393852</v>
      </c>
      <c r="AH346" s="1210">
        <f>AH343/AH$366</f>
        <v>0.13791801995369676</v>
      </c>
      <c r="AI346" s="1210">
        <f>AI343/AI$366</f>
        <v>0.13807439757528145</v>
      </c>
      <c r="AJ346" s="1210">
        <f>AJ343/AJ$366</f>
        <v>0.13827035703290128</v>
      </c>
      <c r="AK346" s="1208">
        <f>AK343/AK$366</f>
        <v>0.1314559552397693</v>
      </c>
      <c r="AL346" s="1200"/>
      <c r="AM346" s="1209">
        <f>AM343/AM$366</f>
        <v>0.1351534626499826</v>
      </c>
      <c r="AN346" s="1210">
        <f>AN343/AN$366</f>
        <v>0.13501012838515408</v>
      </c>
      <c r="AO346" s="1210">
        <f>AO343/AO$366</f>
        <v>0.11301674704812315</v>
      </c>
      <c r="AP346" s="1210">
        <f>AP343/AP$366</f>
        <v>0.14217744867707111</v>
      </c>
      <c r="AQ346" s="1208">
        <f>AQ343/AQ$366</f>
        <v>0.13137335744263878</v>
      </c>
      <c r="AR346" s="1200"/>
      <c r="AS346" s="1209">
        <f>AS343/AS$366</f>
        <v>0.11848636785045315</v>
      </c>
      <c r="AT346" s="1210">
        <f>AT343/AT$366</f>
        <v>0.11858245002250362</v>
      </c>
      <c r="AU346" s="1210">
        <f>AU343/AU$366</f>
        <v>0.12630764260288119</v>
      </c>
      <c r="AV346" s="1210">
        <f>AV343/AV$366</f>
        <v>0.14787359873479125</v>
      </c>
      <c r="AW346" s="1208">
        <f>AW343/AW$366</f>
        <v>0.12884265761931615</v>
      </c>
      <c r="AX346" s="1200"/>
      <c r="AY346" s="1209">
        <f>AY343/AY$366</f>
        <v>0.11163620891345409</v>
      </c>
      <c r="AZ346" s="1210">
        <f>AZ343/AZ$366</f>
        <v>0.13227958734581952</v>
      </c>
      <c r="BA346" s="1210">
        <f>BA343/BA$366</f>
        <v>0.12216762472303351</v>
      </c>
      <c r="BB346" s="1210">
        <f>BB343/BB$366</f>
        <v>0.13281294419022149</v>
      </c>
      <c r="BC346" s="1208">
        <f>BC343/BC$366</f>
        <v>0.12509616656246861</v>
      </c>
      <c r="BD346" s="1200"/>
      <c r="BE346" s="1209">
        <f>BE343/BE$366</f>
        <v>0.10035893648615461</v>
      </c>
      <c r="BF346" s="1210">
        <f>BF343/BF$366</f>
        <v>0.1210990534847957</v>
      </c>
      <c r="BG346" s="1210">
        <f>BG343/BG$366</f>
        <v>0.11131086890900134</v>
      </c>
      <c r="BH346" s="1210">
        <f>BH343/BH$366</f>
        <v>0.13187320966078614</v>
      </c>
      <c r="BI346" s="1208">
        <f>BI343/BI$366</f>
        <v>0.11684366136687283</v>
      </c>
      <c r="BJ346" s="1200"/>
      <c r="BK346" s="1209">
        <f>BK343/BK$366</f>
        <v>0.10265602688139017</v>
      </c>
      <c r="BL346" s="1210">
        <f>BL343/BL$366</f>
        <v>0.11315132507707538</v>
      </c>
      <c r="BM346" s="1210">
        <f>BM343/BM$366</f>
        <v>0.12331605811976437</v>
      </c>
      <c r="BN346" s="1210">
        <f>BN343/BN$366</f>
        <v>0.15377950461581316</v>
      </c>
      <c r="BO346" s="1208">
        <f>BO343/BO$366</f>
        <v>0.12410915171530321</v>
      </c>
      <c r="BP346" s="1200"/>
      <c r="BQ346" s="1209">
        <f>BQ343/BQ$366</f>
        <v>0.11316314672482958</v>
      </c>
      <c r="BR346" s="1210">
        <f>BR343/BR$366</f>
        <v>0.11386606309023786</v>
      </c>
      <c r="BS346" s="1210">
        <f>BS343/BS$366</f>
        <v>0.12426900964760608</v>
      </c>
      <c r="BT346" s="1210">
        <f>BT343/BT$366</f>
        <v>0.13678003206527151</v>
      </c>
      <c r="BU346" s="1208">
        <f>BU343/BU$366</f>
        <v>0.12248883963503059</v>
      </c>
      <c r="BV346" s="1200"/>
      <c r="BW346" s="1209">
        <f>BW343/BW$366</f>
        <v>0.11435362177274008</v>
      </c>
      <c r="BX346" s="1210">
        <f>BX343/BX$366</f>
        <v>0.12173609711899547</v>
      </c>
      <c r="BY346" s="1210">
        <f>BY343/BY$366</f>
        <v>0.11345044091586423</v>
      </c>
      <c r="BZ346" s="1210">
        <f>BZ343/BZ$366</f>
        <v>0.12248101964685351</v>
      </c>
      <c r="CA346" s="1208">
        <f>CA343/CA$366</f>
        <v>0.11819647853994678</v>
      </c>
      <c r="CB346" s="1200"/>
      <c r="CC346" s="1209">
        <f>CC343/CC$366</f>
        <v>0.10509811332492165</v>
      </c>
      <c r="CD346" s="1210">
        <f>CD343/CD$366</f>
        <v>0.10827105907063156</v>
      </c>
      <c r="CE346" s="1210">
        <f>CE343/CE$366</f>
        <v>0.11037919382548812</v>
      </c>
      <c r="CF346" s="1210">
        <f>CF343/CF$366</f>
        <v>0.13759062039025316</v>
      </c>
      <c r="CG346" s="1208">
        <f>CG343/CG$366</f>
        <v>0.11632583128326117</v>
      </c>
      <c r="CH346" s="1200"/>
      <c r="CI346" s="1209">
        <f>CI343/CI$366</f>
        <v>0.10131751198800128</v>
      </c>
      <c r="CJ346" s="1210">
        <f>CJ343/CJ$366</f>
        <v>0.10336360056312582</v>
      </c>
      <c r="CK346" s="1210">
        <f>CK343/CK$366</f>
        <v>0.10430368381319964</v>
      </c>
      <c r="CL346" s="1210">
        <f>CL343/CL$366</f>
        <v>0.13228564662697834</v>
      </c>
      <c r="CM346" s="1208">
        <f>CM343/CM$366</f>
        <v>0.11109804143163886</v>
      </c>
      <c r="CN346" s="1200"/>
      <c r="CO346" s="1209">
        <f>CO343/CO$366</f>
        <v>9.3080408593434694E-2</v>
      </c>
      <c r="CP346" s="1210">
        <f>CP343/CP$366</f>
        <v>9.8025383676941524E-2</v>
      </c>
      <c r="CQ346" s="1210">
        <f>CQ343/CQ$366</f>
        <v>0.10039352082106619</v>
      </c>
      <c r="CR346" s="1210">
        <f>CR343/CR$366</f>
        <v>0.12395401529005468</v>
      </c>
      <c r="CS346" s="1208">
        <f>CS343/CS$366</f>
        <v>0.10467030840213486</v>
      </c>
      <c r="CT346" s="1200"/>
      <c r="CU346" s="1209">
        <f>CU343/CU$366</f>
        <v>8.5752665490226102E-2</v>
      </c>
      <c r="CV346" s="1210">
        <f>CV343/CV$366</f>
        <v>9.083987248136681E-2</v>
      </c>
      <c r="CW346" s="1210">
        <f>CW343/CW$366</f>
        <v>9.3240285062977976E-2</v>
      </c>
      <c r="CX346" s="1210">
        <f>CX343/CX$366</f>
        <v>0.11522333057560058</v>
      </c>
      <c r="CY346" s="1208">
        <f>CY343/CY$366</f>
        <v>9.7006255891114196E-2</v>
      </c>
      <c r="CZ346" s="48"/>
      <c r="DD346" s="48"/>
      <c r="DE346" s="48"/>
      <c r="DF346" s="48"/>
      <c r="DG346" s="48"/>
      <c r="DH346" s="48"/>
      <c r="DI346" s="48"/>
      <c r="DJ346" s="48"/>
      <c r="DK346" s="48"/>
    </row>
    <row r="347" spans="1:115" outlineLevel="1" x14ac:dyDescent="0.2">
      <c r="A347" s="354" t="s">
        <v>531</v>
      </c>
      <c r="B347" s="58"/>
      <c r="C347" s="558"/>
      <c r="D347" s="558"/>
      <c r="E347" s="558"/>
      <c r="F347" s="558"/>
      <c r="G347" s="629"/>
      <c r="H347" s="557"/>
      <c r="I347" s="704"/>
      <c r="J347" s="558"/>
      <c r="K347" s="558"/>
      <c r="L347" s="558"/>
      <c r="M347" s="629"/>
      <c r="N347" s="557"/>
      <c r="O347" s="704"/>
      <c r="P347" s="558"/>
      <c r="Q347" s="558"/>
      <c r="R347" s="558"/>
      <c r="S347" s="629"/>
      <c r="T347" s="557"/>
      <c r="U347" s="704"/>
      <c r="V347" s="558"/>
      <c r="W347" s="558"/>
      <c r="X347" s="558"/>
      <c r="Y347" s="629"/>
      <c r="Z347" s="557"/>
      <c r="AA347" s="581"/>
      <c r="AB347" s="550"/>
      <c r="AC347" s="550"/>
      <c r="AD347" s="582"/>
      <c r="AE347" s="580"/>
      <c r="AF347" s="557"/>
      <c r="AG347" s="581">
        <f>+AG348*AG343</f>
        <v>10.711183500000001</v>
      </c>
      <c r="AH347" s="550">
        <f>+AH348*AH343</f>
        <v>14.904828</v>
      </c>
      <c r="AI347" s="550">
        <f>+AI348*AI343</f>
        <v>16.133517000000001</v>
      </c>
      <c r="AJ347" s="582">
        <f>+AJ348*AJ343</f>
        <v>17.986851000000009</v>
      </c>
      <c r="AK347" s="580">
        <f>SUM(AG347:AJ347)</f>
        <v>59.736379500000005</v>
      </c>
      <c r="AL347" s="557"/>
      <c r="AM347" s="581">
        <f>+AM348*AM343</f>
        <v>16.078369500000001</v>
      </c>
      <c r="AN347" s="550">
        <f>+AN348*AN343</f>
        <v>15.801702750000002</v>
      </c>
      <c r="AO347" s="550">
        <f>+AO348*AO343</f>
        <v>13.95108675</v>
      </c>
      <c r="AP347" s="582">
        <f>+AP348*AP343</f>
        <v>18.300285000000002</v>
      </c>
      <c r="AQ347" s="580">
        <f>SUM(AM347:AP347)</f>
        <v>64.131444000000016</v>
      </c>
      <c r="AR347" s="557"/>
      <c r="AS347" s="581">
        <f>+AS348*AS343</f>
        <v>14.090309999999999</v>
      </c>
      <c r="AT347" s="550">
        <f>+AT348*AT343</f>
        <v>15.057558000000002</v>
      </c>
      <c r="AU347" s="550">
        <f>+AU348*AU343</f>
        <v>16.419772500000001</v>
      </c>
      <c r="AV347" s="582">
        <f>+AV348*AV343</f>
        <v>22.253350000000008</v>
      </c>
      <c r="AW347" s="580">
        <f>SUM(AS347:AV347)</f>
        <v>67.820990500000008</v>
      </c>
      <c r="AX347" s="557"/>
      <c r="AY347" s="581">
        <f>+AY348*AY343</f>
        <v>14.891142743344751</v>
      </c>
      <c r="AZ347" s="550">
        <f>+AZ348*AZ343</f>
        <v>18.287103990272065</v>
      </c>
      <c r="BA347" s="550">
        <f>+BA348*BA343</f>
        <v>16.728418961706215</v>
      </c>
      <c r="BB347" s="582">
        <f>+BB348*BB343</f>
        <v>20.710770829256621</v>
      </c>
      <c r="BC347" s="580">
        <f>SUM(AY347:BB347)</f>
        <v>70.617436524579645</v>
      </c>
      <c r="BD347" s="557"/>
      <c r="BE347" s="581">
        <f>+BE348*BE343</f>
        <v>13.709954026224393</v>
      </c>
      <c r="BF347" s="550">
        <f>+BF348*BF343</f>
        <v>17.242737170054031</v>
      </c>
      <c r="BG347" s="550">
        <f>+BG348*BG343</f>
        <v>16.219657697531684</v>
      </c>
      <c r="BH347" s="582">
        <f>+BH348*BH343</f>
        <v>21.516861476185262</v>
      </c>
      <c r="BI347" s="580">
        <f>SUM(BE347:BH347)</f>
        <v>68.689210369995379</v>
      </c>
      <c r="BJ347" s="557"/>
      <c r="BK347" s="581">
        <f>+BK348*BK343</f>
        <v>14.661113048742347</v>
      </c>
      <c r="BL347" s="550">
        <f>+BL348*BL343</f>
        <v>16.865957459049849</v>
      </c>
      <c r="BM347" s="550">
        <f>+BM348*BM343</f>
        <v>18.687395602906872</v>
      </c>
      <c r="BN347" s="582">
        <f>+BN348*BN343</f>
        <v>24.968332377194194</v>
      </c>
      <c r="BO347" s="580">
        <f>SUM(BK347:BN347)</f>
        <v>75.182798487893251</v>
      </c>
      <c r="BP347" s="557"/>
      <c r="BQ347" s="581">
        <f>+BQ348*BQ343</f>
        <v>15.212301146082726</v>
      </c>
      <c r="BR347" s="550">
        <f>+BR348*BR343</f>
        <v>16.368838672749764</v>
      </c>
      <c r="BS347" s="550">
        <f>+BS348*BS343</f>
        <v>17.590582774692276</v>
      </c>
      <c r="BT347" s="582">
        <f>+BT348*BT343</f>
        <v>21.450528528636205</v>
      </c>
      <c r="BU347" s="580">
        <f>SUM(BQ347:BT347)</f>
        <v>70.622251122160975</v>
      </c>
      <c r="BV347" s="557"/>
      <c r="BW347" s="581">
        <f>+BW348*BW343</f>
        <v>15.354323689917788</v>
      </c>
      <c r="BX347" s="550">
        <f>+BX348*BX343</f>
        <v>18.319505269390881</v>
      </c>
      <c r="BY347" s="550">
        <f>+BY348*BY343</f>
        <v>17.290783161715265</v>
      </c>
      <c r="BZ347" s="550">
        <f>+BZ348*BZ343</f>
        <v>20.20100891213993</v>
      </c>
      <c r="CA347" s="580">
        <f>SUM(BW347:BZ347)</f>
        <v>71.165621033163859</v>
      </c>
      <c r="CB347" s="557"/>
      <c r="CC347" s="581">
        <f>+CC348*CC343</f>
        <v>14.581070517038986</v>
      </c>
      <c r="CD347" s="550">
        <f>+CD348*CD343</f>
        <v>17.03349534485125</v>
      </c>
      <c r="CE347" s="550">
        <f>+CE348*CE343</f>
        <v>18.099980203503542</v>
      </c>
      <c r="CF347" s="550">
        <f>+CF348*CF343</f>
        <v>24.587560815765571</v>
      </c>
      <c r="CG347" s="580">
        <f>SUM(CC347:CF347)</f>
        <v>74.302106881159347</v>
      </c>
      <c r="CH347" s="557"/>
      <c r="CI347" s="581">
        <f>+CI348*CI343</f>
        <v>15.601745453231715</v>
      </c>
      <c r="CJ347" s="550">
        <f>+CJ348*CJ343</f>
        <v>18.140672542266579</v>
      </c>
      <c r="CK347" s="550">
        <f>+CK348*CK343</f>
        <v>18.9144793126612</v>
      </c>
      <c r="CL347" s="582">
        <f>+CL348*CL343</f>
        <v>25.571063248396197</v>
      </c>
      <c r="CM347" s="580">
        <f>SUM(CI347:CL347)</f>
        <v>78.227960556555686</v>
      </c>
      <c r="CN347" s="557"/>
      <c r="CO347" s="581">
        <f>+CO348*CO343</f>
        <v>15.91378036229635</v>
      </c>
      <c r="CP347" s="550">
        <f>+CP348*CP343</f>
        <v>18.503485993111909</v>
      </c>
      <c r="CQ347" s="550">
        <f>+CQ348*CQ343</f>
        <v>19.292768898914424</v>
      </c>
      <c r="CR347" s="582">
        <f>+CR348*CR343</f>
        <v>26.082484513364118</v>
      </c>
      <c r="CS347" s="580">
        <f>SUM(CO347:CR347)</f>
        <v>79.792519767686798</v>
      </c>
      <c r="CT347" s="557"/>
      <c r="CU347" s="581">
        <f>+CU348*CU343</f>
        <v>16.232055969542277</v>
      </c>
      <c r="CV347" s="550">
        <f>+CV348*CV343</f>
        <v>18.873555712974149</v>
      </c>
      <c r="CW347" s="550">
        <f>+CW348*CW343</f>
        <v>19.678624276892712</v>
      </c>
      <c r="CX347" s="582">
        <f>+CX348*CX343</f>
        <v>26.6041342036314</v>
      </c>
      <c r="CY347" s="580">
        <f>SUM(CU347:CX347)</f>
        <v>81.388370163040534</v>
      </c>
      <c r="CZ347" s="48"/>
      <c r="DD347" s="48"/>
      <c r="DE347" s="48"/>
      <c r="DF347" s="48"/>
      <c r="DG347" s="48"/>
      <c r="DH347" s="48"/>
      <c r="DI347" s="48"/>
      <c r="DJ347" s="48"/>
      <c r="DK347" s="48"/>
    </row>
    <row r="348" spans="1:115" outlineLevel="1" x14ac:dyDescent="0.2">
      <c r="A348" s="205" t="s">
        <v>471</v>
      </c>
      <c r="B348" s="58"/>
      <c r="C348" s="558"/>
      <c r="D348" s="558"/>
      <c r="E348" s="558"/>
      <c r="F348" s="558"/>
      <c r="G348" s="629"/>
      <c r="H348" s="557"/>
      <c r="I348" s="704"/>
      <c r="J348" s="558"/>
      <c r="K348" s="558"/>
      <c r="L348" s="558"/>
      <c r="M348" s="629"/>
      <c r="N348" s="557"/>
      <c r="O348" s="704"/>
      <c r="P348" s="558"/>
      <c r="Q348" s="558"/>
      <c r="R348" s="558"/>
      <c r="S348" s="629"/>
      <c r="T348" s="557"/>
      <c r="U348" s="704"/>
      <c r="V348" s="558"/>
      <c r="W348" s="558"/>
      <c r="X348" s="558"/>
      <c r="Y348" s="629"/>
      <c r="Z348" s="557"/>
      <c r="AA348" s="581"/>
      <c r="AB348" s="550"/>
      <c r="AC348" s="550"/>
      <c r="AD348" s="582"/>
      <c r="AE348" s="580"/>
      <c r="AF348" s="557"/>
      <c r="AG348" s="909">
        <v>0.45</v>
      </c>
      <c r="AH348" s="910">
        <v>0.45</v>
      </c>
      <c r="AI348" s="910">
        <v>0.45</v>
      </c>
      <c r="AJ348" s="910">
        <v>0.45</v>
      </c>
      <c r="AK348" s="1106">
        <v>0</v>
      </c>
      <c r="AL348" s="557"/>
      <c r="AM348" s="909">
        <v>0.45</v>
      </c>
      <c r="AN348" s="910">
        <v>0.45</v>
      </c>
      <c r="AO348" s="910">
        <v>0.45</v>
      </c>
      <c r="AP348" s="910">
        <v>0.45</v>
      </c>
      <c r="AQ348" s="707">
        <f>+AQ347/AQ$343</f>
        <v>0.45000000000000012</v>
      </c>
      <c r="AR348" s="557"/>
      <c r="AS348" s="909">
        <v>0.45</v>
      </c>
      <c r="AT348" s="910">
        <v>0.45</v>
      </c>
      <c r="AU348" s="910">
        <v>0.45</v>
      </c>
      <c r="AV348" s="910">
        <v>0.45</v>
      </c>
      <c r="AW348" s="707">
        <f>+AW347/AW$343</f>
        <v>0.45000000000000007</v>
      </c>
      <c r="AX348" s="557"/>
      <c r="AY348" s="909">
        <v>0.45</v>
      </c>
      <c r="AZ348" s="910">
        <v>0.45</v>
      </c>
      <c r="BA348" s="910">
        <v>0.45</v>
      </c>
      <c r="BB348" s="910">
        <v>0.45</v>
      </c>
      <c r="BC348" s="707">
        <f>+BC347/BC$343</f>
        <v>0.44999999999999996</v>
      </c>
      <c r="BD348" s="557"/>
      <c r="BE348" s="909">
        <v>0.45</v>
      </c>
      <c r="BF348" s="910">
        <v>0.45</v>
      </c>
      <c r="BG348" s="910">
        <v>0.45</v>
      </c>
      <c r="BH348" s="910">
        <v>0.45</v>
      </c>
      <c r="BI348" s="707">
        <f>+BI347/BI$343</f>
        <v>0.45000000000000018</v>
      </c>
      <c r="BJ348" s="557"/>
      <c r="BK348" s="909">
        <v>0.45</v>
      </c>
      <c r="BL348" s="910">
        <v>0.45</v>
      </c>
      <c r="BM348" s="910">
        <v>0.45</v>
      </c>
      <c r="BN348" s="910">
        <v>0.45</v>
      </c>
      <c r="BO348" s="707">
        <f>+BO347/BO$343</f>
        <v>0.4499999999999999</v>
      </c>
      <c r="BP348" s="557"/>
      <c r="BQ348" s="909">
        <v>0.45</v>
      </c>
      <c r="BR348" s="910">
        <v>0.45</v>
      </c>
      <c r="BS348" s="910">
        <v>0.45</v>
      </c>
      <c r="BT348" s="910">
        <v>0.45</v>
      </c>
      <c r="BU348" s="707">
        <f>+BU347/BU$343</f>
        <v>0.45</v>
      </c>
      <c r="BV348" s="557"/>
      <c r="BW348" s="909">
        <v>0.45</v>
      </c>
      <c r="BX348" s="910">
        <v>0.45</v>
      </c>
      <c r="BY348" s="910">
        <v>0.45</v>
      </c>
      <c r="BZ348" s="910">
        <v>0.45</v>
      </c>
      <c r="CA348" s="707">
        <f>+CA347/CA$343</f>
        <v>0.44999999999999996</v>
      </c>
      <c r="CB348" s="557"/>
      <c r="CC348" s="909">
        <v>0.45</v>
      </c>
      <c r="CD348" s="910">
        <v>0.45</v>
      </c>
      <c r="CE348" s="910">
        <v>0.45</v>
      </c>
      <c r="CF348" s="910">
        <v>0.45</v>
      </c>
      <c r="CG348" s="707">
        <f>+CG347/CG343</f>
        <v>0.45</v>
      </c>
      <c r="CH348" s="557"/>
      <c r="CI348" s="909">
        <v>0.45</v>
      </c>
      <c r="CJ348" s="910">
        <v>0.45</v>
      </c>
      <c r="CK348" s="910">
        <v>0.45</v>
      </c>
      <c r="CL348" s="910">
        <v>0.45</v>
      </c>
      <c r="CM348" s="707">
        <f>+CM347/CM343</f>
        <v>0.45</v>
      </c>
      <c r="CN348" s="557"/>
      <c r="CO348" s="909">
        <v>0.45</v>
      </c>
      <c r="CP348" s="910">
        <v>0.45</v>
      </c>
      <c r="CQ348" s="910">
        <v>0.45</v>
      </c>
      <c r="CR348" s="910">
        <v>0.45</v>
      </c>
      <c r="CS348" s="707">
        <f>+CS347/CS343</f>
        <v>0.45</v>
      </c>
      <c r="CT348" s="557"/>
      <c r="CU348" s="909">
        <v>0.45</v>
      </c>
      <c r="CV348" s="910">
        <v>0.45</v>
      </c>
      <c r="CW348" s="910">
        <v>0.45</v>
      </c>
      <c r="CX348" s="910">
        <v>0.45</v>
      </c>
      <c r="CY348" s="707">
        <f>+CY347/CY343</f>
        <v>0.44999999999999996</v>
      </c>
      <c r="CZ348" s="48"/>
      <c r="DD348" s="48"/>
      <c r="DE348" s="48"/>
      <c r="DF348" s="48"/>
      <c r="DG348" s="48"/>
      <c r="DH348" s="48"/>
      <c r="DI348" s="48"/>
      <c r="DJ348" s="48"/>
      <c r="DK348" s="48"/>
    </row>
    <row r="349" spans="1:115" outlineLevel="1" x14ac:dyDescent="0.2">
      <c r="A349" s="354" t="s">
        <v>532</v>
      </c>
      <c r="B349" s="58"/>
      <c r="C349" s="558"/>
      <c r="D349" s="558"/>
      <c r="E349" s="558"/>
      <c r="F349" s="558"/>
      <c r="G349" s="629"/>
      <c r="H349" s="557"/>
      <c r="I349" s="704"/>
      <c r="J349" s="558"/>
      <c r="K349" s="558"/>
      <c r="L349" s="558"/>
      <c r="M349" s="629"/>
      <c r="N349" s="557"/>
      <c r="O349" s="704"/>
      <c r="P349" s="558"/>
      <c r="Q349" s="558"/>
      <c r="R349" s="558"/>
      <c r="S349" s="629"/>
      <c r="T349" s="557"/>
      <c r="U349" s="704"/>
      <c r="V349" s="558"/>
      <c r="W349" s="558"/>
      <c r="X349" s="558"/>
      <c r="Y349" s="629"/>
      <c r="Z349" s="557"/>
      <c r="AA349" s="581"/>
      <c r="AB349" s="550"/>
      <c r="AC349" s="550"/>
      <c r="AD349" s="582"/>
      <c r="AE349" s="580"/>
      <c r="AF349" s="557"/>
      <c r="AG349" s="581">
        <f>+AG350*AG343</f>
        <v>10.852227223954772</v>
      </c>
      <c r="AH349" s="550">
        <f>+AH350*AH343</f>
        <v>13.98212886290578</v>
      </c>
      <c r="AI349" s="550">
        <f>+AI350*AI343</f>
        <v>14.813449818261645</v>
      </c>
      <c r="AJ349" s="582">
        <f>+AJ350*AJ343</f>
        <v>17.132983820343878</v>
      </c>
      <c r="AK349" s="580">
        <f>SUM(AG349:AJ349)</f>
        <v>56.780789725466079</v>
      </c>
      <c r="AL349" s="557"/>
      <c r="AM349" s="581">
        <f>+AM350*AM343</f>
        <v>15.80257030463356</v>
      </c>
      <c r="AN349" s="550">
        <f>+AN350*AN343</f>
        <v>15.700374392125115</v>
      </c>
      <c r="AO349" s="550">
        <f>+AO350*AO343</f>
        <v>13.436234495296191</v>
      </c>
      <c r="AP349" s="582">
        <f>+AP350*AP343</f>
        <v>17.724619536312758</v>
      </c>
      <c r="AQ349" s="580">
        <f>SUM(AM349:AP349)</f>
        <v>62.663798728367624</v>
      </c>
      <c r="AR349" s="557"/>
      <c r="AS349" s="581">
        <f>+AS350*AS343</f>
        <v>14.466471418761989</v>
      </c>
      <c r="AT349" s="550">
        <f>+AT350*AT343</f>
        <v>15.287107779635168</v>
      </c>
      <c r="AU349" s="550">
        <f>+AU350*AU343</f>
        <v>16.911600519285638</v>
      </c>
      <c r="AV349" s="582">
        <f>+AV350*AV343</f>
        <v>20.023922171018366</v>
      </c>
      <c r="AW349" s="580">
        <f>SUM(AS349:AV349)</f>
        <v>66.68910188870116</v>
      </c>
      <c r="AX349" s="557"/>
      <c r="AY349" s="581">
        <f>+AY350*AY343</f>
        <v>14.493928252412335</v>
      </c>
      <c r="AZ349" s="550">
        <f>+AZ350*AZ343</f>
        <v>17.604959317187877</v>
      </c>
      <c r="BA349" s="550">
        <f>+BA350*BA343</f>
        <v>16.553123088524629</v>
      </c>
      <c r="BB349" s="582">
        <f>+BB350*BB343</f>
        <v>19.147953477242162</v>
      </c>
      <c r="BC349" s="580">
        <f>SUM(AY349:BB349)</f>
        <v>67.799964135366992</v>
      </c>
      <c r="BD349" s="557"/>
      <c r="BE349" s="581">
        <f>+BE350*BE343</f>
        <v>13.720437963246603</v>
      </c>
      <c r="BF349" s="550">
        <f>+BF350*BF343</f>
        <v>16.357018887858668</v>
      </c>
      <c r="BG349" s="550">
        <f>+BG350*BG343</f>
        <v>15.230763448289688</v>
      </c>
      <c r="BH349" s="582">
        <f>+BH350*BH343</f>
        <v>19.605759902231586</v>
      </c>
      <c r="BI349" s="580">
        <f>SUM(BE349:BH349)</f>
        <v>64.913980201626543</v>
      </c>
      <c r="BJ349" s="557"/>
      <c r="BK349" s="581">
        <f>+BK350*BK343</f>
        <v>14.87700000372231</v>
      </c>
      <c r="BL349" s="550">
        <f>+BL350*BL343</f>
        <v>16.539278692093866</v>
      </c>
      <c r="BM349" s="550">
        <f>+BM350*BM343</f>
        <v>18.270954441822482</v>
      </c>
      <c r="BN349" s="582">
        <f>+BN350*BN343</f>
        <v>24.866978209352368</v>
      </c>
      <c r="BO349" s="580">
        <f>SUM(BK349:BN349)</f>
        <v>74.554211346991025</v>
      </c>
      <c r="BP349" s="557"/>
      <c r="BQ349" s="581">
        <f>+BQ350*BQ343</f>
        <v>15.553748928907922</v>
      </c>
      <c r="BR349" s="550">
        <f>+BR350*BR343</f>
        <v>15.182836562177563</v>
      </c>
      <c r="BS349" s="550">
        <f>+BS350*BS343</f>
        <v>16.22401907922271</v>
      </c>
      <c r="BT349" s="582">
        <f>+BT350*BT343</f>
        <v>18.961537022390065</v>
      </c>
      <c r="BU349" s="580">
        <f>SUM(BQ349:BT349)</f>
        <v>65.922141592698253</v>
      </c>
      <c r="BV349" s="557"/>
      <c r="BW349" s="581">
        <f>+BW350*BW343</f>
        <v>16.265209528275403</v>
      </c>
      <c r="BX349" s="550">
        <f>+BX350*BX343</f>
        <v>18.833667423875731</v>
      </c>
      <c r="BY349" s="550">
        <f>+BY350*BY343</f>
        <v>16.362596342608583</v>
      </c>
      <c r="BZ349" s="550">
        <f>+BZ350*BZ343</f>
        <v>16.779413453544514</v>
      </c>
      <c r="CA349" s="580">
        <f>SUM(BW349:BZ349)</f>
        <v>68.240886748304234</v>
      </c>
      <c r="CB349" s="557"/>
      <c r="CC349" s="581">
        <f>+CC350*CC343</f>
        <v>15.197396843711012</v>
      </c>
      <c r="CD349" s="550">
        <f>+CD350*CD343</f>
        <v>16.002943658722309</v>
      </c>
      <c r="CE349" s="550">
        <f>+CE350*CE343</f>
        <v>16.548613191365689</v>
      </c>
      <c r="CF349" s="550">
        <f>+CF350*CF343</f>
        <v>19.940596287107098</v>
      </c>
      <c r="CG349" s="580">
        <f>SUM(CC349:CF349)</f>
        <v>67.689549980906108</v>
      </c>
      <c r="CH349" s="557"/>
      <c r="CI349" s="581">
        <f>+CI350*CI343</f>
        <v>16.62638973300033</v>
      </c>
      <c r="CJ349" s="550">
        <f>+CJ350*CJ343</f>
        <v>17.623273220698458</v>
      </c>
      <c r="CK349" s="550">
        <f>+CK350*CK343</f>
        <v>18.11314218639146</v>
      </c>
      <c r="CL349" s="582">
        <f>+CL350*CL343</f>
        <v>21.880928250229811</v>
      </c>
      <c r="CM349" s="580">
        <f>SUM(CI349:CL349)</f>
        <v>74.24373339032006</v>
      </c>
      <c r="CN349" s="557"/>
      <c r="CO349" s="581">
        <f>+CO350*CO343</f>
        <v>16.039454662283216</v>
      </c>
      <c r="CP349" s="550">
        <f>+CP350*CP343</f>
        <v>17.729025538537602</v>
      </c>
      <c r="CQ349" s="550">
        <f>+CQ350*CQ343</f>
        <v>17.789439913713444</v>
      </c>
      <c r="CR349" s="582">
        <f>+CR350*CR343</f>
        <v>21.97078035505622</v>
      </c>
      <c r="CS349" s="580">
        <f>SUM(CO349:CR349)</f>
        <v>73.52870046959049</v>
      </c>
      <c r="CT349" s="557"/>
      <c r="CU349" s="581">
        <f>+CU350*CU343</f>
        <v>15.819175223210804</v>
      </c>
      <c r="CV349" s="550">
        <f>+CV350*CV343</f>
        <v>17.45448752554255</v>
      </c>
      <c r="CW349" s="550">
        <f>+CW350*CW343</f>
        <v>17.489274569424623</v>
      </c>
      <c r="CX349" s="582">
        <f>+CX350*CX343</f>
        <v>21.523391488702963</v>
      </c>
      <c r="CY349" s="580">
        <f>SUM(CU349:CX349)</f>
        <v>72.286328806880931</v>
      </c>
      <c r="CZ349" s="48"/>
      <c r="DD349" s="48"/>
      <c r="DE349" s="48"/>
      <c r="DF349" s="48"/>
      <c r="DG349" s="48"/>
      <c r="DH349" s="48"/>
      <c r="DI349" s="48"/>
      <c r="DJ349" s="48"/>
      <c r="DK349" s="48"/>
    </row>
    <row r="350" spans="1:115" outlineLevel="1" x14ac:dyDescent="0.2">
      <c r="A350" s="205" t="s">
        <v>473</v>
      </c>
      <c r="B350" s="58"/>
      <c r="C350" s="558"/>
      <c r="D350" s="558"/>
      <c r="E350" s="558"/>
      <c r="F350" s="558"/>
      <c r="G350" s="629"/>
      <c r="H350" s="557"/>
      <c r="I350" s="704"/>
      <c r="J350" s="558"/>
      <c r="K350" s="558"/>
      <c r="L350" s="558"/>
      <c r="M350" s="629"/>
      <c r="N350" s="557"/>
      <c r="O350" s="704"/>
      <c r="P350" s="558"/>
      <c r="Q350" s="558"/>
      <c r="R350" s="558"/>
      <c r="S350" s="629"/>
      <c r="T350" s="557"/>
      <c r="U350" s="704"/>
      <c r="V350" s="558"/>
      <c r="W350" s="558"/>
      <c r="X350" s="558"/>
      <c r="Y350" s="629"/>
      <c r="Z350" s="557"/>
      <c r="AA350" s="581"/>
      <c r="AB350" s="550"/>
      <c r="AC350" s="550"/>
      <c r="AD350" s="582"/>
      <c r="AE350" s="580"/>
      <c r="AF350" s="557"/>
      <c r="AG350" s="1115">
        <f>+AG$445</f>
        <v>0.45592555209045271</v>
      </c>
      <c r="AH350" s="1114">
        <f>+AH$445</f>
        <v>0.42214227418844424</v>
      </c>
      <c r="AI350" s="1114">
        <f>+AI$445</f>
        <v>0.41318036347671372</v>
      </c>
      <c r="AJ350" s="1114">
        <f>+AJ$445</f>
        <v>0.42863771535966699</v>
      </c>
      <c r="AK350" s="1106">
        <v>0</v>
      </c>
      <c r="AL350" s="557"/>
      <c r="AM350" s="1115">
        <f>+AM$445</f>
        <v>0.44228095623036295</v>
      </c>
      <c r="AN350" s="1114">
        <f>+AN$445</f>
        <v>0.44711437673742477</v>
      </c>
      <c r="AO350" s="1114">
        <f>+AO$445</f>
        <v>0.43339315647817084</v>
      </c>
      <c r="AP350" s="1114">
        <f>+AP$445</f>
        <v>0.43584451233085936</v>
      </c>
      <c r="AQ350" s="707">
        <f>+AQ349/AQ$343</f>
        <v>0.43970176981771114</v>
      </c>
      <c r="AR350" s="557"/>
      <c r="AS350" s="1115">
        <f>+AS$445</f>
        <v>0.46201340768534516</v>
      </c>
      <c r="AT350" s="1114">
        <f>+AT$445</f>
        <v>0.45686016954647124</v>
      </c>
      <c r="AU350" s="1114">
        <f>+AU$445</f>
        <v>0.4634790301557794</v>
      </c>
      <c r="AV350" s="1114">
        <f>+AV$445</f>
        <v>0.4049172361445923</v>
      </c>
      <c r="AW350" s="707">
        <f>+AW349/AW$343</f>
        <v>0.44248979008815159</v>
      </c>
      <c r="AX350" s="557"/>
      <c r="AY350" s="1115">
        <f>+AY$445</f>
        <v>0.43799645373089491</v>
      </c>
      <c r="AZ350" s="1114">
        <f>+AZ$445</f>
        <v>0.43321412165364309</v>
      </c>
      <c r="BA350" s="1114">
        <f>+BA$445</f>
        <v>0.44528448306368412</v>
      </c>
      <c r="BB350" s="1114">
        <f>+BB$445</f>
        <v>0.41604337838488126</v>
      </c>
      <c r="BC350" s="707">
        <f>+BC349/BC$343</f>
        <v>0.43204604078619602</v>
      </c>
      <c r="BD350" s="557"/>
      <c r="BE350" s="1115">
        <f>+BE$445</f>
        <v>0.45034411287236775</v>
      </c>
      <c r="BF350" s="1114">
        <f>+BF$445</f>
        <v>0.42688457331008178</v>
      </c>
      <c r="BG350" s="1114">
        <f>+BG$445</f>
        <v>0.4225640071783624</v>
      </c>
      <c r="BH350" s="1114">
        <f>+BH$445</f>
        <v>0.41003154506380995</v>
      </c>
      <c r="BI350" s="707">
        <f>+BI349/BI$343</f>
        <v>0.42526753377109638</v>
      </c>
      <c r="BJ350" s="557"/>
      <c r="BK350" s="1115">
        <f>+BK$445</f>
        <v>0.45662631339230531</v>
      </c>
      <c r="BL350" s="1114">
        <f>+BL$445</f>
        <v>0.44128389565270054</v>
      </c>
      <c r="BM350" s="1114">
        <f>+BM$445</f>
        <v>0.43997192939722302</v>
      </c>
      <c r="BN350" s="1114">
        <f>+BN$445</f>
        <v>0.4481733111030482</v>
      </c>
      <c r="BO350" s="707">
        <f>+BO349/BO$343</f>
        <v>0.44623764718665587</v>
      </c>
      <c r="BP350" s="557"/>
      <c r="BQ350" s="1115">
        <f>+BQ$445</f>
        <v>0.46010047729109704</v>
      </c>
      <c r="BR350" s="1114">
        <f>+BR$445</f>
        <v>0.41739530760688748</v>
      </c>
      <c r="BS350" s="1114">
        <f>+BS$445</f>
        <v>0.415040745333006</v>
      </c>
      <c r="BT350" s="1114">
        <f>+BT$445</f>
        <v>0.39778468156085223</v>
      </c>
      <c r="BU350" s="707">
        <f>+BU349/BU$343</f>
        <v>0.42005123378749776</v>
      </c>
      <c r="BV350" s="557"/>
      <c r="BW350" s="1115">
        <f>+BW$445</f>
        <v>0.47669597408123432</v>
      </c>
      <c r="BX350" s="1114">
        <f>+BX$445</f>
        <v>0.46262986997278643</v>
      </c>
      <c r="BY350" s="1114">
        <f>+BY$445</f>
        <v>0.42584354249940332</v>
      </c>
      <c r="BZ350" s="1114">
        <f>+BZ$445</f>
        <v>0.37378014568160334</v>
      </c>
      <c r="CA350" s="707">
        <f>+CA349/CA$343</f>
        <v>0.43150609228051978</v>
      </c>
      <c r="CB350" s="557"/>
      <c r="CC350" s="1115">
        <f>+CC$445</f>
        <v>0.46902102089680681</v>
      </c>
      <c r="CD350" s="1114">
        <f>+CD$445</f>
        <v>0.42277433378357065</v>
      </c>
      <c r="CE350" s="1114">
        <f>+CE$445</f>
        <v>0.41143005972310942</v>
      </c>
      <c r="CF350" s="1114">
        <f>+CF$445</f>
        <v>0.36495154588268569</v>
      </c>
      <c r="CG350" s="707">
        <f>+CG349/CG343</f>
        <v>0.40995200230495099</v>
      </c>
      <c r="CH350" s="557"/>
      <c r="CI350" s="1115">
        <f>+CI$445</f>
        <v>0.4795537398221279</v>
      </c>
      <c r="CJ350" s="1114">
        <f>+CJ$445</f>
        <v>0.43716532178378853</v>
      </c>
      <c r="CK350" s="1114">
        <f>+CK$445</f>
        <v>0.43093515021690298</v>
      </c>
      <c r="CL350" s="1114">
        <f>+CL$445</f>
        <v>0.38506094240023353</v>
      </c>
      <c r="CM350" s="707">
        <f>+CM349/CM343</f>
        <v>0.42708105628664783</v>
      </c>
      <c r="CN350" s="557"/>
      <c r="CO350" s="1115">
        <f>+CO$445</f>
        <v>0.45355373982212788</v>
      </c>
      <c r="CP350" s="1114">
        <f>+CP$445</f>
        <v>0.43116532178378852</v>
      </c>
      <c r="CQ350" s="1114">
        <f>+CQ$445</f>
        <v>0.41493515021690297</v>
      </c>
      <c r="CR350" s="1114">
        <f>+CR$445</f>
        <v>0.37906094240023352</v>
      </c>
      <c r="CS350" s="707">
        <f>+CS349/CS343</f>
        <v>0.41467439940047085</v>
      </c>
      <c r="CT350" s="557"/>
      <c r="CU350" s="1115">
        <f>+CU$445</f>
        <v>0.43855373982212792</v>
      </c>
      <c r="CV350" s="1114">
        <f>+CV$445</f>
        <v>0.41616532178378857</v>
      </c>
      <c r="CW350" s="1114">
        <f>+CW$445</f>
        <v>0.39993515021690296</v>
      </c>
      <c r="CX350" s="1114">
        <f>+CX$445</f>
        <v>0.36406094240023351</v>
      </c>
      <c r="CY350" s="707">
        <f>+CY349/CY343</f>
        <v>0.39967439940047073</v>
      </c>
      <c r="CZ350" s="48"/>
      <c r="DD350" s="48"/>
      <c r="DE350" s="48"/>
      <c r="DF350" s="48"/>
      <c r="DG350" s="48"/>
      <c r="DH350" s="48"/>
      <c r="DI350" s="48"/>
      <c r="DJ350" s="48"/>
      <c r="DK350" s="48"/>
    </row>
    <row r="351" spans="1:115" x14ac:dyDescent="0.2">
      <c r="A351" s="354" t="s">
        <v>533</v>
      </c>
      <c r="B351" s="58"/>
      <c r="C351" s="558"/>
      <c r="D351" s="558"/>
      <c r="E351" s="558"/>
      <c r="F351" s="558"/>
      <c r="G351" s="629"/>
      <c r="H351" s="557"/>
      <c r="I351" s="704"/>
      <c r="J351" s="558"/>
      <c r="K351" s="558"/>
      <c r="L351" s="558"/>
      <c r="M351" s="629"/>
      <c r="N351" s="557"/>
      <c r="O351" s="704"/>
      <c r="P351" s="558"/>
      <c r="Q351" s="558"/>
      <c r="R351" s="558"/>
      <c r="S351" s="629"/>
      <c r="T351" s="557"/>
      <c r="U351" s="704"/>
      <c r="V351" s="558"/>
      <c r="W351" s="558"/>
      <c r="X351" s="558"/>
      <c r="Y351" s="629"/>
      <c r="Z351" s="557"/>
      <c r="AA351" s="581"/>
      <c r="AB351" s="550"/>
      <c r="AC351" s="550"/>
      <c r="AD351" s="582"/>
      <c r="AE351" s="580"/>
      <c r="AF351" s="557"/>
      <c r="AG351" s="581">
        <f>+AG347-AG349</f>
        <v>-0.14104372395477149</v>
      </c>
      <c r="AH351" s="550">
        <f>+AH347-AH349</f>
        <v>0.92269913709422013</v>
      </c>
      <c r="AI351" s="550">
        <f>+AI347-AI349</f>
        <v>1.3200671817383558</v>
      </c>
      <c r="AJ351" s="550">
        <f>+AJ347-AJ349</f>
        <v>0.85386717965613101</v>
      </c>
      <c r="AK351" s="580">
        <f>+AK347-AK349</f>
        <v>2.9555897745339266</v>
      </c>
      <c r="AL351" s="557"/>
      <c r="AM351" s="581">
        <f>+AM347-AM349</f>
        <v>0.27579919536644049</v>
      </c>
      <c r="AN351" s="550">
        <f>+AN347-AN349</f>
        <v>0.10132835787488759</v>
      </c>
      <c r="AO351" s="550">
        <f>+AO347-AO349</f>
        <v>0.51485225470380946</v>
      </c>
      <c r="AP351" s="550">
        <f>+AP347-AP349</f>
        <v>0.57566546368724403</v>
      </c>
      <c r="AQ351" s="580">
        <f>+AQ347-AQ349</f>
        <v>1.4676452716323922</v>
      </c>
      <c r="AR351" s="557"/>
      <c r="AS351" s="581">
        <f>+AS347-AS349</f>
        <v>-0.37616141876199016</v>
      </c>
      <c r="AT351" s="550">
        <f>+AT347-AT349</f>
        <v>-0.22954977963516576</v>
      </c>
      <c r="AU351" s="550">
        <f>+AU347-AU349</f>
        <v>-0.49182801928563791</v>
      </c>
      <c r="AV351" s="550">
        <f>+AV347-AV349</f>
        <v>2.2294278289816418</v>
      </c>
      <c r="AW351" s="580">
        <f>+AW347-AW349</f>
        <v>1.131888611298848</v>
      </c>
      <c r="AX351" s="557"/>
      <c r="AY351" s="581">
        <f>+AY347-AY349</f>
        <v>0.39721449093241645</v>
      </c>
      <c r="AZ351" s="550">
        <f>+AZ347-AZ349</f>
        <v>0.68214467308418847</v>
      </c>
      <c r="BA351" s="550">
        <f>+BA347-BA349</f>
        <v>0.1752958731815859</v>
      </c>
      <c r="BB351" s="550">
        <f>+BB347-BB349</f>
        <v>1.5628173520144593</v>
      </c>
      <c r="BC351" s="580">
        <f>+BC347-BC349</f>
        <v>2.8174723892126536</v>
      </c>
      <c r="BD351" s="557"/>
      <c r="BE351" s="581">
        <f>+BE347-BE349</f>
        <v>-1.0483937022209844E-2</v>
      </c>
      <c r="BF351" s="550">
        <f>+BF347-BF349</f>
        <v>0.88571828219536286</v>
      </c>
      <c r="BG351" s="550">
        <f>+BG347-BG349</f>
        <v>0.98889424924199609</v>
      </c>
      <c r="BH351" s="550">
        <f>+BH347-BH349</f>
        <v>1.9111015739536761</v>
      </c>
      <c r="BI351" s="580">
        <f>+BI347-BI349</f>
        <v>3.7752301683688358</v>
      </c>
      <c r="BJ351" s="557"/>
      <c r="BK351" s="581">
        <f>+BK347-BK349</f>
        <v>-0.21588695497996291</v>
      </c>
      <c r="BL351" s="550">
        <f>+BL347-BL349</f>
        <v>0.32667876695598252</v>
      </c>
      <c r="BM351" s="550">
        <f>+BM347-BM349</f>
        <v>0.41644116108438922</v>
      </c>
      <c r="BN351" s="550">
        <f>+BN347-BN349</f>
        <v>0.10135416784182638</v>
      </c>
      <c r="BO351" s="580">
        <f>+BO347-BO349</f>
        <v>0.62858714090222634</v>
      </c>
      <c r="BP351" s="557"/>
      <c r="BQ351" s="581">
        <f>+BQ347-BQ349</f>
        <v>-0.34144778282519539</v>
      </c>
      <c r="BR351" s="550">
        <f>+BR347-BR349</f>
        <v>1.1860021105722005</v>
      </c>
      <c r="BS351" s="550">
        <f>+BS347-BS349</f>
        <v>1.3665636954695657</v>
      </c>
      <c r="BT351" s="550">
        <f>+BT347-BT349</f>
        <v>2.4889915062461405</v>
      </c>
      <c r="BU351" s="580">
        <f>+BU347-BU349</f>
        <v>4.700109529462722</v>
      </c>
      <c r="BV351" s="557"/>
      <c r="BW351" s="581">
        <f>+BW347-BW349</f>
        <v>-0.91088583835761483</v>
      </c>
      <c r="BX351" s="550">
        <f>+BX347-BX349</f>
        <v>-0.51416215448485048</v>
      </c>
      <c r="BY351" s="550">
        <f>+BY347-BY349</f>
        <v>0.92818681910668133</v>
      </c>
      <c r="BZ351" s="550">
        <f>+BZ347-BZ349</f>
        <v>3.4215954585954158</v>
      </c>
      <c r="CA351" s="580">
        <f>+CA347-CA349</f>
        <v>2.9247342848596247</v>
      </c>
      <c r="CB351" s="557"/>
      <c r="CC351" s="581">
        <f>+CC347-CC349</f>
        <v>-0.61632632667202536</v>
      </c>
      <c r="CD351" s="550">
        <f>+CD347-CD349</f>
        <v>1.0305516861289412</v>
      </c>
      <c r="CE351" s="550">
        <f>+CE347-CE349</f>
        <v>1.5513670121378524</v>
      </c>
      <c r="CF351" s="550">
        <f>+CF347-CF349</f>
        <v>4.6469645286584722</v>
      </c>
      <c r="CG351" s="580">
        <f>+CG347-CG349</f>
        <v>6.6125569002532387</v>
      </c>
      <c r="CH351" s="557"/>
      <c r="CI351" s="581">
        <f>+CI347-CI349</f>
        <v>-1.0246442797686157</v>
      </c>
      <c r="CJ351" s="550">
        <f>+CJ347-CJ349</f>
        <v>0.51739932156812074</v>
      </c>
      <c r="CK351" s="550">
        <f>+CK347-CK349</f>
        <v>0.80133712626973974</v>
      </c>
      <c r="CL351" s="550">
        <f>+CL347-CL349</f>
        <v>3.6901349981663856</v>
      </c>
      <c r="CM351" s="580">
        <f>+CM347-CM349</f>
        <v>3.9842271662356268</v>
      </c>
      <c r="CN351" s="557"/>
      <c r="CO351" s="581">
        <f>+CO347-CO349</f>
        <v>-0.12567429998686563</v>
      </c>
      <c r="CP351" s="550">
        <f>+CP347-CP349</f>
        <v>0.77446045457430657</v>
      </c>
      <c r="CQ351" s="550">
        <f>+CQ347-CQ349</f>
        <v>1.5033289852009801</v>
      </c>
      <c r="CR351" s="550">
        <f>+CR347-CR349</f>
        <v>4.1117041583078979</v>
      </c>
      <c r="CS351" s="580">
        <f>+CS347-CS349</f>
        <v>6.2638192980963083</v>
      </c>
      <c r="CT351" s="557"/>
      <c r="CU351" s="581">
        <f>+CU347-CU349</f>
        <v>0.41288074633147254</v>
      </c>
      <c r="CV351" s="550">
        <f>+CV347-CV349</f>
        <v>1.4190681874315985</v>
      </c>
      <c r="CW351" s="550">
        <f>+CW347-CW349</f>
        <v>2.1893497074680894</v>
      </c>
      <c r="CX351" s="550">
        <f>+CX347-CX349</f>
        <v>5.0807427149284372</v>
      </c>
      <c r="CY351" s="580">
        <f>+CY347-CY349</f>
        <v>9.102041356159603</v>
      </c>
      <c r="CZ351" s="48"/>
      <c r="DD351" s="48"/>
      <c r="DE351" s="48"/>
      <c r="DF351" s="48"/>
      <c r="DG351" s="48"/>
      <c r="DH351" s="48"/>
      <c r="DI351" s="48"/>
      <c r="DJ351" s="48"/>
      <c r="DK351" s="48"/>
    </row>
    <row r="352" spans="1:115" x14ac:dyDescent="0.2">
      <c r="A352" s="205" t="s">
        <v>476</v>
      </c>
      <c r="B352" s="58"/>
      <c r="C352" s="558"/>
      <c r="D352" s="558"/>
      <c r="E352" s="558"/>
      <c r="F352" s="558"/>
      <c r="G352" s="629"/>
      <c r="H352" s="557"/>
      <c r="I352" s="704"/>
      <c r="J352" s="558"/>
      <c r="K352" s="558"/>
      <c r="L352" s="558"/>
      <c r="M352" s="629"/>
      <c r="N352" s="557"/>
      <c r="O352" s="704"/>
      <c r="P352" s="558"/>
      <c r="Q352" s="558"/>
      <c r="R352" s="558"/>
      <c r="S352" s="629"/>
      <c r="T352" s="557"/>
      <c r="U352" s="704"/>
      <c r="V352" s="558"/>
      <c r="W352" s="558"/>
      <c r="X352" s="558"/>
      <c r="Y352" s="629"/>
      <c r="Z352" s="557"/>
      <c r="AA352" s="581"/>
      <c r="AB352" s="550"/>
      <c r="AC352" s="550"/>
      <c r="AD352" s="582"/>
      <c r="AE352" s="580"/>
      <c r="AF352" s="557"/>
      <c r="AG352" s="1115">
        <f>+AG351/AG343</f>
        <v>-5.925552090452672E-3</v>
      </c>
      <c r="AH352" s="1114">
        <f>+AH351/AH343</f>
        <v>2.7857725811555763E-2</v>
      </c>
      <c r="AI352" s="1132">
        <f>+AI351/AI343</f>
        <v>3.6819636523286278E-2</v>
      </c>
      <c r="AJ352" s="1213">
        <f>+AJ351/AJ343</f>
        <v>2.1362284640333028E-2</v>
      </c>
      <c r="AK352" s="707">
        <f>+AK351/AK343</f>
        <v>2.2264747372918149E-2</v>
      </c>
      <c r="AL352" s="557"/>
      <c r="AM352" s="1115">
        <f>+AM351/AM343</f>
        <v>7.7190437696371033E-3</v>
      </c>
      <c r="AN352" s="1114">
        <f>+AN351/AN343</f>
        <v>2.885623262575257E-3</v>
      </c>
      <c r="AO352" s="1132">
        <f>+AO351/AO343</f>
        <v>1.660684352182917E-2</v>
      </c>
      <c r="AP352" s="1213">
        <f>+AP351/AP343</f>
        <v>1.4155487669140661E-2</v>
      </c>
      <c r="AQ352" s="707">
        <f>+AQ351/AQ$343</f>
        <v>1.0298230182288995E-2</v>
      </c>
      <c r="AR352" s="557"/>
      <c r="AS352" s="1115">
        <f>+AS351/AS343</f>
        <v>-1.2013407685345147E-2</v>
      </c>
      <c r="AT352" s="1114">
        <f>+AT351/AT343</f>
        <v>-6.860169546471253E-3</v>
      </c>
      <c r="AU352" s="1132">
        <f>+AU351/AU343</f>
        <v>-1.3479030155779385E-2</v>
      </c>
      <c r="AV352" s="1213">
        <f>+AV351/AV343</f>
        <v>4.508276385540777E-2</v>
      </c>
      <c r="AW352" s="707">
        <f>+AW351/AW$343</f>
        <v>7.5102099118484807E-3</v>
      </c>
      <c r="AX352" s="557"/>
      <c r="AY352" s="1115">
        <f>+AY351/AY343</f>
        <v>1.2003546269105103E-2</v>
      </c>
      <c r="AZ352" s="1114">
        <f>+AZ351/AZ343</f>
        <v>1.6785878346356906E-2</v>
      </c>
      <c r="BA352" s="1132">
        <f>+BA351/BA343</f>
        <v>4.7155169363158975E-3</v>
      </c>
      <c r="BB352" s="1213">
        <f>+BB351/BB343</f>
        <v>3.3956621615118768E-2</v>
      </c>
      <c r="BC352" s="707">
        <f>+BC351/BC$343</f>
        <v>1.7953959213803976E-2</v>
      </c>
      <c r="BD352" s="557"/>
      <c r="BE352" s="1115">
        <f>+BE351/BE343</f>
        <v>-3.4411287236779046E-4</v>
      </c>
      <c r="BF352" s="1114">
        <f>+BF351/BF343</f>
        <v>2.3115426689918301E-2</v>
      </c>
      <c r="BG352" s="1132">
        <f>+BG351/BG343</f>
        <v>2.7435992821637594E-2</v>
      </c>
      <c r="BH352" s="1213">
        <f>+BH351/BH343</f>
        <v>3.996845493619005E-2</v>
      </c>
      <c r="BI352" s="707">
        <f>+BI351/BI$343</f>
        <v>2.4732466228903762E-2</v>
      </c>
      <c r="BJ352" s="557"/>
      <c r="BK352" s="1115">
        <f>+BK351/BK343</f>
        <v>-6.6263133923052933E-3</v>
      </c>
      <c r="BL352" s="1114">
        <f>+BL351/BL343</f>
        <v>8.7161043472994606E-3</v>
      </c>
      <c r="BM352" s="1132">
        <f>+BM351/BM343</f>
        <v>1.0028070602777031E-2</v>
      </c>
      <c r="BN352" s="1213">
        <f>+BN351/BN343</f>
        <v>1.8266888969517637E-3</v>
      </c>
      <c r="BO352" s="707">
        <f>+BO351/BO$343</f>
        <v>3.7623528133440211E-3</v>
      </c>
      <c r="BP352" s="557"/>
      <c r="BQ352" s="1115">
        <f>+BQ351/BQ343</f>
        <v>-1.0100477291097032E-2</v>
      </c>
      <c r="BR352" s="1114">
        <f>+BR351/BR343</f>
        <v>3.2604692393112519E-2</v>
      </c>
      <c r="BS352" s="1132">
        <f>+BS351/BS343</f>
        <v>3.4959254666993962E-2</v>
      </c>
      <c r="BT352" s="1213">
        <f>+BT351/BT343</f>
        <v>5.2215318439147763E-2</v>
      </c>
      <c r="BU352" s="707">
        <f>+BU351/BU$343</f>
        <v>2.9948766212502267E-2</v>
      </c>
      <c r="BV352" s="557"/>
      <c r="BW352" s="1115">
        <f>+BW351/BW343</f>
        <v>-2.6695974081234277E-2</v>
      </c>
      <c r="BX352" s="1132">
        <f>+BX351/BX343</f>
        <v>-1.2629869972786433E-2</v>
      </c>
      <c r="BY352" s="1132">
        <f>+BY351/BY343</f>
        <v>2.4156457500596629E-2</v>
      </c>
      <c r="BZ352" s="1132">
        <f>+BZ351/BZ343</f>
        <v>7.6219854318396618E-2</v>
      </c>
      <c r="CA352" s="707">
        <f>+CA351/CA$343</f>
        <v>1.8493907719480191E-2</v>
      </c>
      <c r="CB352" s="557"/>
      <c r="CC352" s="1115">
        <f>+CC351/CC343</f>
        <v>-1.9021020896806753E-2</v>
      </c>
      <c r="CD352" s="1132">
        <f>+CD351/CD343</f>
        <v>2.722566621642937E-2</v>
      </c>
      <c r="CE352" s="1132">
        <f>+CE351/CE343</f>
        <v>3.8569940276890591E-2</v>
      </c>
      <c r="CF352" s="1132">
        <f>+CF351/CF343</f>
        <v>8.5048454117314279E-2</v>
      </c>
      <c r="CG352" s="707">
        <f>+CG351/CG343</f>
        <v>4.0047997695049048E-2</v>
      </c>
      <c r="CH352" s="557"/>
      <c r="CI352" s="1131">
        <f>+CI351/CI343</f>
        <v>-2.9553739822127903E-2</v>
      </c>
      <c r="CJ352" s="1132">
        <f>+CJ351/CJ343</f>
        <v>1.2834678216211466E-2</v>
      </c>
      <c r="CK352" s="1132">
        <f>+CK351/CK343</f>
        <v>1.9064849783097072E-2</v>
      </c>
      <c r="CL352" s="1213">
        <f>+CL351/CL343</f>
        <v>6.4939057599766536E-2</v>
      </c>
      <c r="CM352" s="707">
        <f>+CM351/CM343</f>
        <v>2.2918943713352152E-2</v>
      </c>
      <c r="CN352" s="557"/>
      <c r="CO352" s="1131">
        <f>+CO351/CO343</f>
        <v>-3.5537398221279024E-3</v>
      </c>
      <c r="CP352" s="1132">
        <f>+CP351/CP343</f>
        <v>1.8834678216211417E-2</v>
      </c>
      <c r="CQ352" s="1132">
        <f>+CQ351/CQ343</f>
        <v>3.5064849783097055E-2</v>
      </c>
      <c r="CR352" s="1213">
        <f>+CR351/CR343</f>
        <v>7.0939057599766472E-2</v>
      </c>
      <c r="CS352" s="707">
        <f>+CS351/CS343</f>
        <v>3.5325600599529154E-2</v>
      </c>
      <c r="CT352" s="557"/>
      <c r="CU352" s="1131">
        <f>+CU351/CU343</f>
        <v>1.1446260177872087E-2</v>
      </c>
      <c r="CV352" s="1132">
        <f>+CV351/CV343</f>
        <v>3.3834678216211438E-2</v>
      </c>
      <c r="CW352" s="1132">
        <f>+CW351/CW343</f>
        <v>5.006484978309704E-2</v>
      </c>
      <c r="CX352" s="1213">
        <f>+CX351/CX343</f>
        <v>8.5939057599766486E-2</v>
      </c>
      <c r="CY352" s="707">
        <f>+CY351/CY343</f>
        <v>5.0325600599529244E-2</v>
      </c>
      <c r="CZ352" s="48"/>
      <c r="DD352" s="48"/>
      <c r="DE352" s="48"/>
      <c r="DF352" s="48"/>
      <c r="DG352" s="48"/>
      <c r="DH352" s="48"/>
      <c r="DI352" s="48"/>
      <c r="DJ352" s="48"/>
      <c r="DK352" s="48"/>
    </row>
    <row r="353" spans="1:115" x14ac:dyDescent="0.2">
      <c r="A353" s="1161" t="s">
        <v>565</v>
      </c>
      <c r="B353" s="1162"/>
      <c r="C353" s="1163"/>
      <c r="D353" s="1163"/>
      <c r="E353" s="1163"/>
      <c r="F353" s="1163"/>
      <c r="G353" s="1164"/>
      <c r="H353" s="1165"/>
      <c r="I353" s="1166"/>
      <c r="J353" s="1163"/>
      <c r="K353" s="1163"/>
      <c r="L353" s="1163"/>
      <c r="M353" s="1164"/>
      <c r="N353" s="1165"/>
      <c r="O353" s="1166"/>
      <c r="P353" s="1163"/>
      <c r="Q353" s="1163"/>
      <c r="R353" s="1163"/>
      <c r="S353" s="1164"/>
      <c r="T353" s="1163"/>
      <c r="U353" s="1166"/>
      <c r="V353" s="1163"/>
      <c r="W353" s="1163"/>
      <c r="X353" s="1163"/>
      <c r="Y353" s="1164"/>
      <c r="Z353" s="1167"/>
      <c r="AA353" s="1168"/>
      <c r="AB353" s="1169"/>
      <c r="AC353" s="1169"/>
      <c r="AD353" s="1170"/>
      <c r="AE353" s="1171"/>
      <c r="AF353" s="1165"/>
      <c r="AG353" s="1172"/>
      <c r="AH353" s="1173"/>
      <c r="AI353" s="1173"/>
      <c r="AJ353" s="1174"/>
      <c r="AK353" s="1171"/>
      <c r="AL353" s="1175"/>
      <c r="AM353" s="1176"/>
      <c r="AN353" s="1177"/>
      <c r="AO353" s="1177"/>
      <c r="AP353" s="1177"/>
      <c r="AQ353" s="1171"/>
      <c r="AR353" s="1178"/>
      <c r="AS353" s="1172"/>
      <c r="AT353" s="1173"/>
      <c r="AU353" s="1173"/>
      <c r="AV353" s="1173"/>
      <c r="AW353" s="1171"/>
      <c r="AX353" s="1173"/>
      <c r="AY353" s="1172"/>
      <c r="AZ353" s="1173"/>
      <c r="BA353" s="1173"/>
      <c r="BB353" s="1173"/>
      <c r="BC353" s="1171"/>
      <c r="BD353" s="1178"/>
      <c r="BE353" s="1172"/>
      <c r="BF353" s="1173"/>
      <c r="BG353" s="1173"/>
      <c r="BH353" s="1173"/>
      <c r="BI353" s="1171"/>
      <c r="BJ353" s="1179"/>
      <c r="BK353" s="1180"/>
      <c r="BL353" s="1173"/>
      <c r="BM353" s="1173"/>
      <c r="BN353" s="1173"/>
      <c r="BO353" s="1171"/>
      <c r="BP353" s="1178"/>
      <c r="BQ353" s="1172"/>
      <c r="BR353" s="1173"/>
      <c r="BS353" s="1173"/>
      <c r="BT353" s="1173"/>
      <c r="BU353" s="1171"/>
      <c r="BV353" s="1178"/>
      <c r="BW353" s="1172"/>
      <c r="BX353" s="1173"/>
      <c r="BY353" s="1173"/>
      <c r="BZ353" s="1173"/>
      <c r="CA353" s="1171"/>
      <c r="CB353" s="1178"/>
      <c r="CC353" s="1172"/>
      <c r="CD353" s="1173"/>
      <c r="CE353" s="1173"/>
      <c r="CF353" s="1173"/>
      <c r="CG353" s="1171"/>
      <c r="CH353" s="1178"/>
      <c r="CI353" s="1172"/>
      <c r="CJ353" s="1173"/>
      <c r="CK353" s="1173"/>
      <c r="CL353" s="1173"/>
      <c r="CM353" s="1171"/>
      <c r="CN353" s="1178"/>
      <c r="CO353" s="1172"/>
      <c r="CP353" s="1173"/>
      <c r="CQ353" s="1173"/>
      <c r="CR353" s="1173"/>
      <c r="CS353" s="1171"/>
      <c r="CT353" s="1178"/>
      <c r="CU353" s="1172"/>
      <c r="CV353" s="1173"/>
      <c r="CW353" s="1173"/>
      <c r="CX353" s="1173"/>
      <c r="CY353" s="1171"/>
      <c r="CZ353" s="48"/>
      <c r="DD353" s="48"/>
      <c r="DE353" s="48"/>
      <c r="DF353" s="48"/>
      <c r="DG353" s="48"/>
      <c r="DH353" s="48"/>
      <c r="DI353" s="48"/>
      <c r="DJ353" s="48"/>
      <c r="DK353" s="48"/>
    </row>
    <row r="354" spans="1:115" x14ac:dyDescent="0.2">
      <c r="A354" s="1240" t="s">
        <v>463</v>
      </c>
      <c r="B354" s="1194"/>
      <c r="C354" s="1243"/>
      <c r="D354" s="1244"/>
      <c r="E354" s="1244"/>
      <c r="F354" s="1245"/>
      <c r="G354" s="1246"/>
      <c r="H354" s="1194"/>
      <c r="I354" s="1243"/>
      <c r="J354" s="1244"/>
      <c r="K354" s="1244"/>
      <c r="L354" s="1245"/>
      <c r="M354" s="1246"/>
      <c r="N354" s="1194"/>
      <c r="O354" s="1243"/>
      <c r="P354" s="1244"/>
      <c r="Q354" s="1244"/>
      <c r="R354" s="1245"/>
      <c r="S354" s="1246"/>
      <c r="T354" s="1194"/>
      <c r="U354" s="1243"/>
      <c r="V354" s="1244"/>
      <c r="W354" s="1244"/>
      <c r="X354" s="1245"/>
      <c r="Y354" s="1246"/>
      <c r="Z354" s="1194"/>
      <c r="AA354" s="1243"/>
      <c r="AB354" s="1244"/>
      <c r="AC354" s="1244"/>
      <c r="AD354" s="1245"/>
      <c r="AE354" s="1246"/>
      <c r="AF354" s="1194"/>
      <c r="AG354" s="1243">
        <f>+RevBuild!AG23</f>
        <v>24.302630000000001</v>
      </c>
      <c r="AH354" s="1244">
        <f>+RevBuild!AH23</f>
        <v>33.621839999999999</v>
      </c>
      <c r="AI354" s="1244">
        <f>+RevBuild!AI23</f>
        <v>36.352260000000001</v>
      </c>
      <c r="AJ354" s="1245">
        <f>+RevBuild!AJ23</f>
        <v>40.470780000000019</v>
      </c>
      <c r="AK354" s="1246">
        <f>+SUM(AG354:AJ354)</f>
        <v>134.74751000000003</v>
      </c>
      <c r="AL354" s="1194"/>
      <c r="AM354" s="1243">
        <f>+RevBuild!AM23</f>
        <v>37.010959999999997</v>
      </c>
      <c r="AN354" s="1244">
        <f>+RevBuild!AN23</f>
        <v>36.780520000000003</v>
      </c>
      <c r="AO354" s="1244">
        <f>+RevBuild!AO23</f>
        <v>32.918039999999998</v>
      </c>
      <c r="AP354" s="1245">
        <f>+RevBuild!AP23</f>
        <v>42.904800000000002</v>
      </c>
      <c r="AQ354" s="1246">
        <f>+SUM(AM354:AP354)</f>
        <v>149.61431999999999</v>
      </c>
      <c r="AR354" s="1194"/>
      <c r="AS354" s="1243">
        <f>+RevBuild!AS23</f>
        <v>31.711799999999997</v>
      </c>
      <c r="AT354" s="1244">
        <f>+RevBuild!AT23</f>
        <v>33.861240000000002</v>
      </c>
      <c r="AU354" s="1244">
        <f>+RevBuild!AU23</f>
        <v>37.555050000000001</v>
      </c>
      <c r="AV354" s="1245">
        <f>+RevBuild!AV23</f>
        <v>50.163000000000011</v>
      </c>
      <c r="AW354" s="1246">
        <f>+SUM(AS354:AV354)</f>
        <v>153.29109</v>
      </c>
      <c r="AX354" s="1194"/>
      <c r="AY354" s="1243">
        <f>+RevBuild!AY23</f>
        <v>35.570640000000004</v>
      </c>
      <c r="AZ354" s="1244">
        <f>+RevBuild!AZ23</f>
        <v>43.009820000000005</v>
      </c>
      <c r="BA354" s="1244">
        <f>+RevBuild!BA23</f>
        <v>39.557569999999998</v>
      </c>
      <c r="BB354" s="1245">
        <f>+RevBuild!BB23</f>
        <v>48.514479999999992</v>
      </c>
      <c r="BC354" s="1246">
        <f>+SUM(AY354:BB354)</f>
        <v>166.65251000000001</v>
      </c>
      <c r="BD354" s="1194"/>
      <c r="BE354" s="1243">
        <f>+RevBuild!BE23</f>
        <v>33.393360000000001</v>
      </c>
      <c r="BF354" s="1244">
        <f>+RevBuild!BF23</f>
        <v>41.133559999999996</v>
      </c>
      <c r="BG354" s="1244">
        <f>+RevBuild!BG23</f>
        <v>38.857319999999994</v>
      </c>
      <c r="BH354" s="1245">
        <f>+RevBuild!BH23</f>
        <v>50.761900000000004</v>
      </c>
      <c r="BI354" s="1246">
        <f>+SUM(BE354:BH354)</f>
        <v>164.14613999999997</v>
      </c>
      <c r="BJ354" s="1194"/>
      <c r="BK354" s="1243">
        <f>+RevBuild!BK23</f>
        <v>34.911029999999997</v>
      </c>
      <c r="BL354" s="1244">
        <f>+RevBuild!BL23</f>
        <v>39.748439999999995</v>
      </c>
      <c r="BM354" s="1244">
        <f>+RevBuild!BM23</f>
        <v>43.778410000000001</v>
      </c>
      <c r="BN354" s="1245">
        <f>+RevBuild!BN23</f>
        <v>57.729600000000005</v>
      </c>
      <c r="BO354" s="1246">
        <f>+SUM(BK354:BN354)</f>
        <v>176.16748000000001</v>
      </c>
      <c r="BP354" s="1194"/>
      <c r="BQ354" s="1243">
        <f>+RevBuild!BQ23</f>
        <v>35.847479999999997</v>
      </c>
      <c r="BR354" s="1244">
        <f>+RevBuild!BR23</f>
        <v>38.334719999999997</v>
      </c>
      <c r="BS354" s="1244">
        <f>+RevBuild!BS23</f>
        <v>40.89293</v>
      </c>
      <c r="BT354" s="1244">
        <f>+RevBuild!BT23</f>
        <v>49.835500000000003</v>
      </c>
      <c r="BU354" s="1246">
        <f>+SUM(BQ354:BT354)</f>
        <v>164.91063</v>
      </c>
      <c r="BV354" s="1194"/>
      <c r="BW354" s="1243">
        <f>+RevBuild!BW23</f>
        <v>35.805480000000003</v>
      </c>
      <c r="BX354" s="1244">
        <f>+RevBuild!BX23</f>
        <v>42.637529999999977</v>
      </c>
      <c r="BY354" s="1244">
        <f>+RevBuild!BY23</f>
        <v>40.642199999999995</v>
      </c>
      <c r="BZ354" s="1244">
        <f>+RevBuild!BZ23</f>
        <v>47.646949999999997</v>
      </c>
      <c r="CA354" s="1246">
        <f>+SUM(BW354:BZ354)</f>
        <v>166.73215999999999</v>
      </c>
      <c r="CB354" s="1194"/>
      <c r="CC354" s="1243">
        <f>+RevBuild!CC23</f>
        <v>34.684425000000019</v>
      </c>
      <c r="CD354" s="1244">
        <f>+RevBuild!CD23</f>
        <v>40.204689999999999</v>
      </c>
      <c r="CE354" s="1244">
        <f>+RevBuild!CE23</f>
        <v>42.634799999999991</v>
      </c>
      <c r="CF354" s="1244">
        <f>+RevBuild!CF23</f>
        <v>57.184272000000007</v>
      </c>
      <c r="CG354" s="1246">
        <f>+SUM(CC354:CF354)</f>
        <v>174.70818700000001</v>
      </c>
      <c r="CH354" s="1194"/>
      <c r="CI354" s="2157">
        <f>+CI343+CI295+CI256+CI206+CI157+CI92+CI42+CI67</f>
        <v>36.874096968030067</v>
      </c>
      <c r="CJ354" s="1244">
        <f t="shared" ref="CJ354:CL354" si="60">+CJ343+CJ295+CJ256+CJ206+CJ157+CJ92+CJ42+CJ67</f>
        <v>42.463986136983522</v>
      </c>
      <c r="CK354" s="1244">
        <f t="shared" si="60"/>
        <v>45.545917522180638</v>
      </c>
      <c r="CL354" s="1245">
        <f t="shared" si="60"/>
        <v>60.570627815202812</v>
      </c>
      <c r="CM354" s="1246">
        <f>+SUM(CI354:CL354)</f>
        <v>185.45462844239705</v>
      </c>
      <c r="CN354" s="1194"/>
      <c r="CO354" s="2157">
        <f t="shared" ref="CO354:CX354" si="61">+CO343+CO295+CO256+CO206+CO157+CO92+CO42+CO67</f>
        <v>39.050130126410004</v>
      </c>
      <c r="CP354" s="1244">
        <f t="shared" si="61"/>
        <v>44.758957040704367</v>
      </c>
      <c r="CQ354" s="1244">
        <f t="shared" si="61"/>
        <v>46.526322103856756</v>
      </c>
      <c r="CR354" s="1245">
        <f t="shared" si="61"/>
        <v>61.61515734369295</v>
      </c>
      <c r="CS354" s="1246">
        <f t="shared" ref="CS354" si="62">+SUM(CO354:CR354)</f>
        <v>191.95056661466407</v>
      </c>
      <c r="CT354" s="1194"/>
      <c r="CU354" s="2157">
        <f t="shared" ref="CU354" si="63">+CU343+CU295+CU256+CU206+CU157+CU92+CU42+CU67</f>
        <v>39.977978914091175</v>
      </c>
      <c r="CV354" s="1244">
        <f t="shared" si="61"/>
        <v>45.805891210298718</v>
      </c>
      <c r="CW354" s="1244">
        <f t="shared" si="61"/>
        <v>47.607908861596009</v>
      </c>
      <c r="CX354" s="1245">
        <f t="shared" si="61"/>
        <v>62.996728278426431</v>
      </c>
      <c r="CY354" s="1246">
        <f t="shared" ref="CY354" si="64">+SUM(CU354:CX354)</f>
        <v>196.38850726441234</v>
      </c>
      <c r="CZ354" s="48"/>
      <c r="DD354" s="48"/>
      <c r="DE354" s="48"/>
      <c r="DF354" s="48"/>
      <c r="DG354" s="48"/>
      <c r="DH354" s="48"/>
      <c r="DI354" s="48"/>
      <c r="DJ354" s="48"/>
      <c r="DK354" s="48"/>
    </row>
    <row r="355" spans="1:115" x14ac:dyDescent="0.2">
      <c r="A355" s="205" t="s">
        <v>639</v>
      </c>
      <c r="B355" s="48"/>
      <c r="C355" s="1128"/>
      <c r="D355" s="1129"/>
      <c r="E355" s="1129"/>
      <c r="F355" s="1129"/>
      <c r="G355" s="1463"/>
      <c r="H355" s="592"/>
      <c r="I355" s="1128"/>
      <c r="J355" s="1129"/>
      <c r="K355" s="1129"/>
      <c r="L355" s="1129"/>
      <c r="M355" s="1463"/>
      <c r="N355" s="592"/>
      <c r="O355" s="1128"/>
      <c r="P355" s="1129"/>
      <c r="Q355" s="1129"/>
      <c r="R355" s="1129"/>
      <c r="S355" s="1463"/>
      <c r="T355" s="591"/>
      <c r="U355" s="1128"/>
      <c r="V355" s="1129"/>
      <c r="W355" s="1129"/>
      <c r="X355" s="1129"/>
      <c r="Y355" s="1463"/>
      <c r="Z355" s="593"/>
      <c r="AA355" s="1128"/>
      <c r="AB355" s="1129"/>
      <c r="AC355" s="1129"/>
      <c r="AD355" s="1129"/>
      <c r="AE355" s="1463"/>
      <c r="AF355" s="592"/>
      <c r="AG355" s="1128"/>
      <c r="AH355" s="1129"/>
      <c r="AI355" s="1129"/>
      <c r="AJ355" s="1129"/>
      <c r="AK355" s="1463"/>
      <c r="AL355" s="601"/>
      <c r="AM355" s="1131">
        <f>+AM354/AG354-1</f>
        <v>0.52291994734726233</v>
      </c>
      <c r="AN355" s="1132">
        <f>+AN354/AH354-1</f>
        <v>9.3947267609387319E-2</v>
      </c>
      <c r="AO355" s="1132">
        <f>+AO354/AI354-1</f>
        <v>-9.4470605128814666E-2</v>
      </c>
      <c r="AP355" s="1132">
        <f>+AP354/AJ354-1</f>
        <v>6.0142651068251674E-2</v>
      </c>
      <c r="AQ355" s="1117">
        <f>+AQ354/AK354-1</f>
        <v>0.11033086993592645</v>
      </c>
      <c r="AR355" s="48"/>
      <c r="AS355" s="1131">
        <f>+AS354/AM354-1</f>
        <v>-0.14317812885696568</v>
      </c>
      <c r="AT355" s="1132">
        <f>+AT354/AN354-1</f>
        <v>-7.9370275352278918E-2</v>
      </c>
      <c r="AU355" s="1132">
        <f>+AU354/AO354-1</f>
        <v>0.14086531275859682</v>
      </c>
      <c r="AV355" s="1132">
        <f>+AV354/AP354-1</f>
        <v>0.16916988309000414</v>
      </c>
      <c r="AW355" s="1117">
        <f>+AW354/AQ354-1</f>
        <v>2.4574987207107046E-2</v>
      </c>
      <c r="AX355" s="601"/>
      <c r="AY355" s="1131">
        <f>+AY354/AS354-1</f>
        <v>0.12168467258244586</v>
      </c>
      <c r="AZ355" s="1132">
        <f>+AZ354/AT354-1</f>
        <v>0.27017852860674929</v>
      </c>
      <c r="BA355" s="1132">
        <f>+BA354/AU354-1</f>
        <v>5.3322256261141954E-2</v>
      </c>
      <c r="BB355" s="1132">
        <f>+BB354/AV354-1</f>
        <v>-3.2863265753643511E-2</v>
      </c>
      <c r="BC355" s="1117">
        <f>+BC354/AW354-1</f>
        <v>8.7163709254073574E-2</v>
      </c>
      <c r="BD355" s="601"/>
      <c r="BE355" s="1131">
        <f>+BE354/AY354-1</f>
        <v>-6.1210031644075125E-2</v>
      </c>
      <c r="BF355" s="1132">
        <f>+BF354/AZ354-1</f>
        <v>-4.3623990986244698E-2</v>
      </c>
      <c r="BG355" s="1132">
        <f>+BG354/BA354-1</f>
        <v>-1.7702047926604236E-2</v>
      </c>
      <c r="BH355" s="1132">
        <f>+BH354/BB354-1</f>
        <v>4.632472614361749E-2</v>
      </c>
      <c r="BI355" s="1117">
        <f>+BI354/BC354-1</f>
        <v>-1.5039497454914064E-2</v>
      </c>
      <c r="BJ355" s="601"/>
      <c r="BK355" s="1131">
        <f>+BK354/BE354-1</f>
        <v>4.5448256779191842E-2</v>
      </c>
      <c r="BL355" s="1132">
        <f>+BL354/BF354-1</f>
        <v>-3.3673720436548704E-2</v>
      </c>
      <c r="BM355" s="1132">
        <f>+BM354/BG354-1</f>
        <v>0.12664512117665372</v>
      </c>
      <c r="BN355" s="1132">
        <f>+BN354/BH354-1</f>
        <v>0.13726239561560938</v>
      </c>
      <c r="BO355" s="1117">
        <f>+BO354/BI354-1</f>
        <v>7.3235593599703552E-2</v>
      </c>
      <c r="BP355" s="48"/>
      <c r="BQ355" s="1131">
        <f>+BQ354/BK354-1</f>
        <v>2.6823900641144149E-2</v>
      </c>
      <c r="BR355" s="1132">
        <f>+BR354/BL354-1</f>
        <v>-3.5566678843245159E-2</v>
      </c>
      <c r="BS355" s="1132">
        <f>+BS354/BM354-1</f>
        <v>-6.5911027833125968E-2</v>
      </c>
      <c r="BT355" s="1132">
        <f>+BT354/BN354-1</f>
        <v>-0.13674267620077052</v>
      </c>
      <c r="BU355" s="1117">
        <f>+BU354/BO354-1</f>
        <v>-6.3898569701967722E-2</v>
      </c>
      <c r="BV355" s="48"/>
      <c r="BW355" s="1131">
        <f>+BW354/BQ354-1</f>
        <v>-1.1716304744432415E-3</v>
      </c>
      <c r="BX355" s="1132">
        <f>+BX354/BR354-1</f>
        <v>0.11224315711709854</v>
      </c>
      <c r="BY355" s="1132">
        <f>+BY354/BS354-1</f>
        <v>-6.1313777222615773E-3</v>
      </c>
      <c r="BZ355" s="1132">
        <f>+BZ354/BT354-1</f>
        <v>-4.3915481935568157E-2</v>
      </c>
      <c r="CA355" s="1117">
        <f>+CA354/BU354-1</f>
        <v>1.1045558433680158E-2</v>
      </c>
      <c r="CB355" s="48"/>
      <c r="CC355" s="1131">
        <f>+CC354/BW354-1</f>
        <v>-3.130959283327539E-2</v>
      </c>
      <c r="CD355" s="1132">
        <f>+CD354/BX354-1</f>
        <v>-5.7058652318743075E-2</v>
      </c>
      <c r="CE355" s="1132">
        <f>+CE354/BY354-1</f>
        <v>4.9027857743921155E-2</v>
      </c>
      <c r="CF355" s="1132">
        <f>+CF354/BZ354-1</f>
        <v>0.2001664744542937</v>
      </c>
      <c r="CG355" s="1117">
        <f>+CG354/CA354-1</f>
        <v>4.783736382950976E-2</v>
      </c>
      <c r="CH355" s="48"/>
      <c r="CI355" s="1131">
        <f>+CI354/CC354-1</f>
        <v>6.3131274859826725E-2</v>
      </c>
      <c r="CJ355" s="1132">
        <f>+CJ354/CD354-1</f>
        <v>5.6194840377665534E-2</v>
      </c>
      <c r="CK355" s="1132">
        <f>+CK354/CE354-1</f>
        <v>6.8280313785467506E-2</v>
      </c>
      <c r="CL355" s="1132">
        <f>+CL354/CF354-1</f>
        <v>5.9218307705356521E-2</v>
      </c>
      <c r="CM355" s="1117">
        <f>+CM354/CG354-1</f>
        <v>6.1510806258879169E-2</v>
      </c>
      <c r="CN355" s="48"/>
      <c r="CO355" s="1131">
        <f>+CO354/CI354-1</f>
        <v>5.9012513859432625E-2</v>
      </c>
      <c r="CP355" s="1132">
        <f>+CP354/CJ354-1</f>
        <v>5.4045112399894624E-2</v>
      </c>
      <c r="CQ355" s="1132">
        <f>+CQ354/CK354-1</f>
        <v>2.152563028725174E-2</v>
      </c>
      <c r="CR355" s="1132">
        <f>+CR354/CL354-1</f>
        <v>1.7244819249305543E-2</v>
      </c>
      <c r="CS355" s="1117">
        <f>+CS354/CM354-1</f>
        <v>3.5027101921506709E-2</v>
      </c>
      <c r="CT355" s="48"/>
      <c r="CU355" s="1131">
        <f>+CU354/CO354-1</f>
        <v>2.3760453157969375E-2</v>
      </c>
      <c r="CV355" s="1132">
        <f>+CV354/CP354-1</f>
        <v>2.3390495195012129E-2</v>
      </c>
      <c r="CW355" s="1132">
        <f>+CW354/CQ354-1</f>
        <v>2.3246771049835413E-2</v>
      </c>
      <c r="CX355" s="1132">
        <f>+CX354/CR354-1</f>
        <v>2.2422582271875102E-2</v>
      </c>
      <c r="CY355" s="1117">
        <f>+CY354/CS354-1</f>
        <v>2.3120226879336681E-2</v>
      </c>
      <c r="CZ355" s="48"/>
      <c r="DD355" s="48"/>
      <c r="DE355" s="48"/>
      <c r="DF355" s="48"/>
      <c r="DG355" s="48"/>
      <c r="DH355" s="48"/>
      <c r="DI355" s="48"/>
      <c r="DJ355" s="48"/>
      <c r="DK355" s="48"/>
    </row>
    <row r="356" spans="1:115" x14ac:dyDescent="0.2">
      <c r="A356" s="205" t="s">
        <v>227</v>
      </c>
      <c r="B356" s="48"/>
      <c r="C356" s="1128"/>
      <c r="D356" s="1129"/>
      <c r="E356" s="1129"/>
      <c r="F356" s="1129"/>
      <c r="G356" s="1463"/>
      <c r="H356" s="592"/>
      <c r="I356" s="1128"/>
      <c r="J356" s="1129"/>
      <c r="K356" s="1129"/>
      <c r="L356" s="1129"/>
      <c r="M356" s="1463"/>
      <c r="N356" s="592"/>
      <c r="O356" s="1128"/>
      <c r="P356" s="1129"/>
      <c r="Q356" s="1129"/>
      <c r="R356" s="1129"/>
      <c r="S356" s="1463"/>
      <c r="T356" s="591"/>
      <c r="U356" s="1128"/>
      <c r="V356" s="1129"/>
      <c r="W356" s="1129"/>
      <c r="X356" s="1129"/>
      <c r="Y356" s="1463"/>
      <c r="Z356" s="593"/>
      <c r="AA356" s="1128"/>
      <c r="AB356" s="1129"/>
      <c r="AC356" s="1129"/>
      <c r="AD356" s="1129"/>
      <c r="AE356" s="1463"/>
      <c r="AF356" s="592"/>
      <c r="AG356" s="1128"/>
      <c r="AH356" s="1129"/>
      <c r="AI356" s="1129"/>
      <c r="AJ356" s="1129"/>
      <c r="AK356" s="1463"/>
      <c r="AL356" s="601"/>
      <c r="AM356" s="1229">
        <f>+AM355-RevBuild!AM$59</f>
        <v>0.46633998871727045</v>
      </c>
      <c r="AN356" s="1138">
        <f>+AN355-RevBuild!AN$59</f>
        <v>0.10999999999999978</v>
      </c>
      <c r="AO356" s="1138">
        <f>+AO355-RevBuild!AO$59</f>
        <v>-8.0921565811864327E-2</v>
      </c>
      <c r="AP356" s="1138">
        <f>+AP355-RevBuild!AP$59</f>
        <v>7.0676176737883178E-2</v>
      </c>
      <c r="AQ356" s="1228">
        <f>+AQ355-RevBuild!AQ$59</f>
        <v>0.11347993041670305</v>
      </c>
      <c r="AR356" s="1264"/>
      <c r="AS356" s="1229">
        <f>+AS355-RevBuild!AS$59</f>
        <v>-0.1628036451905058</v>
      </c>
      <c r="AT356" s="1138">
        <f>+AT355-RevBuild!AT$59</f>
        <v>-0.14343828744128695</v>
      </c>
      <c r="AU356" s="1138">
        <f>+AU355-RevBuild!AU$59</f>
        <v>9.7758870212199867E-2</v>
      </c>
      <c r="AV356" s="1138">
        <f>+AV355-RevBuild!AV$59</f>
        <v>0.17000000000000023</v>
      </c>
      <c r="AW356" s="1228">
        <f>+AW355-RevBuild!AW$59</f>
        <v>-1.1122689243168872E-2</v>
      </c>
      <c r="AX356" s="1264"/>
      <c r="AY356" s="1229">
        <f>+AY355-RevBuild!AY$59</f>
        <v>0.13</v>
      </c>
      <c r="AZ356" s="1138">
        <f>+AZ355-RevBuild!AZ$59</f>
        <v>0.32145407551525007</v>
      </c>
      <c r="BA356" s="1138">
        <f>+BA355-RevBuild!BA$59</f>
        <v>0.1</v>
      </c>
      <c r="BB356" s="1138">
        <f>+BB355-RevBuild!BB$59</f>
        <v>-2.9081195303311137E-2</v>
      </c>
      <c r="BC356" s="1228">
        <f>+BC355-RevBuild!BC$59</f>
        <v>0.11474719525574764</v>
      </c>
      <c r="BD356" s="1264"/>
      <c r="BE356" s="1229">
        <f>+BE355-RevBuild!BE$59</f>
        <v>-5.5344542577811434E-2</v>
      </c>
      <c r="BF356" s="1138">
        <f>+BF355-RevBuild!BF$59</f>
        <v>-4.3567385308750511E-2</v>
      </c>
      <c r="BG356" s="1138">
        <f>+BG355-RevBuild!BG$59</f>
        <v>-1.1858162672782904E-2</v>
      </c>
      <c r="BH356" s="1138">
        <f>+BH355-RevBuild!BH$59</f>
        <v>4.9999999999999781E-2</v>
      </c>
      <c r="BI356" s="1228">
        <f>+BI355-RevBuild!BI$59</f>
        <v>-6.4343331446474056E-3</v>
      </c>
      <c r="BJ356" s="1264"/>
      <c r="BK356" s="1229">
        <f>+BK355-RevBuild!BK$59</f>
        <v>0.05</v>
      </c>
      <c r="BL356" s="1138">
        <f>+BL355-RevBuild!BL$59</f>
        <v>-4.052718996362107E-2</v>
      </c>
      <c r="BM356" s="1138">
        <f>+BM355-RevBuild!BM$59</f>
        <v>0.1266650093212813</v>
      </c>
      <c r="BN356" s="1138">
        <f>+BN355-RevBuild!BN$59</f>
        <v>0.18515779945195127</v>
      </c>
      <c r="BO356" s="1228">
        <f>+BO355-RevBuild!BO$59</f>
        <v>8.2775177672992778E-2</v>
      </c>
      <c r="BP356" s="1264"/>
      <c r="BQ356" s="1229">
        <f>+BQ355-RevBuild!BQ$59</f>
        <v>0.10556865838676209</v>
      </c>
      <c r="BR356" s="1138">
        <f>+BR355-RevBuild!BR$59</f>
        <v>4.8999999999999877E-2</v>
      </c>
      <c r="BS356" s="1138">
        <f>+BS355-RevBuild!BS$59</f>
        <v>2.3088972166874028E-2</v>
      </c>
      <c r="BT356" s="1138">
        <f>+BT355-RevBuild!BT$59</f>
        <v>-7.3742676200770518E-2</v>
      </c>
      <c r="BU356" s="1228">
        <f>+BU355-RevBuild!BU$59</f>
        <v>1.6351430298032169E-2</v>
      </c>
      <c r="BV356" s="1264"/>
      <c r="BW356" s="1229">
        <f>+BW355-RevBuild!BW$59</f>
        <v>1.9E-2</v>
      </c>
      <c r="BX356" s="1138">
        <f>+BX355-RevBuild!BX$59</f>
        <v>0.12742606806571127</v>
      </c>
      <c r="BY356" s="1138">
        <f>+BY355-RevBuild!BY$59</f>
        <v>2.1776148101882303E-3</v>
      </c>
      <c r="BZ356" s="1138">
        <f>+BZ355-RevBuild!BZ$59</f>
        <v>-1.3608451806443392E-2</v>
      </c>
      <c r="CA356" s="1228">
        <f>+CA355-RevBuild!CA$59</f>
        <v>2.9756639678031382E-2</v>
      </c>
      <c r="CB356" s="1264"/>
      <c r="CC356" s="1229">
        <f>+CC355-RevBuild!CC$59</f>
        <v>-9.5793604777813443E-3</v>
      </c>
      <c r="CD356" s="1138">
        <f>+CD355-RevBuild!CD$59</f>
        <v>-3.4493624747962193E-2</v>
      </c>
      <c r="CE356" s="1138">
        <f>+CE355-RevBuild!CE$59</f>
        <v>4.3101849801437886E-2</v>
      </c>
      <c r="CF356" s="1138">
        <f>+CF355-RevBuild!CF$59</f>
        <v>0.17668285168305647</v>
      </c>
      <c r="CG356" s="1228">
        <f>+CG355-RevBuild!CG$59</f>
        <v>5.1558771132648368E-2</v>
      </c>
      <c r="CH356" s="1264"/>
      <c r="CI356" s="1229">
        <f>+CI355-RevBuild!CI$59</f>
        <v>1.3131274859826722E-2</v>
      </c>
      <c r="CJ356" s="1138">
        <f>+CJ355-RevBuild!CJ$59</f>
        <v>1.1194840377665535E-2</v>
      </c>
      <c r="CK356" s="1138">
        <f>+CK355-RevBuild!CK$59</f>
        <v>4.3280313785467504E-2</v>
      </c>
      <c r="CL356" s="1138">
        <f>+CL355-RevBuild!CL$59</f>
        <v>3.9218307705356517E-2</v>
      </c>
      <c r="CM356" s="1228">
        <f>+CM355-RevBuild!CM$59</f>
        <v>2.6510806258879173E-2</v>
      </c>
      <c r="CN356" s="1264"/>
      <c r="CO356" s="1229">
        <f>+CO355-RevBuild!CO$59</f>
        <v>5.9012513859432625E-2</v>
      </c>
      <c r="CP356" s="1138">
        <f>+CP355-RevBuild!CP$59</f>
        <v>5.4045112399894624E-2</v>
      </c>
      <c r="CQ356" s="1138">
        <f>+CQ355-RevBuild!CQ$59</f>
        <v>2.152563028725174E-2</v>
      </c>
      <c r="CR356" s="1138">
        <f>+CR355-RevBuild!CR$59</f>
        <v>1.7244819249305543E-2</v>
      </c>
      <c r="CS356" s="1228">
        <f>+CS355-RevBuild!CS$59</f>
        <v>3.5027101921506709E-2</v>
      </c>
      <c r="CT356" s="1264"/>
      <c r="CU356" s="1229">
        <f>+CU355-RevBuild!CU$59</f>
        <v>2.3760453157969375E-2</v>
      </c>
      <c r="CV356" s="1138">
        <f>+CV355-RevBuild!CV$59</f>
        <v>2.3390495195012129E-2</v>
      </c>
      <c r="CW356" s="1138">
        <f>+CW355-RevBuild!CW$59</f>
        <v>2.3246771049835413E-2</v>
      </c>
      <c r="CX356" s="1138">
        <f>+CX355-RevBuild!CX$59</f>
        <v>2.2422582271875102E-2</v>
      </c>
      <c r="CY356" s="1228">
        <f>+CY355-RevBuild!CY$59</f>
        <v>2.3120226879336681E-2</v>
      </c>
      <c r="CZ356" s="48"/>
      <c r="DD356" s="48"/>
      <c r="DE356" s="48"/>
      <c r="DF356" s="48"/>
      <c r="DG356" s="48"/>
      <c r="DH356" s="48"/>
      <c r="DI356" s="48"/>
      <c r="DJ356" s="48"/>
      <c r="DK356" s="48"/>
    </row>
    <row r="357" spans="1:115" x14ac:dyDescent="0.2">
      <c r="A357" s="205" t="s">
        <v>464</v>
      </c>
      <c r="B357" s="48"/>
      <c r="C357" s="1128"/>
      <c r="D357" s="1129"/>
      <c r="E357" s="1129"/>
      <c r="F357" s="1129"/>
      <c r="G357" s="1463"/>
      <c r="H357" s="592"/>
      <c r="I357" s="1128"/>
      <c r="J357" s="1129"/>
      <c r="K357" s="1129"/>
      <c r="L357" s="1129"/>
      <c r="M357" s="1463"/>
      <c r="N357" s="592"/>
      <c r="O357" s="1128"/>
      <c r="P357" s="1129"/>
      <c r="Q357" s="1129"/>
      <c r="R357" s="1129"/>
      <c r="S357" s="1463"/>
      <c r="T357" s="591"/>
      <c r="U357" s="1128"/>
      <c r="V357" s="1129"/>
      <c r="W357" s="1129"/>
      <c r="X357" s="1129"/>
      <c r="Y357" s="1463"/>
      <c r="Z357" s="593"/>
      <c r="AA357" s="1128"/>
      <c r="AB357" s="1129"/>
      <c r="AC357" s="1129"/>
      <c r="AD357" s="1129"/>
      <c r="AE357" s="1463"/>
      <c r="AF357" s="592"/>
      <c r="AG357" s="1128"/>
      <c r="AH357" s="1129"/>
      <c r="AI357" s="1129"/>
      <c r="AJ357" s="1129"/>
      <c r="AK357" s="1463"/>
      <c r="AL357" s="601"/>
      <c r="AM357" s="1131">
        <f>+AM$42/AM354</f>
        <v>0</v>
      </c>
      <c r="AN357" s="1132">
        <f>+AN$42/AN354</f>
        <v>0</v>
      </c>
      <c r="AO357" s="1132">
        <f>+AO$42/AO354</f>
        <v>0</v>
      </c>
      <c r="AP357" s="1132">
        <f>+AP$42/AP354</f>
        <v>0</v>
      </c>
      <c r="AQ357" s="1117">
        <f>+AQ$42/AQ354</f>
        <v>0</v>
      </c>
      <c r="AR357" s="48"/>
      <c r="AS357" s="1131">
        <f>+AS$42/AS354</f>
        <v>0</v>
      </c>
      <c r="AT357" s="1132">
        <f>+AT$42/AT354</f>
        <v>0</v>
      </c>
      <c r="AU357" s="1132">
        <f>+AU$42/AU354</f>
        <v>0</v>
      </c>
      <c r="AV357" s="1132">
        <f>+AV$42/AV354</f>
        <v>0</v>
      </c>
      <c r="AW357" s="1117">
        <f>+AW$42/AW354</f>
        <v>0</v>
      </c>
      <c r="AX357" s="48"/>
      <c r="AY357" s="1131">
        <f>+AY$42/AY354</f>
        <v>0</v>
      </c>
      <c r="AZ357" s="1132">
        <f>+AZ$42/AZ354</f>
        <v>0</v>
      </c>
      <c r="BA357" s="1132">
        <f>+BA$42/BA354</f>
        <v>0</v>
      </c>
      <c r="BB357" s="1132">
        <f>+BB$42/BB354</f>
        <v>0</v>
      </c>
      <c r="BC357" s="1117">
        <f>+BC$42/BC354</f>
        <v>0</v>
      </c>
      <c r="BD357" s="48"/>
      <c r="BE357" s="1131">
        <f>+BE$42/BE354</f>
        <v>0</v>
      </c>
      <c r="BF357" s="1132">
        <f>+BF$42/BF354</f>
        <v>0</v>
      </c>
      <c r="BG357" s="1132">
        <f>+BG$42/BG354</f>
        <v>0</v>
      </c>
      <c r="BH357" s="1132">
        <f>+BH$42/BH354</f>
        <v>0</v>
      </c>
      <c r="BI357" s="1117">
        <f>+BI$42/BI354</f>
        <v>0</v>
      </c>
      <c r="BJ357" s="48"/>
      <c r="BK357" s="1131">
        <f>+BK$42/BK354</f>
        <v>0</v>
      </c>
      <c r="BL357" s="1132">
        <f>+BL$42/BL354</f>
        <v>0</v>
      </c>
      <c r="BM357" s="1132">
        <f>+BM$42/BM354</f>
        <v>0</v>
      </c>
      <c r="BN357" s="1132">
        <f>+BN$42/BN354</f>
        <v>0</v>
      </c>
      <c r="BO357" s="1117">
        <f>+BO$42/BO354</f>
        <v>0</v>
      </c>
      <c r="BP357" s="48"/>
      <c r="BQ357" s="1131">
        <f>+BQ$42/BQ354</f>
        <v>0</v>
      </c>
      <c r="BR357" s="1132">
        <f>+BR$42/BR354</f>
        <v>0</v>
      </c>
      <c r="BS357" s="1132">
        <f>+BS$42/BS354</f>
        <v>0</v>
      </c>
      <c r="BT357" s="1132">
        <f>+BT$42/BT354</f>
        <v>0</v>
      </c>
      <c r="BU357" s="1117">
        <f>+BU$42/BU354</f>
        <v>0</v>
      </c>
      <c r="BV357" s="48"/>
      <c r="BW357" s="1131">
        <f>+BW$42/BW354</f>
        <v>0</v>
      </c>
      <c r="BX357" s="1132">
        <f>+BX$42/BX354</f>
        <v>0</v>
      </c>
      <c r="BY357" s="1132">
        <f>+BY$42/BY354</f>
        <v>0</v>
      </c>
      <c r="BZ357" s="1132">
        <f>+BZ$42/BZ354</f>
        <v>0</v>
      </c>
      <c r="CA357" s="1117">
        <f>+CA$42/CA354</f>
        <v>0</v>
      </c>
      <c r="CB357" s="48"/>
      <c r="CC357" s="1131">
        <f>+CC$42/CC354</f>
        <v>0</v>
      </c>
      <c r="CD357" s="1132">
        <f>+CD$42/CD354</f>
        <v>0</v>
      </c>
      <c r="CE357" s="1132">
        <f>+CE$42/CE354</f>
        <v>0</v>
      </c>
      <c r="CF357" s="1132">
        <f>+CF$42/CF354</f>
        <v>0</v>
      </c>
      <c r="CG357" s="1117">
        <f>+CG$42/CG354</f>
        <v>0</v>
      </c>
      <c r="CH357" s="48"/>
      <c r="CI357" s="1131">
        <f>+CI$42/CI354</f>
        <v>0</v>
      </c>
      <c r="CJ357" s="1132">
        <f>+CJ$42/CJ354</f>
        <v>0</v>
      </c>
      <c r="CK357" s="1132">
        <f>+CK$42/CK354</f>
        <v>0</v>
      </c>
      <c r="CL357" s="1132">
        <f>+CL$42/CL354</f>
        <v>0</v>
      </c>
      <c r="CM357" s="1117">
        <f>+CM$42/CM354</f>
        <v>0</v>
      </c>
      <c r="CN357" s="48"/>
      <c r="CO357" s="1131">
        <f>+CO$42/CO354</f>
        <v>0</v>
      </c>
      <c r="CP357" s="1132">
        <f>+CP$42/CP354</f>
        <v>0</v>
      </c>
      <c r="CQ357" s="1132">
        <f>+CQ$42/CQ354</f>
        <v>0</v>
      </c>
      <c r="CR357" s="1132">
        <f>+CR$42/CR354</f>
        <v>0</v>
      </c>
      <c r="CS357" s="1117">
        <f>+CS$42/CS354</f>
        <v>0</v>
      </c>
      <c r="CT357" s="48"/>
      <c r="CU357" s="1131">
        <f>+CU$42/CU354</f>
        <v>0</v>
      </c>
      <c r="CV357" s="1132">
        <f>+CV$42/CV354</f>
        <v>0</v>
      </c>
      <c r="CW357" s="1132">
        <f>+CW$42/CW354</f>
        <v>0</v>
      </c>
      <c r="CX357" s="1132">
        <f>+CX$42/CX354</f>
        <v>0</v>
      </c>
      <c r="CY357" s="1117">
        <f>+CY$42/CY354</f>
        <v>0</v>
      </c>
      <c r="CZ357" s="48"/>
      <c r="DD357" s="48"/>
      <c r="DE357" s="48"/>
      <c r="DF357" s="48"/>
      <c r="DG357" s="48"/>
      <c r="DH357" s="48"/>
      <c r="DI357" s="48"/>
      <c r="DJ357" s="48"/>
      <c r="DK357" s="48"/>
    </row>
    <row r="358" spans="1:115" x14ac:dyDescent="0.2">
      <c r="A358" s="2128" t="s">
        <v>726</v>
      </c>
      <c r="B358" s="48"/>
      <c r="C358" s="2158"/>
      <c r="D358" s="1129"/>
      <c r="E358" s="1129"/>
      <c r="F358" s="1129"/>
      <c r="G358" s="2159"/>
      <c r="H358" s="592"/>
      <c r="I358" s="2158"/>
      <c r="J358" s="1129"/>
      <c r="K358" s="1129"/>
      <c r="L358" s="1129"/>
      <c r="M358" s="2159"/>
      <c r="N358" s="592"/>
      <c r="O358" s="2158"/>
      <c r="P358" s="1129"/>
      <c r="Q358" s="1129"/>
      <c r="R358" s="1129"/>
      <c r="S358" s="2159"/>
      <c r="T358" s="591"/>
      <c r="U358" s="2158"/>
      <c r="V358" s="1129"/>
      <c r="W358" s="1129"/>
      <c r="X358" s="1129"/>
      <c r="Y358" s="2159"/>
      <c r="Z358" s="593"/>
      <c r="AA358" s="2158"/>
      <c r="AB358" s="1129"/>
      <c r="AC358" s="1129"/>
      <c r="AD358" s="1129"/>
      <c r="AE358" s="2159"/>
      <c r="AF358" s="592"/>
      <c r="AG358" s="2158"/>
      <c r="AH358" s="1129"/>
      <c r="AI358" s="1129"/>
      <c r="AJ358" s="1129"/>
      <c r="AK358" s="2159"/>
      <c r="AL358" s="601"/>
      <c r="AM358" s="2133"/>
      <c r="AN358" s="1132"/>
      <c r="AO358" s="1132"/>
      <c r="AP358" s="1132"/>
      <c r="AQ358" s="2160"/>
      <c r="AR358" s="48"/>
      <c r="AS358" s="2133"/>
      <c r="AT358" s="1132"/>
      <c r="AU358" s="1132"/>
      <c r="AV358" s="1132"/>
      <c r="AW358" s="2160"/>
      <c r="AX358" s="48"/>
      <c r="AY358" s="2133"/>
      <c r="AZ358" s="1132"/>
      <c r="BA358" s="1132"/>
      <c r="BB358" s="1132"/>
      <c r="BC358" s="1117">
        <f>+BC$67/BC354</f>
        <v>0</v>
      </c>
      <c r="BD358" s="48"/>
      <c r="BE358" s="2133"/>
      <c r="BF358" s="1132"/>
      <c r="BG358" s="1132"/>
      <c r="BH358" s="1132"/>
      <c r="BI358" s="1117">
        <f>+BI$67/BI354</f>
        <v>0</v>
      </c>
      <c r="BJ358" s="48"/>
      <c r="BK358" s="2133"/>
      <c r="BL358" s="1132"/>
      <c r="BM358" s="1132"/>
      <c r="BN358" s="1132"/>
      <c r="BO358" s="1117">
        <f>+BO$67/BO354</f>
        <v>0</v>
      </c>
      <c r="BP358" s="48"/>
      <c r="BQ358" s="2133"/>
      <c r="BR358" s="1132"/>
      <c r="BS358" s="1132"/>
      <c r="BT358" s="1132"/>
      <c r="BU358" s="1117">
        <f>+BU$67/BU354</f>
        <v>0</v>
      </c>
      <c r="BV358" s="48"/>
      <c r="BW358" s="2133"/>
      <c r="BX358" s="1132"/>
      <c r="BY358" s="1132"/>
      <c r="BZ358" s="1132"/>
      <c r="CA358" s="1117">
        <f>+CA$67/CA354</f>
        <v>0</v>
      </c>
      <c r="CB358" s="48"/>
      <c r="CC358" s="2133"/>
      <c r="CD358" s="1132"/>
      <c r="CE358" s="1132"/>
      <c r="CF358" s="1132"/>
      <c r="CG358" s="1117">
        <f>+CG$67/CG354</f>
        <v>0</v>
      </c>
      <c r="CH358" s="48"/>
      <c r="CI358" s="2133">
        <f t="shared" ref="CI358:CY358" si="65">+CI$67/CI354</f>
        <v>0</v>
      </c>
      <c r="CJ358" s="1132">
        <f t="shared" si="65"/>
        <v>0</v>
      </c>
      <c r="CK358" s="1132">
        <f t="shared" si="65"/>
        <v>2.9640417263359701E-2</v>
      </c>
      <c r="CL358" s="1132">
        <f t="shared" si="65"/>
        <v>2.6002702247122585E-2</v>
      </c>
      <c r="CM358" s="1117">
        <f>+CM$67/CM354</f>
        <v>1.5772051765796272E-2</v>
      </c>
      <c r="CN358" s="48"/>
      <c r="CO358" s="2133">
        <f t="shared" si="65"/>
        <v>3.8540204478912939E-2</v>
      </c>
      <c r="CP358" s="1132">
        <f t="shared" si="65"/>
        <v>3.3624554714966517E-2</v>
      </c>
      <c r="CQ358" s="1132">
        <f t="shared" si="65"/>
        <v>3.2347280677817523E-2</v>
      </c>
      <c r="CR358" s="1132">
        <f t="shared" si="65"/>
        <v>2.4425807948603002E-2</v>
      </c>
      <c r="CS358" s="1117">
        <f t="shared" si="65"/>
        <v>3.1362241363345374E-2</v>
      </c>
      <c r="CT358" s="48"/>
      <c r="CU358" s="2133">
        <f t="shared" si="65"/>
        <v>4.6150407051960461E-2</v>
      </c>
      <c r="CV358" s="1132">
        <f t="shared" si="65"/>
        <v>4.0278661788926869E-2</v>
      </c>
      <c r="CW358" s="1132">
        <f t="shared" si="65"/>
        <v>3.875406511476312E-2</v>
      </c>
      <c r="CX358" s="1132">
        <f t="shared" si="65"/>
        <v>2.9287235233005429E-2</v>
      </c>
      <c r="CY358" s="1117">
        <f t="shared" si="65"/>
        <v>3.7578573730201847E-2</v>
      </c>
      <c r="CZ358" s="48"/>
      <c r="DD358" s="48"/>
      <c r="DE358" s="48"/>
      <c r="DF358" s="48"/>
      <c r="DG358" s="48"/>
      <c r="DH358" s="48"/>
      <c r="DI358" s="48"/>
      <c r="DJ358" s="48"/>
      <c r="DK358" s="48"/>
    </row>
    <row r="359" spans="1:115" x14ac:dyDescent="0.2">
      <c r="A359" s="205" t="s">
        <v>465</v>
      </c>
      <c r="B359" s="48"/>
      <c r="C359" s="1128"/>
      <c r="D359" s="1129"/>
      <c r="E359" s="1129"/>
      <c r="F359" s="1129"/>
      <c r="G359" s="1463"/>
      <c r="H359" s="592"/>
      <c r="I359" s="1128"/>
      <c r="J359" s="1129"/>
      <c r="K359" s="1129"/>
      <c r="L359" s="1129"/>
      <c r="M359" s="1463"/>
      <c r="N359" s="592"/>
      <c r="O359" s="1128"/>
      <c r="P359" s="1129"/>
      <c r="Q359" s="1129"/>
      <c r="R359" s="1129"/>
      <c r="S359" s="1463"/>
      <c r="T359" s="591"/>
      <c r="U359" s="1128"/>
      <c r="V359" s="1129"/>
      <c r="W359" s="1129"/>
      <c r="X359" s="1129"/>
      <c r="Y359" s="1463"/>
      <c r="Z359" s="593"/>
      <c r="AA359" s="1128"/>
      <c r="AB359" s="1129"/>
      <c r="AC359" s="1129"/>
      <c r="AD359" s="1129"/>
      <c r="AE359" s="1463"/>
      <c r="AF359" s="592"/>
      <c r="AG359" s="1128"/>
      <c r="AH359" s="1129"/>
      <c r="AI359" s="1129"/>
      <c r="AJ359" s="1129"/>
      <c r="AK359" s="1463"/>
      <c r="AL359" s="601"/>
      <c r="AM359" s="1131">
        <f>+AM$92/AM354</f>
        <v>0</v>
      </c>
      <c r="AN359" s="1132">
        <f>+AN$92/AN354</f>
        <v>0</v>
      </c>
      <c r="AO359" s="1132">
        <f>+AO$92/AO354</f>
        <v>0</v>
      </c>
      <c r="AP359" s="1132">
        <f>+AP$92/AP354</f>
        <v>0</v>
      </c>
      <c r="AQ359" s="1117">
        <f>+AQ$92/AQ354</f>
        <v>0</v>
      </c>
      <c r="AR359" s="48"/>
      <c r="AS359" s="1131">
        <f>+AS$92/AS354</f>
        <v>0</v>
      </c>
      <c r="AT359" s="1132">
        <f>+AT$92/AT354</f>
        <v>0</v>
      </c>
      <c r="AU359" s="1132">
        <f>+AU$92/AU354</f>
        <v>0</v>
      </c>
      <c r="AV359" s="1132">
        <f>+AV$92/AV354</f>
        <v>0</v>
      </c>
      <c r="AW359" s="1117">
        <f>+AW$92/AW354</f>
        <v>0</v>
      </c>
      <c r="AX359" s="48"/>
      <c r="AY359" s="1131">
        <f>+AY$92/AY354</f>
        <v>0</v>
      </c>
      <c r="AZ359" s="1132">
        <f>+AZ$92/AZ354</f>
        <v>0</v>
      </c>
      <c r="BA359" s="1132">
        <f>+BA$92/BA354</f>
        <v>0</v>
      </c>
      <c r="BB359" s="1132">
        <f>+BB$92/BB354</f>
        <v>0</v>
      </c>
      <c r="BC359" s="1117">
        <f>+BC$92/BC354</f>
        <v>0</v>
      </c>
      <c r="BD359" s="48"/>
      <c r="BE359" s="1131">
        <f>+BE$92/BE354</f>
        <v>0</v>
      </c>
      <c r="BF359" s="1132">
        <f>+BF$92/BF354</f>
        <v>0</v>
      </c>
      <c r="BG359" s="1132">
        <f>+BG$92/BG354</f>
        <v>0</v>
      </c>
      <c r="BH359" s="1132">
        <f>+BH$92/BH354</f>
        <v>0</v>
      </c>
      <c r="BI359" s="1117">
        <f>+BI$92/BI354</f>
        <v>0</v>
      </c>
      <c r="BJ359" s="48"/>
      <c r="BK359" s="1131">
        <f>+BK$92/BK354</f>
        <v>0</v>
      </c>
      <c r="BL359" s="1132">
        <f>+BL$92/BL354</f>
        <v>0</v>
      </c>
      <c r="BM359" s="1132">
        <f>+BM$92/BM354</f>
        <v>0</v>
      </c>
      <c r="BN359" s="1132">
        <f>+BN$92/BN354</f>
        <v>0</v>
      </c>
      <c r="BO359" s="1117">
        <f>+BO$92/BO354</f>
        <v>0</v>
      </c>
      <c r="BP359" s="48"/>
      <c r="BQ359" s="1131">
        <f>+BQ$92/BQ354</f>
        <v>0</v>
      </c>
      <c r="BR359" s="1132">
        <f>+BR$92/BR354</f>
        <v>0</v>
      </c>
      <c r="BS359" s="1132">
        <f>+BS$92/BS354</f>
        <v>0</v>
      </c>
      <c r="BT359" s="1132">
        <f>+BT$92/BT354</f>
        <v>0</v>
      </c>
      <c r="BU359" s="1117">
        <f>+BU$92/BU354</f>
        <v>0</v>
      </c>
      <c r="BV359" s="48"/>
      <c r="BW359" s="1131">
        <f>+BW$92/BW354</f>
        <v>0</v>
      </c>
      <c r="BX359" s="1132">
        <f>+BX$92/BX354</f>
        <v>0</v>
      </c>
      <c r="BY359" s="1132">
        <f>+BY$92/BY354</f>
        <v>0</v>
      </c>
      <c r="BZ359" s="1132">
        <f>+BZ$92/BZ354</f>
        <v>0</v>
      </c>
      <c r="CA359" s="1117">
        <f>+CA$92/CA354</f>
        <v>0</v>
      </c>
      <c r="CB359" s="48"/>
      <c r="CC359" s="1131">
        <f>+CC$92/CC354</f>
        <v>0</v>
      </c>
      <c r="CD359" s="1132">
        <f>+CD$92/CD354</f>
        <v>0</v>
      </c>
      <c r="CE359" s="1132">
        <f>+CE$92/CE354</f>
        <v>0</v>
      </c>
      <c r="CF359" s="1132">
        <f>+CF$92/CF354</f>
        <v>0</v>
      </c>
      <c r="CG359" s="1117">
        <f>+CG$92/CG354</f>
        <v>0</v>
      </c>
      <c r="CH359" s="48"/>
      <c r="CI359" s="1131">
        <f>+CI$92/CI354</f>
        <v>0</v>
      </c>
      <c r="CJ359" s="1132">
        <f>+CJ$92/CJ354</f>
        <v>0</v>
      </c>
      <c r="CK359" s="1132">
        <f>+CK$92/CK354</f>
        <v>0</v>
      </c>
      <c r="CL359" s="1132">
        <f>+CL$92/CL354</f>
        <v>0</v>
      </c>
      <c r="CM359" s="1117">
        <f>+CM$92/CM354</f>
        <v>0</v>
      </c>
      <c r="CN359" s="48"/>
      <c r="CO359" s="1131">
        <f>+CO$92/CO354</f>
        <v>0</v>
      </c>
      <c r="CP359" s="1132">
        <f>+CP$92/CP354</f>
        <v>0</v>
      </c>
      <c r="CQ359" s="1132">
        <f>+CQ$92/CQ354</f>
        <v>0</v>
      </c>
      <c r="CR359" s="1132">
        <f>+CR$92/CR354</f>
        <v>0</v>
      </c>
      <c r="CS359" s="1117">
        <f>+CS$92/CS354</f>
        <v>0</v>
      </c>
      <c r="CT359" s="48"/>
      <c r="CU359" s="1131">
        <f>+CU$92/CU354</f>
        <v>0</v>
      </c>
      <c r="CV359" s="1132">
        <f>+CV$92/CV354</f>
        <v>0</v>
      </c>
      <c r="CW359" s="1132">
        <f>+CW$92/CW354</f>
        <v>0</v>
      </c>
      <c r="CX359" s="1132">
        <f>+CX$92/CX354</f>
        <v>0</v>
      </c>
      <c r="CY359" s="1117">
        <f>+CY$92/CY354</f>
        <v>0</v>
      </c>
      <c r="CZ359" s="48"/>
      <c r="DD359" s="48"/>
      <c r="DE359" s="48"/>
      <c r="DF359" s="48"/>
      <c r="DG359" s="48"/>
      <c r="DH359" s="48"/>
      <c r="DI359" s="48"/>
      <c r="DJ359" s="48"/>
      <c r="DK359" s="48"/>
    </row>
    <row r="360" spans="1:115" x14ac:dyDescent="0.2">
      <c r="A360" s="205" t="s">
        <v>640</v>
      </c>
      <c r="B360" s="48"/>
      <c r="C360" s="1128"/>
      <c r="D360" s="1129"/>
      <c r="E360" s="1129"/>
      <c r="F360" s="1129"/>
      <c r="G360" s="1463"/>
      <c r="H360" s="592"/>
      <c r="I360" s="1128"/>
      <c r="J360" s="1129"/>
      <c r="K360" s="1129"/>
      <c r="L360" s="1129"/>
      <c r="M360" s="1463"/>
      <c r="N360" s="592"/>
      <c r="O360" s="1128"/>
      <c r="P360" s="1129"/>
      <c r="Q360" s="1129"/>
      <c r="R360" s="1129"/>
      <c r="S360" s="1463"/>
      <c r="T360" s="591"/>
      <c r="U360" s="1128"/>
      <c r="V360" s="1129"/>
      <c r="W360" s="1129"/>
      <c r="X360" s="1129"/>
      <c r="Y360" s="1463"/>
      <c r="Z360" s="593"/>
      <c r="AA360" s="1128"/>
      <c r="AB360" s="1129"/>
      <c r="AC360" s="1129"/>
      <c r="AD360" s="1129"/>
      <c r="AE360" s="1463"/>
      <c r="AF360" s="592"/>
      <c r="AG360" s="1128"/>
      <c r="AH360" s="1129"/>
      <c r="AI360" s="1129"/>
      <c r="AJ360" s="1129"/>
      <c r="AK360" s="1463"/>
      <c r="AL360" s="601"/>
      <c r="AM360" s="1131">
        <v>0</v>
      </c>
      <c r="AN360" s="1132">
        <v>0</v>
      </c>
      <c r="AO360" s="1132">
        <v>0</v>
      </c>
      <c r="AP360" s="1132">
        <v>0</v>
      </c>
      <c r="AQ360" s="1117">
        <v>0</v>
      </c>
      <c r="AR360" s="48"/>
      <c r="AS360" s="1131">
        <v>0</v>
      </c>
      <c r="AT360" s="1132">
        <v>0</v>
      </c>
      <c r="AU360" s="1132">
        <v>0</v>
      </c>
      <c r="AV360" s="1132">
        <v>0</v>
      </c>
      <c r="AW360" s="1117">
        <v>0</v>
      </c>
      <c r="AX360" s="48"/>
      <c r="AY360" s="1131">
        <v>0</v>
      </c>
      <c r="AZ360" s="1132">
        <v>0</v>
      </c>
      <c r="BA360" s="1132">
        <v>0</v>
      </c>
      <c r="BB360" s="1132">
        <v>0</v>
      </c>
      <c r="BC360" s="1117">
        <v>0</v>
      </c>
      <c r="BD360" s="48"/>
      <c r="BE360" s="1131">
        <v>0</v>
      </c>
      <c r="BF360" s="1132">
        <v>0</v>
      </c>
      <c r="BG360" s="1132">
        <v>0</v>
      </c>
      <c r="BH360" s="1132">
        <v>0</v>
      </c>
      <c r="BI360" s="1117">
        <v>0</v>
      </c>
      <c r="BJ360" s="48"/>
      <c r="BK360" s="1131">
        <v>0</v>
      </c>
      <c r="BL360" s="1132">
        <v>0</v>
      </c>
      <c r="BM360" s="1132">
        <v>0</v>
      </c>
      <c r="BN360" s="1132">
        <v>0</v>
      </c>
      <c r="BO360" s="1117">
        <v>0</v>
      </c>
      <c r="BP360" s="48"/>
      <c r="BQ360" s="1131">
        <v>0</v>
      </c>
      <c r="BR360" s="1132">
        <v>0</v>
      </c>
      <c r="BS360" s="1132">
        <v>0</v>
      </c>
      <c r="BT360" s="1132">
        <v>0</v>
      </c>
      <c r="BU360" s="1117">
        <v>0</v>
      </c>
      <c r="BV360" s="48"/>
      <c r="BW360" s="1131">
        <v>0</v>
      </c>
      <c r="BX360" s="1132">
        <v>0</v>
      </c>
      <c r="BY360" s="1132">
        <v>0</v>
      </c>
      <c r="BZ360" s="1132">
        <v>0</v>
      </c>
      <c r="CA360" s="1117">
        <v>0</v>
      </c>
      <c r="CB360" s="48"/>
      <c r="CC360" s="1131">
        <v>0</v>
      </c>
      <c r="CD360" s="1132">
        <v>0</v>
      </c>
      <c r="CE360" s="1132">
        <v>0</v>
      </c>
      <c r="CF360" s="1132">
        <v>0</v>
      </c>
      <c r="CG360" s="1117">
        <v>0</v>
      </c>
      <c r="CH360" s="48"/>
      <c r="CI360" s="1131">
        <v>0</v>
      </c>
      <c r="CJ360" s="1132">
        <v>0</v>
      </c>
      <c r="CK360" s="1132">
        <v>0</v>
      </c>
      <c r="CL360" s="1132">
        <v>0</v>
      </c>
      <c r="CM360" s="1117">
        <v>0</v>
      </c>
      <c r="CN360" s="48"/>
      <c r="CO360" s="1131">
        <v>0</v>
      </c>
      <c r="CP360" s="1132">
        <v>0</v>
      </c>
      <c r="CQ360" s="1132">
        <v>0</v>
      </c>
      <c r="CR360" s="1132">
        <v>0</v>
      </c>
      <c r="CS360" s="1117">
        <v>0</v>
      </c>
      <c r="CT360" s="48"/>
      <c r="CU360" s="1131">
        <v>0</v>
      </c>
      <c r="CV360" s="1132">
        <v>0</v>
      </c>
      <c r="CW360" s="1132">
        <v>0</v>
      </c>
      <c r="CX360" s="1132">
        <v>0</v>
      </c>
      <c r="CY360" s="1117">
        <v>0</v>
      </c>
      <c r="CZ360" s="48"/>
      <c r="DD360" s="48"/>
      <c r="DE360" s="48"/>
      <c r="DF360" s="48"/>
      <c r="DG360" s="48"/>
      <c r="DH360" s="48"/>
      <c r="DI360" s="48"/>
      <c r="DJ360" s="48"/>
      <c r="DK360" s="48"/>
    </row>
    <row r="361" spans="1:115" x14ac:dyDescent="0.2">
      <c r="A361" s="205" t="s">
        <v>469</v>
      </c>
      <c r="B361" s="48"/>
      <c r="C361" s="1128"/>
      <c r="D361" s="1129"/>
      <c r="E361" s="1129"/>
      <c r="F361" s="1129"/>
      <c r="G361" s="1463"/>
      <c r="H361" s="592"/>
      <c r="I361" s="1128"/>
      <c r="J361" s="1129"/>
      <c r="K361" s="1129"/>
      <c r="L361" s="1129"/>
      <c r="M361" s="1463"/>
      <c r="N361" s="592"/>
      <c r="O361" s="1128"/>
      <c r="P361" s="1129"/>
      <c r="Q361" s="1129"/>
      <c r="R361" s="1129"/>
      <c r="S361" s="1463"/>
      <c r="T361" s="591"/>
      <c r="U361" s="1128"/>
      <c r="V361" s="1129"/>
      <c r="W361" s="1129"/>
      <c r="X361" s="1129"/>
      <c r="Y361" s="1463"/>
      <c r="Z361" s="593"/>
      <c r="AA361" s="1128"/>
      <c r="AB361" s="1129"/>
      <c r="AC361" s="1129"/>
      <c r="AD361" s="1129"/>
      <c r="AE361" s="1463"/>
      <c r="AF361" s="592"/>
      <c r="AG361" s="1128"/>
      <c r="AH361" s="1129"/>
      <c r="AI361" s="1129"/>
      <c r="AJ361" s="1129"/>
      <c r="AK361" s="1463"/>
      <c r="AL361" s="601"/>
      <c r="AM361" s="1131">
        <f>+AM$206/AM354</f>
        <v>3.4618123928695718E-2</v>
      </c>
      <c r="AN361" s="1132">
        <f>+AN$206/AN354</f>
        <v>4.5285520704981867E-2</v>
      </c>
      <c r="AO361" s="1132">
        <f>+AO$206/AO354</f>
        <v>5.8193774598973694E-2</v>
      </c>
      <c r="AP361" s="1132">
        <f>+AP$206/AP354</f>
        <v>5.2150342152859346E-2</v>
      </c>
      <c r="AQ361" s="1117">
        <f>+AQ$206/AQ354</f>
        <v>4.7455350530617654E-2</v>
      </c>
      <c r="AR361" s="48"/>
      <c r="AS361" s="1131">
        <f>+AS$206/AS354</f>
        <v>1.2613601246223806E-2</v>
      </c>
      <c r="AT361" s="1132">
        <f>+AT$206/AT354</f>
        <v>1.1812916479136617E-2</v>
      </c>
      <c r="AU361" s="1132">
        <f>+AU$206/AU354</f>
        <v>2.8402749208606227E-2</v>
      </c>
      <c r="AV361" s="1132">
        <f>+AV$206/AV354</f>
        <v>1.417600843472501E-2</v>
      </c>
      <c r="AW361" s="1117">
        <f>+AW$206/AW354</f>
        <v>1.6816227073457292E-2</v>
      </c>
      <c r="AX361" s="48"/>
      <c r="AY361" s="1131">
        <f>+AY$206/AY354</f>
        <v>6.9698259054549322E-2</v>
      </c>
      <c r="AZ361" s="1132">
        <f>+AZ$206/AZ354</f>
        <v>5.5145804672717715E-2</v>
      </c>
      <c r="BA361" s="1132">
        <f>+BA$206/BA354</f>
        <v>6.0249040592049899E-2</v>
      </c>
      <c r="BB361" s="1132">
        <f>+BB$206/BB354</f>
        <v>5.1336112926989419E-2</v>
      </c>
      <c r="BC361" s="1117">
        <f>+BC$206/BC354</f>
        <v>5.8354196277703142E-2</v>
      </c>
      <c r="BD361" s="48"/>
      <c r="BE361" s="1131">
        <f>+BE$206/BE354</f>
        <v>8.7646031944048949E-2</v>
      </c>
      <c r="BF361" s="1132">
        <f>+BF$206/BF354</f>
        <v>6.8468819347725349E-2</v>
      </c>
      <c r="BG361" s="1132">
        <f>+BG$206/BG354</f>
        <v>7.2409425758322057E-2</v>
      </c>
      <c r="BH361" s="1132">
        <f>+BH$206/BH354</f>
        <v>5.8048502422956338E-2</v>
      </c>
      <c r="BI361" s="1117">
        <f>+BI$206/BI354</f>
        <v>7.0080540967330573E-2</v>
      </c>
      <c r="BJ361" s="48"/>
      <c r="BK361" s="1131">
        <f>+BK$206/BK354</f>
        <v>6.6763391987362045E-2</v>
      </c>
      <c r="BL361" s="1132">
        <f>+BL$206/BL354</f>
        <v>5.7072291024371724E-2</v>
      </c>
      <c r="BM361" s="1132">
        <f>+BM$206/BM354</f>
        <v>5.1414937540274055E-2</v>
      </c>
      <c r="BN361" s="1132">
        <f>+BN$206/BN354</f>
        <v>3.8878096151167871E-2</v>
      </c>
      <c r="BO361" s="1117">
        <f>+BO$206/BO354</f>
        <v>5.1624706622063858E-2</v>
      </c>
      <c r="BP361" s="48"/>
      <c r="BQ361" s="1131">
        <f>+BQ$206/BQ354</f>
        <v>5.6973777293086822E-2</v>
      </c>
      <c r="BR361" s="1132">
        <f>+BR$206/BR354</f>
        <v>5.1116140914684367E-2</v>
      </c>
      <c r="BS361" s="1132">
        <f>+BS$206/BS354</f>
        <v>4.4084541172260967E-2</v>
      </c>
      <c r="BT361" s="1132">
        <f>+BT$206/BT354</f>
        <v>4.3496279263835584E-2</v>
      </c>
      <c r="BU361" s="1117">
        <f>+BU$206/BU354</f>
        <v>4.8343118772729315E-2</v>
      </c>
      <c r="BV361" s="48"/>
      <c r="BW361" s="1131">
        <f>+BW$206/BW354</f>
        <v>4.2863849027344109E-2</v>
      </c>
      <c r="BX361" s="1132">
        <f>+BX$206/BX354</f>
        <v>3.817102656374486E-2</v>
      </c>
      <c r="BY361" s="1132">
        <f>+BY$206/BY354</f>
        <v>3.9816678683991434E-2</v>
      </c>
      <c r="BZ361" s="1132">
        <f>+BZ$206/BZ354</f>
        <v>4.2574589910378782E-2</v>
      </c>
      <c r="CA361" s="1117">
        <f>+CA$206/CA354</f>
        <v>4.0838346690014064E-2</v>
      </c>
      <c r="CB361" s="48"/>
      <c r="CC361" s="1131">
        <f>+CC$206/CC354</f>
        <v>3.9352480719515637E-2</v>
      </c>
      <c r="CD361" s="1132">
        <f>+CD$206/CD354</f>
        <v>3.5720530015288895E-2</v>
      </c>
      <c r="CE361" s="1132">
        <f>+CE$206/CE354</f>
        <v>3.4468700159166622E-2</v>
      </c>
      <c r="CF361" s="1132">
        <f>+CF$206/CF354</f>
        <v>2.8238746237730632E-2</v>
      </c>
      <c r="CG361" s="1117">
        <f>+CG$206/CG354</f>
        <v>3.3687197986455981E-2</v>
      </c>
      <c r="CH361" s="48"/>
      <c r="CI361" s="1131">
        <f>+CI$206/CI354</f>
        <v>3.8866418223788453E-2</v>
      </c>
      <c r="CJ361" s="1132">
        <f>+CJ$206/CJ354</f>
        <v>3.2623311042726345E-2</v>
      </c>
      <c r="CK361" s="1132">
        <f>+CK$206/CK354</f>
        <v>3.0528216991994931E-2</v>
      </c>
      <c r="CL361" s="1132">
        <f>+CL$206/CL354</f>
        <v>2.3308445714530682E-2</v>
      </c>
      <c r="CM361" s="1117">
        <f>+CM$206/CM354</f>
        <v>3.0307805165040516E-2</v>
      </c>
      <c r="CN361" s="48"/>
      <c r="CO361" s="1131">
        <f>+CO$206/CO354</f>
        <v>3.119552890817422E-2</v>
      </c>
      <c r="CP361" s="1132">
        <f>+CP$206/CP354</f>
        <v>2.6307995796480646E-2</v>
      </c>
      <c r="CQ361" s="1132">
        <f>+CQ$206/CQ354</f>
        <v>2.5402186370888088E-2</v>
      </c>
      <c r="CR361" s="1132">
        <f>+CR$206/CR354</f>
        <v>1.9476313353919888E-2</v>
      </c>
      <c r="CS361" s="1117">
        <f>+CS$206/CS354</f>
        <v>2.4889816259360247E-2</v>
      </c>
      <c r="CT361" s="48"/>
      <c r="CU361" s="1131">
        <f>+CU$206/CU354</f>
        <v>2.7484108840407289E-2</v>
      </c>
      <c r="CV361" s="1132">
        <f>+CV$206/CV354</f>
        <v>2.3186438249843462E-2</v>
      </c>
      <c r="CW361" s="1132">
        <f>+CW$206/CW354</f>
        <v>2.239125164193044E-2</v>
      </c>
      <c r="CX361" s="1132">
        <f>+CX$206/CX354</f>
        <v>1.7181614699087522E-2</v>
      </c>
      <c r="CY361" s="1117">
        <f>+CY$206/CY354</f>
        <v>2.1942326624889139E-2</v>
      </c>
      <c r="CZ361" s="48"/>
      <c r="DD361" s="48"/>
      <c r="DE361" s="48"/>
      <c r="DF361" s="48"/>
      <c r="DG361" s="48"/>
      <c r="DH361" s="48"/>
      <c r="DI361" s="48"/>
      <c r="DJ361" s="48"/>
      <c r="DK361" s="48"/>
    </row>
    <row r="362" spans="1:115" x14ac:dyDescent="0.2">
      <c r="A362" s="205" t="s">
        <v>466</v>
      </c>
      <c r="B362" s="48"/>
      <c r="C362" s="1128"/>
      <c r="D362" s="1129"/>
      <c r="E362" s="1129"/>
      <c r="F362" s="1129"/>
      <c r="G362" s="1463"/>
      <c r="H362" s="592"/>
      <c r="I362" s="1128"/>
      <c r="J362" s="1129"/>
      <c r="K362" s="1129"/>
      <c r="L362" s="1129"/>
      <c r="M362" s="1463"/>
      <c r="N362" s="592"/>
      <c r="O362" s="1128"/>
      <c r="P362" s="1129"/>
      <c r="Q362" s="1129"/>
      <c r="R362" s="1129"/>
      <c r="S362" s="1463"/>
      <c r="T362" s="591"/>
      <c r="U362" s="1128"/>
      <c r="V362" s="1129"/>
      <c r="W362" s="1129"/>
      <c r="X362" s="1129"/>
      <c r="Y362" s="1463"/>
      <c r="Z362" s="593"/>
      <c r="AA362" s="1128"/>
      <c r="AB362" s="1129"/>
      <c r="AC362" s="1129"/>
      <c r="AD362" s="1129"/>
      <c r="AE362" s="1463"/>
      <c r="AF362" s="592"/>
      <c r="AG362" s="1128"/>
      <c r="AH362" s="1129"/>
      <c r="AI362" s="1129"/>
      <c r="AJ362" s="1129"/>
      <c r="AK362" s="1463"/>
      <c r="AL362" s="601"/>
      <c r="AM362" s="1131">
        <f>+AM$157/AM354</f>
        <v>0</v>
      </c>
      <c r="AN362" s="1132">
        <f>+AN$157/AN354</f>
        <v>0</v>
      </c>
      <c r="AO362" s="1132">
        <f>+AO$157/AO354</f>
        <v>0</v>
      </c>
      <c r="AP362" s="1132">
        <f>+AP$157/AP354</f>
        <v>0</v>
      </c>
      <c r="AQ362" s="1117">
        <f>+AQ$157/AQ354</f>
        <v>0</v>
      </c>
      <c r="AR362" s="48"/>
      <c r="AS362" s="1131">
        <f>+AS$157/AS354</f>
        <v>0</v>
      </c>
      <c r="AT362" s="1132">
        <f>+AT$157/AT354</f>
        <v>0</v>
      </c>
      <c r="AU362" s="1132">
        <f>+AU$157/AU354</f>
        <v>0</v>
      </c>
      <c r="AV362" s="1132">
        <f>+AV$157/AV354</f>
        <v>0</v>
      </c>
      <c r="AW362" s="1117">
        <f>+AW$157/AW354</f>
        <v>0</v>
      </c>
      <c r="AX362" s="48"/>
      <c r="AY362" s="1131">
        <f>+AY$157/AY354</f>
        <v>0</v>
      </c>
      <c r="AZ362" s="1132">
        <f>+AZ$157/AZ354</f>
        <v>0</v>
      </c>
      <c r="BA362" s="1132">
        <f>+BA$157/BA354</f>
        <v>0</v>
      </c>
      <c r="BB362" s="1132">
        <f>+BB$157/BB354</f>
        <v>0</v>
      </c>
      <c r="BC362" s="1117">
        <f>+BC$157/BC354</f>
        <v>0</v>
      </c>
      <c r="BD362" s="48"/>
      <c r="BE362" s="1131">
        <f>+BE$157/BE354</f>
        <v>0</v>
      </c>
      <c r="BF362" s="1132">
        <f>+BF$157/BF354</f>
        <v>0</v>
      </c>
      <c r="BG362" s="1132">
        <f>+BG$157/BG354</f>
        <v>0</v>
      </c>
      <c r="BH362" s="1132">
        <f>+BH$157/BH354</f>
        <v>0</v>
      </c>
      <c r="BI362" s="1117">
        <f>+BI$157/BI354</f>
        <v>0</v>
      </c>
      <c r="BJ362" s="48"/>
      <c r="BK362" s="1131">
        <f>+BK$157/BK354</f>
        <v>0</v>
      </c>
      <c r="BL362" s="1132">
        <f>+BL$157/BL354</f>
        <v>0</v>
      </c>
      <c r="BM362" s="1132">
        <f>+BM$157/BM354</f>
        <v>0</v>
      </c>
      <c r="BN362" s="1132">
        <f>+BN$157/BN354</f>
        <v>0</v>
      </c>
      <c r="BO362" s="1117">
        <f>+BO$157/BO354</f>
        <v>0</v>
      </c>
      <c r="BP362" s="48"/>
      <c r="BQ362" s="1131">
        <f>+BQ$157/BQ354</f>
        <v>0</v>
      </c>
      <c r="BR362" s="1132">
        <f>+BR$157/BR354</f>
        <v>0</v>
      </c>
      <c r="BS362" s="1132">
        <f>+BS$157/BS354</f>
        <v>0</v>
      </c>
      <c r="BT362" s="1132">
        <f>+BT$157/BT354</f>
        <v>0</v>
      </c>
      <c r="BU362" s="1117">
        <f>+BU$157/BU354</f>
        <v>0</v>
      </c>
      <c r="BV362" s="48"/>
      <c r="BW362" s="1131">
        <f>+BW$157/BW354</f>
        <v>0</v>
      </c>
      <c r="BX362" s="1132">
        <f>+BX$157/BX354</f>
        <v>0</v>
      </c>
      <c r="BY362" s="1132">
        <f>+BY$157/BY354</f>
        <v>0</v>
      </c>
      <c r="BZ362" s="1132">
        <f>+BZ$157/BZ354</f>
        <v>0</v>
      </c>
      <c r="CA362" s="1117">
        <f>+CA$157/CA354</f>
        <v>0</v>
      </c>
      <c r="CB362" s="48"/>
      <c r="CC362" s="1131">
        <f>+CC$157/CC354</f>
        <v>0</v>
      </c>
      <c r="CD362" s="1132">
        <f>+CD$157/CD354</f>
        <v>0</v>
      </c>
      <c r="CE362" s="1132">
        <f>+CE$157/CE354</f>
        <v>0</v>
      </c>
      <c r="CF362" s="1132">
        <f>+CF$157/CF354</f>
        <v>0</v>
      </c>
      <c r="CG362" s="1117">
        <f>+CG$157/CG354</f>
        <v>0</v>
      </c>
      <c r="CH362" s="48"/>
      <c r="CI362" s="1131">
        <f>+CI$157/CI354</f>
        <v>0</v>
      </c>
      <c r="CJ362" s="1132">
        <f>+CJ$157/CJ354</f>
        <v>0</v>
      </c>
      <c r="CK362" s="1132">
        <f>+CK$157/CK354</f>
        <v>0</v>
      </c>
      <c r="CL362" s="1132">
        <f>+CL$157/CL354</f>
        <v>0</v>
      </c>
      <c r="CM362" s="1117">
        <f>+CM$157/CM354</f>
        <v>0</v>
      </c>
      <c r="CN362" s="48"/>
      <c r="CO362" s="1131">
        <f>+CO$157/CO354</f>
        <v>0</v>
      </c>
      <c r="CP362" s="1132">
        <f>+CP$157/CP354</f>
        <v>0</v>
      </c>
      <c r="CQ362" s="1132">
        <f>+CQ$157/CQ354</f>
        <v>0</v>
      </c>
      <c r="CR362" s="1132">
        <f>+CR$157/CR354</f>
        <v>0</v>
      </c>
      <c r="CS362" s="1117">
        <f>+CS$157/CS354</f>
        <v>0</v>
      </c>
      <c r="CT362" s="48"/>
      <c r="CU362" s="1131">
        <f>+CU$157/CU354</f>
        <v>0</v>
      </c>
      <c r="CV362" s="1132">
        <f>+CV$157/CV354</f>
        <v>0</v>
      </c>
      <c r="CW362" s="1132">
        <f>+CW$157/CW354</f>
        <v>0</v>
      </c>
      <c r="CX362" s="1132">
        <f>+CX$157/CX354</f>
        <v>0</v>
      </c>
      <c r="CY362" s="1117">
        <f>+CY$157/CY354</f>
        <v>0</v>
      </c>
      <c r="CZ362" s="48"/>
      <c r="DD362" s="48"/>
      <c r="DE362" s="48"/>
      <c r="DF362" s="48"/>
      <c r="DG362" s="48"/>
      <c r="DH362" s="48"/>
      <c r="DI362" s="48"/>
      <c r="DJ362" s="48"/>
      <c r="DK362" s="48"/>
    </row>
    <row r="363" spans="1:115" x14ac:dyDescent="0.2">
      <c r="A363" s="205" t="s">
        <v>467</v>
      </c>
      <c r="B363" s="48"/>
      <c r="C363" s="1128"/>
      <c r="D363" s="1129"/>
      <c r="E363" s="1129"/>
      <c r="F363" s="1129"/>
      <c r="G363" s="1463"/>
      <c r="H363" s="592"/>
      <c r="I363" s="1128"/>
      <c r="J363" s="1129"/>
      <c r="K363" s="1129"/>
      <c r="L363" s="1129"/>
      <c r="M363" s="1463"/>
      <c r="N363" s="592"/>
      <c r="O363" s="1128"/>
      <c r="P363" s="1129"/>
      <c r="Q363" s="1129"/>
      <c r="R363" s="1129"/>
      <c r="S363" s="1463"/>
      <c r="T363" s="591"/>
      <c r="U363" s="1128"/>
      <c r="V363" s="1129"/>
      <c r="W363" s="1129"/>
      <c r="X363" s="1129"/>
      <c r="Y363" s="1463"/>
      <c r="Z363" s="593"/>
      <c r="AA363" s="1128"/>
      <c r="AB363" s="1129"/>
      <c r="AC363" s="1129"/>
      <c r="AD363" s="1129"/>
      <c r="AE363" s="1463"/>
      <c r="AF363" s="592"/>
      <c r="AG363" s="1128"/>
      <c r="AH363" s="1129"/>
      <c r="AI363" s="1129"/>
      <c r="AJ363" s="1129"/>
      <c r="AK363" s="1463"/>
      <c r="AL363" s="601"/>
      <c r="AM363" s="1131">
        <f>+AM$256/AM354</f>
        <v>0</v>
      </c>
      <c r="AN363" s="1132">
        <f>+AN$256/AN354</f>
        <v>0</v>
      </c>
      <c r="AO363" s="1132">
        <f>+AO$256/AO354</f>
        <v>0</v>
      </c>
      <c r="AP363" s="1132">
        <f>+AP$256/AP354</f>
        <v>0</v>
      </c>
      <c r="AQ363" s="1117">
        <f>+AQ$256/AQ354</f>
        <v>0</v>
      </c>
      <c r="AR363" s="48"/>
      <c r="AS363" s="1131">
        <f>+AS$256/AS354</f>
        <v>0</v>
      </c>
      <c r="AT363" s="1132">
        <f>+AT$256/AT354</f>
        <v>0</v>
      </c>
      <c r="AU363" s="1132">
        <f>+AU$256/AU354</f>
        <v>0</v>
      </c>
      <c r="AV363" s="1132">
        <f>+AV$256/AV354</f>
        <v>0</v>
      </c>
      <c r="AW363" s="1117">
        <f>+AW$256/AW354</f>
        <v>0</v>
      </c>
      <c r="AX363" s="48"/>
      <c r="AY363" s="1131">
        <f>+AY$256/AY354</f>
        <v>0</v>
      </c>
      <c r="AZ363" s="1132">
        <f>+AZ$256/AZ354</f>
        <v>0</v>
      </c>
      <c r="BA363" s="1132">
        <f>+BA$256/BA354</f>
        <v>0</v>
      </c>
      <c r="BB363" s="1132">
        <f>+BB$256/BB354</f>
        <v>0</v>
      </c>
      <c r="BC363" s="1117">
        <f>+BC$256/BC354</f>
        <v>0</v>
      </c>
      <c r="BD363" s="48"/>
      <c r="BE363" s="1131">
        <f>+BE$256/BE354</f>
        <v>0</v>
      </c>
      <c r="BF363" s="1132">
        <f>+BF$256/BF354</f>
        <v>0</v>
      </c>
      <c r="BG363" s="1132">
        <f>+BG$256/BG354</f>
        <v>0</v>
      </c>
      <c r="BH363" s="1132">
        <f>+BH$256/BH354</f>
        <v>0</v>
      </c>
      <c r="BI363" s="1117">
        <f>+BI$256/BI354</f>
        <v>0</v>
      </c>
      <c r="BJ363" s="48"/>
      <c r="BK363" s="1131">
        <f>+BK$256/BK354</f>
        <v>0</v>
      </c>
      <c r="BL363" s="1132">
        <f>+BL$256/BL354</f>
        <v>0</v>
      </c>
      <c r="BM363" s="1132">
        <f>+BM$256/BM354</f>
        <v>0</v>
      </c>
      <c r="BN363" s="1132">
        <f>+BN$256/BN354</f>
        <v>0</v>
      </c>
      <c r="BO363" s="1117">
        <f>+BO$256/BO354</f>
        <v>0</v>
      </c>
      <c r="BP363" s="48"/>
      <c r="BQ363" s="1131">
        <f>+BQ$256/BQ354</f>
        <v>0</v>
      </c>
      <c r="BR363" s="1132">
        <f>+BR$256/BR354</f>
        <v>0</v>
      </c>
      <c r="BS363" s="1132">
        <f>+BS$256/BS354</f>
        <v>0</v>
      </c>
      <c r="BT363" s="1132">
        <f>+BT$256/BT354</f>
        <v>0</v>
      </c>
      <c r="BU363" s="1117">
        <f>+BU$256/BU354</f>
        <v>0</v>
      </c>
      <c r="BV363" s="48"/>
      <c r="BW363" s="1131">
        <f>+BW$256/BW354</f>
        <v>4.1893028664885534E-3</v>
      </c>
      <c r="BX363" s="1132">
        <f>+BX$256/BX354</f>
        <v>7.0360548558980156E-3</v>
      </c>
      <c r="BY363" s="1132">
        <f>+BY$256/BY354</f>
        <v>1.4762980350473191E-2</v>
      </c>
      <c r="BZ363" s="1132">
        <f>+BZ$256/BZ354</f>
        <v>1.5263720498440256E-2</v>
      </c>
      <c r="CA363" s="1117">
        <f>+CA$256/CA354</f>
        <v>1.0659429634949581E-2</v>
      </c>
      <c r="CB363" s="48"/>
      <c r="CC363" s="1131">
        <f>+CC$256/CC354</f>
        <v>2.6442067503403211E-2</v>
      </c>
      <c r="CD363" s="1132">
        <f>+CD$256/CD354</f>
        <v>2.2791999805306148E-2</v>
      </c>
      <c r="CE363" s="1132">
        <f>+CE$256/CE354</f>
        <v>2.2119386802473075E-2</v>
      </c>
      <c r="CF363" s="1132">
        <f>+CF$256/CF354</f>
        <v>1.6270834385511444E-2</v>
      </c>
      <c r="CG363" s="1117">
        <f>+CG$256/CG354</f>
        <v>2.1218036252835925E-2</v>
      </c>
      <c r="CH363" s="48"/>
      <c r="CI363" s="1131">
        <f>+CI$256/CI354</f>
        <v>2.0892374467854028E-2</v>
      </c>
      <c r="CJ363" s="1132">
        <f>+CJ$256/CJ354</f>
        <v>1.8040337927065352E-2</v>
      </c>
      <c r="CK363" s="1132">
        <f>+CK$256/CK354</f>
        <v>1.6978593487093244E-2</v>
      </c>
      <c r="CL363" s="1132">
        <f>+CL$256/CL354</f>
        <v>1.2534716178896239E-2</v>
      </c>
      <c r="CM363" s="1117">
        <f>+CM$256/CM354</f>
        <v>1.6548486141782087E-2</v>
      </c>
      <c r="CN363" s="48"/>
      <c r="CO363" s="1131">
        <f>+CO$256/CO354</f>
        <v>2.4660207261992754E-2</v>
      </c>
      <c r="CP363" s="1132">
        <f>+CP$256/CP354</f>
        <v>2.1394171979497011E-2</v>
      </c>
      <c r="CQ363" s="1132">
        <f>+CQ$256/CQ354</f>
        <v>2.0776024829546928E-2</v>
      </c>
      <c r="CR363" s="1132">
        <f>+CR$256/CR354</f>
        <v>1.5402777116312067E-2</v>
      </c>
      <c r="CS363" s="1117">
        <f>+CS$256/CS354</f>
        <v>1.9985571043333213E-2</v>
      </c>
      <c r="CT363" s="48"/>
      <c r="CU363" s="1131">
        <f>+CU$256/CU354</f>
        <v>2.4087868588715262E-2</v>
      </c>
      <c r="CV363" s="1132">
        <f>+CV$256/CV354</f>
        <v>2.0905189250775918E-2</v>
      </c>
      <c r="CW363" s="1132">
        <f>+CW$256/CW354</f>
        <v>2.0304021881477525E-2</v>
      </c>
      <c r="CX363" s="1132">
        <f>+CX$256/CX354</f>
        <v>1.5064981332949628E-2</v>
      </c>
      <c r="CY363" s="1117">
        <f>+CY$256/CY354</f>
        <v>1.9533941875327858E-2</v>
      </c>
      <c r="CZ363" s="48"/>
      <c r="DD363" s="48"/>
      <c r="DE363" s="48"/>
      <c r="DF363" s="48"/>
      <c r="DG363" s="48"/>
      <c r="DH363" s="48"/>
      <c r="DI363" s="48"/>
      <c r="DJ363" s="48"/>
      <c r="DK363" s="48"/>
    </row>
    <row r="364" spans="1:115" x14ac:dyDescent="0.2">
      <c r="A364" s="205" t="s">
        <v>468</v>
      </c>
      <c r="B364" s="48"/>
      <c r="C364" s="1128"/>
      <c r="D364" s="1129"/>
      <c r="E364" s="1129"/>
      <c r="F364" s="1129"/>
      <c r="G364" s="1463"/>
      <c r="H364" s="592"/>
      <c r="I364" s="1128"/>
      <c r="J364" s="1129"/>
      <c r="K364" s="1129"/>
      <c r="L364" s="1129"/>
      <c r="M364" s="1463"/>
      <c r="N364" s="592"/>
      <c r="O364" s="1128"/>
      <c r="P364" s="1129"/>
      <c r="Q364" s="1129"/>
      <c r="R364" s="1129"/>
      <c r="S364" s="1463"/>
      <c r="T364" s="591"/>
      <c r="U364" s="1128"/>
      <c r="V364" s="1129"/>
      <c r="W364" s="1129"/>
      <c r="X364" s="1129"/>
      <c r="Y364" s="1463"/>
      <c r="Z364" s="593"/>
      <c r="AA364" s="1128"/>
      <c r="AB364" s="1129"/>
      <c r="AC364" s="1129"/>
      <c r="AD364" s="1129"/>
      <c r="AE364" s="1463"/>
      <c r="AF364" s="592"/>
      <c r="AG364" s="1128"/>
      <c r="AH364" s="1129"/>
      <c r="AI364" s="1129"/>
      <c r="AJ364" s="1129"/>
      <c r="AK364" s="1463"/>
      <c r="AL364" s="601"/>
      <c r="AM364" s="1131">
        <f>+AM$295/AM354</f>
        <v>0</v>
      </c>
      <c r="AN364" s="1132">
        <f>+AN$295/AN354</f>
        <v>0</v>
      </c>
      <c r="AO364" s="1132">
        <f>+AO$295/AO354</f>
        <v>0</v>
      </c>
      <c r="AP364" s="1132">
        <f>+AP$295/AP354</f>
        <v>0</v>
      </c>
      <c r="AQ364" s="1117">
        <f>+AQ$295/AQ354</f>
        <v>0</v>
      </c>
      <c r="AR364" s="48"/>
      <c r="AS364" s="1131">
        <f>+AS$295/AS354</f>
        <v>0</v>
      </c>
      <c r="AT364" s="1132">
        <f>+AT$295/AT354</f>
        <v>0</v>
      </c>
      <c r="AU364" s="1132">
        <f>+AU$295/AU354</f>
        <v>0</v>
      </c>
      <c r="AV364" s="1132">
        <f>+AV$295/AV354</f>
        <v>0</v>
      </c>
      <c r="AW364" s="1117">
        <f>+AW$295/AW354</f>
        <v>0</v>
      </c>
      <c r="AX364" s="48"/>
      <c r="AY364" s="1131">
        <f>+AY$295/AY354</f>
        <v>0</v>
      </c>
      <c r="AZ364" s="1132">
        <f>+AZ$295/AZ354</f>
        <v>0</v>
      </c>
      <c r="BA364" s="1132">
        <f>+BA$295/BA354</f>
        <v>0</v>
      </c>
      <c r="BB364" s="1132">
        <f>+BB$295/BB354</f>
        <v>0</v>
      </c>
      <c r="BC364" s="1117">
        <f>+BC$295/BC354</f>
        <v>0</v>
      </c>
      <c r="BD364" s="48"/>
      <c r="BE364" s="1131">
        <f>+BE$295/BE354</f>
        <v>0</v>
      </c>
      <c r="BF364" s="1132">
        <f>+BF$295/BF354</f>
        <v>0</v>
      </c>
      <c r="BG364" s="1132">
        <f>+BG$295/BG354</f>
        <v>0</v>
      </c>
      <c r="BH364" s="1132">
        <f>+BH$295/BH354</f>
        <v>0</v>
      </c>
      <c r="BI364" s="1117">
        <f>+BI$295/BI354</f>
        <v>0</v>
      </c>
      <c r="BJ364" s="48"/>
      <c r="BK364" s="1131">
        <f>+BK$295/BK354</f>
        <v>0</v>
      </c>
      <c r="BL364" s="1132">
        <f>+BL$295/BL354</f>
        <v>0</v>
      </c>
      <c r="BM364" s="1132">
        <f>+BM$295/BM354</f>
        <v>0</v>
      </c>
      <c r="BN364" s="1132">
        <f>+BN$295/BN354</f>
        <v>0</v>
      </c>
      <c r="BO364" s="1117">
        <f>+BO$295/BO354</f>
        <v>0</v>
      </c>
      <c r="BP364" s="48"/>
      <c r="BQ364" s="1131">
        <f>+BQ$295/BQ354</f>
        <v>0</v>
      </c>
      <c r="BR364" s="1132">
        <f>+BR$295/BR354</f>
        <v>0</v>
      </c>
      <c r="BS364" s="1132">
        <f>+BS$295/BS354</f>
        <v>0</v>
      </c>
      <c r="BT364" s="1132">
        <f>+BT$295/BT354</f>
        <v>0</v>
      </c>
      <c r="BU364" s="1117">
        <f>+BU$295/BU354</f>
        <v>0</v>
      </c>
      <c r="BV364" s="48"/>
      <c r="BW364" s="1131">
        <f>+BW$295/BW354</f>
        <v>0</v>
      </c>
      <c r="BX364" s="1132">
        <f>+BX$295/BX354</f>
        <v>0</v>
      </c>
      <c r="BY364" s="1132">
        <f>+BY$295/BY354</f>
        <v>0</v>
      </c>
      <c r="BZ364" s="1132">
        <f>+BZ$295/BZ354</f>
        <v>0</v>
      </c>
      <c r="CA364" s="1117">
        <f>+CA$295/CA354</f>
        <v>0</v>
      </c>
      <c r="CB364" s="48"/>
      <c r="CC364" s="1131">
        <f>+CC$295/CC354</f>
        <v>0</v>
      </c>
      <c r="CD364" s="1132">
        <f>+CD$295/CD354</f>
        <v>0</v>
      </c>
      <c r="CE364" s="1132">
        <f>+CE$295/CE354</f>
        <v>0</v>
      </c>
      <c r="CF364" s="1132">
        <f>+CF$295/CF354</f>
        <v>0</v>
      </c>
      <c r="CG364" s="1117">
        <f>+CG$295/CG354</f>
        <v>0</v>
      </c>
      <c r="CH364" s="48"/>
      <c r="CI364" s="1131">
        <f>+CI$295/CI354</f>
        <v>0</v>
      </c>
      <c r="CJ364" s="1132">
        <f>+CJ$295/CJ354</f>
        <v>0</v>
      </c>
      <c r="CK364" s="1132">
        <f>+CK$295/CK354</f>
        <v>0</v>
      </c>
      <c r="CL364" s="1132">
        <f>+CL$295/CL354</f>
        <v>0</v>
      </c>
      <c r="CM364" s="1117">
        <f>+CM$295/CM354</f>
        <v>0</v>
      </c>
      <c r="CN364" s="48"/>
      <c r="CO364" s="1131">
        <f>+CO$295/CO354</f>
        <v>0</v>
      </c>
      <c r="CP364" s="1132">
        <f>+CP$295/CP354</f>
        <v>0</v>
      </c>
      <c r="CQ364" s="1132">
        <f>+CQ$295/CQ354</f>
        <v>0</v>
      </c>
      <c r="CR364" s="1132">
        <f>+CR$295/CR354</f>
        <v>0</v>
      </c>
      <c r="CS364" s="1117">
        <f>+CS$295/CS354</f>
        <v>0</v>
      </c>
      <c r="CT364" s="48"/>
      <c r="CU364" s="1131">
        <f>+CU$295/CU354</f>
        <v>0</v>
      </c>
      <c r="CV364" s="1132">
        <f>+CV$295/CV354</f>
        <v>0</v>
      </c>
      <c r="CW364" s="1132">
        <f>+CW$295/CW354</f>
        <v>0</v>
      </c>
      <c r="CX364" s="1132">
        <f>+CX$295/CX354</f>
        <v>0</v>
      </c>
      <c r="CY364" s="1117">
        <f>+CY$295/CY354</f>
        <v>0</v>
      </c>
      <c r="CZ364" s="48"/>
      <c r="DD364" s="48"/>
      <c r="DE364" s="48"/>
      <c r="DF364" s="48"/>
      <c r="DG364" s="48"/>
      <c r="DH364" s="48"/>
      <c r="DI364" s="48"/>
      <c r="DJ364" s="48"/>
      <c r="DK364" s="48"/>
    </row>
    <row r="365" spans="1:115" x14ac:dyDescent="0.2">
      <c r="A365" s="1161" t="s">
        <v>509</v>
      </c>
      <c r="B365" s="1162"/>
      <c r="C365" s="1163"/>
      <c r="D365" s="1163"/>
      <c r="E365" s="1163"/>
      <c r="F365" s="1163"/>
      <c r="G365" s="1164"/>
      <c r="H365" s="1165"/>
      <c r="I365" s="1166"/>
      <c r="J365" s="1163"/>
      <c r="K365" s="1163"/>
      <c r="L365" s="1163"/>
      <c r="M365" s="1164"/>
      <c r="N365" s="1165"/>
      <c r="O365" s="1166"/>
      <c r="P365" s="1163"/>
      <c r="Q365" s="1163"/>
      <c r="R365" s="1163"/>
      <c r="S365" s="1164"/>
      <c r="T365" s="1163"/>
      <c r="U365" s="1166"/>
      <c r="V365" s="1163"/>
      <c r="W365" s="1163"/>
      <c r="X365" s="1163"/>
      <c r="Y365" s="1164"/>
      <c r="Z365" s="1167"/>
      <c r="AA365" s="1168"/>
      <c r="AB365" s="1169"/>
      <c r="AC365" s="1169"/>
      <c r="AD365" s="1170"/>
      <c r="AE365" s="1171"/>
      <c r="AF365" s="1165"/>
      <c r="AG365" s="1172"/>
      <c r="AH365" s="1173"/>
      <c r="AI365" s="1173"/>
      <c r="AJ365" s="1174"/>
      <c r="AK365" s="1171"/>
      <c r="AL365" s="1175"/>
      <c r="AM365" s="1176"/>
      <c r="AN365" s="1177"/>
      <c r="AO365" s="1177"/>
      <c r="AP365" s="1177"/>
      <c r="AQ365" s="1171"/>
      <c r="AR365" s="1178"/>
      <c r="AS365" s="1172"/>
      <c r="AT365" s="1173"/>
      <c r="AU365" s="1173"/>
      <c r="AV365" s="1173"/>
      <c r="AW365" s="1171"/>
      <c r="AX365" s="1173"/>
      <c r="AY365" s="1172"/>
      <c r="AZ365" s="1173"/>
      <c r="BA365" s="1173"/>
      <c r="BB365" s="1173"/>
      <c r="BC365" s="1171"/>
      <c r="BD365" s="1178"/>
      <c r="BE365" s="1172"/>
      <c r="BF365" s="1173"/>
      <c r="BG365" s="1173"/>
      <c r="BH365" s="1173"/>
      <c r="BI365" s="1171"/>
      <c r="BJ365" s="1179"/>
      <c r="BK365" s="1180"/>
      <c r="BL365" s="1173"/>
      <c r="BM365" s="1173"/>
      <c r="BN365" s="1173"/>
      <c r="BO365" s="1171"/>
      <c r="BP365" s="1178"/>
      <c r="BQ365" s="1172"/>
      <c r="BR365" s="1173"/>
      <c r="BS365" s="1173"/>
      <c r="BT365" s="1173"/>
      <c r="BU365" s="1171"/>
      <c r="BV365" s="1178"/>
      <c r="BW365" s="1172"/>
      <c r="BX365" s="1173"/>
      <c r="BY365" s="1173"/>
      <c r="BZ365" s="1173"/>
      <c r="CA365" s="1171"/>
      <c r="CB365" s="1178"/>
      <c r="CC365" s="1172"/>
      <c r="CD365" s="1173"/>
      <c r="CE365" s="1173"/>
      <c r="CF365" s="1173"/>
      <c r="CG365" s="1171"/>
      <c r="CH365" s="1178"/>
      <c r="CI365" s="1172"/>
      <c r="CJ365" s="1173"/>
      <c r="CK365" s="1173"/>
      <c r="CL365" s="1173"/>
      <c r="CM365" s="1171"/>
      <c r="CN365" s="1178"/>
      <c r="CO365" s="1172"/>
      <c r="CP365" s="1173"/>
      <c r="CQ365" s="1173"/>
      <c r="CR365" s="1173"/>
      <c r="CS365" s="1171"/>
      <c r="CT365" s="1178"/>
      <c r="CU365" s="1172"/>
      <c r="CV365" s="1173"/>
      <c r="CW365" s="1173"/>
      <c r="CX365" s="1173"/>
      <c r="CY365" s="1171"/>
      <c r="CZ365" s="48"/>
      <c r="DD365" s="48"/>
      <c r="DE365" s="48"/>
      <c r="DF365" s="48"/>
      <c r="DG365" s="48"/>
      <c r="DH365" s="48"/>
      <c r="DI365" s="48"/>
      <c r="DJ365" s="48"/>
      <c r="DK365" s="48"/>
    </row>
    <row r="366" spans="1:115" x14ac:dyDescent="0.2">
      <c r="A366" s="1240" t="s">
        <v>470</v>
      </c>
      <c r="B366" s="1194"/>
      <c r="C366" s="1243"/>
      <c r="D366" s="1244"/>
      <c r="E366" s="1244"/>
      <c r="F366" s="1245"/>
      <c r="G366" s="1246"/>
      <c r="H366" s="1194"/>
      <c r="I366" s="1243"/>
      <c r="J366" s="1244"/>
      <c r="K366" s="1244"/>
      <c r="L366" s="1245"/>
      <c r="M366" s="1246"/>
      <c r="N366" s="1194"/>
      <c r="O366" s="1243"/>
      <c r="P366" s="1244"/>
      <c r="Q366" s="1244"/>
      <c r="R366" s="1245"/>
      <c r="S366" s="1246"/>
      <c r="T366" s="1194"/>
      <c r="U366" s="1243"/>
      <c r="V366" s="1244"/>
      <c r="W366" s="1244"/>
      <c r="X366" s="1245"/>
      <c r="Y366" s="1246"/>
      <c r="Z366" s="1194"/>
      <c r="AA366" s="1243"/>
      <c r="AB366" s="1244"/>
      <c r="AC366" s="1244"/>
      <c r="AD366" s="1245"/>
      <c r="AE366" s="1246"/>
      <c r="AF366" s="1194"/>
      <c r="AG366" s="1243">
        <f>+AG354+AG331</f>
        <v>220.93299999999999</v>
      </c>
      <c r="AH366" s="1244">
        <f>+AH354+AH331</f>
        <v>240.15599999999998</v>
      </c>
      <c r="AI366" s="1244">
        <f>+AI354+AI331</f>
        <v>259.65899999999999</v>
      </c>
      <c r="AJ366" s="1245">
        <f>+AJ354+AJ331</f>
        <v>289.07700000000011</v>
      </c>
      <c r="AK366" s="1246">
        <f>+SUM(AG366:AJ366)</f>
        <v>1009.825</v>
      </c>
      <c r="AL366" s="1194"/>
      <c r="AM366" s="1243">
        <f>+AM354+AM331</f>
        <v>264.36399999999998</v>
      </c>
      <c r="AN366" s="1244">
        <f>+AN354+AN331</f>
        <v>260.09082000000001</v>
      </c>
      <c r="AO366" s="1244">
        <f>+AO354+AO331</f>
        <v>274.31700000000001</v>
      </c>
      <c r="AP366" s="1245">
        <f>+AP354+AP331</f>
        <v>286.03200000000004</v>
      </c>
      <c r="AQ366" s="1246">
        <f>+SUM(AM366:AP366)</f>
        <v>1084.8038200000001</v>
      </c>
      <c r="AR366" s="1194"/>
      <c r="AS366" s="1243">
        <f>+AS354+AS331</f>
        <v>264.26499999999999</v>
      </c>
      <c r="AT366" s="1244">
        <f>+AT354+AT331</f>
        <v>282.17700000000002</v>
      </c>
      <c r="AU366" s="1244">
        <f>+AU354+AU331</f>
        <v>288.88499999999999</v>
      </c>
      <c r="AV366" s="1245">
        <f>+AV354+AV331</f>
        <v>334.42000000000007</v>
      </c>
      <c r="AW366" s="1246">
        <f>+SUM(AS366:AV366)</f>
        <v>1169.7470000000001</v>
      </c>
      <c r="AX366" s="1194"/>
      <c r="AY366" s="1243">
        <f>+AY354+AY331</f>
        <v>296.42200000000003</v>
      </c>
      <c r="AZ366" s="1244">
        <f>+AZ354+AZ331</f>
        <v>307.21300000000002</v>
      </c>
      <c r="BA366" s="1244">
        <f>+BA354+BA331</f>
        <v>304.28899999999999</v>
      </c>
      <c r="BB366" s="1245">
        <f>+BB354+BB331</f>
        <v>346.53199999999993</v>
      </c>
      <c r="BC366" s="1246">
        <f>+SUM(AY366:BB366)</f>
        <v>1254.4559999999999</v>
      </c>
      <c r="BD366" s="1194"/>
      <c r="BE366" s="1243">
        <f>+BE354+BE331</f>
        <v>303.57600000000002</v>
      </c>
      <c r="BF366" s="1244">
        <f>+BF354+BF331</f>
        <v>316.41199999999998</v>
      </c>
      <c r="BG366" s="1244">
        <f>+BG354+BG331</f>
        <v>323.81099999999998</v>
      </c>
      <c r="BH366" s="1245">
        <f>+BH354+BH331</f>
        <v>362.58499999999998</v>
      </c>
      <c r="BI366" s="1246">
        <f>+SUM(BE366:BH366)</f>
        <v>1306.384</v>
      </c>
      <c r="BJ366" s="1194"/>
      <c r="BK366" s="1243">
        <f>+BK354+BK331</f>
        <v>317.37299999999999</v>
      </c>
      <c r="BL366" s="1244">
        <f>+BL354+BL331</f>
        <v>331.23699999999997</v>
      </c>
      <c r="BM366" s="1244">
        <f>+BM354+BM331</f>
        <v>336.75700000000001</v>
      </c>
      <c r="BN366" s="1245">
        <f>+BN354+BN331</f>
        <v>360.81</v>
      </c>
      <c r="BO366" s="1246">
        <f>+SUM(BK366:BN366)</f>
        <v>1346.1769999999999</v>
      </c>
      <c r="BP366" s="1194"/>
      <c r="BQ366" s="1243">
        <f>+BQ354+BQ331</f>
        <v>298.72899999999998</v>
      </c>
      <c r="BR366" s="1244">
        <f>+BR354+BR331</f>
        <v>319.45600000000002</v>
      </c>
      <c r="BS366" s="1244">
        <f>+BS354+BS331</f>
        <v>314.56099999999998</v>
      </c>
      <c r="BT366" s="1245">
        <f>+BT354+BT331</f>
        <v>348.5</v>
      </c>
      <c r="BU366" s="1246">
        <f>+SUM(BQ366:BT366)</f>
        <v>1281.2459999999999</v>
      </c>
      <c r="BV366" s="1194"/>
      <c r="BW366" s="1243">
        <f>+BW354+BW331</f>
        <v>298.37900000000002</v>
      </c>
      <c r="BX366" s="1244">
        <f>+BX354+BX331</f>
        <v>334.41199999999998</v>
      </c>
      <c r="BY366" s="1244">
        <f>+BY354+BY331</f>
        <v>338.685</v>
      </c>
      <c r="BZ366" s="1245">
        <f>+BZ354+BZ331</f>
        <v>366.51499999999999</v>
      </c>
      <c r="CA366" s="1246">
        <f>+SUM(BW366:BZ366)</f>
        <v>1337.991</v>
      </c>
      <c r="CB366" s="1194"/>
      <c r="CC366" s="1243">
        <f>+CC354+CC331</f>
        <v>308.30600000000004</v>
      </c>
      <c r="CD366" s="1244">
        <f>+CD354+CD331</f>
        <v>349.60599999999999</v>
      </c>
      <c r="CE366" s="1244">
        <f>+CE354+CE331</f>
        <v>364.4</v>
      </c>
      <c r="CF366" s="1244">
        <f>+CF354+CF331</f>
        <v>397.113</v>
      </c>
      <c r="CG366" s="1246">
        <f>+SUM(CC366:CF366)</f>
        <v>1419.425</v>
      </c>
      <c r="CH366" s="1194"/>
      <c r="CI366" s="1243">
        <f>+CI354+CI331</f>
        <v>342.19696843455807</v>
      </c>
      <c r="CJ366" s="1244">
        <f>+CJ354+CJ331</f>
        <v>390.00775350179219</v>
      </c>
      <c r="CK366" s="1244">
        <f>+CK354+CK331</f>
        <v>402.97882791594213</v>
      </c>
      <c r="CL366" s="1245">
        <f>+CL354+CL331</f>
        <v>429.55971751546917</v>
      </c>
      <c r="CM366" s="1246">
        <f>+SUM(CI366:CL366)</f>
        <v>1564.7432673677615</v>
      </c>
      <c r="CN366" s="1194"/>
      <c r="CO366" s="1243">
        <f>+CO354+CO331</f>
        <v>379.92910533004368</v>
      </c>
      <c r="CP366" s="1244">
        <f>+CP354+CP331</f>
        <v>419.47153094533905</v>
      </c>
      <c r="CQ366" s="1244">
        <f>+CQ354+CQ331</f>
        <v>427.04767623180237</v>
      </c>
      <c r="CR366" s="1245">
        <f>+CR354+CR331</f>
        <v>467.60144526770449</v>
      </c>
      <c r="CS366" s="1246">
        <f>+SUM(CO366:CR366)</f>
        <v>1694.0497577748897</v>
      </c>
      <c r="CT366" s="1194"/>
      <c r="CU366" s="1243">
        <f>+CU354+CU331</f>
        <v>420.64273199744497</v>
      </c>
      <c r="CV366" s="1244">
        <f>+CV354+CV331</f>
        <v>461.70512762799586</v>
      </c>
      <c r="CW366" s="1244">
        <f>+CW354+CW331</f>
        <v>469.00624704585181</v>
      </c>
      <c r="CX366" s="1245">
        <f>+CX354+CX331</f>
        <v>513.09312042062402</v>
      </c>
      <c r="CY366" s="1246">
        <f>+SUM(CU366:CX366)</f>
        <v>1864.4472270919166</v>
      </c>
      <c r="CZ366" s="48"/>
      <c r="DD366" s="48"/>
      <c r="DE366" s="48"/>
      <c r="DF366" s="48"/>
      <c r="DG366" s="48"/>
      <c r="DH366" s="48"/>
      <c r="DI366" s="48"/>
      <c r="DJ366" s="48"/>
      <c r="DK366" s="48"/>
    </row>
    <row r="367" spans="1:115" x14ac:dyDescent="0.2">
      <c r="A367" s="205" t="s">
        <v>639</v>
      </c>
      <c r="B367" s="48"/>
      <c r="C367" s="1128"/>
      <c r="D367" s="1129"/>
      <c r="E367" s="1129"/>
      <c r="F367" s="1129"/>
      <c r="G367" s="1463"/>
      <c r="H367" s="592"/>
      <c r="I367" s="1128"/>
      <c r="J367" s="1129"/>
      <c r="K367" s="1129"/>
      <c r="L367" s="1129"/>
      <c r="M367" s="1463"/>
      <c r="N367" s="592"/>
      <c r="O367" s="1128"/>
      <c r="P367" s="1129"/>
      <c r="Q367" s="1129"/>
      <c r="R367" s="1129"/>
      <c r="S367" s="1463"/>
      <c r="T367" s="591"/>
      <c r="U367" s="1128"/>
      <c r="V367" s="1129"/>
      <c r="W367" s="1129"/>
      <c r="X367" s="1129"/>
      <c r="Y367" s="1463"/>
      <c r="Z367" s="593"/>
      <c r="AA367" s="1128"/>
      <c r="AB367" s="1129"/>
      <c r="AC367" s="1129"/>
      <c r="AD367" s="1129"/>
      <c r="AE367" s="1463"/>
      <c r="AF367" s="592"/>
      <c r="AG367" s="1128"/>
      <c r="AH367" s="1129"/>
      <c r="AI367" s="1129"/>
      <c r="AJ367" s="1129"/>
      <c r="AK367" s="1463"/>
      <c r="AL367" s="601"/>
      <c r="AM367" s="1131">
        <f>+AM366/AG366-1</f>
        <v>0.19657995862999189</v>
      </c>
      <c r="AN367" s="1132">
        <f>+AN366/AH366-1</f>
        <v>8.3007794933293466E-2</v>
      </c>
      <c r="AO367" s="1132">
        <f>+AO366/AI366-1</f>
        <v>5.6450960683049667E-2</v>
      </c>
      <c r="AP367" s="1132">
        <f>+AP366/AJ366-1</f>
        <v>-1.0533525669631505E-2</v>
      </c>
      <c r="AQ367" s="1117">
        <f>+AQ366/AK366-1</f>
        <v>7.4249320426806653E-2</v>
      </c>
      <c r="AR367" s="48"/>
      <c r="AS367" s="1131">
        <f>+AS366/AM366-1</f>
        <v>-3.744836664598683E-4</v>
      </c>
      <c r="AT367" s="1132">
        <f>+AT366/AN366-1</f>
        <v>8.4917183928290951E-2</v>
      </c>
      <c r="AU367" s="1132">
        <f>+AU366/AO366-1</f>
        <v>5.3106442546396959E-2</v>
      </c>
      <c r="AV367" s="1132">
        <f>+AV366/AP366-1</f>
        <v>0.16916988309000391</v>
      </c>
      <c r="AW367" s="1117">
        <f>+AW366/AQ366-1</f>
        <v>7.8302803174125968E-2</v>
      </c>
      <c r="AX367" s="601"/>
      <c r="AY367" s="1131">
        <f>+AY366/AS366-1</f>
        <v>0.12168467258244586</v>
      </c>
      <c r="AZ367" s="1132">
        <f>+AZ366/AT366-1</f>
        <v>8.8724453091499234E-2</v>
      </c>
      <c r="BA367" s="1132">
        <f>+BA366/AU366-1</f>
        <v>5.3322256261141954E-2</v>
      </c>
      <c r="BB367" s="1132">
        <f>+BB366/AV366-1</f>
        <v>3.6217929549667627E-2</v>
      </c>
      <c r="BC367" s="1117">
        <f>+BC366/AW366-1</f>
        <v>7.2416513998325938E-2</v>
      </c>
      <c r="BD367" s="601"/>
      <c r="BE367" s="1131">
        <f>+BE366/AY366-1</f>
        <v>2.4134510933736308E-2</v>
      </c>
      <c r="BF367" s="1132">
        <f>+BF366/AZ366-1</f>
        <v>2.9943394322505812E-2</v>
      </c>
      <c r="BG367" s="1132">
        <f>+BG366/BA366-1</f>
        <v>6.4156114746178661E-2</v>
      </c>
      <c r="BH367" s="1132">
        <f>+BH366/BB366-1</f>
        <v>4.632472614361749E-2</v>
      </c>
      <c r="BI367" s="1117">
        <f>+BI366/BC366-1</f>
        <v>4.1394835689733345E-2</v>
      </c>
      <c r="BJ367" s="601"/>
      <c r="BK367" s="1131">
        <f>+BK366/BE366-1</f>
        <v>4.5448256779191842E-2</v>
      </c>
      <c r="BL367" s="1132">
        <f>+BL366/BF366-1</f>
        <v>4.6853469527072367E-2</v>
      </c>
      <c r="BM367" s="1132">
        <f>+BM366/BG366-1</f>
        <v>3.9980111855372424E-2</v>
      </c>
      <c r="BN367" s="1132">
        <f>+BN366/BH366-1</f>
        <v>-4.895403836341794E-3</v>
      </c>
      <c r="BO367" s="1117">
        <f>+BO366/BI366-1</f>
        <v>3.046041592671056E-2</v>
      </c>
      <c r="BP367" s="48"/>
      <c r="BQ367" s="1131">
        <f>+BQ366/BK366-1</f>
        <v>-5.8744757745617937E-2</v>
      </c>
      <c r="BR367" s="1132">
        <f>+BR366/BL366-1</f>
        <v>-3.5566678843245048E-2</v>
      </c>
      <c r="BS367" s="1132">
        <f>+BS366/BM366-1</f>
        <v>-6.5911027833126079E-2</v>
      </c>
      <c r="BT367" s="1132">
        <f>+BT366/BN366-1</f>
        <v>-3.4117679665197742E-2</v>
      </c>
      <c r="BU367" s="1117">
        <f>+BU366/BO366-1</f>
        <v>-4.8233627524463807E-2</v>
      </c>
      <c r="BV367" s="48"/>
      <c r="BW367" s="1131">
        <f>+BW366/BQ366-1</f>
        <v>-1.1716304744432415E-3</v>
      </c>
      <c r="BX367" s="1132">
        <f>+BX366/BR366-1</f>
        <v>4.6817089051387262E-2</v>
      </c>
      <c r="BY367" s="1132">
        <f>+BY366/BS366-1</f>
        <v>7.6691007467550198E-2</v>
      </c>
      <c r="BZ367" s="1132">
        <f>+BZ366/BT366-1</f>
        <v>5.1692969870875238E-2</v>
      </c>
      <c r="CA367" s="1117">
        <f>+CA366/BU366-1</f>
        <v>4.4288918755648998E-2</v>
      </c>
      <c r="CB367" s="48"/>
      <c r="CC367" s="1131">
        <f>+CC366/BW366-1</f>
        <v>3.3269767644505954E-2</v>
      </c>
      <c r="CD367" s="1132">
        <f>+CD366/BX366-1</f>
        <v>4.5434972429219123E-2</v>
      </c>
      <c r="CE367" s="1132">
        <f>+CE366/BY366-1</f>
        <v>7.5926007942483276E-2</v>
      </c>
      <c r="CF367" s="1132">
        <f>+CF366/BZ366-1</f>
        <v>8.348362277123722E-2</v>
      </c>
      <c r="CG367" s="1117">
        <f>+CG366/CA366-1</f>
        <v>6.0862890707037653E-2</v>
      </c>
      <c r="CH367" s="48"/>
      <c r="CI367" s="1131">
        <f>+CI366/CC366-1</f>
        <v>0.10992639920909109</v>
      </c>
      <c r="CJ367" s="1132">
        <f>+CJ366/CD366-1</f>
        <v>0.11556367311142313</v>
      </c>
      <c r="CK367" s="1132">
        <f>+CK366/CE366-1</f>
        <v>0.10586945092190492</v>
      </c>
      <c r="CL367" s="1132">
        <f>+CL366/CF366-1</f>
        <v>8.1706510528411824E-2</v>
      </c>
      <c r="CM367" s="1117">
        <f>+CM366/CG366-1</f>
        <v>0.10237826399264605</v>
      </c>
      <c r="CN367" s="48"/>
      <c r="CO367" s="1131">
        <f>+CO366/CI366-1</f>
        <v>0.11026438097361901</v>
      </c>
      <c r="CP367" s="1132">
        <f>+CP366/CJ366-1</f>
        <v>7.554664536537592E-2</v>
      </c>
      <c r="CQ367" s="1132">
        <f>+CQ366/CK366-1</f>
        <v>5.9727327215515214E-2</v>
      </c>
      <c r="CR367" s="1132">
        <f>+CR366/CL366-1</f>
        <v>8.8559811828410995E-2</v>
      </c>
      <c r="CS367" s="1117">
        <f>+CS366/CM366-1</f>
        <v>8.2637511918904005E-2</v>
      </c>
      <c r="CT367" s="48"/>
      <c r="CU367" s="1131">
        <f>+CU366/CO366-1</f>
        <v>0.10716111531395689</v>
      </c>
      <c r="CV367" s="1132">
        <f>+CV366/CP366-1</f>
        <v>0.10068286776811131</v>
      </c>
      <c r="CW367" s="1132">
        <f>+CW366/CQ366-1</f>
        <v>9.8252661586371026E-2</v>
      </c>
      <c r="CX367" s="1132">
        <f>+CX366/CR366-1</f>
        <v>9.7287285172686477E-2</v>
      </c>
      <c r="CY367" s="1117">
        <f>+CY366/CS366-1</f>
        <v>0.10058587035887401</v>
      </c>
      <c r="CZ367" s="48"/>
      <c r="DD367" s="48"/>
      <c r="DE367" s="48"/>
      <c r="DF367" s="48"/>
      <c r="DG367" s="48"/>
      <c r="DH367" s="48"/>
      <c r="DI367" s="48"/>
      <c r="DJ367" s="48"/>
      <c r="DK367" s="48"/>
    </row>
    <row r="368" spans="1:115" x14ac:dyDescent="0.2">
      <c r="A368" s="205" t="s">
        <v>227</v>
      </c>
      <c r="B368" s="48"/>
      <c r="C368" s="1128"/>
      <c r="D368" s="1129"/>
      <c r="E368" s="1129"/>
      <c r="F368" s="1129"/>
      <c r="G368" s="1463"/>
      <c r="H368" s="592"/>
      <c r="I368" s="1128"/>
      <c r="J368" s="1129"/>
      <c r="K368" s="1129"/>
      <c r="L368" s="1129"/>
      <c r="M368" s="1463"/>
      <c r="N368" s="592"/>
      <c r="O368" s="1128"/>
      <c r="P368" s="1129"/>
      <c r="Q368" s="1129"/>
      <c r="R368" s="1129"/>
      <c r="S368" s="1463"/>
      <c r="T368" s="591"/>
      <c r="U368" s="1128"/>
      <c r="V368" s="1129"/>
      <c r="W368" s="1129"/>
      <c r="X368" s="1129"/>
      <c r="Y368" s="1463"/>
      <c r="Z368" s="593"/>
      <c r="AA368" s="1128"/>
      <c r="AB368" s="1129"/>
      <c r="AC368" s="1129"/>
      <c r="AD368" s="1129"/>
      <c r="AE368" s="1463"/>
      <c r="AF368" s="592"/>
      <c r="AG368" s="1128"/>
      <c r="AH368" s="1129"/>
      <c r="AI368" s="1129"/>
      <c r="AJ368" s="1129"/>
      <c r="AK368" s="1463"/>
      <c r="AL368" s="601"/>
      <c r="AM368" s="1229">
        <f>+AM367-RevBuild!AM$59</f>
        <v>0.14000000000000001</v>
      </c>
      <c r="AN368" s="1138">
        <f>+AN367-RevBuild!AN$59</f>
        <v>9.9060527323905925E-2</v>
      </c>
      <c r="AO368" s="1138">
        <f>+AO367-RevBuild!AO$59</f>
        <v>7.0000000000000007E-2</v>
      </c>
      <c r="AP368" s="1138">
        <f>+AP367-RevBuild!AP$59</f>
        <v>0</v>
      </c>
      <c r="AQ368" s="1228">
        <f>+AQ367-RevBuild!AQ$59</f>
        <v>7.7398380907583261E-2</v>
      </c>
      <c r="AR368" s="1264"/>
      <c r="AS368" s="1229">
        <f>+AS367-RevBuild!AS$59</f>
        <v>-0.02</v>
      </c>
      <c r="AT368" s="1138">
        <f>+AT367-RevBuild!AT$59</f>
        <v>2.0849171839282907E-2</v>
      </c>
      <c r="AU368" s="1138">
        <f>+AU367-RevBuild!AU$59</f>
        <v>1.0000000000000002E-2</v>
      </c>
      <c r="AV368" s="1138">
        <f>+AV367-RevBuild!AV$59</f>
        <v>0.17</v>
      </c>
      <c r="AW368" s="1228">
        <f>+AW367-RevBuild!AW$59</f>
        <v>4.2605126723850049E-2</v>
      </c>
      <c r="AX368" s="1264"/>
      <c r="AY368" s="1229">
        <f>+AY367-RevBuild!AY$59</f>
        <v>0.13</v>
      </c>
      <c r="AZ368" s="1138">
        <f>+AZ367-RevBuild!AZ$59</f>
        <v>0.14000000000000001</v>
      </c>
      <c r="BA368" s="1138">
        <f>+BA367-RevBuild!BA$59</f>
        <v>0.1</v>
      </c>
      <c r="BB368" s="1138">
        <f>+BB367-RevBuild!BB$59</f>
        <v>0.04</v>
      </c>
      <c r="BC368" s="1228">
        <f>+BC367-RevBuild!BC$59</f>
        <v>0.1</v>
      </c>
      <c r="BD368" s="1264"/>
      <c r="BE368" s="1229">
        <f>+BE367-RevBuild!BE$59</f>
        <v>0.03</v>
      </c>
      <c r="BF368" s="1138">
        <f>+BF367-RevBuild!BF$59</f>
        <v>0.03</v>
      </c>
      <c r="BG368" s="1138">
        <f>+BG367-RevBuild!BG$59</f>
        <v>6.9999999999999993E-2</v>
      </c>
      <c r="BH368" s="1138">
        <f>+BH367-RevBuild!BH$59</f>
        <v>4.9999999999999781E-2</v>
      </c>
      <c r="BI368" s="1228">
        <f>+BI367-RevBuild!BI$59</f>
        <v>0.05</v>
      </c>
      <c r="BJ368" s="1264"/>
      <c r="BK368" s="1229">
        <f>+BK367-RevBuild!BK$59</f>
        <v>0.05</v>
      </c>
      <c r="BL368" s="1138">
        <f>+BL367-RevBuild!BL$59</f>
        <v>0.04</v>
      </c>
      <c r="BM368" s="1138">
        <f>+BM367-RevBuild!BM$59</f>
        <v>0.04</v>
      </c>
      <c r="BN368" s="1138">
        <f>+BN367-RevBuild!BN$59</f>
        <v>4.3000000000000108E-2</v>
      </c>
      <c r="BO368" s="1228">
        <f>+BO367-RevBuild!BO$59</f>
        <v>3.9999999999999779E-2</v>
      </c>
      <c r="BP368" s="1264"/>
      <c r="BQ368" s="1229">
        <f>+BQ367-RevBuild!BQ$59</f>
        <v>2.0000000000000004E-2</v>
      </c>
      <c r="BR368" s="1138">
        <f>+BR367-RevBuild!BR$59</f>
        <v>4.8999999999999988E-2</v>
      </c>
      <c r="BS368" s="1138">
        <f>+BS367-RevBuild!BS$59</f>
        <v>2.3088972166873917E-2</v>
      </c>
      <c r="BT368" s="1138">
        <f>+BT367-RevBuild!BT$59</f>
        <v>2.8882320334802258E-2</v>
      </c>
      <c r="BU368" s="1228">
        <f>+BU367-RevBuild!BU$59</f>
        <v>3.2016372475536084E-2</v>
      </c>
      <c r="BV368" s="1264"/>
      <c r="BW368" s="1229">
        <f>+BW367-RevBuild!BW$59</f>
        <v>1.9E-2</v>
      </c>
      <c r="BX368" s="1138">
        <f>+BX367-RevBuild!BX$59</f>
        <v>6.2E-2</v>
      </c>
      <c r="BY368" s="1138">
        <f>+BY367-RevBuild!BY$59</f>
        <v>8.5000000000000006E-2</v>
      </c>
      <c r="BZ368" s="1138">
        <f>+BZ367-RevBuild!BZ$59</f>
        <v>8.2000000000000003E-2</v>
      </c>
      <c r="CA368" s="1228">
        <f>+CA367-RevBuild!CA$59</f>
        <v>6.3000000000000222E-2</v>
      </c>
      <c r="CB368" s="1264"/>
      <c r="CC368" s="1229">
        <f>+CC367-RevBuild!CC$59</f>
        <v>5.5E-2</v>
      </c>
      <c r="CD368" s="1138">
        <f>+CD367-RevBuild!CD$59</f>
        <v>6.8000000000000005E-2</v>
      </c>
      <c r="CE368" s="1138">
        <f>+CE367-RevBuild!CE$59</f>
        <v>7.0000000000000007E-2</v>
      </c>
      <c r="CF368" s="1138">
        <f>+CF367-RevBuild!CF$59</f>
        <v>0.06</v>
      </c>
      <c r="CG368" s="1228">
        <f>+CG367-RevBuild!CG$59</f>
        <v>6.4584298010176261E-2</v>
      </c>
      <c r="CH368" s="1264"/>
      <c r="CI368" s="1229">
        <f>+CI367-RevBuild!CI$59</f>
        <v>5.9926399209091083E-2</v>
      </c>
      <c r="CJ368" s="1138">
        <f>+CJ367-RevBuild!CJ$59</f>
        <v>7.0563673111423128E-2</v>
      </c>
      <c r="CK368" s="1138">
        <f>+CK367-RevBuild!CK$59</f>
        <v>8.0869450921904923E-2</v>
      </c>
      <c r="CL368" s="1138">
        <f>+CL367-RevBuild!CL$59</f>
        <v>6.170651052841182E-2</v>
      </c>
      <c r="CM368" s="1228">
        <f>+CM367-RevBuild!CM$59</f>
        <v>6.7378263992646042E-2</v>
      </c>
      <c r="CN368" s="1264"/>
      <c r="CO368" s="1229">
        <f>+CO367-RevBuild!CO$59</f>
        <v>0.11026438097361901</v>
      </c>
      <c r="CP368" s="1138">
        <f>+CP367-RevBuild!CP$59</f>
        <v>7.554664536537592E-2</v>
      </c>
      <c r="CQ368" s="1138">
        <f>+CQ367-RevBuild!CQ$59</f>
        <v>5.9727327215515214E-2</v>
      </c>
      <c r="CR368" s="1138">
        <f>+CR367-RevBuild!CR$59</f>
        <v>8.8559811828410995E-2</v>
      </c>
      <c r="CS368" s="1228">
        <f>+CS367-RevBuild!CS$59</f>
        <v>8.2637511918904005E-2</v>
      </c>
      <c r="CT368" s="1264"/>
      <c r="CU368" s="1229">
        <f>+CU367-RevBuild!CU$59</f>
        <v>0.10716111531395689</v>
      </c>
      <c r="CV368" s="1138">
        <f>+CV367-RevBuild!CV$59</f>
        <v>0.10068286776811131</v>
      </c>
      <c r="CW368" s="1138">
        <f>+CW367-RevBuild!CW$59</f>
        <v>9.8252661586371026E-2</v>
      </c>
      <c r="CX368" s="1138">
        <f>+CX367-RevBuild!CX$59</f>
        <v>9.7287285172686477E-2</v>
      </c>
      <c r="CY368" s="1228">
        <f>+CY367-RevBuild!CY$59</f>
        <v>0.10058587035887401</v>
      </c>
      <c r="CZ368" s="48"/>
      <c r="DD368" s="48"/>
      <c r="DE368" s="48"/>
      <c r="DF368" s="48"/>
      <c r="DG368" s="48"/>
      <c r="DH368" s="48"/>
      <c r="DI368" s="48"/>
      <c r="DJ368" s="48"/>
      <c r="DK368" s="48"/>
    </row>
    <row r="369" spans="1:115" x14ac:dyDescent="0.2">
      <c r="A369" s="1139" t="s">
        <v>464</v>
      </c>
      <c r="B369" s="48"/>
      <c r="C369" s="1128"/>
      <c r="D369" s="1129"/>
      <c r="E369" s="1129"/>
      <c r="F369" s="1129"/>
      <c r="G369" s="1463"/>
      <c r="H369" s="592"/>
      <c r="I369" s="1128"/>
      <c r="J369" s="1129"/>
      <c r="K369" s="1129"/>
      <c r="L369" s="1129"/>
      <c r="M369" s="1463"/>
      <c r="N369" s="592"/>
      <c r="O369" s="1128"/>
      <c r="P369" s="1129"/>
      <c r="Q369" s="1129"/>
      <c r="R369" s="1129"/>
      <c r="S369" s="1463"/>
      <c r="T369" s="591"/>
      <c r="U369" s="1128"/>
      <c r="V369" s="1129"/>
      <c r="W369" s="1129"/>
      <c r="X369" s="1129"/>
      <c r="Y369" s="1463"/>
      <c r="Z369" s="593"/>
      <c r="AA369" s="1128"/>
      <c r="AB369" s="1129"/>
      <c r="AC369" s="1129"/>
      <c r="AD369" s="1129"/>
      <c r="AE369" s="1463"/>
      <c r="AF369" s="592"/>
      <c r="AG369" s="1131">
        <f>+(AG$42+AG$41)/AG366</f>
        <v>0.25</v>
      </c>
      <c r="AH369" s="1132">
        <f>+(AH$42+AH$41)/AH366</f>
        <v>0.25</v>
      </c>
      <c r="AI369" s="1132">
        <f>+(AI$42+AI$41)/AI366</f>
        <v>0.25</v>
      </c>
      <c r="AJ369" s="1132">
        <f>+(AJ$42+AJ$41)/AJ366</f>
        <v>0.25</v>
      </c>
      <c r="AK369" s="1117">
        <f>+(AK$42+AK$41)/AK366</f>
        <v>0.25</v>
      </c>
      <c r="AL369" s="601"/>
      <c r="AM369" s="1131">
        <f>+(AM$42+AM$41)/AM366</f>
        <v>0.25</v>
      </c>
      <c r="AN369" s="1132">
        <f>+(AN$42+AN$41)/AN366</f>
        <v>0.25252525252525254</v>
      </c>
      <c r="AO369" s="1132">
        <f>+(AO$42+AO$41)/AO366</f>
        <v>0.22</v>
      </c>
      <c r="AP369" s="1132">
        <f>+(AP$42+AP$41)/AP366</f>
        <v>0.2</v>
      </c>
      <c r="AQ369" s="1117">
        <f>+(AQ$42+AQ$41)/AQ366</f>
        <v>0.22983569508448079</v>
      </c>
      <c r="AR369" s="48"/>
      <c r="AS369" s="1131">
        <f>+(AS$42+AS$41)/AS366</f>
        <v>0.20394266774226288</v>
      </c>
      <c r="AT369" s="1132">
        <f>+(AT$42+AT$41)/AT366</f>
        <v>0.22299175545247577</v>
      </c>
      <c r="AU369" s="1132">
        <f>+(AU$42+AU$41)/AU366</f>
        <v>0.17555370937685702</v>
      </c>
      <c r="AV369" s="1132">
        <f>+(AV$42+AV$41)/AV366</f>
        <v>0.16428087472813316</v>
      </c>
      <c r="AW369" s="1117">
        <f>+(AW$42+AW$41)/AW366</f>
        <v>0.19018787577923943</v>
      </c>
      <c r="AX369" s="48"/>
      <c r="AY369" s="1131">
        <f>+(AY$42+AY$41)/AY366</f>
        <v>0.18</v>
      </c>
      <c r="AZ369" s="1132">
        <f>+(AZ$42+AZ$41)/AZ366</f>
        <v>0.17</v>
      </c>
      <c r="BA369" s="1132">
        <f>+(BA$42+BA$41)/BA366</f>
        <v>0.17</v>
      </c>
      <c r="BB369" s="1132">
        <f>+(BB$42+BB$41)/BB366</f>
        <v>0.1252457493103091</v>
      </c>
      <c r="BC369" s="1117">
        <f>+(BC$42+BC$41)/BC366</f>
        <v>0.16000000000000003</v>
      </c>
      <c r="BD369" s="48"/>
      <c r="BE369" s="1131">
        <f>+(BE$42+BE$41)/BE366</f>
        <v>0.17</v>
      </c>
      <c r="BF369" s="1132">
        <f>+(BF$42+BF$41)/BF366</f>
        <v>0.14000000000000001</v>
      </c>
      <c r="BG369" s="1132">
        <f>+(BG$42+BG$41)/BG366</f>
        <v>0.16700000000000001</v>
      </c>
      <c r="BH369" s="1132">
        <f>+(BH$42+BH$41)/BH366</f>
        <v>0.15202021870733767</v>
      </c>
      <c r="BI369" s="1117">
        <f>+(BI$42+BI$41)/BI366</f>
        <v>0.157</v>
      </c>
      <c r="BJ369" s="48"/>
      <c r="BK369" s="1131">
        <f>+(BK$42+BK$41)/BK366</f>
        <v>0.12199999999999998</v>
      </c>
      <c r="BL369" s="1132">
        <f>+(BL$42+BL$41)/BL366</f>
        <v>0.10056430606866391</v>
      </c>
      <c r="BM369" s="1132">
        <f>+(BM$42+BM$41)/BM366</f>
        <v>0.11507794948670441</v>
      </c>
      <c r="BN369" s="1132">
        <f>+(BN$42+BN$41)/BN366</f>
        <v>0.11372440007797527</v>
      </c>
      <c r="BO369" s="1117">
        <f>+(BO$42+BO$41)/BO366</f>
        <v>0.11277590604853181</v>
      </c>
      <c r="BP369" s="48"/>
      <c r="BQ369" s="1131">
        <f>+(BQ$42+BQ$41)/BQ366</f>
        <v>9.9354058706727991E-2</v>
      </c>
      <c r="BR369" s="1132">
        <f>+(BR$42+BR$41)/BR366</f>
        <v>8.131433864205026E-2</v>
      </c>
      <c r="BS369" s="1132">
        <f>+(BS$42+BS$41)/BS366</f>
        <v>8.0606222401898547E-2</v>
      </c>
      <c r="BT369" s="1132">
        <f>+(BT$42+BT$41)/BT366</f>
        <v>8.3279733449603807E-2</v>
      </c>
      <c r="BU369" s="1117">
        <f>+(BU$42+BU$41)/BU366</f>
        <v>8.5881128995358824E-2</v>
      </c>
      <c r="BV369" s="48"/>
      <c r="BW369" s="1131">
        <f>+(BW$42+BW$41)/BW366</f>
        <v>6.0543913450954376E-2</v>
      </c>
      <c r="BX369" s="1132">
        <f>+(BX$42+BX$41)/BX366</f>
        <v>6.3506129804141817E-2</v>
      </c>
      <c r="BY369" s="1132">
        <f>+(BY$42+BY$41)/BY366</f>
        <v>6.4097370591322353E-2</v>
      </c>
      <c r="BZ369" s="1132">
        <f>+(BZ$42+BZ$41)/BZ366</f>
        <v>7.3895027613203657E-2</v>
      </c>
      <c r="CA369" s="1117">
        <f>+(CA$42+CA$41)/CA366</f>
        <v>6.5841024518117339E-2</v>
      </c>
      <c r="CB369" s="48"/>
      <c r="CC369" s="1131">
        <f>+(CC$42+CC$41)/CC366</f>
        <v>3.9219182274161539E-2</v>
      </c>
      <c r="CD369" s="1132">
        <f>+(CD$42+CD$41)/CD366</f>
        <v>4.9285670538885468E-2</v>
      </c>
      <c r="CE369" s="1132">
        <f>+(CE$42+CE$41)/CE366</f>
        <v>5.6882928379809156E-2</v>
      </c>
      <c r="CF369" s="1132">
        <f>+(CF$42+CF$41)/CF366</f>
        <v>5.654512886794074E-2</v>
      </c>
      <c r="CG369" s="1117">
        <f>+(CG$42+CG$41)/CG366</f>
        <v>5.1080557413299227E-2</v>
      </c>
      <c r="CH369" s="48"/>
      <c r="CI369" s="1131">
        <f>+(CI$42+CI$41)/CI366</f>
        <v>3.2309832585914057E-2</v>
      </c>
      <c r="CJ369" s="1132">
        <f>+(CJ$42+CJ$41)/CJ366</f>
        <v>3.1955821562222986E-2</v>
      </c>
      <c r="CK369" s="1132">
        <f>+(CK$42+CK$41)/CK366</f>
        <v>3.7133182439736137E-2</v>
      </c>
      <c r="CL369" s="1132">
        <f>+(CL$42+CL$41)/CL366</f>
        <v>3.5434467721019172E-2</v>
      </c>
      <c r="CM369" s="1117">
        <f>+(CM$42+CM$41)/CM366</f>
        <v>3.4321573603293333E-2</v>
      </c>
      <c r="CN369" s="48"/>
      <c r="CO369" s="1131">
        <f>+(CO$42+CO$41)/CO366</f>
        <v>2.527378238455438E-2</v>
      </c>
      <c r="CP369" s="1132">
        <f>+(CP$42+CP$41)/CP366</f>
        <v>2.5708599789679053E-2</v>
      </c>
      <c r="CQ369" s="1132">
        <f>+(CQ$42+CQ$41)/CQ366</f>
        <v>3.0222096012205157E-2</v>
      </c>
      <c r="CR369" s="1132">
        <f>+(CR$42+CR$41)/CR366</f>
        <v>2.8027292101826133E-2</v>
      </c>
      <c r="CS369" s="1117">
        <f>+(CS$42+CS$41)/CS366</f>
        <v>2.7388894095691511E-2</v>
      </c>
      <c r="CT369" s="48"/>
      <c r="CU369" s="1131">
        <f>+(CU$42+CU$41)/CU366</f>
        <v>1.9840684432423036E-2</v>
      </c>
      <c r="CV369" s="1132">
        <f>+(CV$42+CV$41)/CV366</f>
        <v>2.0224674864706693E-2</v>
      </c>
      <c r="CW369" s="1132">
        <f>+(CW$42+CW$41)/CW366</f>
        <v>2.3749384577210261E-2</v>
      </c>
      <c r="CX369" s="1132">
        <f>+(CX$42+CX$41)/CX366</f>
        <v>2.2004915496102249E-2</v>
      </c>
      <c r="CY369" s="1117">
        <f>+(CY$42+CY$41)/CY366</f>
        <v>2.1514610710251784E-2</v>
      </c>
      <c r="CZ369" s="48"/>
      <c r="DD369" s="48"/>
      <c r="DE369" s="48"/>
      <c r="DF369" s="48"/>
      <c r="DG369" s="48"/>
      <c r="DH369" s="48"/>
      <c r="DI369" s="48"/>
      <c r="DJ369" s="48"/>
      <c r="DK369" s="48"/>
    </row>
    <row r="370" spans="1:115" x14ac:dyDescent="0.2">
      <c r="A370" s="1139" t="s">
        <v>465</v>
      </c>
      <c r="B370" s="48"/>
      <c r="C370" s="1128"/>
      <c r="D370" s="1129"/>
      <c r="E370" s="1129"/>
      <c r="F370" s="1129"/>
      <c r="G370" s="1463"/>
      <c r="H370" s="592"/>
      <c r="I370" s="1128"/>
      <c r="J370" s="1129"/>
      <c r="K370" s="1129"/>
      <c r="L370" s="1129"/>
      <c r="M370" s="1463"/>
      <c r="N370" s="592"/>
      <c r="O370" s="1128"/>
      <c r="P370" s="1129"/>
      <c r="Q370" s="1129"/>
      <c r="R370" s="1129"/>
      <c r="S370" s="1463"/>
      <c r="T370" s="591"/>
      <c r="U370" s="1128"/>
      <c r="V370" s="1129"/>
      <c r="W370" s="1129"/>
      <c r="X370" s="1129"/>
      <c r="Y370" s="1463"/>
      <c r="Z370" s="593"/>
      <c r="AA370" s="1128"/>
      <c r="AB370" s="1129"/>
      <c r="AC370" s="1129"/>
      <c r="AD370" s="1129"/>
      <c r="AE370" s="1463"/>
      <c r="AF370" s="592"/>
      <c r="AG370" s="1131">
        <f>+(AG$92+AG$91)/AG366</f>
        <v>0</v>
      </c>
      <c r="AH370" s="1132">
        <f>+(AH$92+AH$91)/AH366</f>
        <v>0</v>
      </c>
      <c r="AI370" s="1132">
        <f>+(AI$92+AI$91)/AI366</f>
        <v>0</v>
      </c>
      <c r="AJ370" s="1132">
        <f>+(AJ$92+AJ$91)/AJ366</f>
        <v>0</v>
      </c>
      <c r="AK370" s="1117">
        <f>+(AK$92+AK$91)/AK366</f>
        <v>0</v>
      </c>
      <c r="AL370" s="601"/>
      <c r="AM370" s="1131">
        <f>+(AM$92+AM$91)/AM366</f>
        <v>0</v>
      </c>
      <c r="AN370" s="1132">
        <f>+(AN$92+AN$91)/AN366</f>
        <v>0</v>
      </c>
      <c r="AO370" s="1132">
        <f>+(AO$92+AO$91)/AO366</f>
        <v>0</v>
      </c>
      <c r="AP370" s="1132">
        <f>+(AP$92+AP$91)/AP366</f>
        <v>0</v>
      </c>
      <c r="AQ370" s="1117">
        <f>+(AQ$92+AQ$91)/AQ366</f>
        <v>0</v>
      </c>
      <c r="AR370" s="48"/>
      <c r="AS370" s="1131">
        <f>+(AS$92+AS$91)/AS366</f>
        <v>0</v>
      </c>
      <c r="AT370" s="1132">
        <f>+(AT$92+AT$91)/AT366</f>
        <v>0</v>
      </c>
      <c r="AU370" s="1132">
        <f>+(AU$92+AU$91)/AU366</f>
        <v>4.6731398307284906E-2</v>
      </c>
      <c r="AV370" s="1132">
        <f>+(AV$92+AV$91)/AV366</f>
        <v>4.1863524908797314E-2</v>
      </c>
      <c r="AW370" s="1117">
        <f>+(AW$92+AW$91)/AW366</f>
        <v>2.3509357151589187E-2</v>
      </c>
      <c r="AX370" s="48"/>
      <c r="AY370" s="1131">
        <f>+(AY$92+AY$91)/AY366</f>
        <v>5.0603531451781578E-2</v>
      </c>
      <c r="AZ370" s="1132">
        <f>+(AZ$92+AZ$91)/AZ366</f>
        <v>5.5336199965496248E-2</v>
      </c>
      <c r="BA370" s="1132">
        <f>+(BA$92+BA$91)/BA366</f>
        <v>5.3128458469453806E-2</v>
      </c>
      <c r="BB370" s="1132">
        <f>+(BB$92+BB$91)/BB366</f>
        <v>5.230520567684617E-2</v>
      </c>
      <c r="BC370" s="1117">
        <f>+(BC$92+BC$91)/BC366</f>
        <v>5.2845084269851218E-2</v>
      </c>
      <c r="BD370" s="48"/>
      <c r="BE370" s="1131">
        <f>+(BE$92+BE$91)/BE366</f>
        <v>6.4264612289164164E-2</v>
      </c>
      <c r="BF370" s="1132">
        <f>+(BF$92+BF$91)/BF366</f>
        <v>7.1493570132908607E-2</v>
      </c>
      <c r="BG370" s="1132">
        <f>+(BG$92+BG$91)/BG366</f>
        <v>6.7442953380646029E-2</v>
      </c>
      <c r="BH370" s="1132">
        <f>+(BH$92+BH$91)/BH366</f>
        <v>6.5799319173266382E-2</v>
      </c>
      <c r="BI370" s="1117">
        <f>+(BI$92+BI$91)/BI366</f>
        <v>6.7229263197320491E-2</v>
      </c>
      <c r="BJ370" s="48"/>
      <c r="BK370" s="1131">
        <f>+(BK$92+BK$91)/BK366</f>
        <v>7.8834683479691095E-2</v>
      </c>
      <c r="BL370" s="1132">
        <f>+(BL$92+BL$91)/BL366</f>
        <v>7.5535039865715498E-2</v>
      </c>
      <c r="BM370" s="1132">
        <f>+(BM$92+BM$91)/BM366</f>
        <v>7.5900426717187761E-2</v>
      </c>
      <c r="BN370" s="1132">
        <f>+(BN$92+BN$91)/BN366</f>
        <v>7.0840608630581184E-2</v>
      </c>
      <c r="BO370" s="1117">
        <f>+(BO$92+BO$91)/BO366</f>
        <v>7.5146136057888377E-2</v>
      </c>
      <c r="BP370" s="48"/>
      <c r="BQ370" s="1131">
        <f>+(BQ$92+BQ$91)/BQ366</f>
        <v>8.8816790391713571E-2</v>
      </c>
      <c r="BR370" s="1132">
        <f>+(BR$92+BR$91)/BR366</f>
        <v>8.2529298711918206E-2</v>
      </c>
      <c r="BS370" s="1132">
        <f>+(BS$92+BS$91)/BS366</f>
        <v>9.6440118132889968E-2</v>
      </c>
      <c r="BT370" s="1132">
        <f>+(BT$92+BT$91)/BT366</f>
        <v>8.5017847919655665E-2</v>
      </c>
      <c r="BU370" s="1117">
        <f>+(BU$92+BU$91)/BU366</f>
        <v>8.8087416956806705E-2</v>
      </c>
      <c r="BV370" s="48"/>
      <c r="BW370" s="1131">
        <f>+(BW$92+BW$91)/BW366</f>
        <v>0.10452126874661002</v>
      </c>
      <c r="BX370" s="1132">
        <f>+(BX$92+BX$91)/BX366</f>
        <v>9.9477945076572052E-2</v>
      </c>
      <c r="BY370" s="1132">
        <f>+(BY$92+BY$91)/BY366</f>
        <v>0.11763522268216654</v>
      </c>
      <c r="BZ370" s="1132">
        <f>+(BZ$92+BZ$91)/BZ366</f>
        <v>0.10497324502376754</v>
      </c>
      <c r="CA370" s="1117">
        <f>+(CA$92+CA$91)/CA366</f>
        <v>0.10670409928787794</v>
      </c>
      <c r="CB370" s="48"/>
      <c r="CC370" s="1131">
        <f>+(CC$92+CC$91)/CC366</f>
        <v>0.11422605963596771</v>
      </c>
      <c r="CD370" s="1132">
        <f>+(CD$92+CD$91)/CD366</f>
        <v>0.12564923825801319</v>
      </c>
      <c r="CE370" s="1132">
        <f>+(CE$92+CE$91)/CE366</f>
        <v>0.13891019766964899</v>
      </c>
      <c r="CF370" s="1132">
        <f>+(CF$92+CF$91)/CF366</f>
        <v>0.12020849679251955</v>
      </c>
      <c r="CG370" s="1117">
        <f>+(CG$92+CG$91)/CG366</f>
        <v>0.12505031259146879</v>
      </c>
      <c r="CH370" s="48"/>
      <c r="CI370" s="1131">
        <f>+(CI$92+CI$91)/CI366</f>
        <v>0.12658321619555682</v>
      </c>
      <c r="CJ370" s="1132">
        <f>+(CJ$92+CJ$91)/CJ366</f>
        <v>0.14200200396626561</v>
      </c>
      <c r="CK370" s="1132">
        <f>+(CK$92+CK$91)/CK366</f>
        <v>0.16344733211471876</v>
      </c>
      <c r="CL370" s="1132">
        <f>+(CL$92+CL$91)/CL366</f>
        <v>0.12895107556308066</v>
      </c>
      <c r="CM370" s="1117">
        <f>+(CM$92+CM$91)/CM366</f>
        <v>0.14057020208831822</v>
      </c>
      <c r="CN370" s="48"/>
      <c r="CO370" s="1131">
        <f>+(CO$92+CO$91)/CO366</f>
        <v>0.17101766709549771</v>
      </c>
      <c r="CP370" s="1132">
        <f>+(CP$92+CP$91)/CP366</f>
        <v>0.15843330040012443</v>
      </c>
      <c r="CQ370" s="1132">
        <f>+(CQ$92+CQ$91)/CQ366</f>
        <v>0.1542352715808363</v>
      </c>
      <c r="CR370" s="1132">
        <f>+(CR$92+CR$91)/CR366</f>
        <v>0.1421523089445898</v>
      </c>
      <c r="CS370" s="1117">
        <f>+(CS$92+CS$91)/CS366</f>
        <v>0.15570338860970201</v>
      </c>
      <c r="CT370" s="48"/>
      <c r="CU370" s="1131">
        <f>+(CU$92+CU$91)/CU366</f>
        <v>0.17917942663161782</v>
      </c>
      <c r="CV370" s="1132">
        <f>+(CV$92+CV$91)/CV366</f>
        <v>0.1669714627582112</v>
      </c>
      <c r="CW370" s="1132">
        <f>+(CW$92+CW$91)/CW366</f>
        <v>0.1629068804398246</v>
      </c>
      <c r="CX370" s="1132">
        <f>+(CX$92+CX$91)/CX366</f>
        <v>0.15027666920406663</v>
      </c>
      <c r="CY370" s="1117">
        <f>+(CY$92+CY$91)/CY366</f>
        <v>0.16410889477289028</v>
      </c>
      <c r="CZ370" s="48"/>
      <c r="DD370" s="48"/>
      <c r="DE370" s="48"/>
      <c r="DF370" s="48"/>
      <c r="DG370" s="48"/>
      <c r="DH370" s="48"/>
      <c r="DI370" s="48"/>
      <c r="DJ370" s="48"/>
      <c r="DK370" s="48"/>
    </row>
    <row r="371" spans="1:115" x14ac:dyDescent="0.2">
      <c r="A371" s="1139" t="s">
        <v>640</v>
      </c>
      <c r="B371" s="48"/>
      <c r="C371" s="1128"/>
      <c r="D371" s="1129"/>
      <c r="E371" s="1129"/>
      <c r="F371" s="1129"/>
      <c r="G371" s="1463"/>
      <c r="H371" s="592"/>
      <c r="I371" s="1128"/>
      <c r="J371" s="1129"/>
      <c r="K371" s="1129"/>
      <c r="L371" s="1129"/>
      <c r="M371" s="1463"/>
      <c r="N371" s="592"/>
      <c r="O371" s="1128"/>
      <c r="P371" s="1129"/>
      <c r="Q371" s="1129"/>
      <c r="R371" s="1129"/>
      <c r="S371" s="1463"/>
      <c r="T371" s="591"/>
      <c r="U371" s="1128"/>
      <c r="V371" s="1129"/>
      <c r="W371" s="1129"/>
      <c r="X371" s="1129"/>
      <c r="Y371" s="1463"/>
      <c r="Z371" s="593"/>
      <c r="AA371" s="1128"/>
      <c r="AB371" s="1129"/>
      <c r="AC371" s="1129"/>
      <c r="AD371" s="1129"/>
      <c r="AE371" s="1463"/>
      <c r="AF371" s="592"/>
      <c r="AG371" s="1131">
        <f>+(AG$127+AG$125)/AG366</f>
        <v>0</v>
      </c>
      <c r="AH371" s="1132">
        <f>+(AH$127+AH$125)/AH366</f>
        <v>0</v>
      </c>
      <c r="AI371" s="1132">
        <f>+(AI$127+AI$125)/AI366</f>
        <v>0</v>
      </c>
      <c r="AJ371" s="1132">
        <f>+(AJ$127+AJ$125)/AJ366</f>
        <v>1.7296429670987309E-2</v>
      </c>
      <c r="AK371" s="1117">
        <f>+(AK$127+AK$125)/AK366</f>
        <v>4.9513529571955537E-3</v>
      </c>
      <c r="AL371" s="601"/>
      <c r="AM371" s="1131">
        <f>+(AM$127+AM$125)/AM366</f>
        <v>4.160929627332012E-2</v>
      </c>
      <c r="AN371" s="1132">
        <f>+(AN$127+AN$125)/AN366</f>
        <v>4.6137729889889997E-2</v>
      </c>
      <c r="AO371" s="1132">
        <f>+(AO$127+AO$125)/AO366</f>
        <v>4.9942220132182837E-2</v>
      </c>
      <c r="AP371" s="1132">
        <f>+(AP$127+AP$125)/AP366</f>
        <v>0.05</v>
      </c>
      <c r="AQ371" s="1117">
        <f>+(AQ$127+AQ$125)/AQ366</f>
        <v>4.7014583706019762E-2</v>
      </c>
      <c r="AR371" s="48"/>
      <c r="AS371" s="1131">
        <f>+(AS$127+AS$125)/AS366</f>
        <v>6.4329366355741394E-2</v>
      </c>
      <c r="AT371" s="1132">
        <f>+(AT$127+AT$125)/AT366</f>
        <v>6.3789748987337733E-2</v>
      </c>
      <c r="AU371" s="1132">
        <f>+(AU$127+AU$125)/AU366</f>
        <v>6.5770116136178752E-2</v>
      </c>
      <c r="AV371" s="1132">
        <f>+(AV$127+AV$125)/AV366</f>
        <v>6.2795287363195965E-2</v>
      </c>
      <c r="AW371" s="1117">
        <f>+(AW$127+AW$125)/AW366</f>
        <v>6.4116428595243247E-2</v>
      </c>
      <c r="AX371" s="48"/>
      <c r="AY371" s="1131">
        <f>+(AY$127+AY$125)/AY366</f>
        <v>7.1978268144739593E-2</v>
      </c>
      <c r="AZ371" s="1132">
        <f>+(AZ$127+AZ$125)/AZ366</f>
        <v>7.6611153173856583E-2</v>
      </c>
      <c r="BA371" s="1132">
        <f>+(BA$127+BA$125)/BA366</f>
        <v>8.1783903460197399E-2</v>
      </c>
      <c r="BB371" s="1132">
        <f>+(BB$127+BB$125)/BB366</f>
        <v>8.0280168642434202E-2</v>
      </c>
      <c r="BC371" s="1117">
        <f>+(BC$127+BC$125)/BC366</f>
        <v>7.7784692328786362E-2</v>
      </c>
      <c r="BD371" s="48"/>
      <c r="BE371" s="1131">
        <f>+(BE$127+BE$125)/BE366</f>
        <v>7.3568317214360385E-2</v>
      </c>
      <c r="BF371" s="1132">
        <f>+(BF$127+BF$125)/BF366</f>
        <v>7.9420424846929544E-2</v>
      </c>
      <c r="BG371" s="1132">
        <f>+(BG$127+BG$125)/BG366</f>
        <v>8.2858752379217124E-2</v>
      </c>
      <c r="BH371" s="1132">
        <f>+(BH$127+BH$125)/BH366</f>
        <v>8.0001650371636993E-2</v>
      </c>
      <c r="BI371" s="1117">
        <f>+(BI$127+BI$125)/BI366</f>
        <v>7.907408908866001E-2</v>
      </c>
      <c r="BJ371" s="48"/>
      <c r="BK371" s="1131">
        <f>+(BK$127+BK$125)/BK366</f>
        <v>7.0760740201592454E-2</v>
      </c>
      <c r="BL371" s="1132">
        <f>+(BL$127+BL$125)/BL366</f>
        <v>7.6493351890036448E-2</v>
      </c>
      <c r="BM371" s="1132">
        <f>+(BM$127+BM$125)/BM366</f>
        <v>8.7023041540339199E-2</v>
      </c>
      <c r="BN371" s="1132">
        <f>+(BN$127+BN$125)/BN366</f>
        <v>8.8868784124608538E-2</v>
      </c>
      <c r="BO371" s="1117">
        <f>+(BO$127+BO$125)/BO366</f>
        <v>8.1092858665688106E-2</v>
      </c>
      <c r="BP371" s="48"/>
      <c r="BQ371" s="1131">
        <f>+(BQ$127+BQ$125)/BQ366</f>
        <v>6.8780996048865395E-2</v>
      </c>
      <c r="BR371" s="1132">
        <f>+(BR$127+BR$125)/BR366</f>
        <v>7.2381205863353587E-2</v>
      </c>
      <c r="BS371" s="1132">
        <f>+(BS$127+BS$125)/BS366</f>
        <v>9.0096054601174355E-2</v>
      </c>
      <c r="BT371" s="1132">
        <f>+(BT$127+BT$125)/BT366</f>
        <v>8.7783721107604032E-2</v>
      </c>
      <c r="BU371" s="1117">
        <f>+(BU$127+BU$125)/BU366</f>
        <v>8.0080500158724421E-2</v>
      </c>
      <c r="BV371" s="48"/>
      <c r="BW371" s="1131">
        <f>+(BW$127+BW$125)/BW366</f>
        <v>6.5072020262874675E-2</v>
      </c>
      <c r="BX371" s="1132">
        <f>+(BX$127+BX$125)/BX366</f>
        <v>6.7729559589538843E-2</v>
      </c>
      <c r="BY371" s="1132">
        <f>+(BY$127+BY$125)/BY366</f>
        <v>8.8860193619498179E-2</v>
      </c>
      <c r="BZ371" s="1132">
        <f>+(BZ$127+BZ$125)/BZ366</f>
        <v>8.6465760701257777E-2</v>
      </c>
      <c r="CA371" s="1117">
        <f>+(CA$127+CA$125)/CA366</f>
        <v>7.7618096665010738E-2</v>
      </c>
      <c r="CB371" s="48"/>
      <c r="CC371" s="1131">
        <f>+(CC$127+CC$125)/CC366</f>
        <v>6.4906649524087603E-2</v>
      </c>
      <c r="CD371" s="1132">
        <f>+(CD$127+CD$125)/CD366</f>
        <v>6.6571996907934972E-2</v>
      </c>
      <c r="CE371" s="1132">
        <f>+(CE$127+CE$125)/CE366</f>
        <v>8.7532967220791374E-2</v>
      </c>
      <c r="CF371" s="1132">
        <f>+(CF$127+CF$125)/CF366</f>
        <v>8.7880950226187804E-2</v>
      </c>
      <c r="CG371" s="1117">
        <f>+(CG$127+CG$125)/CG366</f>
        <v>7.7553065559361964E-2</v>
      </c>
      <c r="CH371" s="48"/>
      <c r="CI371" s="1131">
        <f>+(CI$127+CI$125)/CI366</f>
        <v>6.6277628826764398E-2</v>
      </c>
      <c r="CJ371" s="1132">
        <f>+(CJ$127+CJ$125)/CJ366</f>
        <v>6.8529920336245706E-2</v>
      </c>
      <c r="CK371" s="1132">
        <f>+(CK$127+CK$125)/CK366</f>
        <v>9.0694474828277027E-2</v>
      </c>
      <c r="CL371" s="1132">
        <f>+(CL$127+CL$125)/CL366</f>
        <v>9.2695271610441374E-2</v>
      </c>
      <c r="CM371" s="1117">
        <f>+(CM$127+CM$125)/CM366</f>
        <v>8.0379519383953352E-2</v>
      </c>
      <c r="CN371" s="48"/>
      <c r="CO371" s="1131">
        <f>+(CO$127+CO$125)/CO366</f>
        <v>6.2761063681106843E-2</v>
      </c>
      <c r="CP371" s="1132">
        <f>+(CP$127+CP$125)/CP366</f>
        <v>6.7216335643267885E-2</v>
      </c>
      <c r="CQ371" s="1132">
        <f>+(CQ$127+CQ$125)/CQ366</f>
        <v>9.0335670852267361E-2</v>
      </c>
      <c r="CR371" s="1132">
        <f>+(CR$127+CR$125)/CR366</f>
        <v>8.9844318742087689E-2</v>
      </c>
      <c r="CS371" s="1117">
        <f>+(CS$127+CS$125)/CS366</f>
        <v>7.829112751454409E-2</v>
      </c>
      <c r="CT371" s="48"/>
      <c r="CU371" s="1131">
        <f>+(CU$127+CU$125)/CU366</f>
        <v>5.968823796298111E-2</v>
      </c>
      <c r="CV371" s="1132">
        <f>+(CV$127+CV$125)/CV366</f>
        <v>6.4525241748647696E-2</v>
      </c>
      <c r="CW371" s="1132">
        <f>+(CW$127+CW$125)/CW366</f>
        <v>8.6942385619202006E-2</v>
      </c>
      <c r="CX371" s="1132">
        <f>+(CX$127+CX$125)/CX366</f>
        <v>8.6516775413662164E-2</v>
      </c>
      <c r="CY371" s="1117">
        <f>+(CY$127+CY$125)/CY366</f>
        <v>7.5125077653348249E-2</v>
      </c>
      <c r="CZ371" s="48"/>
      <c r="DD371" s="48"/>
      <c r="DE371" s="48"/>
      <c r="DF371" s="48"/>
      <c r="DG371" s="48"/>
      <c r="DH371" s="48"/>
      <c r="DI371" s="48"/>
      <c r="DJ371" s="48"/>
      <c r="DK371" s="48"/>
    </row>
    <row r="372" spans="1:115" x14ac:dyDescent="0.2">
      <c r="A372" s="1139" t="s">
        <v>469</v>
      </c>
      <c r="B372" s="48"/>
      <c r="C372" s="1128"/>
      <c r="D372" s="1129"/>
      <c r="E372" s="1129"/>
      <c r="F372" s="1129"/>
      <c r="G372" s="1463"/>
      <c r="H372" s="592"/>
      <c r="I372" s="1128"/>
      <c r="J372" s="1129"/>
      <c r="K372" s="1129"/>
      <c r="L372" s="1129"/>
      <c r="M372" s="1463"/>
      <c r="N372" s="592"/>
      <c r="O372" s="1128"/>
      <c r="P372" s="1129"/>
      <c r="Q372" s="1129"/>
      <c r="R372" s="1129"/>
      <c r="S372" s="1463"/>
      <c r="T372" s="591"/>
      <c r="U372" s="1128"/>
      <c r="V372" s="1129"/>
      <c r="W372" s="1129"/>
      <c r="X372" s="1129"/>
      <c r="Y372" s="1463"/>
      <c r="Z372" s="593"/>
      <c r="AA372" s="1128"/>
      <c r="AB372" s="1129"/>
      <c r="AC372" s="1129"/>
      <c r="AD372" s="1129"/>
      <c r="AE372" s="1463"/>
      <c r="AF372" s="592"/>
      <c r="AG372" s="1131">
        <f>+(AG$206+AG$205)/AG366</f>
        <v>5.0213186803238991E-3</v>
      </c>
      <c r="AH372" s="1132">
        <f>+(AH$206+AH$205)/AH366</f>
        <v>5.0097644864171625E-3</v>
      </c>
      <c r="AI372" s="1132">
        <f>+(AI$206+AI$205)/AI366</f>
        <v>4.9945312891137997E-3</v>
      </c>
      <c r="AJ372" s="1132">
        <f>+(AJ$206+AJ$205)/AJ366</f>
        <v>4.8105695022433448E-3</v>
      </c>
      <c r="AK372" s="1117">
        <f>+(AK$206+AK$205)/AK366</f>
        <v>4.9513529571955537E-3</v>
      </c>
      <c r="AL372" s="601"/>
      <c r="AM372" s="1131">
        <f>+(AM$206+AM$205)/AM366</f>
        <v>1.0059520206987336E-2</v>
      </c>
      <c r="AN372" s="1132">
        <f>+(AN$206+AN$205)/AN366</f>
        <v>1.3316261988792991E-2</v>
      </c>
      <c r="AO372" s="1132">
        <f>+(AO$206+AO$205)/AO366</f>
        <v>1.5303918459300736E-2</v>
      </c>
      <c r="AP372" s="1132">
        <f>+(AP$206+AP$205)/AP366</f>
        <v>1.7893430630139283E-2</v>
      </c>
      <c r="AQ372" s="1117">
        <f>+(AQ$206+AQ$205)/AQ366</f>
        <v>1.4232095209620483E-2</v>
      </c>
      <c r="AR372" s="48"/>
      <c r="AS372" s="1131">
        <f>+(AS$206+AS$205)/AS366</f>
        <v>1.5639148202963919E-2</v>
      </c>
      <c r="AT372" s="1132">
        <f>+(AT$206+AT$205)/AT366</f>
        <v>1.6118558297190763E-2</v>
      </c>
      <c r="AU372" s="1132">
        <f>+(AU$206+AU$205)/AU366</f>
        <v>1.8903441131561977E-2</v>
      </c>
      <c r="AV372" s="1132">
        <f>+(AV$206+AV$205)/AV366</f>
        <v>1.5909988482692851E-2</v>
      </c>
      <c r="AW372" s="1117">
        <f>+(AW$206+AW$205)/AW366</f>
        <v>1.663838835590609E-2</v>
      </c>
      <c r="AX372" s="48"/>
      <c r="AY372" s="1131">
        <f>+(AY$206+AY$205)/AY366</f>
        <v>2.867313361524005E-2</v>
      </c>
      <c r="AZ372" s="1132">
        <f>+(AZ$206+AZ$205)/AZ366</f>
        <v>2.9975525699065825E-2</v>
      </c>
      <c r="BA372" s="1132">
        <f>+(BA$206+BA$205)/BA366</f>
        <v>3.3186186161955705E-2</v>
      </c>
      <c r="BB372" s="1132">
        <f>+(BB$206+BB$205)/BB366</f>
        <v>3.1974738713882248E-2</v>
      </c>
      <c r="BC372" s="1117">
        <f>+(BC$206+BC$205)/BC366</f>
        <v>3.0998839613440549E-2</v>
      </c>
      <c r="BD372" s="48"/>
      <c r="BE372" s="1131">
        <f>+(BE$206+BE$205)/BE366</f>
        <v>4.3120727075903142E-2</v>
      </c>
      <c r="BF372" s="1132">
        <f>+(BF$206+BF$205)/BF366</f>
        <v>4.4462029269452419E-2</v>
      </c>
      <c r="BG372" s="1132">
        <f>+(BG$206+BG$205)/BG366</f>
        <v>4.708627431568764E-2</v>
      </c>
      <c r="BH372" s="1132">
        <f>+(BH$206+BH$205)/BH366</f>
        <v>4.5713222990647437E-2</v>
      </c>
      <c r="BI372" s="1117">
        <f>+(BI$206+BI$205)/BI366</f>
        <v>4.5148072831955523E-2</v>
      </c>
      <c r="BJ372" s="48"/>
      <c r="BK372" s="1131">
        <f>+(BK$206+BK$205)/BK366</f>
        <v>5.2702804759044528E-2</v>
      </c>
      <c r="BL372" s="1132">
        <f>+(BL$206+BL$205)/BL366</f>
        <v>5.4386839741666235E-2</v>
      </c>
      <c r="BM372" s="1132">
        <f>+(BM$206+BM$205)/BM366</f>
        <v>5.7072955019862079E-2</v>
      </c>
      <c r="BN372" s="1132">
        <f>+(BN$206+BN$205)/BN366</f>
        <v>5.6046080727242376E-2</v>
      </c>
      <c r="BO372" s="1117">
        <f>+(BO$206+BO$205)/BO366</f>
        <v>5.5106486287555469E-2</v>
      </c>
      <c r="BP372" s="48"/>
      <c r="BQ372" s="1131">
        <f>+(BQ$206+BQ$205)/BQ366</f>
        <v>6.7201624376413943E-2</v>
      </c>
      <c r="BR372" s="1132">
        <f>+(BR$206+BR$205)/BR366</f>
        <v>6.6499602492071083E-2</v>
      </c>
      <c r="BS372" s="1132">
        <f>+(BS$206+BS$205)/BS366</f>
        <v>6.9225228101764569E-2</v>
      </c>
      <c r="BT372" s="1132">
        <f>+(BT$206+BT$205)/BT366</f>
        <v>6.7796446962046231E-2</v>
      </c>
      <c r="BU372" s="1117">
        <f>+(BU$206+BU$205)/BU366</f>
        <v>6.7685198474954161E-2</v>
      </c>
      <c r="BV372" s="48"/>
      <c r="BW372" s="1131">
        <f>+(BW$206+BW$205)/BW366</f>
        <v>8.0666145986129617E-2</v>
      </c>
      <c r="BX372" s="1132">
        <f>+(BX$206+BX$205)/BX366</f>
        <v>7.7635844060714637E-2</v>
      </c>
      <c r="BY372" s="1132">
        <f>+(BY$206+BY$205)/BY366</f>
        <v>7.955204988873589E-2</v>
      </c>
      <c r="BZ372" s="1132">
        <f>+(BZ$206+BZ$205)/BZ366</f>
        <v>7.7999683610675205E-2</v>
      </c>
      <c r="CA372" s="1117">
        <f>+(CA$206+CA$205)/CA366</f>
        <v>7.8896331823129009E-2</v>
      </c>
      <c r="CB372" s="48"/>
      <c r="CC372" s="1131">
        <f>+(CC$206+CC$205)/CC366</f>
        <v>9.521296498465151E-2</v>
      </c>
      <c r="CD372" s="1132">
        <f>+(CD$206+CD$205)/CD366</f>
        <v>9.1389003401916274E-2</v>
      </c>
      <c r="CE372" s="1132">
        <f>+(CE$206+CE$205)/CE366</f>
        <v>9.3098202181736867E-2</v>
      </c>
      <c r="CF372" s="1132">
        <f>+(CF$206+CF$205)/CF366</f>
        <v>9.2028497502309251E-2</v>
      </c>
      <c r="CG372" s="1117">
        <f>+(CG$206+CG$205)/CG366</f>
        <v>9.2837289683884508E-2</v>
      </c>
      <c r="CH372" s="48"/>
      <c r="CI372" s="1131">
        <f>+(CI$206+CI$205)/CI366</f>
        <v>0.1088203787744354</v>
      </c>
      <c r="CJ372" s="1132">
        <f>+(CJ$206+CJ$205)/CJ366</f>
        <v>0.10267948369216784</v>
      </c>
      <c r="CK372" s="1132">
        <f>+(CK$206+CK$205)/CK366</f>
        <v>0.10301121250531395</v>
      </c>
      <c r="CL372" s="1132">
        <f>+(CL$206+CL$205)/CL366</f>
        <v>0.10263555912136027</v>
      </c>
      <c r="CM372" s="1117">
        <f>+(CM$206+CM$205)/CM366</f>
        <v>0.10409582283797179</v>
      </c>
      <c r="CN372" s="48"/>
      <c r="CO372" s="1131">
        <f>+(CO$206+CO$205)/CO366</f>
        <v>0.11541165688338463</v>
      </c>
      <c r="CP372" s="1132">
        <f>+(CP$206+CP$205)/CP366</f>
        <v>0.11182842083032703</v>
      </c>
      <c r="CQ372" s="1132">
        <f>+(CQ$206+CQ$205)/CQ366</f>
        <v>0.11318312177486058</v>
      </c>
      <c r="CR372" s="1132">
        <f>+(CR$206+CR$205)/CR366</f>
        <v>0.10918243097374845</v>
      </c>
      <c r="CS372" s="1117">
        <f>+(CS$206+CS$205)/CS366</f>
        <v>0.11224318366350357</v>
      </c>
      <c r="CT372" s="48"/>
      <c r="CU372" s="1131">
        <f>+(CU$206+CU$205)/CU366</f>
        <v>0.12045124961414035</v>
      </c>
      <c r="CV372" s="1132">
        <f>+(CV$206+CV$205)/CV366</f>
        <v>0.11705773944128153</v>
      </c>
      <c r="CW372" s="1132">
        <f>+(CW$206+CW$205)/CW366</f>
        <v>0.11833146719421744</v>
      </c>
      <c r="CX372" s="1132">
        <f>+(CX$206+CX$205)/CX366</f>
        <v>0.11389044678978368</v>
      </c>
      <c r="CY372" s="1117">
        <f>+(CY$206+CY$205)/CY366</f>
        <v>0.11727213306298581</v>
      </c>
      <c r="CZ372" s="48"/>
      <c r="DD372" s="48"/>
      <c r="DE372" s="48"/>
      <c r="DF372" s="48"/>
      <c r="DG372" s="48"/>
      <c r="DH372" s="48"/>
      <c r="DI372" s="48"/>
      <c r="DJ372" s="48"/>
      <c r="DK372" s="48"/>
    </row>
    <row r="373" spans="1:115" x14ac:dyDescent="0.2">
      <c r="A373" s="1139" t="s">
        <v>466</v>
      </c>
      <c r="B373" s="48"/>
      <c r="C373" s="1128"/>
      <c r="D373" s="1129"/>
      <c r="E373" s="1129"/>
      <c r="F373" s="1129"/>
      <c r="G373" s="1463"/>
      <c r="H373" s="592"/>
      <c r="I373" s="1128"/>
      <c r="J373" s="1129"/>
      <c r="K373" s="1129"/>
      <c r="L373" s="1129"/>
      <c r="M373" s="1463"/>
      <c r="N373" s="592"/>
      <c r="O373" s="1128"/>
      <c r="P373" s="1129"/>
      <c r="Q373" s="1129"/>
      <c r="R373" s="1129"/>
      <c r="S373" s="1463"/>
      <c r="T373" s="591"/>
      <c r="U373" s="1128"/>
      <c r="V373" s="1129"/>
      <c r="W373" s="1129"/>
      <c r="X373" s="1129"/>
      <c r="Y373" s="1463"/>
      <c r="Z373" s="593"/>
      <c r="AA373" s="1128"/>
      <c r="AB373" s="1129"/>
      <c r="AC373" s="1129"/>
      <c r="AD373" s="1129"/>
      <c r="AE373" s="1463"/>
      <c r="AF373" s="592"/>
      <c r="AG373" s="1131">
        <f>+(AG$157+AG$156)/AG366</f>
        <v>0</v>
      </c>
      <c r="AH373" s="1132">
        <f>+(AH$157+AH$156)/AH366</f>
        <v>0</v>
      </c>
      <c r="AI373" s="1132">
        <f>+(AI$157+AI$156)/AI366</f>
        <v>0</v>
      </c>
      <c r="AJ373" s="1132">
        <f>+(AJ$157+AJ$156)/AJ366</f>
        <v>0</v>
      </c>
      <c r="AK373" s="1117">
        <f>+(AK$157+AK$156)/AK366</f>
        <v>0</v>
      </c>
      <c r="AL373" s="601"/>
      <c r="AM373" s="1131">
        <f>+(AM$157+AM$156)/AM366</f>
        <v>0</v>
      </c>
      <c r="AN373" s="1132">
        <f>+(AN$157+AN$156)/AN366</f>
        <v>0</v>
      </c>
      <c r="AO373" s="1132">
        <f>+(AO$157+AO$156)/AO366</f>
        <v>0</v>
      </c>
      <c r="AP373" s="1132">
        <f>+(AP$157+AP$156)/AP366</f>
        <v>0</v>
      </c>
      <c r="AQ373" s="1117">
        <f>+(AQ$157+AQ$156)/AQ366</f>
        <v>0</v>
      </c>
      <c r="AR373" s="48"/>
      <c r="AS373" s="1131">
        <f>+(AS$157+AS$156)/AS366</f>
        <v>0</v>
      </c>
      <c r="AT373" s="1132">
        <f>+(AT$157+AT$156)/AT366</f>
        <v>0</v>
      </c>
      <c r="AU373" s="1132">
        <f>+(AU$157+AU$156)/AU366</f>
        <v>0</v>
      </c>
      <c r="AV373" s="1132">
        <f>+(AV$157+AV$156)/AV366</f>
        <v>0</v>
      </c>
      <c r="AW373" s="1117">
        <f>+(AW$157+AW$156)/AW366</f>
        <v>0</v>
      </c>
      <c r="AX373" s="48"/>
      <c r="AY373" s="1131">
        <f>+(AY$157+AY$156)/AY366</f>
        <v>1.1807490672082368E-2</v>
      </c>
      <c r="AZ373" s="1132">
        <f>+(AZ$157+AZ$156)/AZ366</f>
        <v>1.1392747051719816E-2</v>
      </c>
      <c r="BA373" s="1132">
        <f>+(BA$157+BA$156)/BA366</f>
        <v>1.1502223215430069E-2</v>
      </c>
      <c r="BB373" s="1132">
        <f>+(BB$157+BB$156)/BB366</f>
        <v>1.0100077337735045E-2</v>
      </c>
      <c r="BC373" s="1117">
        <f>+(BC$157+BC$156)/BC366</f>
        <v>1.1160216061782958E-2</v>
      </c>
      <c r="BD373" s="48"/>
      <c r="BE373" s="1131">
        <f>+(BE$157+BE$156)/BE366</f>
        <v>9.8822041268084426E-3</v>
      </c>
      <c r="BF373" s="1132">
        <f>+(BF$157+BF$156)/BF366</f>
        <v>1.1693614654311469E-2</v>
      </c>
      <c r="BG373" s="1132">
        <f>+(BG$157+BG$156)/BG366</f>
        <v>3.1654267458486589E-2</v>
      </c>
      <c r="BH373" s="1132">
        <f>+(BH$157+BH$156)/BH366</f>
        <v>3.1716700911510409E-2</v>
      </c>
      <c r="BI373" s="1117">
        <f>+(BI$157+BI$156)/BI366</f>
        <v>2.1777670271528125E-2</v>
      </c>
      <c r="BJ373" s="48"/>
      <c r="BK373" s="1131">
        <f>+(BK$157+BK$156)/BK366</f>
        <v>2.8357799812838522E-2</v>
      </c>
      <c r="BL373" s="1132">
        <f>+(BL$157+BL$156)/BL366</f>
        <v>2.5373969178168351E-2</v>
      </c>
      <c r="BM373" s="1132">
        <f>+(BM$157+BM$156)/BM366</f>
        <v>3.6340466220412961E-2</v>
      </c>
      <c r="BN373" s="1132">
        <f>+(BN$157+BN$156)/BN366</f>
        <v>3.4685103442658481E-2</v>
      </c>
      <c r="BO373" s="1117">
        <f>+(BO$157+BO$156)/BO366</f>
        <v>3.1316413803535614E-2</v>
      </c>
      <c r="BP373" s="48"/>
      <c r="BQ373" s="1131">
        <f>+(BQ$157+BQ$156)/BQ366</f>
        <v>3.5789284536450888E-2</v>
      </c>
      <c r="BR373" s="1132">
        <f>+(BR$157+BR$156)/BR366</f>
        <v>3.534280418078501E-2</v>
      </c>
      <c r="BS373" s="1132">
        <f>+(BS$157+BS$156)/BS366</f>
        <v>4.2110499878719392E-2</v>
      </c>
      <c r="BT373" s="1132">
        <f>+(BT$157+BT$156)/BT366</f>
        <v>4.123255415876461E-2</v>
      </c>
      <c r="BU373" s="1117">
        <f>+(BU$157+BU$156)/BU366</f>
        <v>3.8710469425345027E-2</v>
      </c>
      <c r="BV373" s="48"/>
      <c r="BW373" s="1131">
        <f>+(BW$157+BW$156)/BW366</f>
        <v>3.9408242355899431E-2</v>
      </c>
      <c r="BX373" s="1132">
        <f>+(BX$157+BX$156)/BX366</f>
        <v>3.8313874103542457E-2</v>
      </c>
      <c r="BY373" s="1132">
        <f>+(BY$157+BY$156)/BY366</f>
        <v>4.4652717165882219E-2</v>
      </c>
      <c r="BZ373" s="1132">
        <f>+(BZ$157+BZ$156)/BZ366</f>
        <v>4.5074730937844018E-2</v>
      </c>
      <c r="CA373" s="1117">
        <f>+(CA$157+CA$156)/CA366</f>
        <v>4.2014469256994605E-2</v>
      </c>
      <c r="CB373" s="48"/>
      <c r="CC373" s="1131">
        <f>+(CC$157+CC$156)/CC366</f>
        <v>5.3906254049602649E-2</v>
      </c>
      <c r="CD373" s="1132">
        <f>+(CD$157+CD$156)/CD366</f>
        <v>5.3859984175657794E-2</v>
      </c>
      <c r="CE373" s="1132">
        <f>+(CE$157+CE$156)/CE366</f>
        <v>6.0194848358159796E-2</v>
      </c>
      <c r="CF373" s="1132">
        <f>+(CF$157+CF$156)/CF366</f>
        <v>6.0139631359542783E-2</v>
      </c>
      <c r="CG373" s="1117">
        <f>+(CG$157+CG$156)/CG366</f>
        <v>5.7253202781779498E-2</v>
      </c>
      <c r="CH373" s="48"/>
      <c r="CI373" s="1131">
        <f>+(CI$157+CI$156)/CI366</f>
        <v>5.8766569969412562E-2</v>
      </c>
      <c r="CJ373" s="1132">
        <f>+(CJ$157+CJ$156)/CJ366</f>
        <v>5.8178015738582819E-2</v>
      </c>
      <c r="CK373" s="1132">
        <f>+(CK$157+CK$156)/CK366</f>
        <v>6.4502094026518741E-2</v>
      </c>
      <c r="CL373" s="1132">
        <f>+(CL$157+CL$156)/CL366</f>
        <v>6.5604453993342721E-2</v>
      </c>
      <c r="CM373" s="1117">
        <f>+(CM$157+CM$156)/CM366</f>
        <v>6.1974146370621534E-2</v>
      </c>
      <c r="CN373" s="48"/>
      <c r="CO373" s="1131">
        <f>+(CO$157+CO$156)/CO366</f>
        <v>6.1399088660972129E-2</v>
      </c>
      <c r="CP373" s="1132">
        <f>+(CP$157+CP$156)/CP366</f>
        <v>6.2746230995709251E-2</v>
      </c>
      <c r="CQ373" s="1132">
        <f>+(CQ$157+CQ$156)/CQ366</f>
        <v>7.0605359651676913E-2</v>
      </c>
      <c r="CR373" s="1132">
        <f>+(CR$157+CR$156)/CR366</f>
        <v>6.9909954239862515E-2</v>
      </c>
      <c r="CS373" s="1117">
        <f>+(CS$157+CS$156)/CS366</f>
        <v>6.6402659245106549E-2</v>
      </c>
      <c r="CT373" s="48"/>
      <c r="CU373" s="1131">
        <f>+(CU$157+CU$156)/CU366</f>
        <v>6.4329339119294324E-2</v>
      </c>
      <c r="CV373" s="1132">
        <f>+(CV$157+CV$156)/CV366</f>
        <v>6.6127701344722845E-2</v>
      </c>
      <c r="CW373" s="1132">
        <f>+(CW$157+CW$156)/CW366</f>
        <v>7.4575022725318546E-2</v>
      </c>
      <c r="CX373" s="1132">
        <f>+(CX$157+CX$156)/CX366</f>
        <v>7.3905483107350525E-2</v>
      </c>
      <c r="CY373" s="1117">
        <f>+(CY$157+CY$156)/CY366</f>
        <v>6.9987346556799751E-2</v>
      </c>
      <c r="CZ373" s="48"/>
      <c r="DD373" s="48"/>
      <c r="DE373" s="48"/>
      <c r="DF373" s="48"/>
      <c r="DG373" s="48"/>
      <c r="DH373" s="48"/>
      <c r="DI373" s="48"/>
      <c r="DJ373" s="48"/>
      <c r="DK373" s="48"/>
    </row>
    <row r="374" spans="1:115" x14ac:dyDescent="0.2">
      <c r="A374" s="1139" t="s">
        <v>467</v>
      </c>
      <c r="B374" s="48"/>
      <c r="C374" s="1128"/>
      <c r="D374" s="1129"/>
      <c r="E374" s="1129"/>
      <c r="F374" s="1129"/>
      <c r="G374" s="1463"/>
      <c r="H374" s="592"/>
      <c r="I374" s="1128"/>
      <c r="J374" s="1129"/>
      <c r="K374" s="1129"/>
      <c r="L374" s="1129"/>
      <c r="M374" s="1463"/>
      <c r="N374" s="592"/>
      <c r="O374" s="1128"/>
      <c r="P374" s="1129"/>
      <c r="Q374" s="1129"/>
      <c r="R374" s="1129"/>
      <c r="S374" s="1463"/>
      <c r="T374" s="591"/>
      <c r="U374" s="1128"/>
      <c r="V374" s="1129"/>
      <c r="W374" s="1129"/>
      <c r="X374" s="1129"/>
      <c r="Y374" s="1463"/>
      <c r="Z374" s="593"/>
      <c r="AA374" s="1128"/>
      <c r="AB374" s="1129"/>
      <c r="AC374" s="1129"/>
      <c r="AD374" s="1129"/>
      <c r="AE374" s="1463"/>
      <c r="AF374" s="592"/>
      <c r="AG374" s="1131">
        <f>+(AG$256+AG$255)/AG366</f>
        <v>0</v>
      </c>
      <c r="AH374" s="1132">
        <f>+(AH$256+AH$255)/AH366</f>
        <v>0</v>
      </c>
      <c r="AI374" s="1132">
        <f>+(AI$256+AI$255)/AI366</f>
        <v>0</v>
      </c>
      <c r="AJ374" s="1132">
        <f>+(AJ$256+AJ$255)/AJ366</f>
        <v>0</v>
      </c>
      <c r="AK374" s="1117">
        <f>+(AK$256+AK$255)/AK366</f>
        <v>0</v>
      </c>
      <c r="AL374" s="601"/>
      <c r="AM374" s="1131">
        <f>+(AM$256+AM$255)/AM366</f>
        <v>0</v>
      </c>
      <c r="AN374" s="1132">
        <f>+(AN$256+AN$255)/AN366</f>
        <v>0</v>
      </c>
      <c r="AO374" s="1132">
        <f>+(AO$256+AO$255)/AO366</f>
        <v>0</v>
      </c>
      <c r="AP374" s="1132">
        <f>+(AP$256+AP$255)/AP366</f>
        <v>0</v>
      </c>
      <c r="AQ374" s="1117">
        <f>+(AQ$256+AQ$255)/AQ366</f>
        <v>0</v>
      </c>
      <c r="AR374" s="48"/>
      <c r="AS374" s="1131">
        <f>+(AS$256+AS$255)/AS366</f>
        <v>0</v>
      </c>
      <c r="AT374" s="1132">
        <f>+(AT$256+AT$255)/AT366</f>
        <v>0</v>
      </c>
      <c r="AU374" s="1132">
        <f>+(AU$256+AU$255)/AU366</f>
        <v>0</v>
      </c>
      <c r="AV374" s="1132">
        <f>+(AV$256+AV$255)/AV366</f>
        <v>0</v>
      </c>
      <c r="AW374" s="1117">
        <f>+(AW$256+AW$255)/AW366</f>
        <v>0</v>
      </c>
      <c r="AX374" s="48"/>
      <c r="AY374" s="1131">
        <f>+(AY$256+AY$255)/AY366</f>
        <v>2.1084804771575656E-2</v>
      </c>
      <c r="AZ374" s="1132">
        <f>+(AZ$256+AZ$255)/AZ366</f>
        <v>2.0344191163785386E-2</v>
      </c>
      <c r="BA374" s="1132">
        <f>+(BA$256+BA$255)/BA366</f>
        <v>2.053968431326798E-2</v>
      </c>
      <c r="BB374" s="1132">
        <f>+(BB$256+BB$255)/BB366</f>
        <v>1.8035852388812581E-2</v>
      </c>
      <c r="BC374" s="1117">
        <f>+(BC$256+BC$255)/BC366</f>
        <v>1.9928957253183853E-2</v>
      </c>
      <c r="BD374" s="48"/>
      <c r="BE374" s="1131">
        <f>+(BE$256+BE$255)/BE366</f>
        <v>2.3058476295886365E-2</v>
      </c>
      <c r="BF374" s="1132">
        <f>+(BF$256+BF$255)/BF366</f>
        <v>2.4335360226540086E-2</v>
      </c>
      <c r="BG374" s="1132">
        <f>+(BG$256+BG$255)/BG366</f>
        <v>2.6157233694964047E-2</v>
      </c>
      <c r="BH374" s="1132">
        <f>+(BH$256+BH$255)/BH366</f>
        <v>2.8032047657790597E-2</v>
      </c>
      <c r="BI374" s="1117">
        <f>+(BI$256+BI$255)/BI366</f>
        <v>2.5516234124116646E-2</v>
      </c>
      <c r="BJ374" s="48"/>
      <c r="BK374" s="1131">
        <f>+(BK$256+BK$255)/BK366</f>
        <v>3.6234966427515891E-2</v>
      </c>
      <c r="BL374" s="1132">
        <f>+(BL$256+BL$255)/BL366</f>
        <v>3.4718343663298484E-2</v>
      </c>
      <c r="BM374" s="1132">
        <f>+(BM$256+BM$255)/BM366</f>
        <v>3.4149253022208892E-2</v>
      </c>
      <c r="BN374" s="1132">
        <f>+(BN$256+BN$255)/BN366</f>
        <v>4.2958898034976857E-2</v>
      </c>
      <c r="BO374" s="1117">
        <f>+(BO$256+BO$255)/BO366</f>
        <v>3.7142218296702445E-2</v>
      </c>
      <c r="BP374" s="48"/>
      <c r="BQ374" s="1131">
        <f>+(BQ$256+BQ$255)/BQ366</f>
        <v>5.1027020094886646E-2</v>
      </c>
      <c r="BR374" s="1132">
        <f>+(BR$256+BR$255)/BR366</f>
        <v>5.5439685463108158E-2</v>
      </c>
      <c r="BS374" s="1132">
        <f>+(BS$256+BS$255)/BS366</f>
        <v>5.4684147112960602E-2</v>
      </c>
      <c r="BT374" s="1132">
        <f>+(BT$256+BT$255)/BT366</f>
        <v>6.6182783357245326E-2</v>
      </c>
      <c r="BU374" s="1117">
        <f>+(BU$256+BU$255)/BU366</f>
        <v>5.7147488339653801E-2</v>
      </c>
      <c r="BV374" s="48"/>
      <c r="BW374" s="1131">
        <f>+(BW$256+BW$255)/BW366</f>
        <v>6.6738921472071264E-2</v>
      </c>
      <c r="BX374" s="1132">
        <f>+(BX$256+BX$255)/BX366</f>
        <v>6.2485704663682994E-2</v>
      </c>
      <c r="BY374" s="1132">
        <f>+(BY$256+BY$255)/BY366</f>
        <v>6.216369984120973E-2</v>
      </c>
      <c r="BZ374" s="1132">
        <f>+(BZ$256+BZ$255)/BZ366</f>
        <v>7.431352335232598E-2</v>
      </c>
      <c r="CA374" s="1117">
        <f>+(CA$256+CA$255)/CA366</f>
        <v>6.6592672006093159E-2</v>
      </c>
      <c r="CB374" s="48"/>
      <c r="CC374" s="1131">
        <f>+(CC$256+CC$255)/CC366</f>
        <v>8.408554701430862E-2</v>
      </c>
      <c r="CD374" s="1132">
        <f>+(CD$256+CD$255)/CD366</f>
        <v>7.8314157910678125E-2</v>
      </c>
      <c r="CE374" s="1132">
        <f>+(CE$256+CE$255)/CE366</f>
        <v>7.7513014149335188E-2</v>
      </c>
      <c r="CF374" s="1132">
        <f>+(CF$256+CF$255)/CF366</f>
        <v>9.0859524184157645E-2</v>
      </c>
      <c r="CG374" s="1117">
        <f>+(CG$256+CG$255)/CG366</f>
        <v>8.2871880325959546E-2</v>
      </c>
      <c r="CH374" s="48"/>
      <c r="CI374" s="1131">
        <f>+(CI$256+CI$255)/CI366</f>
        <v>0.10237257427912691</v>
      </c>
      <c r="CJ374" s="1132">
        <f>+(CJ$256+CJ$255)/CJ366</f>
        <v>9.3521717846157579E-2</v>
      </c>
      <c r="CK374" s="1132">
        <f>+(CK$256+CK$255)/CK366</f>
        <v>9.1228975022939196E-2</v>
      </c>
      <c r="CL374" s="1132">
        <f>+(CL$256+CL$255)/CL366</f>
        <v>0.10691647214991912</v>
      </c>
      <c r="CM374" s="1117">
        <f>+(CM$256+CM$255)/CM366</f>
        <v>9.8544047363466364E-2</v>
      </c>
      <c r="CN374" s="48"/>
      <c r="CO374" s="1131">
        <f>+(CO$256+CO$255)/CO366</f>
        <v>0.11605993746861717</v>
      </c>
      <c r="CP374" s="1132">
        <f>+(CP$256+CP$255)/CP366</f>
        <v>0.10951924551615261</v>
      </c>
      <c r="CQ374" s="1132">
        <f>+(CQ$256+CQ$255)/CQ366</f>
        <v>0.10871106088331739</v>
      </c>
      <c r="CR374" s="1132">
        <f>+(CR$256+CR$255)/CR366</f>
        <v>0.12267298702489311</v>
      </c>
      <c r="CS374" s="1117">
        <f>+(CS$256+CS$255)/CS366</f>
        <v>0.11441318347425315</v>
      </c>
      <c r="CT374" s="48"/>
      <c r="CU374" s="1131">
        <f>+(CU$256+CU$255)/CU366</f>
        <v>0.13148064783510302</v>
      </c>
      <c r="CV374" s="1132">
        <f>+(CV$256+CV$255)/CV366</f>
        <v>0.12438924437335452</v>
      </c>
      <c r="CW374" s="1132">
        <f>+(CW$256+CW$255)/CW366</f>
        <v>0.1235465901670055</v>
      </c>
      <c r="CX374" s="1132">
        <f>+(CX$256+CX$255)/CX366</f>
        <v>0.13794546522140932</v>
      </c>
      <c r="CY374" s="1117">
        <f>+(CY$256+CY$255)/CY366</f>
        <v>0.12950783435344942</v>
      </c>
      <c r="CZ374" s="48"/>
      <c r="DD374" s="48"/>
      <c r="DE374" s="48"/>
      <c r="DF374" s="48"/>
      <c r="DG374" s="48"/>
      <c r="DH374" s="48"/>
      <c r="DI374" s="48"/>
      <c r="DJ374" s="48"/>
      <c r="DK374" s="48"/>
    </row>
    <row r="375" spans="1:115" x14ac:dyDescent="0.2">
      <c r="A375" s="1139" t="s">
        <v>468</v>
      </c>
      <c r="B375" s="48"/>
      <c r="C375" s="1128"/>
      <c r="D375" s="1129"/>
      <c r="E375" s="1129"/>
      <c r="F375" s="1129"/>
      <c r="G375" s="1463"/>
      <c r="H375" s="592"/>
      <c r="I375" s="1128"/>
      <c r="J375" s="1129"/>
      <c r="K375" s="1129"/>
      <c r="L375" s="1129"/>
      <c r="M375" s="1463"/>
      <c r="N375" s="592"/>
      <c r="O375" s="1128"/>
      <c r="P375" s="1129"/>
      <c r="Q375" s="1129"/>
      <c r="R375" s="1129"/>
      <c r="S375" s="1463"/>
      <c r="T375" s="591"/>
      <c r="U375" s="1128"/>
      <c r="V375" s="1129"/>
      <c r="W375" s="1129"/>
      <c r="X375" s="1129"/>
      <c r="Y375" s="1463"/>
      <c r="Z375" s="593"/>
      <c r="AA375" s="1128"/>
      <c r="AB375" s="1129"/>
      <c r="AC375" s="1129"/>
      <c r="AD375" s="1129"/>
      <c r="AE375" s="1463"/>
      <c r="AF375" s="592"/>
      <c r="AG375" s="1131">
        <f>+(AG$295+AG$294)/AG366</f>
        <v>0</v>
      </c>
      <c r="AH375" s="1132">
        <f>+(AH$295+AH$294)/AH366</f>
        <v>0</v>
      </c>
      <c r="AI375" s="1132">
        <f>+(AI$295+AI$294)/AI366</f>
        <v>0</v>
      </c>
      <c r="AJ375" s="1132">
        <f>+(AJ$295+AJ$294)/AJ366</f>
        <v>0</v>
      </c>
      <c r="AK375" s="1117">
        <f>+(AK$295+AK$294)/AK366</f>
        <v>0</v>
      </c>
      <c r="AL375" s="601"/>
      <c r="AM375" s="1131">
        <f>+(AM$295+AM$294)/AM366</f>
        <v>0</v>
      </c>
      <c r="AN375" s="1132">
        <f>+(AN$295+AN$294)/AN366</f>
        <v>0</v>
      </c>
      <c r="AO375" s="1132">
        <f>+(AO$295+AO$294)/AO366</f>
        <v>0</v>
      </c>
      <c r="AP375" s="1132">
        <f>+(AP$295+AP$294)/AP366</f>
        <v>0</v>
      </c>
      <c r="AQ375" s="1117">
        <f>+(AQ$295+AQ$294)/AQ366</f>
        <v>0</v>
      </c>
      <c r="AR375" s="48"/>
      <c r="AS375" s="1131">
        <f>+(AS$295+AS$294)/AS366</f>
        <v>0</v>
      </c>
      <c r="AT375" s="1132">
        <f>+(AT$295+AT$294)/AT366</f>
        <v>0</v>
      </c>
      <c r="AU375" s="1132">
        <f>+(AU$295+AU$294)/AU366</f>
        <v>0</v>
      </c>
      <c r="AV375" s="1132">
        <f>+(AV$295+AV$294)/AV366</f>
        <v>0</v>
      </c>
      <c r="AW375" s="1117">
        <f>+(AW$295+AW$294)/AW366</f>
        <v>0</v>
      </c>
      <c r="AX375" s="48"/>
      <c r="AY375" s="1131">
        <f>+(AY$295+AY$294)/AY366</f>
        <v>5.7280033945598585E-3</v>
      </c>
      <c r="AZ375" s="1132">
        <f>+(AZ$295+AZ$294)/AZ366</f>
        <v>5.5268046020911302E-3</v>
      </c>
      <c r="BA375" s="1132">
        <f>+(BA$295+BA$294)/BA366</f>
        <v>5.5799132476764607E-3</v>
      </c>
      <c r="BB375" s="1132">
        <f>+(BB$295+BB$294)/BB366</f>
        <v>3.4010173182659419E-3</v>
      </c>
      <c r="BC375" s="1117">
        <f>+(BC$295+BC$294)/BC366</f>
        <v>5.000000000000001E-3</v>
      </c>
      <c r="BD375" s="48"/>
      <c r="BE375" s="1131">
        <f>+(BE$295+BE$294)/BE366</f>
        <v>7.176329266257323E-3</v>
      </c>
      <c r="BF375" s="1132">
        <f>+(BF$295+BF$294)/BF366</f>
        <v>6.8852045223737829E-3</v>
      </c>
      <c r="BG375" s="1132">
        <f>+(BG$295+BG$294)/BG366</f>
        <v>6.7278793287854129E-3</v>
      </c>
      <c r="BH375" s="1132">
        <f>+(BH$295+BH$294)/BH366</f>
        <v>7.1955651778203749E-3</v>
      </c>
      <c r="BI375" s="1117">
        <f>+(BI$295+BI$294)/BI366</f>
        <v>7.0000000000000001E-3</v>
      </c>
      <c r="BJ375" s="48"/>
      <c r="BK375" s="1131">
        <f>+(BK$295+BK$294)/BK366</f>
        <v>1.1371490328414833E-2</v>
      </c>
      <c r="BL375" s="1132">
        <f>+(BL$295+BL$294)/BL366</f>
        <v>1.0895534013410341E-2</v>
      </c>
      <c r="BM375" s="1132">
        <f>+(BM$295+BM$294)/BM366</f>
        <v>1.0716938326449044E-2</v>
      </c>
      <c r="BN375" s="1132">
        <f>+(BN$295+BN$294)/BN366</f>
        <v>1.1033327790249712E-2</v>
      </c>
      <c r="BO375" s="1117">
        <f>+(BO$295+BO$294)/BO366</f>
        <v>1.1000000000000001E-2</v>
      </c>
      <c r="BP375" s="48"/>
      <c r="BQ375" s="1131">
        <f>+(BQ$295+BQ$294)/BQ366</f>
        <v>1.4999999999999996E-2</v>
      </c>
      <c r="BR375" s="1132">
        <f>+(BR$295+BR$294)/BR366</f>
        <v>1.7999999999999999E-2</v>
      </c>
      <c r="BS375" s="1132">
        <f>+(BS$295+BS$294)/BS366</f>
        <v>1.8280104653787342E-2</v>
      </c>
      <c r="BT375" s="1132">
        <f>+(BT$295+BT$294)/BT366</f>
        <v>1.6352451728196542E-2</v>
      </c>
      <c r="BU375" s="1117">
        <f>+(BU$295+BU$294)/BU366</f>
        <v>1.6921169258110075E-2</v>
      </c>
      <c r="BV375" s="48"/>
      <c r="BW375" s="1131">
        <f>+(BW$295+BW$294)/BW366</f>
        <v>1.7827527420120962E-2</v>
      </c>
      <c r="BX375" s="1132">
        <f>+(BX$295+BX$294)/BX366</f>
        <v>1.8707421406856529E-2</v>
      </c>
      <c r="BY375" s="1132">
        <f>+(BY$295+BY$294)/BY366</f>
        <v>2.0695848693907334E-2</v>
      </c>
      <c r="BZ375" s="1132">
        <f>+(BZ$295+BZ$294)/BZ366</f>
        <v>2.0614258989875719E-2</v>
      </c>
      <c r="CA375" s="1117">
        <f>+(CA$295+CA$294)/CA366</f>
        <v>1.9536868828092479E-2</v>
      </c>
      <c r="CB375" s="48"/>
      <c r="CC375" s="1131">
        <f>+(CC$295+CC$294)/CC366</f>
        <v>2.1152875332896701E-2</v>
      </c>
      <c r="CD375" s="1132">
        <f>+(CD$295+CD$294)/CD366</f>
        <v>2.1401757003652259E-2</v>
      </c>
      <c r="CE375" s="1132">
        <f>+(CE$295+CE$294)/CE366</f>
        <v>1.9039185559878435E-2</v>
      </c>
      <c r="CF375" s="1132">
        <f>+(CF$295+CF$294)/CF366</f>
        <v>1.8324598019025803E-2</v>
      </c>
      <c r="CG375" s="1117">
        <f>+(CG$295+CG$294)/CG366</f>
        <v>1.9880272893990171E-2</v>
      </c>
      <c r="CH375" s="48"/>
      <c r="CI375" s="1131">
        <f>+(CI$295+CI$294)/CI366</f>
        <v>1.9743583297475255E-2</v>
      </c>
      <c r="CJ375" s="1132">
        <f>+(CJ$295+CJ$294)/CJ366</f>
        <v>2.0581645232990244E-2</v>
      </c>
      <c r="CK375" s="1132">
        <f>+(CK$295+CK$294)/CK366</f>
        <v>2.0756678747943673E-2</v>
      </c>
      <c r="CL375" s="1132">
        <f>+(CL$295+CL$294)/CL366</f>
        <v>2.0802266707490653E-2</v>
      </c>
      <c r="CM375" s="1117">
        <f>+(CM$295+CM$294)/CM366</f>
        <v>2.050401118447838E-2</v>
      </c>
      <c r="CN375" s="48"/>
      <c r="CO375" s="1131">
        <f>+(CO$295+CO$294)/CO366</f>
        <v>3.3036433105958947E-2</v>
      </c>
      <c r="CP375" s="1132">
        <f>+(CP$295+CP$294)/CP366</f>
        <v>2.8011685377757976E-2</v>
      </c>
      <c r="CQ375" s="1132">
        <f>+(CQ$295+CQ$294)/CQ366</f>
        <v>2.8234319160417107E-2</v>
      </c>
      <c r="CR375" s="1132">
        <f>+(CR$295+CR$294)/CR366</f>
        <v>2.203384001973813E-2</v>
      </c>
      <c r="CS375" s="1117">
        <f>+(CS$295+CS$294)/CS366</f>
        <v>2.7544682577547306E-2</v>
      </c>
      <c r="CT375" s="48"/>
      <c r="CU375" s="1131">
        <f>+(CU$295+CU$294)/CU366</f>
        <v>4.0347176405599088E-2</v>
      </c>
      <c r="CV375" s="1132">
        <f>+(CV$295+CV$294)/CV366</f>
        <v>3.7062370993230717E-2</v>
      </c>
      <c r="CW375" s="1132">
        <f>+(CW$295+CW$294)/CW366</f>
        <v>3.71202530354591E-2</v>
      </c>
      <c r="CX375" s="1132">
        <f>+(CX$295+CX$294)/CX366</f>
        <v>3.1605126529067669E-2</v>
      </c>
      <c r="CY375" s="1117">
        <f>+(CY$295+CY$294)/CY366</f>
        <v>3.6316199147407004E-2</v>
      </c>
      <c r="CZ375" s="48"/>
      <c r="DD375" s="48"/>
      <c r="DE375" s="48"/>
      <c r="DF375" s="48"/>
      <c r="DG375" s="48"/>
      <c r="DH375" s="48"/>
      <c r="DI375" s="48"/>
      <c r="DJ375" s="48"/>
      <c r="DK375" s="48"/>
    </row>
    <row r="376" spans="1:115" outlineLevel="1" x14ac:dyDescent="0.2">
      <c r="A376" s="205" t="s">
        <v>499</v>
      </c>
      <c r="B376" s="48"/>
      <c r="C376" s="1128"/>
      <c r="D376" s="1129"/>
      <c r="E376" s="1129"/>
      <c r="F376" s="1129"/>
      <c r="G376" s="1463"/>
      <c r="H376" s="592"/>
      <c r="I376" s="1128"/>
      <c r="J376" s="1129"/>
      <c r="K376" s="1129"/>
      <c r="L376" s="1129"/>
      <c r="M376" s="1463"/>
      <c r="N376" s="592"/>
      <c r="O376" s="1128"/>
      <c r="P376" s="1129"/>
      <c r="Q376" s="1129"/>
      <c r="R376" s="1129"/>
      <c r="S376" s="1463"/>
      <c r="T376" s="591"/>
      <c r="U376" s="1128"/>
      <c r="V376" s="1129"/>
      <c r="W376" s="1129"/>
      <c r="X376" s="1129"/>
      <c r="Y376" s="1463"/>
      <c r="Z376" s="593"/>
      <c r="AA376" s="1128"/>
      <c r="AB376" s="1129"/>
      <c r="AC376" s="1129"/>
      <c r="AD376" s="1129"/>
      <c r="AE376" s="1463"/>
      <c r="AF376" s="592"/>
      <c r="AG376" s="656">
        <f>+(AG$42+AG$41)</f>
        <v>55.233249999999998</v>
      </c>
      <c r="AH376" s="654">
        <f>+(AH$42+AH$41)</f>
        <v>60.038999999999994</v>
      </c>
      <c r="AI376" s="654">
        <f>+(AI$42+AI$41)</f>
        <v>64.914749999999998</v>
      </c>
      <c r="AJ376" s="654">
        <f>+(AJ$42+AJ$41)</f>
        <v>72.269250000000028</v>
      </c>
      <c r="AK376" s="655">
        <f>+SUM(AG376:AJ376)</f>
        <v>252.45625000000001</v>
      </c>
      <c r="AL376" s="601"/>
      <c r="AM376" s="656">
        <f>+(AM$42+AM$41)</f>
        <v>66.090999999999994</v>
      </c>
      <c r="AN376" s="654">
        <f>+(AN$42+AN$41)</f>
        <v>65.679500000000004</v>
      </c>
      <c r="AO376" s="654">
        <f>+(AO$42+AO$41)</f>
        <v>60.349740000000004</v>
      </c>
      <c r="AP376" s="654">
        <f>+(AP$42+AP$41)</f>
        <v>57.206400000000009</v>
      </c>
      <c r="AQ376" s="655">
        <f>+SUM(AM376:AP376)</f>
        <v>249.32664</v>
      </c>
      <c r="AR376" s="48"/>
      <c r="AS376" s="656">
        <f>+(AS$42+AS$41)</f>
        <v>53.894909090909096</v>
      </c>
      <c r="AT376" s="654">
        <f>+(AT$42+AT$41)</f>
        <v>62.923144578313256</v>
      </c>
      <c r="AU376" s="654">
        <f>+(AU$42+AU$41)</f>
        <v>50.714833333333338</v>
      </c>
      <c r="AV376" s="654">
        <f>+(AV$42+AV$41)</f>
        <v>54.938810126582304</v>
      </c>
      <c r="AW376" s="655">
        <f>+SUM(AS376:AV376)</f>
        <v>222.47169712913799</v>
      </c>
      <c r="AX376" s="48"/>
      <c r="AY376" s="656">
        <f>+(AY$42+AY$41)</f>
        <v>53.355960000000003</v>
      </c>
      <c r="AZ376" s="654">
        <f>+(AZ$42+AZ$41)</f>
        <v>52.226210000000009</v>
      </c>
      <c r="BA376" s="654">
        <f>+(BA$42+BA$41)</f>
        <v>51.729130000000005</v>
      </c>
      <c r="BB376" s="654">
        <f>+(BB$42+BB$41)</f>
        <v>43.401660000000021</v>
      </c>
      <c r="BC376" s="655">
        <f>+SUM(AY376:BB376)</f>
        <v>200.71296000000004</v>
      </c>
      <c r="BD376" s="48"/>
      <c r="BE376" s="656">
        <f>+(BE$42+BE$41)</f>
        <v>51.607920000000007</v>
      </c>
      <c r="BF376" s="654">
        <f>+(BF$42+BF$41)</f>
        <v>44.29768</v>
      </c>
      <c r="BG376" s="654">
        <f>+(BG$42+BG$41)</f>
        <v>54.076436999999999</v>
      </c>
      <c r="BH376" s="654">
        <f>+(BH$42+BH$41)</f>
        <v>55.120251000000025</v>
      </c>
      <c r="BI376" s="655">
        <f>+SUM(BE376:BH376)</f>
        <v>205.10228800000002</v>
      </c>
      <c r="BJ376" s="48"/>
      <c r="BK376" s="656">
        <f>+(BK$42+BK$41)</f>
        <v>38.719505999999996</v>
      </c>
      <c r="BL376" s="654">
        <f>+(BL$42+BL$41)</f>
        <v>33.310619049266023</v>
      </c>
      <c r="BM376" s="654">
        <f>+(BM$42+BM$41)</f>
        <v>38.753305035294119</v>
      </c>
      <c r="BN376" s="654">
        <f>+(BN$42+BN$41)</f>
        <v>41.032900792134257</v>
      </c>
      <c r="BO376" s="655">
        <f>+SUM(BK376:BN376)</f>
        <v>151.81633087669439</v>
      </c>
      <c r="BP376" s="48"/>
      <c r="BQ376" s="656">
        <f>+(BQ$42+BQ$41)</f>
        <v>29.679938603402146</v>
      </c>
      <c r="BR376" s="654">
        <f>+(BR$42+BR$41)</f>
        <v>25.976353365234811</v>
      </c>
      <c r="BS376" s="654">
        <f>+(BS$42+BS$41)</f>
        <v>25.355573924963608</v>
      </c>
      <c r="BT376" s="654">
        <f>+(BT$42+BT$41)</f>
        <v>29.022987107186925</v>
      </c>
      <c r="BU376" s="655">
        <f>+SUM(BQ376:BT376)</f>
        <v>110.03485300078749</v>
      </c>
      <c r="BV376" s="48"/>
      <c r="BW376" s="656">
        <f>+(BW$42+BW$41)</f>
        <v>18.065032351582317</v>
      </c>
      <c r="BX376" s="654">
        <f>+(BX$42+BX$41)</f>
        <v>21.237211880062674</v>
      </c>
      <c r="BY376" s="654">
        <f>+(BY$42+BY$41)</f>
        <v>21.708817958722012</v>
      </c>
      <c r="BZ376" s="654">
        <f>+(BZ$42+BZ$41)</f>
        <v>27.083636045653336</v>
      </c>
      <c r="CA376" s="655">
        <f>+SUM(BW376:BZ376)</f>
        <v>88.094698236020335</v>
      </c>
      <c r="CB376" s="48"/>
      <c r="CC376" s="656">
        <f>+(CC$42+CC$41)</f>
        <v>12.091509210217648</v>
      </c>
      <c r="CD376" s="654">
        <f>+(CD$42+CD$41)</f>
        <v>17.230566134417593</v>
      </c>
      <c r="CE376" s="654">
        <f>+(CE$42+CE$41)</f>
        <v>20.728139101602455</v>
      </c>
      <c r="CF376" s="654">
        <f>+(CF$42+CF$41)</f>
        <v>22.454805760134551</v>
      </c>
      <c r="CG376" s="655">
        <f>+SUM(CC376:CF376)</f>
        <v>72.505020206372251</v>
      </c>
      <c r="CH376" s="48"/>
      <c r="CI376" s="656">
        <f>+(CI$42+CI$41)</f>
        <v>11.056326761527888</v>
      </c>
      <c r="CJ376" s="654">
        <f>+(CJ$42+CJ$41)</f>
        <v>12.463018178786719</v>
      </c>
      <c r="CK376" s="654">
        <f>+(CK$42+CK$41)</f>
        <v>14.963886336353713</v>
      </c>
      <c r="CL376" s="654">
        <f>+(CL$42+CL$41)</f>
        <v>15.221219944552008</v>
      </c>
      <c r="CM376" s="655">
        <f>+SUM(CI376:CL376)</f>
        <v>53.704451221220324</v>
      </c>
      <c r="CN376" s="48"/>
      <c r="CO376" s="656">
        <f>+(CO$42+CO$41)</f>
        <v>9.6022455296699629</v>
      </c>
      <c r="CP376" s="654">
        <f>+(CP$42+CP$41)</f>
        <v>10.784025712237694</v>
      </c>
      <c r="CQ376" s="654">
        <f>+(CQ$42+CQ$41)</f>
        <v>12.906275872866633</v>
      </c>
      <c r="CR376" s="654">
        <f>+(CR$42+CR$41)</f>
        <v>13.10560229375402</v>
      </c>
      <c r="CS376" s="655">
        <f>+SUM(CO376:CR376)</f>
        <v>46.398149408528312</v>
      </c>
      <c r="CT376" s="48"/>
      <c r="CU376" s="656">
        <f>+(CU$42+CU$41)</f>
        <v>8.345839704353601</v>
      </c>
      <c r="CV376" s="654">
        <f>+(CV$42+CV$41)</f>
        <v>9.3378360896441244</v>
      </c>
      <c r="CW376" s="654">
        <f>+(CW$42+CW$41)</f>
        <v>11.138609730206019</v>
      </c>
      <c r="CX376" s="654">
        <f>+(CX$42+CX$41)</f>
        <v>11.290570756487247</v>
      </c>
      <c r="CY376" s="655">
        <f>+SUM(CU376:CX376)</f>
        <v>40.112856280690991</v>
      </c>
      <c r="CZ376" s="48"/>
      <c r="DD376" s="48"/>
      <c r="DE376" s="48"/>
      <c r="DF376" s="48"/>
      <c r="DG376" s="48"/>
      <c r="DH376" s="48"/>
      <c r="DI376" s="48"/>
      <c r="DJ376" s="48"/>
      <c r="DK376" s="48"/>
    </row>
    <row r="377" spans="1:115" outlineLevel="1" x14ac:dyDescent="0.2">
      <c r="A377" s="2128" t="s">
        <v>727</v>
      </c>
      <c r="B377" s="48"/>
      <c r="C377" s="2158"/>
      <c r="D377" s="1129"/>
      <c r="E377" s="1129"/>
      <c r="F377" s="1129"/>
      <c r="G377" s="2159"/>
      <c r="H377" s="592"/>
      <c r="I377" s="2158"/>
      <c r="J377" s="1129"/>
      <c r="K377" s="1129"/>
      <c r="L377" s="1129"/>
      <c r="M377" s="2159"/>
      <c r="N377" s="592"/>
      <c r="O377" s="2158"/>
      <c r="P377" s="1129"/>
      <c r="Q377" s="1129"/>
      <c r="R377" s="1129"/>
      <c r="S377" s="2159"/>
      <c r="T377" s="591"/>
      <c r="U377" s="2158"/>
      <c r="V377" s="1129"/>
      <c r="W377" s="1129"/>
      <c r="X377" s="1129"/>
      <c r="Y377" s="2159"/>
      <c r="Z377" s="593"/>
      <c r="AA377" s="2158"/>
      <c r="AB377" s="1129"/>
      <c r="AC377" s="1129"/>
      <c r="AD377" s="1129"/>
      <c r="AE377" s="2159"/>
      <c r="AF377" s="592"/>
      <c r="AG377" s="2161"/>
      <c r="AH377" s="654"/>
      <c r="AI377" s="654"/>
      <c r="AJ377" s="654"/>
      <c r="AK377" s="2162"/>
      <c r="AL377" s="601"/>
      <c r="AM377" s="2161"/>
      <c r="AN377" s="654"/>
      <c r="AO377" s="654"/>
      <c r="AP377" s="654"/>
      <c r="AQ377" s="2162"/>
      <c r="AR377" s="48"/>
      <c r="AS377" s="2161"/>
      <c r="AT377" s="654"/>
      <c r="AU377" s="654"/>
      <c r="AV377" s="654"/>
      <c r="AW377" s="2162"/>
      <c r="AX377" s="48"/>
      <c r="AY377" s="2161"/>
      <c r="AZ377" s="654"/>
      <c r="BA377" s="654"/>
      <c r="BB377" s="654"/>
      <c r="BC377" s="2162"/>
      <c r="BD377" s="48"/>
      <c r="BE377" s="2161"/>
      <c r="BF377" s="654"/>
      <c r="BG377" s="654"/>
      <c r="BH377" s="654"/>
      <c r="BI377" s="2162"/>
      <c r="BJ377" s="48"/>
      <c r="BK377" s="2161"/>
      <c r="BL377" s="654"/>
      <c r="BM377" s="654"/>
      <c r="BN377" s="654"/>
      <c r="BO377" s="2162"/>
      <c r="BP377" s="48"/>
      <c r="BQ377" s="2161"/>
      <c r="BR377" s="654"/>
      <c r="BS377" s="654"/>
      <c r="BT377" s="654"/>
      <c r="BU377" s="2162"/>
      <c r="BV377" s="48"/>
      <c r="BW377" s="2161"/>
      <c r="BX377" s="654"/>
      <c r="BY377" s="654"/>
      <c r="BZ377" s="654"/>
      <c r="CA377" s="2162"/>
      <c r="CB377" s="48"/>
      <c r="CC377" s="2161"/>
      <c r="CD377" s="654"/>
      <c r="CE377" s="654"/>
      <c r="CF377" s="654"/>
      <c r="CG377" s="2162"/>
      <c r="CH377" s="48"/>
      <c r="CI377" s="656">
        <f>+(CI$68+CI$67)</f>
        <v>0</v>
      </c>
      <c r="CJ377" s="654">
        <f t="shared" ref="CJ377:CM377" si="66">+(CJ$68+CJ$67)</f>
        <v>0</v>
      </c>
      <c r="CK377" s="654">
        <f t="shared" si="66"/>
        <v>1.9500000000000002</v>
      </c>
      <c r="CL377" s="654">
        <f t="shared" si="66"/>
        <v>3.5249999999999999</v>
      </c>
      <c r="CM377" s="2162">
        <f t="shared" si="66"/>
        <v>5.4749999999999996</v>
      </c>
      <c r="CN377" s="48"/>
      <c r="CO377" s="656">
        <f t="shared" ref="CO377:CY377" si="67">+(CO$68+CO$67)</f>
        <v>3.5049999999999999</v>
      </c>
      <c r="CP377" s="654">
        <f t="shared" si="67"/>
        <v>6.9050000000000002</v>
      </c>
      <c r="CQ377" s="654">
        <f t="shared" si="67"/>
        <v>8.3049999999999997</v>
      </c>
      <c r="CR377" s="654">
        <f t="shared" si="67"/>
        <v>9.7049999999999983</v>
      </c>
      <c r="CS377" s="2162">
        <f t="shared" si="67"/>
        <v>28.419999999999998</v>
      </c>
      <c r="CT377" s="48"/>
      <c r="CU377" s="656">
        <f t="shared" ref="CU377" si="68">+(CU$68+CU$67)</f>
        <v>11.845000000000001</v>
      </c>
      <c r="CV377" s="654">
        <f t="shared" si="67"/>
        <v>13.645000000000001</v>
      </c>
      <c r="CW377" s="654">
        <f t="shared" si="67"/>
        <v>15.445</v>
      </c>
      <c r="CX377" s="654">
        <f t="shared" si="67"/>
        <v>17.245000000000001</v>
      </c>
      <c r="CY377" s="2162">
        <f t="shared" si="67"/>
        <v>58.18</v>
      </c>
      <c r="CZ377" s="48"/>
      <c r="DD377" s="48"/>
      <c r="DE377" s="48"/>
      <c r="DF377" s="48"/>
      <c r="DG377" s="48"/>
      <c r="DH377" s="48"/>
      <c r="DI377" s="48"/>
      <c r="DJ377" s="48"/>
      <c r="DK377" s="48"/>
    </row>
    <row r="378" spans="1:115" outlineLevel="1" x14ac:dyDescent="0.2">
      <c r="A378" s="205" t="s">
        <v>498</v>
      </c>
      <c r="B378" s="48"/>
      <c r="C378" s="1128"/>
      <c r="D378" s="1129"/>
      <c r="E378" s="1129"/>
      <c r="F378" s="1129"/>
      <c r="G378" s="1463"/>
      <c r="H378" s="592"/>
      <c r="I378" s="1128"/>
      <c r="J378" s="1129"/>
      <c r="K378" s="1129"/>
      <c r="L378" s="1129"/>
      <c r="M378" s="1463"/>
      <c r="N378" s="592"/>
      <c r="O378" s="1128"/>
      <c r="P378" s="1129"/>
      <c r="Q378" s="1129"/>
      <c r="R378" s="1129"/>
      <c r="S378" s="1463"/>
      <c r="T378" s="591"/>
      <c r="U378" s="1128"/>
      <c r="V378" s="1129"/>
      <c r="W378" s="1129"/>
      <c r="X378" s="1129"/>
      <c r="Y378" s="1463"/>
      <c r="Z378" s="593"/>
      <c r="AA378" s="1128"/>
      <c r="AB378" s="1129"/>
      <c r="AC378" s="1129"/>
      <c r="AD378" s="1129"/>
      <c r="AE378" s="1463"/>
      <c r="AF378" s="592"/>
      <c r="AG378" s="656">
        <f>+(AG$92+AG$91)</f>
        <v>0</v>
      </c>
      <c r="AH378" s="654">
        <f>+(AH$92+AH$91)</f>
        <v>0</v>
      </c>
      <c r="AI378" s="654">
        <f>+(AI$92+AI$91)</f>
        <v>0</v>
      </c>
      <c r="AJ378" s="654">
        <f>+(AJ$92+AJ$91)</f>
        <v>0</v>
      </c>
      <c r="AK378" s="655">
        <f>+SUM(AG378:AJ378)</f>
        <v>0</v>
      </c>
      <c r="AL378" s="601"/>
      <c r="AM378" s="656">
        <f>+(AM$92+AM$91)</f>
        <v>0</v>
      </c>
      <c r="AN378" s="654">
        <f>+(AN$92+AN$91)</f>
        <v>0</v>
      </c>
      <c r="AO378" s="654">
        <f>+(AO$92+AO$91)</f>
        <v>0</v>
      </c>
      <c r="AP378" s="654">
        <f>+(AP$92+AP$91)</f>
        <v>0</v>
      </c>
      <c r="AQ378" s="655">
        <f>+SUM(AM378:AP378)</f>
        <v>0</v>
      </c>
      <c r="AR378" s="48"/>
      <c r="AS378" s="656">
        <f>+(AS$92+AS$91)</f>
        <v>0</v>
      </c>
      <c r="AT378" s="654">
        <f>+(AT$92+AT$91)</f>
        <v>0</v>
      </c>
      <c r="AU378" s="654">
        <f>+(AU$92+AU$91)</f>
        <v>13.5</v>
      </c>
      <c r="AV378" s="654">
        <f>+(AV$92+AV$91)</f>
        <v>14</v>
      </c>
      <c r="AW378" s="655">
        <f>+SUM(AS378:AV378)</f>
        <v>27.5</v>
      </c>
      <c r="AX378" s="48"/>
      <c r="AY378" s="656">
        <f>+(AY$92+AY$91)</f>
        <v>15</v>
      </c>
      <c r="AZ378" s="654">
        <f>+(AZ$92+AZ$91)</f>
        <v>17</v>
      </c>
      <c r="BA378" s="654">
        <f>+(BA$92+BA$91)</f>
        <v>16.166405499211628</v>
      </c>
      <c r="BB378" s="654">
        <f>+(BB$92+BB$91)</f>
        <v>18.125427533608853</v>
      </c>
      <c r="BC378" s="655">
        <f>+SUM(AY378:BB378)</f>
        <v>66.291833032820477</v>
      </c>
      <c r="BD378" s="48"/>
      <c r="BE378" s="656">
        <f>+(BE$92+BE$91)</f>
        <v>19.509193940295301</v>
      </c>
      <c r="BF378" s="654">
        <f>+(BF$92+BF$91)</f>
        <v>22.621423512893877</v>
      </c>
      <c r="BG378" s="654">
        <f>+(BG$92+BG$91)</f>
        <v>21.838770177140368</v>
      </c>
      <c r="BH378" s="654">
        <f>+(BH$92+BH$91)</f>
        <v>23.857846142438792</v>
      </c>
      <c r="BI378" s="655">
        <f>+SUM(BE378:BH378)</f>
        <v>87.827233772768338</v>
      </c>
      <c r="BJ378" s="48"/>
      <c r="BK378" s="656">
        <f>+(BK$92+BK$91)</f>
        <v>25.02</v>
      </c>
      <c r="BL378" s="654">
        <f>+(BL$92+BL$91)</f>
        <v>25.02</v>
      </c>
      <c r="BM378" s="654">
        <f>+(BM$92+BM$91)</f>
        <v>25.56</v>
      </c>
      <c r="BN378" s="654">
        <f>+(BN$92+BN$91)</f>
        <v>25.56</v>
      </c>
      <c r="BO378" s="655">
        <f>+SUM(BK378:BN378)</f>
        <v>101.16</v>
      </c>
      <c r="BP378" s="48"/>
      <c r="BQ378" s="656">
        <f>+(BQ$92+BQ$91)</f>
        <v>26.532150976926204</v>
      </c>
      <c r="BR378" s="654">
        <f>+(BR$92+BR$91)</f>
        <v>26.364479649314543</v>
      </c>
      <c r="BS378" s="654">
        <f>+(BS$92+BS$91)</f>
        <v>30.336300000000001</v>
      </c>
      <c r="BT378" s="654">
        <f>+(BT$92+BT$91)</f>
        <v>29.628719999999998</v>
      </c>
      <c r="BU378" s="655">
        <f>+SUM(BQ378:BT378)</f>
        <v>112.86165062624075</v>
      </c>
      <c r="BV378" s="48"/>
      <c r="BW378" s="656">
        <f>+(BW$92+BW$91)</f>
        <v>31.186951647344753</v>
      </c>
      <c r="BX378" s="654">
        <f>+(BX$92+BX$91)</f>
        <v>33.266618568946612</v>
      </c>
      <c r="BY378" s="654">
        <f>+(BY$92+BY$91)</f>
        <v>39.841285394109576</v>
      </c>
      <c r="BZ378" s="654">
        <f>+(BZ$92+BZ$91)</f>
        <v>38.474268899886155</v>
      </c>
      <c r="CA378" s="655">
        <f>+SUM(BW378:BZ378)</f>
        <v>142.7691245102871</v>
      </c>
      <c r="CB378" s="48"/>
      <c r="CC378" s="656">
        <f>+(CC$92+CC$91)</f>
        <v>35.216579542126667</v>
      </c>
      <c r="CD378" s="654">
        <f>+(CD$92+CD$91)</f>
        <v>43.927727590430962</v>
      </c>
      <c r="CE378" s="654">
        <f>+(CE$92+CE$91)</f>
        <v>50.61887603082009</v>
      </c>
      <c r="CF378" s="654">
        <f>+(CF$92+CF$91)</f>
        <v>47.736356786767814</v>
      </c>
      <c r="CG378" s="655">
        <f>+SUM(CC378:CF378)</f>
        <v>177.49953995014556</v>
      </c>
      <c r="CH378" s="48"/>
      <c r="CI378" s="656">
        <f>+(CI$92+CI$91)</f>
        <v>43.316392836815794</v>
      </c>
      <c r="CJ378" s="654">
        <f>+(CJ$92+CJ$91)</f>
        <v>55.381882559635834</v>
      </c>
      <c r="CK378" s="654">
        <f>+(CK$92+CK$91)</f>
        <v>65.865814321577091</v>
      </c>
      <c r="CL378" s="654">
        <f>+(CL$92+CL$91)</f>
        <v>55.392187592192855</v>
      </c>
      <c r="CM378" s="655">
        <f>+SUM(CI378:CL378)</f>
        <v>219.95627731022159</v>
      </c>
      <c r="CN378" s="48"/>
      <c r="CO378" s="656">
        <f>+(CO$92+CO$91)</f>
        <v>64.974589255223691</v>
      </c>
      <c r="CP378" s="654">
        <f>+(CP$92+CP$91)</f>
        <v>66.458259071562992</v>
      </c>
      <c r="CQ378" s="654">
        <f>+(CQ$92+CQ$91)</f>
        <v>65.865814321577091</v>
      </c>
      <c r="CR378" s="654">
        <f>+(CR$92+CR$91)</f>
        <v>66.470625110631431</v>
      </c>
      <c r="CS378" s="655">
        <f>+SUM(CO378:CR378)</f>
        <v>263.76928775899523</v>
      </c>
      <c r="CT378" s="48"/>
      <c r="CU378" s="656">
        <f>+(CU$92+CU$91)</f>
        <v>75.370523536059466</v>
      </c>
      <c r="CV378" s="654">
        <f>+(CV$92+CV$91)</f>
        <v>77.091580523013064</v>
      </c>
      <c r="CW378" s="654">
        <f>+(CW$92+CW$91)</f>
        <v>76.404344613029423</v>
      </c>
      <c r="CX378" s="654">
        <f>+(CX$92+CX$91)</f>
        <v>77.105925128332444</v>
      </c>
      <c r="CY378" s="655">
        <f>+SUM(CU378:CX378)</f>
        <v>305.97237380043441</v>
      </c>
      <c r="CZ378" s="48"/>
      <c r="DD378" s="48"/>
      <c r="DE378" s="48"/>
      <c r="DF378" s="48"/>
      <c r="DG378" s="48"/>
      <c r="DH378" s="48"/>
      <c r="DI378" s="48"/>
      <c r="DJ378" s="48"/>
      <c r="DK378" s="48"/>
    </row>
    <row r="379" spans="1:115" outlineLevel="1" x14ac:dyDescent="0.2">
      <c r="A379" s="205" t="s">
        <v>621</v>
      </c>
      <c r="B379" s="48"/>
      <c r="C379" s="1128"/>
      <c r="D379" s="1129"/>
      <c r="E379" s="1129"/>
      <c r="F379" s="1129"/>
      <c r="G379" s="1463"/>
      <c r="H379" s="592"/>
      <c r="I379" s="1128"/>
      <c r="J379" s="1129"/>
      <c r="K379" s="1129"/>
      <c r="L379" s="1129"/>
      <c r="M379" s="1463"/>
      <c r="N379" s="592"/>
      <c r="O379" s="1128"/>
      <c r="P379" s="1129"/>
      <c r="Q379" s="1129"/>
      <c r="R379" s="1129"/>
      <c r="S379" s="1463"/>
      <c r="T379" s="591"/>
      <c r="U379" s="1128"/>
      <c r="V379" s="1129"/>
      <c r="W379" s="1129"/>
      <c r="X379" s="1129"/>
      <c r="Y379" s="1463"/>
      <c r="Z379" s="593"/>
      <c r="AA379" s="1128"/>
      <c r="AB379" s="1129"/>
      <c r="AC379" s="1129"/>
      <c r="AD379" s="1129"/>
      <c r="AE379" s="1463"/>
      <c r="AF379" s="592"/>
      <c r="AG379" s="656">
        <f>+AG115</f>
        <v>0</v>
      </c>
      <c r="AH379" s="654">
        <f>+AH115</f>
        <v>0</v>
      </c>
      <c r="AI379" s="654">
        <f>+AI115</f>
        <v>0</v>
      </c>
      <c r="AJ379" s="654">
        <f>+AJ115</f>
        <v>2.5</v>
      </c>
      <c r="AK379" s="655">
        <f>+AK115</f>
        <v>2.5</v>
      </c>
      <c r="AL379" s="601"/>
      <c r="AM379" s="656">
        <f>+AM115</f>
        <v>4.95</v>
      </c>
      <c r="AN379" s="654">
        <f>+AN115</f>
        <v>4.8000000000000007</v>
      </c>
      <c r="AO379" s="654">
        <f>+AO115</f>
        <v>5.48</v>
      </c>
      <c r="AP379" s="654">
        <f>+AP115</f>
        <v>5.7206400000000013</v>
      </c>
      <c r="AQ379" s="655">
        <f>+AQ115</f>
        <v>20.95064</v>
      </c>
      <c r="AR379" s="48"/>
      <c r="AS379" s="656">
        <f>+AS115</f>
        <v>5.9499999999999993</v>
      </c>
      <c r="AT379" s="654">
        <f>+AT115</f>
        <v>6.3</v>
      </c>
      <c r="AU379" s="654">
        <f>+AU115</f>
        <v>6.6499999999999995</v>
      </c>
      <c r="AV379" s="654">
        <f>+AV115</f>
        <v>7.35</v>
      </c>
      <c r="AW379" s="655">
        <f>+AW115</f>
        <v>26.25</v>
      </c>
      <c r="AX379" s="48"/>
      <c r="AY379" s="656">
        <f>+AY115</f>
        <v>7.293000000000001</v>
      </c>
      <c r="AZ379" s="654">
        <f>+AZ115</f>
        <v>8.0190000000000001</v>
      </c>
      <c r="BA379" s="654">
        <f>+BA115</f>
        <v>8.464500000000001</v>
      </c>
      <c r="BB379" s="654">
        <f>+BB115</f>
        <v>9.355500000000001</v>
      </c>
      <c r="BC379" s="655">
        <f>+BC115</f>
        <v>33.132000000000005</v>
      </c>
      <c r="BD379" s="48"/>
      <c r="BE379" s="656">
        <f>+BE115</f>
        <v>7.8897000000000013</v>
      </c>
      <c r="BF379" s="654">
        <f>+BF115</f>
        <v>7.1502750000000006</v>
      </c>
      <c r="BG379" s="654">
        <f>+BG115</f>
        <v>8.3106000000000009</v>
      </c>
      <c r="BH379" s="654">
        <f>+BH115</f>
        <v>7.5127500000000005</v>
      </c>
      <c r="BI379" s="655">
        <f>+BI115</f>
        <v>30.863325000000003</v>
      </c>
      <c r="BJ379" s="48"/>
      <c r="BK379" s="656">
        <f>+BK115</f>
        <v>7.8873795000000007</v>
      </c>
      <c r="BL379" s="654">
        <f>+BL115</f>
        <v>8.8377399000000008</v>
      </c>
      <c r="BM379" s="654">
        <f>+BM115</f>
        <v>10.762227000000003</v>
      </c>
      <c r="BN379" s="654">
        <f>+BN115</f>
        <v>11.106849600000002</v>
      </c>
      <c r="BO379" s="655">
        <f>+BO115</f>
        <v>38.594196000000004</v>
      </c>
      <c r="BP379" s="48"/>
      <c r="BQ379" s="656">
        <f>+BQ115</f>
        <v>6.1620565820247473</v>
      </c>
      <c r="BR379" s="654">
        <f>+BR115</f>
        <v>7.3833423961765678</v>
      </c>
      <c r="BS379" s="654">
        <f>+BS115</f>
        <v>11.149667172000003</v>
      </c>
      <c r="BT379" s="654">
        <f>+BT115</f>
        <v>10.629255067200001</v>
      </c>
      <c r="BU379" s="655">
        <f>+BU115</f>
        <v>35.324321217401319</v>
      </c>
      <c r="BV379" s="48"/>
      <c r="BW379" s="656">
        <f>+BW115</f>
        <v>6.0993784195097804</v>
      </c>
      <c r="BX379" s="654">
        <f>+BX115</f>
        <v>6.1637404066458172</v>
      </c>
      <c r="BY379" s="654">
        <f>+BY115</f>
        <v>11.057024670728554</v>
      </c>
      <c r="BZ379" s="654">
        <f>+BZ115</f>
        <v>10.572845290308218</v>
      </c>
      <c r="CA379" s="655">
        <f>+CA115</f>
        <v>33.892988787192365</v>
      </c>
      <c r="CB379" s="48"/>
      <c r="CC379" s="656">
        <f>+CC115</f>
        <v>6.4547877827905289</v>
      </c>
      <c r="CD379" s="654">
        <f>+CD115</f>
        <v>6.517754666962384</v>
      </c>
      <c r="CE379" s="654">
        <f>+CE115</f>
        <v>12.007110660405809</v>
      </c>
      <c r="CF379" s="654">
        <f>+CF115</f>
        <v>11.666961623949126</v>
      </c>
      <c r="CG379" s="655">
        <f>+CG115</f>
        <v>36.64661473410785</v>
      </c>
      <c r="CH379" s="48"/>
      <c r="CI379" s="656">
        <f>+CI115</f>
        <v>7.4230059502091077</v>
      </c>
      <c r="CJ379" s="654">
        <f>+CJ115</f>
        <v>7.4628290936719299</v>
      </c>
      <c r="CK379" s="654">
        <f>+CK115</f>
        <v>13.507999492956536</v>
      </c>
      <c r="CL379" s="654">
        <f>+CL115</f>
        <v>13.066997018823022</v>
      </c>
      <c r="CM379" s="655">
        <f>+CM115</f>
        <v>41.460831555660597</v>
      </c>
      <c r="CN379" s="48"/>
      <c r="CO379" s="656">
        <f>+CO115</f>
        <v>7.7941562477195632</v>
      </c>
      <c r="CP379" s="654">
        <f>+CP115</f>
        <v>7.8359705483555269</v>
      </c>
      <c r="CQ379" s="654">
        <f>+CQ115</f>
        <v>14.183399467604364</v>
      </c>
      <c r="CR379" s="654">
        <f>+CR115</f>
        <v>13.720346869764173</v>
      </c>
      <c r="CS379" s="655">
        <f>+CS115</f>
        <v>43.533873133443628</v>
      </c>
      <c r="CT379" s="48"/>
      <c r="CU379" s="656">
        <f>+CU115</f>
        <v>8.1838640601055417</v>
      </c>
      <c r="CV379" s="654">
        <f>+CV115</f>
        <v>8.2277690757733044</v>
      </c>
      <c r="CW379" s="654">
        <f>+CW115</f>
        <v>14.892569440984582</v>
      </c>
      <c r="CX379" s="654">
        <f>+CX115</f>
        <v>14.406364213252383</v>
      </c>
      <c r="CY379" s="655">
        <f>+CY115</f>
        <v>45.710566790115806</v>
      </c>
      <c r="CZ379" s="48"/>
      <c r="DD379" s="48"/>
      <c r="DE379" s="48"/>
      <c r="DF379" s="48"/>
      <c r="DG379" s="48"/>
      <c r="DH379" s="48"/>
      <c r="DI379" s="48"/>
      <c r="DJ379" s="48"/>
      <c r="DK379" s="48"/>
    </row>
    <row r="380" spans="1:115" outlineLevel="1" x14ac:dyDescent="0.2">
      <c r="A380" s="205" t="s">
        <v>500</v>
      </c>
      <c r="B380" s="48"/>
      <c r="C380" s="1128"/>
      <c r="D380" s="1129"/>
      <c r="E380" s="1129"/>
      <c r="F380" s="1129"/>
      <c r="G380" s="1463"/>
      <c r="H380" s="592"/>
      <c r="I380" s="1128"/>
      <c r="J380" s="1129"/>
      <c r="K380" s="1129"/>
      <c r="L380" s="1129"/>
      <c r="M380" s="1463"/>
      <c r="N380" s="592"/>
      <c r="O380" s="1128"/>
      <c r="P380" s="1129"/>
      <c r="Q380" s="1129"/>
      <c r="R380" s="1129"/>
      <c r="S380" s="1463"/>
      <c r="T380" s="591"/>
      <c r="U380" s="1128"/>
      <c r="V380" s="1129"/>
      <c r="W380" s="1129"/>
      <c r="X380" s="1129"/>
      <c r="Y380" s="1463"/>
      <c r="Z380" s="593"/>
      <c r="AA380" s="1128"/>
      <c r="AB380" s="1129"/>
      <c r="AC380" s="1129"/>
      <c r="AD380" s="1129"/>
      <c r="AE380" s="1463"/>
      <c r="AF380" s="592"/>
      <c r="AG380" s="656">
        <f>+(AG$206+AG$205)</f>
        <v>1.109375</v>
      </c>
      <c r="AH380" s="654">
        <f>+(AH$206+AH$205)</f>
        <v>1.203125</v>
      </c>
      <c r="AI380" s="654">
        <f>+(AI$206+AI$205)</f>
        <v>1.296875</v>
      </c>
      <c r="AJ380" s="654">
        <f>+(AJ$206+AJ$205)</f>
        <v>1.390625</v>
      </c>
      <c r="AK380" s="655">
        <f>+SUM(AG380:AJ380)</f>
        <v>5</v>
      </c>
      <c r="AL380" s="601"/>
      <c r="AM380" s="656">
        <f>+(AM$206+AM$205)</f>
        <v>2.6593749999999998</v>
      </c>
      <c r="AN380" s="654">
        <f>+(AN$206+AN$205)</f>
        <v>3.4634374999999999</v>
      </c>
      <c r="AO380" s="654">
        <f>+(AO$206+AO$205)</f>
        <v>4.1981250000000001</v>
      </c>
      <c r="AP380" s="654">
        <f>+(AP$206+AP$205)</f>
        <v>5.1180937499999999</v>
      </c>
      <c r="AQ380" s="655">
        <f>+SUM(AM380:AP380)</f>
        <v>15.439031249999999</v>
      </c>
      <c r="AR380" s="48"/>
      <c r="AS380" s="656">
        <f>+(AS$206+AS$205)</f>
        <v>4.1328794998562595</v>
      </c>
      <c r="AT380" s="654">
        <f>+(AT$206+AT$205)</f>
        <v>4.5482864246263981</v>
      </c>
      <c r="AU380" s="654">
        <f>+(AU$206+AU$205)</f>
        <v>5.4609205912912815</v>
      </c>
      <c r="AV380" s="654">
        <f>+(AV$206+AV$205)</f>
        <v>5.3206183483821441</v>
      </c>
      <c r="AW380" s="655">
        <f>+SUM(AS380:AV380)</f>
        <v>19.462704864156084</v>
      </c>
      <c r="AX380" s="48"/>
      <c r="AY380" s="656">
        <f>+(AY$206+AY$205)</f>
        <v>8.4993476124966865</v>
      </c>
      <c r="AZ380" s="654">
        <f>+(AZ$206+AZ$205)</f>
        <v>9.2088711765871096</v>
      </c>
      <c r="BA380" s="654">
        <f>+(BA$206+BA$205)</f>
        <v>10.09819140103534</v>
      </c>
      <c r="BB380" s="654">
        <f>+(BB$206+BB$205)</f>
        <v>11.08027015599904</v>
      </c>
      <c r="BC380" s="655">
        <f>+SUM(AY380:BB380)</f>
        <v>38.886680346118176</v>
      </c>
      <c r="BD380" s="48"/>
      <c r="BE380" s="656">
        <f>+(BE$206+BE$205)</f>
        <v>13.090417842794373</v>
      </c>
      <c r="BF380" s="654">
        <f>+(BF$206+BF$205)</f>
        <v>14.068319605205978</v>
      </c>
      <c r="BG380" s="654">
        <f>+(BG$206+BG$205)</f>
        <v>15.24705357243713</v>
      </c>
      <c r="BH380" s="654">
        <f>+(BH$206+BH$205)</f>
        <v>16.5749289580639</v>
      </c>
      <c r="BI380" s="655">
        <f>+SUM(BE380:BH380)</f>
        <v>58.980719978501384</v>
      </c>
      <c r="BJ380" s="48"/>
      <c r="BK380" s="656">
        <f>+(BK$206+BK$205)</f>
        <v>16.726447254792237</v>
      </c>
      <c r="BL380" s="654">
        <f>+(BL$206+BL$205)</f>
        <v>18.014933635510296</v>
      </c>
      <c r="BM380" s="654">
        <f>+(BM$206+BM$205)</f>
        <v>19.219717113623695</v>
      </c>
      <c r="BN380" s="654">
        <f>+(BN$206+BN$205)</f>
        <v>20.221986387196321</v>
      </c>
      <c r="BO380" s="655">
        <f>+SUM(BK380:BN380)</f>
        <v>74.183084391122549</v>
      </c>
      <c r="BP380" s="48"/>
      <c r="BQ380" s="656">
        <f>+(BQ$206+BQ$205)</f>
        <v>20.075074048341762</v>
      </c>
      <c r="BR380" s="654">
        <f>+(BR$206+BR$205)</f>
        <v>21.243697013707063</v>
      </c>
      <c r="BS380" s="654">
        <f>+(BS$206+BS$205)</f>
        <v>21.775556976919162</v>
      </c>
      <c r="BT380" s="654">
        <f>+(BT$206+BT$205)</f>
        <v>23.627061766273112</v>
      </c>
      <c r="BU380" s="655">
        <f>+SUM(BQ380:BT380)</f>
        <v>86.721389805241103</v>
      </c>
      <c r="BV380" s="48"/>
      <c r="BW380" s="656">
        <f>+(BW$206+BW$205)</f>
        <v>24.069083973195372</v>
      </c>
      <c r="BX380" s="654">
        <f>+(BX$206+BX$205)</f>
        <v>25.9623578840317</v>
      </c>
      <c r="BY380" s="654">
        <f>+(BY$206+BY$205)</f>
        <v>26.943086016566514</v>
      </c>
      <c r="BZ380" s="654">
        <f>+(BZ$206+BZ$205)</f>
        <v>28.588054038566622</v>
      </c>
      <c r="CA380" s="655">
        <f>+SUM(BW380:BZ380)</f>
        <v>105.56258191236022</v>
      </c>
      <c r="CB380" s="48"/>
      <c r="CC380" s="656">
        <f>+(CC$206+CC$205)</f>
        <v>29.354728382557973</v>
      </c>
      <c r="CD380" s="654">
        <f>+(CD$206+CD$205)</f>
        <v>31.950143923330341</v>
      </c>
      <c r="CE380" s="654">
        <f>+(CE$206+CE$205)</f>
        <v>33.924984875024911</v>
      </c>
      <c r="CF380" s="654">
        <f>+(CF$206+CF$205)</f>
        <v>36.545712728634534</v>
      </c>
      <c r="CG380" s="655">
        <f>+SUM(CC380:CF380)</f>
        <v>131.77556990954776</v>
      </c>
      <c r="CH380" s="48"/>
      <c r="CI380" s="656">
        <f>+(CI$206+CI$205)</f>
        <v>37.238003720512125</v>
      </c>
      <c r="CJ380" s="654">
        <f>+(CJ$206+CJ$205)</f>
        <v>40.045794765506287</v>
      </c>
      <c r="CK380" s="654">
        <f>+(CK$206+CK$205)</f>
        <v>41.511337677591456</v>
      </c>
      <c r="CL380" s="654">
        <f>+(CL$206+CL$205)</f>
        <v>44.088101783213752</v>
      </c>
      <c r="CM380" s="655">
        <f>+SUM(CI380:CL380)</f>
        <v>162.88323794682361</v>
      </c>
      <c r="CN380" s="48"/>
      <c r="CO380" s="656">
        <f>+(CO$206+CO$205)</f>
        <v>43.848247544362302</v>
      </c>
      <c r="CP380" s="654">
        <f>+(CP$206+CP$205)</f>
        <v>46.908838888896923</v>
      </c>
      <c r="CQ380" s="654">
        <f>+(CQ$206+CQ$205)</f>
        <v>48.334589142615322</v>
      </c>
      <c r="CR380" s="654">
        <f>+(CR$206+CR$205)</f>
        <v>51.05386252116616</v>
      </c>
      <c r="CS380" s="655">
        <f>+SUM(CO380:CR380)</f>
        <v>190.14553809704071</v>
      </c>
      <c r="CT380" s="48"/>
      <c r="CU380" s="656">
        <f>+(CU$206+CU$205)</f>
        <v>50.666942710198185</v>
      </c>
      <c r="CV380" s="654">
        <f>+(CV$206+CV$205)</f>
        <v>54.046158528581579</v>
      </c>
      <c r="CW380" s="654">
        <f>+(CW$206+CW$205)</f>
        <v>55.498197336189257</v>
      </c>
      <c r="CX380" s="654">
        <f>+(CX$206+CX$205)</f>
        <v>58.436404729469146</v>
      </c>
      <c r="CY380" s="655">
        <f>+SUM(CU380:CX380)</f>
        <v>218.64770330443815</v>
      </c>
      <c r="CZ380" s="48"/>
      <c r="DD380" s="48"/>
      <c r="DE380" s="48"/>
      <c r="DF380" s="48"/>
      <c r="DG380" s="48"/>
      <c r="DH380" s="48"/>
      <c r="DI380" s="48"/>
      <c r="DJ380" s="48"/>
      <c r="DK380" s="48"/>
    </row>
    <row r="381" spans="1:115" outlineLevel="1" x14ac:dyDescent="0.2">
      <c r="A381" s="205" t="s">
        <v>501</v>
      </c>
      <c r="B381" s="48"/>
      <c r="C381" s="1128"/>
      <c r="D381" s="1129"/>
      <c r="E381" s="1129"/>
      <c r="F381" s="1129"/>
      <c r="G381" s="1463"/>
      <c r="H381" s="592"/>
      <c r="I381" s="1128"/>
      <c r="J381" s="1129"/>
      <c r="K381" s="1129"/>
      <c r="L381" s="1129"/>
      <c r="M381" s="1463"/>
      <c r="N381" s="592"/>
      <c r="O381" s="1128"/>
      <c r="P381" s="1129"/>
      <c r="Q381" s="1129"/>
      <c r="R381" s="1129"/>
      <c r="S381" s="1463"/>
      <c r="T381" s="591"/>
      <c r="U381" s="1128"/>
      <c r="V381" s="1129"/>
      <c r="W381" s="1129"/>
      <c r="X381" s="1129"/>
      <c r="Y381" s="1463"/>
      <c r="Z381" s="593"/>
      <c r="AA381" s="1128"/>
      <c r="AB381" s="1129"/>
      <c r="AC381" s="1129"/>
      <c r="AD381" s="1129"/>
      <c r="AE381" s="1463"/>
      <c r="AF381" s="592"/>
      <c r="AG381" s="656">
        <f>+(AG$157+AG$156)</f>
        <v>0</v>
      </c>
      <c r="AH381" s="654">
        <f>+(AH$157+AH$156)</f>
        <v>0</v>
      </c>
      <c r="AI381" s="654">
        <f>+(AI$157+AI$156)</f>
        <v>0</v>
      </c>
      <c r="AJ381" s="654">
        <f>+(AJ$157+AJ$156)</f>
        <v>0</v>
      </c>
      <c r="AK381" s="655">
        <f>+SUM(AG381:AJ381)</f>
        <v>0</v>
      </c>
      <c r="AL381" s="601"/>
      <c r="AM381" s="656">
        <f>+(AM$157+AM$156)</f>
        <v>0</v>
      </c>
      <c r="AN381" s="654">
        <f>+(AN$157+AN$156)</f>
        <v>0</v>
      </c>
      <c r="AO381" s="654">
        <f>+(AO$157+AO$156)</f>
        <v>0</v>
      </c>
      <c r="AP381" s="654">
        <f>+(AP$157+AP$156)</f>
        <v>0</v>
      </c>
      <c r="AQ381" s="655">
        <f>+SUM(AM381:AP381)</f>
        <v>0</v>
      </c>
      <c r="AR381" s="48"/>
      <c r="AS381" s="656">
        <f>+(AS$157+AS$156)</f>
        <v>0</v>
      </c>
      <c r="AT381" s="654">
        <f>+(AT$157+AT$156)</f>
        <v>0</v>
      </c>
      <c r="AU381" s="654">
        <f>+(AU$157+AU$156)</f>
        <v>0</v>
      </c>
      <c r="AV381" s="654">
        <f>+(AV$157+AV$156)</f>
        <v>0</v>
      </c>
      <c r="AW381" s="655">
        <f>+SUM(AS381:AV381)</f>
        <v>0</v>
      </c>
      <c r="AX381" s="48"/>
      <c r="AY381" s="656">
        <f>+(AY$157+AY$156)</f>
        <v>3.5</v>
      </c>
      <c r="AZ381" s="654">
        <f>+(AZ$157+AZ$156)</f>
        <v>3.5</v>
      </c>
      <c r="BA381" s="654">
        <f>+(BA$157+BA$156)</f>
        <v>3.5</v>
      </c>
      <c r="BB381" s="654">
        <f>+(BB$157+BB$156)</f>
        <v>3.5</v>
      </c>
      <c r="BC381" s="655">
        <f>+SUM(AY381:BB381)</f>
        <v>14</v>
      </c>
      <c r="BD381" s="48"/>
      <c r="BE381" s="656">
        <f>+(BE$157+BE$156)</f>
        <v>3</v>
      </c>
      <c r="BF381" s="654">
        <f>+(BF$157+BF$156)</f>
        <v>3.7</v>
      </c>
      <c r="BG381" s="654">
        <f>+(BG$157+BG$156)</f>
        <v>10.25</v>
      </c>
      <c r="BH381" s="654">
        <f>+(BH$157+BH$156)</f>
        <v>11.5</v>
      </c>
      <c r="BI381" s="655">
        <f>+SUM(BE381:BH381)</f>
        <v>28.45</v>
      </c>
      <c r="BJ381" s="48"/>
      <c r="BK381" s="656">
        <f>+(BK$157+BK$156)</f>
        <v>9</v>
      </c>
      <c r="BL381" s="654">
        <f>+(BL$157+BL$156)</f>
        <v>8.4047974286689495</v>
      </c>
      <c r="BM381" s="654">
        <f>+(BM$157+BM$156)</f>
        <v>12.237906382987607</v>
      </c>
      <c r="BN381" s="654">
        <f>+(BN$157+BN$156)</f>
        <v>12.514732173145607</v>
      </c>
      <c r="BO381" s="655">
        <f>+SUM(BK381:BN381)</f>
        <v>42.157435984802163</v>
      </c>
      <c r="BP381" s="48"/>
      <c r="BQ381" s="656">
        <f>+(BQ$157+BQ$156)</f>
        <v>10.691297180289437</v>
      </c>
      <c r="BR381" s="654">
        <f>+(BR$157+BR$156)</f>
        <v>11.290470852376856</v>
      </c>
      <c r="BS381" s="654">
        <f>+(BS$157+BS$156)</f>
        <v>13.24632095234985</v>
      </c>
      <c r="BT381" s="654">
        <f>+(BT$157+BT$156)</f>
        <v>14.369545124329466</v>
      </c>
      <c r="BU381" s="655">
        <f>+SUM(BQ381:BT381)</f>
        <v>49.597634109345606</v>
      </c>
      <c r="BV381" s="48"/>
      <c r="BW381" s="656">
        <f>+(BW$157+BW$156)</f>
        <v>11.758591945910917</v>
      </c>
      <c r="BX381" s="654">
        <f>+(BX$157+BX$156)</f>
        <v>12.812619266713838</v>
      </c>
      <c r="BY381" s="654">
        <f>+(BY$157+BY$156)</f>
        <v>15.12320551332682</v>
      </c>
      <c r="BZ381" s="654">
        <f>+(BZ$157+BZ$156)</f>
        <v>16.520565009683899</v>
      </c>
      <c r="CA381" s="655">
        <f>+SUM(BW381:BZ381)</f>
        <v>56.214981735635469</v>
      </c>
      <c r="CB381" s="48"/>
      <c r="CC381" s="656">
        <f>+(CC$157+CC$156)</f>
        <v>16.619621561016796</v>
      </c>
      <c r="CD381" s="654">
        <f>+(CD$157+CD$156)</f>
        <v>18.829773627715017</v>
      </c>
      <c r="CE381" s="654">
        <f>+(CE$157+CE$156)</f>
        <v>21.935002741713429</v>
      </c>
      <c r="CF381" s="654">
        <f>+(CF$157+CF$156)</f>
        <v>23.882229428082113</v>
      </c>
      <c r="CG381" s="655">
        <f>+SUM(CC381:CF381)</f>
        <v>81.266627358527359</v>
      </c>
      <c r="CH381" s="48"/>
      <c r="CI381" s="656">
        <f>+(CI$157+CI$156)</f>
        <v>20.10974208883032</v>
      </c>
      <c r="CJ381" s="654">
        <f>+(CJ$157+CJ$156)</f>
        <v>22.689877221396596</v>
      </c>
      <c r="CK381" s="654">
        <f>+(CK$157+CK$156)</f>
        <v>25.992978248930413</v>
      </c>
      <c r="CL381" s="654">
        <f>+(CL$157+CL$156)</f>
        <v>28.181030725136893</v>
      </c>
      <c r="CM381" s="655">
        <f>+SUM(CI381:CL381)</f>
        <v>96.973628284294222</v>
      </c>
      <c r="CN381" s="48"/>
      <c r="CO381" s="656">
        <f>+(CO$157+CO$156)</f>
        <v>23.327300823043171</v>
      </c>
      <c r="CP381" s="654">
        <f>+(CP$157+CP$156)</f>
        <v>26.320257576820048</v>
      </c>
      <c r="CQ381" s="654">
        <f>+(CQ$157+CQ$156)</f>
        <v>30.151854768759282</v>
      </c>
      <c r="CR381" s="654">
        <f>+(CR$157+CR$156)</f>
        <v>32.689995641158795</v>
      </c>
      <c r="CS381" s="655">
        <f>+SUM(CO381:CR381)</f>
        <v>112.48940880978128</v>
      </c>
      <c r="CT381" s="48"/>
      <c r="CU381" s="656">
        <f>+(CU$157+CU$156)</f>
        <v>27.059668954730075</v>
      </c>
      <c r="CV381" s="654">
        <f>+(CV$157+CV$156)</f>
        <v>30.531498789111257</v>
      </c>
      <c r="CW381" s="654">
        <f>+(CW$157+CW$156)</f>
        <v>34.976151531760763</v>
      </c>
      <c r="CX381" s="654">
        <f>+(CX$157+CX$156)</f>
        <v>37.920394943744199</v>
      </c>
      <c r="CY381" s="655">
        <f>+SUM(CU381:CX381)</f>
        <v>130.48771421934629</v>
      </c>
      <c r="CZ381" s="48"/>
      <c r="DD381" s="48"/>
      <c r="DE381" s="48"/>
      <c r="DF381" s="48"/>
      <c r="DG381" s="48"/>
      <c r="DH381" s="48"/>
      <c r="DI381" s="48"/>
      <c r="DJ381" s="48"/>
      <c r="DK381" s="48"/>
    </row>
    <row r="382" spans="1:115" outlineLevel="1" x14ac:dyDescent="0.2">
      <c r="A382" s="205" t="s">
        <v>502</v>
      </c>
      <c r="B382" s="48"/>
      <c r="C382" s="1128"/>
      <c r="D382" s="1129"/>
      <c r="E382" s="1129"/>
      <c r="F382" s="1129"/>
      <c r="G382" s="1463"/>
      <c r="H382" s="592"/>
      <c r="I382" s="1128"/>
      <c r="J382" s="1129"/>
      <c r="K382" s="1129"/>
      <c r="L382" s="1129"/>
      <c r="M382" s="1463"/>
      <c r="N382" s="592"/>
      <c r="O382" s="1128"/>
      <c r="P382" s="1129"/>
      <c r="Q382" s="1129"/>
      <c r="R382" s="1129"/>
      <c r="S382" s="1463"/>
      <c r="T382" s="591"/>
      <c r="U382" s="1128"/>
      <c r="V382" s="1129"/>
      <c r="W382" s="1129"/>
      <c r="X382" s="1129"/>
      <c r="Y382" s="1463"/>
      <c r="Z382" s="593"/>
      <c r="AA382" s="1128"/>
      <c r="AB382" s="1129"/>
      <c r="AC382" s="1129"/>
      <c r="AD382" s="1129"/>
      <c r="AE382" s="1463"/>
      <c r="AF382" s="592"/>
      <c r="AG382" s="656">
        <f>+(AG$256+AG$255)</f>
        <v>0</v>
      </c>
      <c r="AH382" s="654">
        <f>+(AH$256+AH$255)</f>
        <v>0</v>
      </c>
      <c r="AI382" s="654">
        <f>+(AI$256+AI$255)</f>
        <v>0</v>
      </c>
      <c r="AJ382" s="654">
        <f>+(AJ$256+AJ$255)</f>
        <v>0</v>
      </c>
      <c r="AK382" s="655">
        <f>+SUM(AG382:AJ382)</f>
        <v>0</v>
      </c>
      <c r="AL382" s="601"/>
      <c r="AM382" s="656">
        <f>+(AM$256+AM$255)</f>
        <v>0</v>
      </c>
      <c r="AN382" s="654">
        <f>+(AN$256+AN$255)</f>
        <v>0</v>
      </c>
      <c r="AO382" s="654">
        <f>+(AO$256+AO$255)</f>
        <v>0</v>
      </c>
      <c r="AP382" s="654">
        <f>+(AP$256+AP$255)</f>
        <v>0</v>
      </c>
      <c r="AQ382" s="655">
        <f>+SUM(AM382:AP382)</f>
        <v>0</v>
      </c>
      <c r="AR382" s="48"/>
      <c r="AS382" s="656">
        <f>+(AS$256+AS$255)</f>
        <v>0</v>
      </c>
      <c r="AT382" s="654">
        <f>+(AT$256+AT$255)</f>
        <v>0</v>
      </c>
      <c r="AU382" s="654">
        <f>+(AU$256+AU$255)</f>
        <v>0</v>
      </c>
      <c r="AV382" s="654">
        <f>+(AV$256+AV$255)</f>
        <v>0</v>
      </c>
      <c r="AW382" s="655">
        <f>+SUM(AS382:AV382)</f>
        <v>0</v>
      </c>
      <c r="AX382" s="48"/>
      <c r="AY382" s="656">
        <f>+(AY$256+AY$255)</f>
        <v>6.25</v>
      </c>
      <c r="AZ382" s="654">
        <f>+(AZ$256+AZ$255)</f>
        <v>6.25</v>
      </c>
      <c r="BA382" s="654">
        <f>+(BA$256+BA$255)</f>
        <v>6.25</v>
      </c>
      <c r="BB382" s="654">
        <f>+(BB$256+BB$255)</f>
        <v>6.25</v>
      </c>
      <c r="BC382" s="655">
        <f>+SUM(AY382:BB382)</f>
        <v>25</v>
      </c>
      <c r="BD382" s="48"/>
      <c r="BE382" s="656">
        <f>+(BE$256+BE$255)</f>
        <v>7</v>
      </c>
      <c r="BF382" s="654">
        <f>+(BF$256+BF$255)</f>
        <v>7.7000000000000011</v>
      </c>
      <c r="BG382" s="654">
        <f>+(BG$256+BG$255)</f>
        <v>8.4700000000000024</v>
      </c>
      <c r="BH382" s="654">
        <f>+(BH$256+BH$255)</f>
        <v>10.164000000000003</v>
      </c>
      <c r="BI382" s="655">
        <f>+SUM(BE382:BH382)</f>
        <v>33.334000000000003</v>
      </c>
      <c r="BJ382" s="48"/>
      <c r="BK382" s="656">
        <f>+(BK$256+BK$255)</f>
        <v>11.5</v>
      </c>
      <c r="BL382" s="654">
        <f>+(BL$256+BL$255)</f>
        <v>11.5</v>
      </c>
      <c r="BM382" s="654">
        <f>+(BM$256+BM$255)</f>
        <v>11.5</v>
      </c>
      <c r="BN382" s="654">
        <f>+(BN$256+BN$255)</f>
        <v>15.5</v>
      </c>
      <c r="BO382" s="655">
        <f>+SUM(BK382:BN382)</f>
        <v>50</v>
      </c>
      <c r="BP382" s="48"/>
      <c r="BQ382" s="656">
        <f>+(BQ$256+BQ$255)</f>
        <v>15.243250685925393</v>
      </c>
      <c r="BR382" s="654">
        <f>+(BR$256+BR$255)</f>
        <v>17.710540159302681</v>
      </c>
      <c r="BS382" s="654">
        <f>+(BS$256+BS$255)</f>
        <v>17.201499999999999</v>
      </c>
      <c r="BT382" s="654">
        <f>+(BT$256+BT$255)</f>
        <v>23.064699999999995</v>
      </c>
      <c r="BU382" s="655">
        <f>+SUM(BQ382:BT382)</f>
        <v>73.219990845228068</v>
      </c>
      <c r="BV382" s="48"/>
      <c r="BW382" s="656">
        <f>+(BW$256+BW$255)</f>
        <v>19.913492649915153</v>
      </c>
      <c r="BX382" s="654">
        <f>+(BX$256+BX$255)</f>
        <v>20.895969467991556</v>
      </c>
      <c r="BY382" s="654">
        <f>+(BY$256+BY$255)</f>
        <v>21.053912680720117</v>
      </c>
      <c r="BZ382" s="654">
        <f>+(BZ$256+BZ$255)</f>
        <v>27.237021011477758</v>
      </c>
      <c r="CA382" s="655">
        <f>+SUM(BW382:BZ382)</f>
        <v>89.100395810104573</v>
      </c>
      <c r="CB382" s="48"/>
      <c r="CC382" s="656">
        <f>+(CC$256+CC$255)</f>
        <v>25.924078657793437</v>
      </c>
      <c r="CD382" s="654">
        <f>+(CD$256+CD$255)</f>
        <v>27.379099490520538</v>
      </c>
      <c r="CE382" s="654">
        <f>+(CE$256+CE$255)</f>
        <v>28.245742356017743</v>
      </c>
      <c r="CF382" s="654">
        <f>+(CF$256+CF$255)</f>
        <v>36.081498227343396</v>
      </c>
      <c r="CG382" s="655">
        <f>+SUM(CC382:CF382)</f>
        <v>117.63041873167512</v>
      </c>
      <c r="CH382" s="48"/>
      <c r="CI382" s="656">
        <f>+(CI$256+CI$255)</f>
        <v>35.031584569158845</v>
      </c>
      <c r="CJ382" s="654">
        <f>+(CJ$256+CJ$255)</f>
        <v>36.474195080808386</v>
      </c>
      <c r="CK382" s="654">
        <f>+(CK$256+CK$255)</f>
        <v>36.763345426716796</v>
      </c>
      <c r="CL382" s="654">
        <f>+(CL$256+CL$255)</f>
        <v>45.927009574469785</v>
      </c>
      <c r="CM382" s="655">
        <f>+SUM(CI382:CL382)</f>
        <v>154.19613465115381</v>
      </c>
      <c r="CN382" s="48"/>
      <c r="CO382" s="656">
        <f>+(CO$256+CO$255)</f>
        <v>44.094548207112538</v>
      </c>
      <c r="CP382" s="654">
        <f>+(CP$256+CP$255)</f>
        <v>45.940205584638996</v>
      </c>
      <c r="CQ382" s="654">
        <f>+(CQ$256+CQ$255)</f>
        <v>46.42480593091468</v>
      </c>
      <c r="CR382" s="654">
        <f>+(CR$256+CR$255)</f>
        <v>57.36206602814638</v>
      </c>
      <c r="CS382" s="655">
        <f>+SUM(CO382:CR382)</f>
        <v>193.82162575081261</v>
      </c>
      <c r="CT382" s="48"/>
      <c r="CU382" s="656">
        <f>+(CU$256+CU$255)</f>
        <v>55.306378910151679</v>
      </c>
      <c r="CV382" s="654">
        <f>+(CV$256+CV$255)</f>
        <v>57.431151948949619</v>
      </c>
      <c r="CW382" s="654">
        <f>+(CW$256+CW$255)</f>
        <v>57.944122589539191</v>
      </c>
      <c r="CX382" s="654">
        <f>+(CX$256+CX$255)</f>
        <v>70.778869198327584</v>
      </c>
      <c r="CY382" s="655">
        <f>+SUM(CU382:CX382)</f>
        <v>241.46052264696806</v>
      </c>
      <c r="CZ382" s="48"/>
      <c r="DD382" s="48"/>
      <c r="DE382" s="48"/>
      <c r="DF382" s="48"/>
      <c r="DG382" s="48"/>
      <c r="DH382" s="48"/>
      <c r="DI382" s="48"/>
      <c r="DJ382" s="48"/>
      <c r="DK382" s="48"/>
    </row>
    <row r="383" spans="1:115" outlineLevel="1" x14ac:dyDescent="0.2">
      <c r="A383" s="205" t="s">
        <v>503</v>
      </c>
      <c r="B383" s="48"/>
      <c r="C383" s="1128"/>
      <c r="D383" s="1129"/>
      <c r="E383" s="1129"/>
      <c r="F383" s="1129"/>
      <c r="G383" s="1463"/>
      <c r="H383" s="592"/>
      <c r="I383" s="1128"/>
      <c r="J383" s="1129"/>
      <c r="K383" s="1129"/>
      <c r="L383" s="1129"/>
      <c r="M383" s="1463"/>
      <c r="N383" s="592"/>
      <c r="O383" s="1128"/>
      <c r="P383" s="1129"/>
      <c r="Q383" s="1129"/>
      <c r="R383" s="1129"/>
      <c r="S383" s="1463"/>
      <c r="T383" s="591"/>
      <c r="U383" s="1128"/>
      <c r="V383" s="1129"/>
      <c r="W383" s="1129"/>
      <c r="X383" s="1129"/>
      <c r="Y383" s="1463"/>
      <c r="Z383" s="593"/>
      <c r="AA383" s="1128"/>
      <c r="AB383" s="1129"/>
      <c r="AC383" s="1129"/>
      <c r="AD383" s="1129"/>
      <c r="AE383" s="1463"/>
      <c r="AF383" s="592"/>
      <c r="AG383" s="656">
        <f>+(AG$295+AG$294)</f>
        <v>0</v>
      </c>
      <c r="AH383" s="654">
        <f>+(AH$295+AH$294)</f>
        <v>0</v>
      </c>
      <c r="AI383" s="654">
        <f>+(AI$295+AI$294)</f>
        <v>0</v>
      </c>
      <c r="AJ383" s="654">
        <f>+(AJ$295+AJ$294)</f>
        <v>0</v>
      </c>
      <c r="AK383" s="655">
        <f>+SUM(AG383:AJ383)</f>
        <v>0</v>
      </c>
      <c r="AL383" s="601"/>
      <c r="AM383" s="656">
        <f>+(AM$295+AM$294)</f>
        <v>0</v>
      </c>
      <c r="AN383" s="654">
        <f>+(AN$295+AN$294)</f>
        <v>0</v>
      </c>
      <c r="AO383" s="654">
        <f>+(AO$295+AO$294)</f>
        <v>0</v>
      </c>
      <c r="AP383" s="654">
        <f>+(AP$295+AP$294)</f>
        <v>0</v>
      </c>
      <c r="AQ383" s="655">
        <f>+SUM(AM383:AP383)</f>
        <v>0</v>
      </c>
      <c r="AR383" s="48"/>
      <c r="AS383" s="656">
        <f>+(AS$295+AS$294)</f>
        <v>0</v>
      </c>
      <c r="AT383" s="654">
        <f>+(AT$295+AT$294)</f>
        <v>0</v>
      </c>
      <c r="AU383" s="654">
        <f>+(AU$295+AU$294)</f>
        <v>0</v>
      </c>
      <c r="AV383" s="654">
        <f>+(AV$295+AV$294)</f>
        <v>0</v>
      </c>
      <c r="AW383" s="655">
        <f>+SUM(AS383:AV383)</f>
        <v>0</v>
      </c>
      <c r="AX383" s="48"/>
      <c r="AY383" s="656">
        <f>+(AY$295+AY$294)</f>
        <v>1.6979062222222225</v>
      </c>
      <c r="AZ383" s="654">
        <f>+(AZ$295+AZ$294)</f>
        <v>1.6979062222222225</v>
      </c>
      <c r="BA383" s="654">
        <f>+(BA$295+BA$294)</f>
        <v>1.6979062222222225</v>
      </c>
      <c r="BB383" s="654">
        <f>+(BB$295+BB$294)</f>
        <v>1.1785613333333331</v>
      </c>
      <c r="BC383" s="655">
        <f>+SUM(AY383:BB383)</f>
        <v>6.2722800000000003</v>
      </c>
      <c r="BD383" s="48"/>
      <c r="BE383" s="656">
        <f>+(BE$295+BE$294)</f>
        <v>2.1785613333333331</v>
      </c>
      <c r="BF383" s="654">
        <f>+(BF$295+BF$294)</f>
        <v>2.1785613333333331</v>
      </c>
      <c r="BG383" s="654">
        <f>+(BG$295+BG$294)</f>
        <v>2.1785613333333331</v>
      </c>
      <c r="BH383" s="654">
        <f>+(BH$295+BH$294)</f>
        <v>2.6090040000000005</v>
      </c>
      <c r="BI383" s="655">
        <f>+SUM(BE383:BH383)</f>
        <v>9.1446880000000004</v>
      </c>
      <c r="BJ383" s="48"/>
      <c r="BK383" s="656">
        <f>+(BK$295+BK$294)</f>
        <v>3.6090040000000005</v>
      </c>
      <c r="BL383" s="654">
        <f>+(BL$295+BL$294)</f>
        <v>3.6090040000000005</v>
      </c>
      <c r="BM383" s="654">
        <f>+(BM$295+BM$294)</f>
        <v>3.6090040000000005</v>
      </c>
      <c r="BN383" s="654">
        <f>+(BN$295+BN$294)</f>
        <v>3.9809349999999988</v>
      </c>
      <c r="BO383" s="655">
        <f>+SUM(BK383:BN383)</f>
        <v>14.807947</v>
      </c>
      <c r="BP383" s="48"/>
      <c r="BQ383" s="656">
        <f>+(BQ$295+BQ$294)</f>
        <v>4.4809349999999988</v>
      </c>
      <c r="BR383" s="654">
        <f>+(BR$295+BR$294)</f>
        <v>5.7502079999999998</v>
      </c>
      <c r="BS383" s="654">
        <f>+(BS$295+BS$294)</f>
        <v>5.7502079999999998</v>
      </c>
      <c r="BT383" s="654">
        <f>+(BT$295+BT$294)</f>
        <v>5.698829427276495</v>
      </c>
      <c r="BU383" s="655">
        <f>+SUM(BQ383:BT383)</f>
        <v>21.680180427276497</v>
      </c>
      <c r="BV383" s="48"/>
      <c r="BW383" s="656">
        <f>+(BW$295+BW$294)</f>
        <v>5.3193598040882728</v>
      </c>
      <c r="BX383" s="654">
        <f>+(BX$295+BX$294)</f>
        <v>6.2559862075097055</v>
      </c>
      <c r="BY383" s="654">
        <f>+(BY$295+BY$294)</f>
        <v>7.009373514896005</v>
      </c>
      <c r="BZ383" s="654">
        <f>+(BZ$295+BZ$294)</f>
        <v>7.5554351336742993</v>
      </c>
      <c r="CA383" s="655">
        <f>+SUM(BW383:BZ383)</f>
        <v>26.140154660168285</v>
      </c>
      <c r="CB383" s="48"/>
      <c r="CC383" s="656">
        <f>+(CC$295+CC$294)</f>
        <v>6.5215583823840513</v>
      </c>
      <c r="CD383" s="654">
        <f>+(CD$295+CD$294)</f>
        <v>7.4821826590188518</v>
      </c>
      <c r="CE383" s="654">
        <f>+(CE$295+CE$294)</f>
        <v>6.9378792180197015</v>
      </c>
      <c r="CF383" s="654">
        <f>+(CF$295+CF$294)</f>
        <v>7.2769360931293932</v>
      </c>
      <c r="CG383" s="655">
        <f>+SUM(CC383:CF383)</f>
        <v>28.218556352552</v>
      </c>
      <c r="CH383" s="48"/>
      <c r="CI383" s="656">
        <f>+(CI$295+CI$294)</f>
        <v>6.7561943504312083</v>
      </c>
      <c r="CJ383" s="654">
        <f>+(CJ$295+CJ$294)</f>
        <v>8.0270012206893959</v>
      </c>
      <c r="CK383" s="654">
        <f>+(CK$295+CK$294)</f>
        <v>8.3645020732740871</v>
      </c>
      <c r="CL383" s="654">
        <f>+(CL$295+CL$294)</f>
        <v>8.9358158105511336</v>
      </c>
      <c r="CM383" s="655">
        <f>+SUM(CI383:CL383)</f>
        <v>32.083513454945823</v>
      </c>
      <c r="CN383" s="48"/>
      <c r="CO383" s="656">
        <f>+(CO$295+CO$294)</f>
        <v>12.551502473242818</v>
      </c>
      <c r="CP383" s="654">
        <f>+(CP$295+CP$294)</f>
        <v>11.750104549767306</v>
      </c>
      <c r="CQ383" s="654">
        <f>+(CQ$295+CQ$294)</f>
        <v>12.057400387443179</v>
      </c>
      <c r="CR383" s="654">
        <f>+(CR$295+CR$294)</f>
        <v>10.303055438026936</v>
      </c>
      <c r="CS383" s="655">
        <f>+SUM(CO383:CR383)</f>
        <v>46.66206284848024</v>
      </c>
      <c r="CT383" s="48"/>
      <c r="CU383" s="656">
        <f>+(CU$295+CU$294)</f>
        <v>16.971746511634052</v>
      </c>
      <c r="CV383" s="654">
        <f>+(CV$295+CV$294)</f>
        <v>17.11188672962572</v>
      </c>
      <c r="CW383" s="654">
        <f>+(CW$295+CW$294)</f>
        <v>17.409630565553062</v>
      </c>
      <c r="CX383" s="654">
        <f>+(CX$295+CX$294)</f>
        <v>16.216372992087976</v>
      </c>
      <c r="CY383" s="655">
        <f>+SUM(CU383:CX383)</f>
        <v>67.709636798900817</v>
      </c>
      <c r="CZ383" s="48"/>
      <c r="DD383" s="48"/>
      <c r="DE383" s="48"/>
      <c r="DF383" s="48"/>
      <c r="DG383" s="48"/>
      <c r="DH383" s="48"/>
      <c r="DI383" s="48"/>
      <c r="DJ383" s="48"/>
      <c r="DK383" s="48"/>
    </row>
    <row r="384" spans="1:115" outlineLevel="1" x14ac:dyDescent="0.2">
      <c r="A384" s="205" t="s">
        <v>549</v>
      </c>
      <c r="B384" s="48"/>
      <c r="C384" s="1128"/>
      <c r="D384" s="1129"/>
      <c r="E384" s="1129"/>
      <c r="F384" s="1129"/>
      <c r="G384" s="1463"/>
      <c r="H384" s="592"/>
      <c r="I384" s="1128"/>
      <c r="J384" s="1129"/>
      <c r="K384" s="1129"/>
      <c r="L384" s="1129"/>
      <c r="M384" s="1463"/>
      <c r="N384" s="592"/>
      <c r="O384" s="1128"/>
      <c r="P384" s="1129"/>
      <c r="Q384" s="1129"/>
      <c r="R384" s="1129"/>
      <c r="S384" s="1463"/>
      <c r="T384" s="591"/>
      <c r="U384" s="1128"/>
      <c r="V384" s="1129"/>
      <c r="W384" s="1129"/>
      <c r="X384" s="1129"/>
      <c r="Y384" s="1463"/>
      <c r="Z384" s="593"/>
      <c r="AA384" s="1128"/>
      <c r="AB384" s="1129"/>
      <c r="AC384" s="1129"/>
      <c r="AD384" s="1129"/>
      <c r="AE384" s="1463"/>
      <c r="AF384" s="592"/>
      <c r="AG384" s="656">
        <f>+AG366-SUM(AG376:AG383)</f>
        <v>164.59037499999999</v>
      </c>
      <c r="AH384" s="654">
        <f>+AH366-SUM(AH376:AH383)</f>
        <v>178.91387499999999</v>
      </c>
      <c r="AI384" s="654">
        <f>+AI366-SUM(AI376:AI383)</f>
        <v>193.44737499999999</v>
      </c>
      <c r="AJ384" s="654">
        <f>+AJ366-SUM(AJ376:AJ383)</f>
        <v>212.91712500000008</v>
      </c>
      <c r="AK384" s="655">
        <f>+AK366-SUM(AK376:AK383)</f>
        <v>749.86875000000009</v>
      </c>
      <c r="AL384" s="48"/>
      <c r="AM384" s="656">
        <f>+AM366-SUM(AM376:AM383)</f>
        <v>190.66362499999997</v>
      </c>
      <c r="AN384" s="654">
        <f>+AN366-SUM(AN376:AN383)</f>
        <v>186.14788250000001</v>
      </c>
      <c r="AO384" s="654">
        <f>+AO366-SUM(AO376:AO383)</f>
        <v>204.28913499999999</v>
      </c>
      <c r="AP384" s="654">
        <f>+AP366-SUM(AP376:AP383)</f>
        <v>217.98686625000002</v>
      </c>
      <c r="AQ384" s="655">
        <f>+AQ366-SUM(AQ376:AQ383)</f>
        <v>799.0875087500001</v>
      </c>
      <c r="AR384" s="48"/>
      <c r="AS384" s="656">
        <f>+AS366-SUM(AS376:AS383)</f>
        <v>200.28721140923463</v>
      </c>
      <c r="AT384" s="654">
        <f>+AT366-SUM(AT376:AT383)</f>
        <v>208.40556899706036</v>
      </c>
      <c r="AU384" s="654">
        <f>+AU366-SUM(AU376:AU383)</f>
        <v>212.55924607537537</v>
      </c>
      <c r="AV384" s="654">
        <f>+AV366-SUM(AV376:AV383)</f>
        <v>252.81057152503564</v>
      </c>
      <c r="AW384" s="655">
        <f>+AW366-SUM(AW376:AW383)</f>
        <v>874.06259800670603</v>
      </c>
      <c r="AX384" s="48"/>
      <c r="AY384" s="656">
        <f>+AY366-SUM(AY376:AY383)</f>
        <v>200.8257861652811</v>
      </c>
      <c r="AZ384" s="654">
        <f>+AZ366-SUM(AZ376:AZ383)</f>
        <v>209.31101260119067</v>
      </c>
      <c r="BA384" s="654">
        <f>+BA366-SUM(BA376:BA383)</f>
        <v>206.3828668775308</v>
      </c>
      <c r="BB384" s="654">
        <f>+BB366-SUM(BB376:BB383)</f>
        <v>253.64058097705868</v>
      </c>
      <c r="BC384" s="655">
        <f>+BC366-SUM(BC376:BC383)</f>
        <v>870.16024662106111</v>
      </c>
      <c r="BD384" s="48"/>
      <c r="BE384" s="656">
        <f>+BE366-SUM(BE376:BE383)</f>
        <v>199.300206883577</v>
      </c>
      <c r="BF384" s="654">
        <f>+BF366-SUM(BF376:BF383)</f>
        <v>214.69574054856679</v>
      </c>
      <c r="BG384" s="654">
        <f>+BG366-SUM(BG376:BG383)</f>
        <v>203.43957791708917</v>
      </c>
      <c r="BH384" s="654">
        <f>+BH366-SUM(BH376:BH383)</f>
        <v>235.24621989949725</v>
      </c>
      <c r="BI384" s="655">
        <f>+BI366-SUM(BI376:BI383)</f>
        <v>852.68174524873029</v>
      </c>
      <c r="BJ384" s="48"/>
      <c r="BK384" s="656">
        <f>+BK366-SUM(BK376:BK383)</f>
        <v>204.91066324520779</v>
      </c>
      <c r="BL384" s="654">
        <f>+BL366-SUM(BL376:BL383)</f>
        <v>222.53990598655469</v>
      </c>
      <c r="BM384" s="654">
        <f>+BM366-SUM(BM376:BM383)</f>
        <v>215.1148404680946</v>
      </c>
      <c r="BN384" s="654">
        <f>+BN366-SUM(BN376:BN383)</f>
        <v>230.89259604752382</v>
      </c>
      <c r="BO384" s="655">
        <f>+BO366-SUM(BO376:BO383)</f>
        <v>873.45800574738075</v>
      </c>
      <c r="BP384" s="48"/>
      <c r="BQ384" s="656">
        <f>+BQ366-SUM(BQ376:BQ383)</f>
        <v>185.86429692309031</v>
      </c>
      <c r="BR384" s="654">
        <f>+BR366-SUM(BR376:BR383)</f>
        <v>203.73690856388748</v>
      </c>
      <c r="BS384" s="654">
        <f>+BS366-SUM(BS376:BS383)</f>
        <v>189.74587297376735</v>
      </c>
      <c r="BT384" s="654">
        <f>+BT366-SUM(BT376:BT383)</f>
        <v>212.458901507734</v>
      </c>
      <c r="BU384" s="655">
        <f>+BU366-SUM(BU376:BU383)</f>
        <v>791.80597996847905</v>
      </c>
      <c r="BV384" s="48"/>
      <c r="BW384" s="656">
        <f>+BW366-SUM(BW376:BW383)</f>
        <v>181.96710920845345</v>
      </c>
      <c r="BX384" s="654">
        <f>+BX366-SUM(BX376:BX383)</f>
        <v>207.81749631809805</v>
      </c>
      <c r="BY384" s="654">
        <f>+BY366-SUM(BY376:BY383)</f>
        <v>195.94829425093042</v>
      </c>
      <c r="BZ384" s="654">
        <f>+BZ366-SUM(BZ376:BZ383)</f>
        <v>210.48317457074967</v>
      </c>
      <c r="CA384" s="655">
        <f>+CA366-SUM(CA376:CA383)</f>
        <v>796.2160743482317</v>
      </c>
      <c r="CB384" s="48"/>
      <c r="CC384" s="656">
        <f>+CC366-SUM(CC376:CC383)</f>
        <v>176.12313648111291</v>
      </c>
      <c r="CD384" s="654">
        <f>+CD366-SUM(CD376:CD383)</f>
        <v>196.28875190760431</v>
      </c>
      <c r="CE384" s="654">
        <f>+CE366-SUM(CE376:CE383)</f>
        <v>190.00226501639582</v>
      </c>
      <c r="CF384" s="654">
        <f>+CF366-SUM(CF376:CF383)</f>
        <v>211.46849935195911</v>
      </c>
      <c r="CG384" s="655">
        <f>+CG366-SUM(CG376:CG383)</f>
        <v>773.88265275707204</v>
      </c>
      <c r="CH384" s="48"/>
      <c r="CI384" s="656">
        <f>+CI366-SUM(CI376:CI383)</f>
        <v>181.2657181570728</v>
      </c>
      <c r="CJ384" s="654">
        <f>+CJ366-SUM(CJ376:CJ383)</f>
        <v>207.46315538129707</v>
      </c>
      <c r="CK384" s="654">
        <f>+CK366-SUM(CK376:CK383)</f>
        <v>194.05896433854207</v>
      </c>
      <c r="CL384" s="654">
        <f>+CL366-SUM(CL376:CL383)</f>
        <v>215.2223550665297</v>
      </c>
      <c r="CM384" s="655">
        <f>+CM366-SUM(CM376:CM383)</f>
        <v>798.01019294344155</v>
      </c>
      <c r="CN384" s="48"/>
      <c r="CO384" s="656">
        <f>+CO366-SUM(CO376:CO383)</f>
        <v>170.23151524966966</v>
      </c>
      <c r="CP384" s="654">
        <f>+CP366-SUM(CP376:CP383)</f>
        <v>196.56886901305958</v>
      </c>
      <c r="CQ384" s="654">
        <f>+CQ366-SUM(CQ376:CQ383)</f>
        <v>188.81853634002181</v>
      </c>
      <c r="CR384" s="654">
        <f>+CR366-SUM(CR376:CR383)</f>
        <v>213.19089136505659</v>
      </c>
      <c r="CS384" s="655">
        <f>+CS366-SUM(CS376:CS383)</f>
        <v>768.80981196780772</v>
      </c>
      <c r="CT384" s="48"/>
      <c r="CU384" s="656">
        <f>+CU366-SUM(CU376:CU383)</f>
        <v>166.89276761021236</v>
      </c>
      <c r="CV384" s="654">
        <f>+CV366-SUM(CV376:CV383)</f>
        <v>194.2822459432972</v>
      </c>
      <c r="CW384" s="654">
        <f>+CW366-SUM(CW376:CW383)</f>
        <v>185.2976212385895</v>
      </c>
      <c r="CX384" s="654">
        <f>+CX366-SUM(CX376:CX383)</f>
        <v>209.69321845892301</v>
      </c>
      <c r="CY384" s="655">
        <f>+CY366-SUM(CY376:CY383)</f>
        <v>756.1658532510221</v>
      </c>
      <c r="CZ384" s="48"/>
      <c r="DD384" s="48"/>
      <c r="DE384" s="48"/>
      <c r="DF384" s="48"/>
      <c r="DG384" s="48"/>
      <c r="DH384" s="48"/>
      <c r="DI384" s="48"/>
      <c r="DJ384" s="48"/>
      <c r="DK384" s="48"/>
    </row>
    <row r="385" spans="1:115" x14ac:dyDescent="0.2">
      <c r="A385" s="1240" t="s">
        <v>495</v>
      </c>
      <c r="B385" s="1194"/>
      <c r="C385" s="1243"/>
      <c r="D385" s="1244"/>
      <c r="E385" s="1244"/>
      <c r="F385" s="1245"/>
      <c r="G385" s="1246"/>
      <c r="H385" s="1194"/>
      <c r="I385" s="1243"/>
      <c r="J385" s="1244"/>
      <c r="K385" s="1244"/>
      <c r="L385" s="1245"/>
      <c r="M385" s="1246"/>
      <c r="N385" s="1194"/>
      <c r="O385" s="1243"/>
      <c r="P385" s="1244"/>
      <c r="Q385" s="1244"/>
      <c r="R385" s="1245"/>
      <c r="S385" s="1246"/>
      <c r="T385" s="1194"/>
      <c r="U385" s="1243"/>
      <c r="V385" s="1244"/>
      <c r="W385" s="1244"/>
      <c r="X385" s="1245"/>
      <c r="Y385" s="1246"/>
      <c r="Z385" s="1194"/>
      <c r="AA385" s="1243"/>
      <c r="AB385" s="1244"/>
      <c r="AC385" s="1244"/>
      <c r="AD385" s="1245"/>
      <c r="AE385" s="1246"/>
      <c r="AF385" s="1194"/>
      <c r="AG385" s="1243">
        <f>+AG396+AG398+AG399+AG400+AG401+AG403+AG402+AG347+AG324</f>
        <v>159.94900000000001</v>
      </c>
      <c r="AH385" s="1244">
        <f>+AH396+AH398+AH399+AH400+AH401+AH403+AH402+AH347+AH324</f>
        <v>173.19099999999997</v>
      </c>
      <c r="AI385" s="1244">
        <f>+AI396+AI398+AI399+AI400+AI401+AI403+AI402+AI347+AI324</f>
        <v>189.06</v>
      </c>
      <c r="AJ385" s="1245">
        <f>+AJ396+AJ398+AJ399+AJ400+AJ401+AJ403+AJ402+AJ347+AJ324</f>
        <v>206.67300000000009</v>
      </c>
      <c r="AK385" s="1246">
        <f>+AK396+AK398+AK399+AK400+AK401+AK403+AK402+AK347+AK324</f>
        <v>728.87300000000005</v>
      </c>
      <c r="AL385" s="1194"/>
      <c r="AM385" s="1243">
        <f>+AM396+AM398+AM399+AM400+AM401+AM403+AM402+AM347+AM324</f>
        <v>189.21199999999996</v>
      </c>
      <c r="AN385" s="1244">
        <f>+AN396+AN398+AN399+AN400+AN401+AN403+AN402+AN347+AN324</f>
        <v>188.40600000000001</v>
      </c>
      <c r="AO385" s="1244">
        <f>+AO396+AO398+AO399+AO400+AO401+AO403+AO402+AO347+AO324</f>
        <v>196.52</v>
      </c>
      <c r="AP385" s="1245">
        <f>+AP396+AP398+AP399+AP400+AP401+AP403+AP402+AP347+AP324</f>
        <v>205.42400000000004</v>
      </c>
      <c r="AQ385" s="1246">
        <f>+AQ396+AQ398+AQ399+AQ400+AQ401+AQ403+AQ402+AQ347+AQ324</f>
        <v>779.56200000000001</v>
      </c>
      <c r="AR385" s="1194"/>
      <c r="AS385" s="1243">
        <f>+AS396+AS398+AS399+AS400+AS401+AS403+AS402+AS347+AS324</f>
        <v>190.94799999999998</v>
      </c>
      <c r="AT385" s="1244">
        <f>+AT396+AT398+AT399+AT400+AT401+AT403+AT402+AT347+AT324</f>
        <v>205.709</v>
      </c>
      <c r="AU385" s="1244">
        <f>+AU396+AU398+AU399+AU400+AU401+AU403+AU402+AU347+AU324</f>
        <v>206.63200000000003</v>
      </c>
      <c r="AV385" s="1245">
        <f>+AV396+AV398+AV399+AV400+AV401+AV403+AV402+AV347+AV324</f>
        <v>229.22000000000008</v>
      </c>
      <c r="AW385" s="1246">
        <f>+AW396+AW398+AW399+AW400+AW401+AW403+AW402+AW347+AW324</f>
        <v>832.50900000000013</v>
      </c>
      <c r="AX385" s="1194"/>
      <c r="AY385" s="1243">
        <f>+AY396+AY398+AY399+AY400+AY401+AY403+AY402+AY347+AY324</f>
        <v>209.77000000000004</v>
      </c>
      <c r="AZ385" s="1244">
        <f>+AZ396+AZ398+AZ399+AZ400+AZ401+AZ403+AZ402+AZ347+AZ324</f>
        <v>219.07399999999998</v>
      </c>
      <c r="BA385" s="1244">
        <f>+BA396+BA398+BA399+BA400+BA401+BA403+BA402+BA347+BA324</f>
        <v>218.55699999999999</v>
      </c>
      <c r="BB385" s="1245">
        <f>+BB396+BB398+BB399+BB400+BB401+BB403+BB402+BB347+BB324</f>
        <v>249.52299999999991</v>
      </c>
      <c r="BC385" s="1246">
        <f>+BC396+BC398+BC399+BC400+BC401+BC403+BC402+BC347+BC324</f>
        <v>896.92399999999998</v>
      </c>
      <c r="BD385" s="1194"/>
      <c r="BE385" s="1243">
        <f>+BE396+BE398+BE399+BE400+BE401+BE403+BE402+BE347+BE324</f>
        <v>219.21300000000002</v>
      </c>
      <c r="BF385" s="1244">
        <f>+BF396+BF398+BF399+BF400+BF401+BF403+BF402+BF347+BF324</f>
        <v>223.41499999999996</v>
      </c>
      <c r="BG385" s="1244">
        <f>+BG396+BG398+BG399+BG400+BG401+BG403+BG402+BG347+BG324</f>
        <v>232.49999999999997</v>
      </c>
      <c r="BH385" s="1245">
        <f>+BH396+BH398+BH399+BH400+BH401+BH403+BH402+BH347+BH324</f>
        <v>264.36299999999994</v>
      </c>
      <c r="BI385" s="1246">
        <f>+BI396+BI398+BI399+BI400+BI401+BI403+BI402+BI347+BI324</f>
        <v>939.49099999999999</v>
      </c>
      <c r="BJ385" s="1194"/>
      <c r="BK385" s="1243">
        <f>+BK396+BK398+BK399+BK400+BK401+BK403+BK402+BK347+BK324</f>
        <v>229.81799999999998</v>
      </c>
      <c r="BL385" s="1244">
        <f>+BL396+BL398+BL399+BL400+BL401+BL403+BL402+BL347+BL324</f>
        <v>236.86899999999997</v>
      </c>
      <c r="BM385" s="1244">
        <f>+BM396+BM398+BM399+BM400+BM401+BM403+BM402+BM347+BM324</f>
        <v>243.97400000000002</v>
      </c>
      <c r="BN385" s="1245">
        <f>+BN396+BN398+BN399+BN400+BN401+BN403+BN402+BN347+BN324</f>
        <v>244.178</v>
      </c>
      <c r="BO385" s="1246">
        <f>+BO396+BO398+BO399+BO400+BO401+BO403+BO402+BO347+BO324</f>
        <v>954.83899999999994</v>
      </c>
      <c r="BP385" s="1194"/>
      <c r="BQ385" s="1243">
        <f>+BQ396+BQ398+BQ399+BQ400+BQ401+BQ403+BQ402+BQ347+BQ324</f>
        <v>218.072</v>
      </c>
      <c r="BR385" s="1244">
        <f>+BR396+BR398+BR399+BR400+BR401+BR403+BR402+BR347+BR324</f>
        <v>225.74</v>
      </c>
      <c r="BS385" s="1244">
        <f>+BS396+BS398+BS399+BS400+BS401+BS403+BS402+BS347+BS324</f>
        <v>222.34599999999998</v>
      </c>
      <c r="BT385" s="1245">
        <f>+BT396+BT398+BT399+BT400+BT401+BT403+BT402+BT347+BT324</f>
        <v>246.077</v>
      </c>
      <c r="BU385" s="1246">
        <f>+BU396+BU398+BU399+BU400+BU401+BU403+BU402+BU347+BU324</f>
        <v>912.23500000000001</v>
      </c>
      <c r="BV385" s="1194"/>
      <c r="BW385" s="1243">
        <f>+BW396+BW398+BW399+BW400+BW401+BW403+BW402+BW347+BW324</f>
        <v>207.45300000000003</v>
      </c>
      <c r="BX385" s="1244">
        <f>+BX396+BX398+BX399+BX400+BX401+BX403+BX402+BX347+BX324</f>
        <v>234.37799999999999</v>
      </c>
      <c r="BY385" s="1244">
        <f>+BY396+BY398+BY399+BY400+BY401+BY403+BY402+BY347+BY324</f>
        <v>241.41399999999999</v>
      </c>
      <c r="BZ385" s="1245">
        <f>+BZ396+BZ398+BZ399+BZ400+BZ401+BZ403+BZ402+BZ347+BZ324</f>
        <v>260.80799999999999</v>
      </c>
      <c r="CA385" s="1246">
        <f>+CA396+CA398+CA399+CA400+CA401+CA403+CA402+CA347+CA324</f>
        <v>944.053</v>
      </c>
      <c r="CB385" s="1194"/>
      <c r="CC385" s="1243">
        <f>+CC396+CC398+CC399+CC400+CC401+CC403+CC402+CC347+CC324</f>
        <v>217.54500000000002</v>
      </c>
      <c r="CD385" s="1244">
        <f>+CD396+CD398+CD399+CD400+CD401+CD403+CD402+CD347+CD324</f>
        <v>246.80599999999998</v>
      </c>
      <c r="CE385" s="1244">
        <f>+CE396+CE398+CE399+CE400+CE401+CE403+CE402+CE347+CE324</f>
        <v>258.7</v>
      </c>
      <c r="CF385" s="1244">
        <f>+CF396+CF398+CF399+CF400+CF401+CF403+CF402+CF347+CF324</f>
        <v>280.21299999999997</v>
      </c>
      <c r="CG385" s="1246">
        <f>+CG396+CG398+CG399+CG400+CG401+CG403+CG402+CG347+CG324</f>
        <v>1003.2639999999999</v>
      </c>
      <c r="CH385" s="1194"/>
      <c r="CI385" s="1243">
        <f>+CI396+CI398+CI399+CI400+CI401+CI403+CI402+CI347+CI324+CI397</f>
        <v>245.92014010291956</v>
      </c>
      <c r="CJ385" s="1244">
        <f t="shared" ref="CJ385:CL385" si="69">+CJ396+CJ398+CJ399+CJ400+CJ401+CJ403+CJ402+CJ347+CJ324+CJ397</f>
        <v>280.13279279731523</v>
      </c>
      <c r="CK385" s="1244">
        <f t="shared" si="69"/>
        <v>286.06965061984795</v>
      </c>
      <c r="CL385" s="1245">
        <f t="shared" si="69"/>
        <v>302.28960323643162</v>
      </c>
      <c r="CM385" s="1246">
        <f>+SUM(CI385:CL385)</f>
        <v>1114.4121867565143</v>
      </c>
      <c r="CN385" s="1194"/>
      <c r="CO385" s="1243">
        <f t="shared" ref="CO385:CX385" si="70">+CO396+CO398+CO399+CO400+CO401+CO403+CO402+CO347+CO324+CO397</f>
        <v>273.24612860418137</v>
      </c>
      <c r="CP385" s="1244">
        <f t="shared" si="70"/>
        <v>301.59886391442905</v>
      </c>
      <c r="CQ385" s="1244">
        <f t="shared" si="70"/>
        <v>304.64486051414639</v>
      </c>
      <c r="CR385" s="1245">
        <f t="shared" si="70"/>
        <v>331.25614251600734</v>
      </c>
      <c r="CS385" s="1246">
        <f>+SUM(CO385:CR385)</f>
        <v>1210.7459955487643</v>
      </c>
      <c r="CT385" s="1194"/>
      <c r="CU385" s="1243">
        <f t="shared" ref="CU385" si="71">+CU396+CU398+CU399+CU400+CU401+CU403+CU402+CU347+CU324+CU397</f>
        <v>303.31510136488168</v>
      </c>
      <c r="CV385" s="1244">
        <f t="shared" si="70"/>
        <v>332.93494342218355</v>
      </c>
      <c r="CW385" s="1244">
        <f t="shared" si="70"/>
        <v>335.68357629434422</v>
      </c>
      <c r="CX385" s="1245">
        <f t="shared" si="70"/>
        <v>364.93959644920704</v>
      </c>
      <c r="CY385" s="1246">
        <f>+SUM(CU385:CX385)</f>
        <v>1336.8732175306166</v>
      </c>
      <c r="CZ385" s="48"/>
      <c r="DD385" s="48"/>
      <c r="DE385" s="48"/>
      <c r="DF385" s="48"/>
      <c r="DG385" s="48"/>
      <c r="DH385" s="48"/>
      <c r="DI385" s="48"/>
      <c r="DJ385" s="48"/>
      <c r="DK385" s="48"/>
    </row>
    <row r="386" spans="1:115" x14ac:dyDescent="0.2">
      <c r="A386" s="205" t="s">
        <v>639</v>
      </c>
      <c r="B386" s="48"/>
      <c r="C386" s="1128"/>
      <c r="D386" s="1129"/>
      <c r="E386" s="1129"/>
      <c r="F386" s="1129"/>
      <c r="G386" s="1463"/>
      <c r="H386" s="592"/>
      <c r="I386" s="1128"/>
      <c r="J386" s="1129"/>
      <c r="K386" s="1129"/>
      <c r="L386" s="1129"/>
      <c r="M386" s="1463"/>
      <c r="N386" s="592"/>
      <c r="O386" s="1128"/>
      <c r="P386" s="1129"/>
      <c r="Q386" s="1129"/>
      <c r="R386" s="1129"/>
      <c r="S386" s="1463"/>
      <c r="T386" s="591"/>
      <c r="U386" s="1128"/>
      <c r="V386" s="1129"/>
      <c r="W386" s="1129"/>
      <c r="X386" s="1129"/>
      <c r="Y386" s="1463"/>
      <c r="Z386" s="593"/>
      <c r="AA386" s="1128"/>
      <c r="AB386" s="1129"/>
      <c r="AC386" s="1129"/>
      <c r="AD386" s="1129"/>
      <c r="AE386" s="1463"/>
      <c r="AF386" s="592"/>
      <c r="AG386" s="1128"/>
      <c r="AH386" s="1129"/>
      <c r="AI386" s="1129"/>
      <c r="AJ386" s="1129"/>
      <c r="AK386" s="1463"/>
      <c r="AL386" s="601"/>
      <c r="AM386" s="1131">
        <f>+AM385/AG385-1</f>
        <v>0.18295206597102798</v>
      </c>
      <c r="AN386" s="1132">
        <f>+AN385/AH385-1</f>
        <v>8.7850985328337128E-2</v>
      </c>
      <c r="AO386" s="1132">
        <f>+AO385/AI385-1</f>
        <v>3.9458373003279368E-2</v>
      </c>
      <c r="AP386" s="1132">
        <f>+AP385/AJ385-1</f>
        <v>-6.0433631872574001E-3</v>
      </c>
      <c r="AQ386" s="1117">
        <f>+AQ385/AK385-1</f>
        <v>6.9544351347902822E-2</v>
      </c>
      <c r="AR386" s="48"/>
      <c r="AS386" s="1131">
        <f>+AS385/AM385-1</f>
        <v>9.1748937699511757E-3</v>
      </c>
      <c r="AT386" s="1132">
        <f>+AT385/AN385-1</f>
        <v>9.1838901096568115E-2</v>
      </c>
      <c r="AU386" s="1132">
        <f>+AU385/AO385-1</f>
        <v>5.145532261347463E-2</v>
      </c>
      <c r="AV386" s="1132">
        <f>+AV385/AP385-1</f>
        <v>0.1158384609393257</v>
      </c>
      <c r="AW386" s="1117">
        <f>+AW385/AQ385-1</f>
        <v>6.7918908310051096E-2</v>
      </c>
      <c r="AX386" s="601"/>
      <c r="AY386" s="1131">
        <f>+AY385/AS385-1</f>
        <v>9.8571338793808083E-2</v>
      </c>
      <c r="AZ386" s="1132">
        <f>+AZ385/AT385-1</f>
        <v>6.497041937883119E-2</v>
      </c>
      <c r="BA386" s="1132">
        <f>+BA385/AU385-1</f>
        <v>5.7711293507297867E-2</v>
      </c>
      <c r="BB386" s="1132">
        <f>+BB385/AV385-1</f>
        <v>8.8574295436697481E-2</v>
      </c>
      <c r="BC386" s="1117">
        <f>+BC385/AW385-1</f>
        <v>7.7374538893873579E-2</v>
      </c>
      <c r="BD386" s="601"/>
      <c r="BE386" s="1131">
        <f>+BE385/AY385-1</f>
        <v>4.5015969871764261E-2</v>
      </c>
      <c r="BF386" s="1132">
        <f>+BF385/AZ385-1</f>
        <v>1.9815222253667608E-2</v>
      </c>
      <c r="BG386" s="1132">
        <f>+BG385/BA385-1</f>
        <v>6.3795714619069521E-2</v>
      </c>
      <c r="BH386" s="1132">
        <f>+BH385/BB385-1</f>
        <v>5.9473475391046193E-2</v>
      </c>
      <c r="BI386" s="1117">
        <f>+BI385/BC385-1</f>
        <v>4.7458870539755837E-2</v>
      </c>
      <c r="BJ386" s="601"/>
      <c r="BK386" s="1131">
        <f>+BK385/BE385-1</f>
        <v>4.8377605342748708E-2</v>
      </c>
      <c r="BL386" s="1132">
        <f>+BL385/BF385-1</f>
        <v>6.021977038247206E-2</v>
      </c>
      <c r="BM386" s="1132">
        <f>+BM385/BG385-1</f>
        <v>4.9350537634408775E-2</v>
      </c>
      <c r="BN386" s="1132">
        <f>+BN385/BH385-1</f>
        <v>-7.635334748054734E-2</v>
      </c>
      <c r="BO386" s="1117">
        <f>+BO385/BI385-1</f>
        <v>1.6336505618467889E-2</v>
      </c>
      <c r="BP386" s="48"/>
      <c r="BQ386" s="1131">
        <f>+BQ385/BK385-1</f>
        <v>-5.1110008789563843E-2</v>
      </c>
      <c r="BR386" s="1132">
        <f>+BR385/BL385-1</f>
        <v>-4.6983775842343034E-2</v>
      </c>
      <c r="BS386" s="1132">
        <f>+BS385/BM385-1</f>
        <v>-8.8648790444883607E-2</v>
      </c>
      <c r="BT386" s="1132">
        <f>+BT385/BN385-1</f>
        <v>7.7771134172612832E-3</v>
      </c>
      <c r="BU386" s="1117">
        <f>+BU385/BO385-1</f>
        <v>-4.4619040487453798E-2</v>
      </c>
      <c r="BV386" s="48"/>
      <c r="BW386" s="1131">
        <f>+BW385/BQ385-1</f>
        <v>-4.8694926446311126E-2</v>
      </c>
      <c r="BX386" s="1132">
        <f>+BX385/BR385-1</f>
        <v>3.8265260919641886E-2</v>
      </c>
      <c r="BY386" s="1132">
        <f>+BY385/BS385-1</f>
        <v>8.5758232664405964E-2</v>
      </c>
      <c r="BZ386" s="1132">
        <f>+BZ385/BT385-1</f>
        <v>5.9863376097725407E-2</v>
      </c>
      <c r="CA386" s="1117">
        <f>+CA385/BU385-1</f>
        <v>3.4879170389208847E-2</v>
      </c>
      <c r="CB386" s="48"/>
      <c r="CC386" s="1131">
        <f>+CC385/BW385-1</f>
        <v>4.8647163453890752E-2</v>
      </c>
      <c r="CD386" s="1132">
        <f>+CD385/BX385-1</f>
        <v>5.30254546075144E-2</v>
      </c>
      <c r="CE386" s="1132">
        <f>+CE385/BY385-1</f>
        <v>7.160313817757058E-2</v>
      </c>
      <c r="CF386" s="1132">
        <f>+CF385/BZ385-1</f>
        <v>7.4403392533971324E-2</v>
      </c>
      <c r="CG386" s="1117">
        <f>+CG385/CA385-1</f>
        <v>6.2719995593467637E-2</v>
      </c>
      <c r="CH386" s="48"/>
      <c r="CI386" s="1131">
        <f>+CI385/CC385-1</f>
        <v>0.13043342803980584</v>
      </c>
      <c r="CJ386" s="1132">
        <f>+CJ385/CD385-1</f>
        <v>0.13503234442159129</v>
      </c>
      <c r="CK386" s="1132">
        <f>+CK385/CE385-1</f>
        <v>0.10579687135619631</v>
      </c>
      <c r="CL386" s="1132">
        <f>+CL385/CF385-1</f>
        <v>7.8785078623874183E-2</v>
      </c>
      <c r="CM386" s="1117">
        <f>+CM385/CG385-1</f>
        <v>0.11078657936147862</v>
      </c>
      <c r="CN386" s="48"/>
      <c r="CO386" s="1131">
        <f>+CO385/CI385-1</f>
        <v>0.11111732650211437</v>
      </c>
      <c r="CP386" s="1132">
        <f>+CP385/CJ385-1</f>
        <v>7.6628198015521898E-2</v>
      </c>
      <c r="CQ386" s="1132">
        <f>+CQ385/CK385-1</f>
        <v>6.4932473102442545E-2</v>
      </c>
      <c r="CR386" s="1132">
        <f>+CR385/CL385-1</f>
        <v>9.5823802636440414E-2</v>
      </c>
      <c r="CS386" s="1117">
        <f>+CS385/CM385-1</f>
        <v>8.644360671667517E-2</v>
      </c>
      <c r="CT386" s="48"/>
      <c r="CU386" s="1131">
        <f>+CU385/CO385-1</f>
        <v>0.1100435454083144</v>
      </c>
      <c r="CV386" s="1132">
        <f>+CV385/CP385-1</f>
        <v>0.10389985924033618</v>
      </c>
      <c r="CW386" s="1132">
        <f>+CW385/CQ385-1</f>
        <v>0.10188491520196363</v>
      </c>
      <c r="CX386" s="1132">
        <f>+CX385/CR385-1</f>
        <v>0.10168401309440478</v>
      </c>
      <c r="CY386" s="1117">
        <f>+CY385/CS385-1</f>
        <v>0.10417314816282808</v>
      </c>
      <c r="CZ386" s="48"/>
      <c r="DD386" s="48"/>
      <c r="DE386" s="48"/>
      <c r="DF386" s="48"/>
      <c r="DG386" s="48"/>
      <c r="DH386" s="48"/>
      <c r="DI386" s="48"/>
      <c r="DJ386" s="48"/>
      <c r="DK386" s="48"/>
    </row>
    <row r="387" spans="1:115" x14ac:dyDescent="0.2">
      <c r="A387" s="205" t="s">
        <v>497</v>
      </c>
      <c r="B387" s="48"/>
      <c r="C387" s="1128"/>
      <c r="D387" s="1129"/>
      <c r="E387" s="1129"/>
      <c r="F387" s="1129"/>
      <c r="G387" s="1463"/>
      <c r="H387" s="592"/>
      <c r="I387" s="1128"/>
      <c r="J387" s="1129"/>
      <c r="K387" s="1129"/>
      <c r="L387" s="1129"/>
      <c r="M387" s="1463"/>
      <c r="N387" s="592"/>
      <c r="O387" s="1128"/>
      <c r="P387" s="1129"/>
      <c r="Q387" s="1129"/>
      <c r="R387" s="1129"/>
      <c r="S387" s="1463"/>
      <c r="T387" s="591"/>
      <c r="U387" s="1128"/>
      <c r="V387" s="1129"/>
      <c r="W387" s="1129"/>
      <c r="X387" s="1129"/>
      <c r="Y387" s="1463"/>
      <c r="Z387" s="593"/>
      <c r="AA387" s="1128"/>
      <c r="AB387" s="1129"/>
      <c r="AC387" s="1129"/>
      <c r="AD387" s="1129"/>
      <c r="AE387" s="1463"/>
      <c r="AF387" s="592"/>
      <c r="AG387" s="1131">
        <f>+AG385/AG366</f>
        <v>0.72397061552597397</v>
      </c>
      <c r="AH387" s="1132">
        <f>+AH385/AH366</f>
        <v>0.72116041239860751</v>
      </c>
      <c r="AI387" s="1132">
        <f>+AI385/AI366</f>
        <v>0.72810878883458696</v>
      </c>
      <c r="AJ387" s="1132">
        <f>+AJ385/AJ366</f>
        <v>0.71494100187839227</v>
      </c>
      <c r="AK387" s="1117">
        <f>+AK385/AK366</f>
        <v>0.72178149679399894</v>
      </c>
      <c r="AL387" s="601"/>
      <c r="AM387" s="1131">
        <f>+AM385/AM366</f>
        <v>0.71572528786067691</v>
      </c>
      <c r="AN387" s="1132">
        <f>+AN385/AN366</f>
        <v>0.72438542813621798</v>
      </c>
      <c r="AO387" s="1132">
        <f>+AO385/AO366</f>
        <v>0.71639745258223153</v>
      </c>
      <c r="AP387" s="1132">
        <f>+AP385/AP366</f>
        <v>0.71818537785981995</v>
      </c>
      <c r="AQ387" s="1117">
        <f>+AQ385/AQ366</f>
        <v>0.71862025707099741</v>
      </c>
      <c r="AR387" s="48"/>
      <c r="AS387" s="1131">
        <f>+AS385/AS366</f>
        <v>0.72256257922918277</v>
      </c>
      <c r="AT387" s="1132">
        <f>+AT385/AT366</f>
        <v>0.72900697080201426</v>
      </c>
      <c r="AU387" s="1132">
        <f>+AU385/AU366</f>
        <v>0.71527424407636275</v>
      </c>
      <c r="AV387" s="1132">
        <f>+AV385/AV366</f>
        <v>0.68542551282818021</v>
      </c>
      <c r="AW387" s="1117">
        <f>+AW385/AW366</f>
        <v>0.71170005137863146</v>
      </c>
      <c r="AX387" s="601"/>
      <c r="AY387" s="1131">
        <f>+AY385/AY366</f>
        <v>0.7076735195093482</v>
      </c>
      <c r="AZ387" s="1132">
        <f>+AZ385/AZ366</f>
        <v>0.71310133360241912</v>
      </c>
      <c r="BA387" s="1132">
        <f>+BA385/BA366</f>
        <v>0.71825468551278548</v>
      </c>
      <c r="BB387" s="1132">
        <f>+BB385/BB366</f>
        <v>0.7200575992981888</v>
      </c>
      <c r="BC387" s="1117">
        <f>+BC385/BC366</f>
        <v>0.71499040221418686</v>
      </c>
      <c r="BD387" s="601"/>
      <c r="BE387" s="1131">
        <f>+BE385/BE366</f>
        <v>0.72210253775001976</v>
      </c>
      <c r="BF387" s="1132">
        <f>+BF385/BF366</f>
        <v>0.70608889675486386</v>
      </c>
      <c r="BG387" s="1132">
        <f>+BG385/BG366</f>
        <v>0.7180114325949396</v>
      </c>
      <c r="BH387" s="1132">
        <f>+BH385/BH366</f>
        <v>0.72910627852779342</v>
      </c>
      <c r="BI387" s="1117">
        <f>+BI385/BI366</f>
        <v>0.7191537863292875</v>
      </c>
      <c r="BJ387" s="601"/>
      <c r="BK387" s="1131">
        <f>+BK385/BK366</f>
        <v>0.72412587082076918</v>
      </c>
      <c r="BL387" s="1132">
        <f>+BL385/BL366</f>
        <v>0.71510429088537808</v>
      </c>
      <c r="BM387" s="1132">
        <f>+BM385/BM366</f>
        <v>0.72448085711655585</v>
      </c>
      <c r="BN387" s="1132">
        <f>+BN385/BN366</f>
        <v>0.67674953576674701</v>
      </c>
      <c r="BO387" s="1117">
        <f>+BO385/BO366</f>
        <v>0.7092967715241012</v>
      </c>
      <c r="BP387" s="48"/>
      <c r="BQ387" s="1131">
        <f>+BQ385/BQ366</f>
        <v>0.72999943092234099</v>
      </c>
      <c r="BR387" s="1132">
        <f>+BR385/BR366</f>
        <v>0.70663878593609131</v>
      </c>
      <c r="BS387" s="1132">
        <f>+BS385/BS366</f>
        <v>0.70684541313131632</v>
      </c>
      <c r="BT387" s="1132">
        <f>+BT385/BT366</f>
        <v>0.70610329985652798</v>
      </c>
      <c r="BU387" s="1117">
        <f>+BU385/BU366</f>
        <v>0.71199051548258496</v>
      </c>
      <c r="BV387" s="48"/>
      <c r="BW387" s="1131">
        <f>+BW385/BW366</f>
        <v>0.69526675804932658</v>
      </c>
      <c r="BX387" s="1132">
        <f>+BX385/BX366</f>
        <v>0.70086599763166391</v>
      </c>
      <c r="BY387" s="1132">
        <f>+BY385/BY366</f>
        <v>0.71279802766582512</v>
      </c>
      <c r="BZ387" s="1132">
        <f>+BZ385/BZ366</f>
        <v>0.71158888449313129</v>
      </c>
      <c r="CA387" s="1117">
        <f>+CA385/CA366</f>
        <v>0.70557500013079311</v>
      </c>
      <c r="CB387" s="48"/>
      <c r="CC387" s="1131">
        <f>+CC385/CC366</f>
        <v>0.70561390307032623</v>
      </c>
      <c r="CD387" s="1132">
        <f>+CD385/CD366</f>
        <v>0.70595470329456589</v>
      </c>
      <c r="CE387" s="1132">
        <f>+CE385/CE366</f>
        <v>0.70993413830954999</v>
      </c>
      <c r="CF387" s="1132">
        <f>+CF385/CF366</f>
        <v>0.70562535097063039</v>
      </c>
      <c r="CG387" s="1117">
        <f>+CG385/CG366</f>
        <v>0.70681015199816821</v>
      </c>
      <c r="CH387" s="48"/>
      <c r="CI387" s="1131">
        <f>+CI385/CI366</f>
        <v>0.71865084377551836</v>
      </c>
      <c r="CJ387" s="1132">
        <f>+CJ385/CJ366</f>
        <v>0.71827493243933149</v>
      </c>
      <c r="CK387" s="1132">
        <f>+CK385/CK366</f>
        <v>0.70988754446305447</v>
      </c>
      <c r="CL387" s="1132">
        <f>+CL385/CL366</f>
        <v>0.70371962479360195</v>
      </c>
      <c r="CM387" s="1117">
        <f>+CM385/CM366</f>
        <v>0.7122012984476348</v>
      </c>
      <c r="CN387" s="48"/>
      <c r="CO387" s="1131">
        <f>+CO385/CO366</f>
        <v>0.7192029375238651</v>
      </c>
      <c r="CP387" s="1132">
        <f>+CP385/CP366</f>
        <v>0.71899721832071151</v>
      </c>
      <c r="CQ387" s="1132">
        <f>+CQ385/CQ366</f>
        <v>0.71337435483148381</v>
      </c>
      <c r="CR387" s="1132">
        <f>+CR385/CR366</f>
        <v>0.70841556600912836</v>
      </c>
      <c r="CS387" s="1117">
        <f>+CS385/CS366</f>
        <v>0.71470509646603408</v>
      </c>
      <c r="CT387" s="48"/>
      <c r="CU387" s="1131">
        <f>+CU385/CU366</f>
        <v>0.72107534088268532</v>
      </c>
      <c r="CV387" s="1132">
        <f>+CV385/CV366</f>
        <v>0.72109864824900805</v>
      </c>
      <c r="CW387" s="1132">
        <f>+CW385/CW366</f>
        <v>0.71573369951621679</v>
      </c>
      <c r="CX387" s="1132">
        <f>+CX385/CX366</f>
        <v>0.71125412118181686</v>
      </c>
      <c r="CY387" s="1117">
        <f>+CY385/CY366</f>
        <v>0.71703462458189982</v>
      </c>
      <c r="CZ387" s="48"/>
      <c r="DD387" s="48"/>
      <c r="DE387" s="48"/>
      <c r="DF387" s="48"/>
      <c r="DG387" s="48"/>
      <c r="DH387" s="48"/>
      <c r="DI387" s="48"/>
      <c r="DJ387" s="48"/>
      <c r="DK387" s="48"/>
    </row>
    <row r="388" spans="1:115" x14ac:dyDescent="0.2">
      <c r="A388" s="1139" t="s">
        <v>464</v>
      </c>
      <c r="B388" s="48"/>
      <c r="C388" s="656"/>
      <c r="D388" s="654"/>
      <c r="E388" s="654"/>
      <c r="F388" s="654"/>
      <c r="G388" s="655"/>
      <c r="H388" s="48"/>
      <c r="I388" s="656"/>
      <c r="J388" s="654"/>
      <c r="K388" s="654"/>
      <c r="L388" s="654"/>
      <c r="M388" s="655"/>
      <c r="N388" s="48"/>
      <c r="O388" s="656"/>
      <c r="P388" s="654"/>
      <c r="Q388" s="654"/>
      <c r="R388" s="654"/>
      <c r="S388" s="655"/>
      <c r="T388" s="48"/>
      <c r="U388" s="656"/>
      <c r="V388" s="654"/>
      <c r="W388" s="654"/>
      <c r="X388" s="654"/>
      <c r="Y388" s="655"/>
      <c r="Z388" s="48"/>
      <c r="AA388" s="656"/>
      <c r="AB388" s="654"/>
      <c r="AC388" s="654"/>
      <c r="AD388" s="654"/>
      <c r="AE388" s="655"/>
      <c r="AF388" s="48"/>
      <c r="AG388" s="1131">
        <f t="shared" ref="AG388:AK388" si="72">+AG396/AG$385</f>
        <v>0.29352020018881014</v>
      </c>
      <c r="AH388" s="1132">
        <f t="shared" si="72"/>
        <v>0.2946639836943028</v>
      </c>
      <c r="AI388" s="1132">
        <f t="shared" si="72"/>
        <v>0.29185199143129165</v>
      </c>
      <c r="AJ388" s="1132">
        <f t="shared" si="72"/>
        <v>0.29722732287236359</v>
      </c>
      <c r="AK388" s="1117">
        <f t="shared" si="72"/>
        <v>0.2944104288401409</v>
      </c>
      <c r="AL388" s="48"/>
      <c r="AM388" s="1131">
        <f t="shared" ref="AM388:AQ388" si="73">+AM396/AM$385</f>
        <v>0.29690162357567174</v>
      </c>
      <c r="AN388" s="1132">
        <f t="shared" si="73"/>
        <v>0.29631527127586171</v>
      </c>
      <c r="AO388" s="1132">
        <f t="shared" si="73"/>
        <v>0.26102828719723181</v>
      </c>
      <c r="AP388" s="1132">
        <f t="shared" si="73"/>
        <v>0.23670768751460391</v>
      </c>
      <c r="AQ388" s="1117">
        <f t="shared" si="73"/>
        <v>0.27185476459858227</v>
      </c>
      <c r="AR388" s="48"/>
      <c r="AS388" s="1131">
        <f t="shared" ref="AS388:AW388" si="74">+AS396/AS$385</f>
        <v>0.23991177036299274</v>
      </c>
      <c r="AT388" s="1132">
        <f t="shared" si="74"/>
        <v>0.26000161826447199</v>
      </c>
      <c r="AU388" s="1132">
        <f t="shared" si="74"/>
        <v>0.20862019596835599</v>
      </c>
      <c r="AV388" s="1132">
        <f t="shared" si="74"/>
        <v>0.203725628686829</v>
      </c>
      <c r="AW388" s="1117">
        <f t="shared" si="74"/>
        <v>0.22714582372054509</v>
      </c>
      <c r="AX388" s="48"/>
      <c r="AY388" s="1131">
        <f t="shared" ref="AY388:BC388" si="75">+AY396/AY$385</f>
        <v>0.21160047899954276</v>
      </c>
      <c r="AZ388" s="1132">
        <f t="shared" si="75"/>
        <v>0.19832376526808149</v>
      </c>
      <c r="BA388" s="1132">
        <f t="shared" si="75"/>
        <v>0.1969008268936723</v>
      </c>
      <c r="BB388" s="1132">
        <f t="shared" si="75"/>
        <v>0.14470143684512465</v>
      </c>
      <c r="BC388" s="1117">
        <f t="shared" si="75"/>
        <v>0.18616449518730702</v>
      </c>
      <c r="BD388" s="48"/>
      <c r="BE388" s="1131">
        <f t="shared" ref="BE388:BI388" si="76">+BE396/BE$385</f>
        <v>0.19788747264018489</v>
      </c>
      <c r="BF388" s="1132">
        <f t="shared" si="76"/>
        <v>0.16666212125347968</v>
      </c>
      <c r="BG388" s="1132">
        <f t="shared" si="76"/>
        <v>0.19550297185314264</v>
      </c>
      <c r="BH388" s="1132">
        <f t="shared" si="76"/>
        <v>0.17525836939073564</v>
      </c>
      <c r="BI388" s="1117">
        <f t="shared" si="76"/>
        <v>0.18350425243330451</v>
      </c>
      <c r="BJ388" s="48"/>
      <c r="BK388" s="1131">
        <f t="shared" ref="BK388:BO388" si="77">+BK396/BK$385</f>
        <v>0.13698506205028321</v>
      </c>
      <c r="BL388" s="1132">
        <f t="shared" si="77"/>
        <v>0.11434098287130408</v>
      </c>
      <c r="BM388" s="1132">
        <f t="shared" si="77"/>
        <v>0.12914947470094737</v>
      </c>
      <c r="BN388" s="1132">
        <f t="shared" si="77"/>
        <v>0.13663222222210991</v>
      </c>
      <c r="BO388" s="1117">
        <f t="shared" si="77"/>
        <v>0.12927536889512703</v>
      </c>
      <c r="BP388" s="48"/>
      <c r="BQ388" s="1131">
        <f t="shared" ref="BQ388:BU388" si="78">+BQ396/BQ$385</f>
        <v>0.10603517921435922</v>
      </c>
      <c r="BR388" s="1132">
        <f t="shared" si="78"/>
        <v>8.9651290601830233E-2</v>
      </c>
      <c r="BS388" s="1132">
        <f t="shared" si="78"/>
        <v>8.8844594092317722E-2</v>
      </c>
      <c r="BT388" s="1132">
        <f t="shared" si="78"/>
        <v>9.1887824301436563E-2</v>
      </c>
      <c r="BU388" s="1117">
        <f t="shared" si="78"/>
        <v>9.3974585716143297E-2</v>
      </c>
      <c r="BV388" s="48"/>
      <c r="BW388" s="1131">
        <f t="shared" ref="BW388:CA388" si="79">+BW396/BW$385</f>
        <v>6.784313483748601E-2</v>
      </c>
      <c r="BX388" s="1132">
        <f t="shared" si="79"/>
        <v>6.9687849676288216E-2</v>
      </c>
      <c r="BY388" s="1132">
        <f t="shared" si="79"/>
        <v>6.9159227379571975E-2</v>
      </c>
      <c r="BZ388" s="1132">
        <f t="shared" si="79"/>
        <v>7.9866098279045936E-2</v>
      </c>
      <c r="CA388" s="1117">
        <f t="shared" si="79"/>
        <v>7.1959184242244303E-2</v>
      </c>
      <c r="CB388" s="48"/>
      <c r="CC388" s="1131">
        <f t="shared" ref="CC388:CD388" si="80">+CC396/CC$385</f>
        <v>4.2747213764512008E-2</v>
      </c>
      <c r="CD388" s="1132">
        <f t="shared" si="80"/>
        <v>5.3693317921669675E-2</v>
      </c>
      <c r="CE388" s="1132">
        <f t="shared" ref="CE388:CF388" si="81">+CE396/CE$385</f>
        <v>6.1622639081151259E-2</v>
      </c>
      <c r="CF388" s="1132">
        <f t="shared" si="81"/>
        <v>6.1630746886594187E-2</v>
      </c>
      <c r="CG388" s="1117">
        <f>+CG396/CG$385</f>
        <v>5.558137125323287E-2</v>
      </c>
      <c r="CH388" s="48"/>
      <c r="CI388" s="1131">
        <f t="shared" ref="CI388:CM388" si="82">+CI396/CI$385</f>
        <v>3.4577467027737376E-2</v>
      </c>
      <c r="CJ388" s="1132">
        <f t="shared" si="82"/>
        <v>3.4216508026708045E-2</v>
      </c>
      <c r="CK388" s="1132">
        <f t="shared" si="82"/>
        <v>4.0229906489631484E-2</v>
      </c>
      <c r="CL388" s="1132">
        <f t="shared" si="82"/>
        <v>3.8726001584507563E-2</v>
      </c>
      <c r="CM388" s="1117">
        <f t="shared" si="82"/>
        <v>3.7063022935207093E-2</v>
      </c>
      <c r="CN388" s="48"/>
      <c r="CO388" s="1131">
        <f t="shared" ref="CO388:CS388" si="83">+CO396/CO$385</f>
        <v>2.7026835429083618E-2</v>
      </c>
      <c r="CP388" s="1132">
        <f t="shared" si="83"/>
        <v>2.7499678808624799E-2</v>
      </c>
      <c r="CQ388" s="1132">
        <f t="shared" si="83"/>
        <v>3.2582431893349341E-2</v>
      </c>
      <c r="CR388" s="1132">
        <f t="shared" si="83"/>
        <v>3.0427722887761129E-2</v>
      </c>
      <c r="CS388" s="1117">
        <f t="shared" si="83"/>
        <v>2.9472978391843048E-2</v>
      </c>
      <c r="CT388" s="48"/>
      <c r="CU388" s="1131">
        <f t="shared" ref="CU388:CY388" si="84">+CU396/CU$385</f>
        <v>2.1161790651582253E-2</v>
      </c>
      <c r="CV388" s="1132">
        <f t="shared" si="84"/>
        <v>2.157065213288939E-2</v>
      </c>
      <c r="CW388" s="1132">
        <f t="shared" si="84"/>
        <v>2.551980209628248E-2</v>
      </c>
      <c r="CX388" s="1132">
        <f t="shared" si="84"/>
        <v>2.3794211482116658E-2</v>
      </c>
      <c r="CY388" s="1117">
        <f t="shared" si="84"/>
        <v>2.3076491090972456E-2</v>
      </c>
      <c r="CZ388" s="48"/>
      <c r="DD388" s="48"/>
      <c r="DE388" s="48"/>
      <c r="DF388" s="48"/>
      <c r="DG388" s="48"/>
      <c r="DH388" s="48"/>
      <c r="DI388" s="48"/>
      <c r="DJ388" s="48"/>
      <c r="DK388" s="48"/>
    </row>
    <row r="389" spans="1:115" x14ac:dyDescent="0.2">
      <c r="A389" s="2164" t="s">
        <v>726</v>
      </c>
      <c r="B389" s="48"/>
      <c r="C389" s="2161"/>
      <c r="D389" s="654"/>
      <c r="E389" s="654"/>
      <c r="F389" s="654"/>
      <c r="G389" s="2162"/>
      <c r="H389" s="48"/>
      <c r="I389" s="2161"/>
      <c r="J389" s="654"/>
      <c r="K389" s="654"/>
      <c r="L389" s="654"/>
      <c r="M389" s="2162"/>
      <c r="N389" s="48"/>
      <c r="O389" s="2161"/>
      <c r="P389" s="654"/>
      <c r="Q389" s="654"/>
      <c r="R389" s="654"/>
      <c r="S389" s="2162"/>
      <c r="T389" s="48"/>
      <c r="U389" s="2161"/>
      <c r="V389" s="654"/>
      <c r="W389" s="654"/>
      <c r="X389" s="654"/>
      <c r="Y389" s="2162"/>
      <c r="Z389" s="48"/>
      <c r="AA389" s="2161"/>
      <c r="AB389" s="654"/>
      <c r="AC389" s="654"/>
      <c r="AD389" s="654"/>
      <c r="AE389" s="2162"/>
      <c r="AF389" s="48"/>
      <c r="AG389" s="2133"/>
      <c r="AH389" s="1132"/>
      <c r="AI389" s="1132"/>
      <c r="AJ389" s="1132"/>
      <c r="AK389" s="2160"/>
      <c r="AL389" s="48"/>
      <c r="AM389" s="2133"/>
      <c r="AN389" s="1132"/>
      <c r="AO389" s="1132"/>
      <c r="AP389" s="1132"/>
      <c r="AQ389" s="2160"/>
      <c r="AR389" s="48"/>
      <c r="AS389" s="2133"/>
      <c r="AT389" s="1132"/>
      <c r="AU389" s="1132"/>
      <c r="AV389" s="1132"/>
      <c r="AW389" s="2160"/>
      <c r="AX389" s="48"/>
      <c r="AY389" s="2133"/>
      <c r="AZ389" s="1132"/>
      <c r="BA389" s="1132"/>
      <c r="BB389" s="1132"/>
      <c r="BC389" s="2160"/>
      <c r="BD389" s="48"/>
      <c r="BE389" s="2133"/>
      <c r="BF389" s="1132"/>
      <c r="BG389" s="1132"/>
      <c r="BH389" s="1132"/>
      <c r="BI389" s="2160"/>
      <c r="BJ389" s="48"/>
      <c r="BK389" s="2133"/>
      <c r="BL389" s="1132"/>
      <c r="BM389" s="1132"/>
      <c r="BN389" s="1132"/>
      <c r="BO389" s="2160"/>
      <c r="BP389" s="48"/>
      <c r="BQ389" s="2133"/>
      <c r="BR389" s="1132"/>
      <c r="BS389" s="1132"/>
      <c r="BT389" s="1132"/>
      <c r="BU389" s="2160"/>
      <c r="BV389" s="48"/>
      <c r="BW389" s="2133"/>
      <c r="BX389" s="1132"/>
      <c r="BY389" s="1132"/>
      <c r="BZ389" s="1132"/>
      <c r="CA389" s="2160"/>
      <c r="CB389" s="48"/>
      <c r="CC389" s="2133"/>
      <c r="CD389" s="1132"/>
      <c r="CE389" s="1132"/>
      <c r="CF389" s="1132"/>
      <c r="CG389" s="2160"/>
      <c r="CH389" s="48"/>
      <c r="CI389" s="1131">
        <f t="shared" ref="CI389:CM395" si="85">+CI397/CI$385</f>
        <v>0</v>
      </c>
      <c r="CJ389" s="1132">
        <f t="shared" si="85"/>
        <v>0</v>
      </c>
      <c r="CK389" s="1132">
        <f t="shared" si="85"/>
        <v>2.7266087063409815E-3</v>
      </c>
      <c r="CL389" s="1132">
        <f t="shared" si="85"/>
        <v>4.6702317409699655E-3</v>
      </c>
      <c r="CM389" s="1117">
        <f t="shared" si="85"/>
        <v>1.9667431189702828E-3</v>
      </c>
      <c r="CN389" s="48"/>
      <c r="CO389" s="1131">
        <f t="shared" ref="CO389:CS395" si="86">+CO397/CO$385</f>
        <v>8.9790842144156727E-3</v>
      </c>
      <c r="CP389" s="1132">
        <f t="shared" si="86"/>
        <v>1.6026254002639021E-2</v>
      </c>
      <c r="CQ389" s="1132">
        <f t="shared" si="86"/>
        <v>1.9082875680845584E-2</v>
      </c>
      <c r="CR389" s="1132">
        <f t="shared" si="86"/>
        <v>2.0508298950778596E-2</v>
      </c>
      <c r="CS389" s="1117">
        <f t="shared" si="86"/>
        <v>1.6431192069301988E-2</v>
      </c>
      <c r="CT389" s="48"/>
      <c r="CU389" s="1131">
        <f t="shared" ref="CU389:CY395" si="87">+CU397/CU$385</f>
        <v>2.7336258441103791E-2</v>
      </c>
      <c r="CV389" s="1132">
        <f t="shared" si="87"/>
        <v>2.8688787971072372E-2</v>
      </c>
      <c r="CW389" s="1132">
        <f t="shared" si="87"/>
        <v>3.2207414254071018E-2</v>
      </c>
      <c r="CX389" s="1132">
        <f t="shared" si="87"/>
        <v>3.3078076803540649E-2</v>
      </c>
      <c r="CY389" s="1117">
        <f t="shared" si="87"/>
        <v>3.0463621730134113E-2</v>
      </c>
      <c r="CZ389" s="48"/>
      <c r="DD389" s="48"/>
      <c r="DE389" s="48"/>
      <c r="DF389" s="48"/>
      <c r="DG389" s="48"/>
      <c r="DH389" s="48"/>
      <c r="DI389" s="48"/>
      <c r="DJ389" s="48"/>
      <c r="DK389" s="48"/>
    </row>
    <row r="390" spans="1:115" x14ac:dyDescent="0.2">
      <c r="A390" s="1139" t="s">
        <v>465</v>
      </c>
      <c r="B390" s="48"/>
      <c r="C390" s="656"/>
      <c r="D390" s="654"/>
      <c r="E390" s="654"/>
      <c r="F390" s="654"/>
      <c r="G390" s="655"/>
      <c r="H390" s="48"/>
      <c r="I390" s="656"/>
      <c r="J390" s="654"/>
      <c r="K390" s="654"/>
      <c r="L390" s="654"/>
      <c r="M390" s="655"/>
      <c r="N390" s="48"/>
      <c r="O390" s="656"/>
      <c r="P390" s="654"/>
      <c r="Q390" s="654"/>
      <c r="R390" s="654"/>
      <c r="S390" s="655"/>
      <c r="T390" s="48"/>
      <c r="U390" s="656"/>
      <c r="V390" s="654"/>
      <c r="W390" s="654"/>
      <c r="X390" s="654"/>
      <c r="Y390" s="655"/>
      <c r="Z390" s="48"/>
      <c r="AA390" s="656"/>
      <c r="AB390" s="654"/>
      <c r="AC390" s="654"/>
      <c r="AD390" s="654"/>
      <c r="AE390" s="655"/>
      <c r="AF390" s="48"/>
      <c r="AG390" s="1131">
        <f t="shared" ref="AG390:AK395" si="88">+AG398/AG$385</f>
        <v>0</v>
      </c>
      <c r="AH390" s="1132">
        <f t="shared" si="88"/>
        <v>0</v>
      </c>
      <c r="AI390" s="1132">
        <f t="shared" si="88"/>
        <v>0</v>
      </c>
      <c r="AJ390" s="1132">
        <f t="shared" si="88"/>
        <v>0</v>
      </c>
      <c r="AK390" s="1117">
        <f t="shared" si="88"/>
        <v>0</v>
      </c>
      <c r="AL390" s="48"/>
      <c r="AM390" s="1131">
        <f t="shared" ref="AM390:AQ395" si="89">+AM398/AM$385</f>
        <v>0</v>
      </c>
      <c r="AN390" s="1132">
        <f t="shared" si="89"/>
        <v>0</v>
      </c>
      <c r="AO390" s="1132">
        <f t="shared" si="89"/>
        <v>0</v>
      </c>
      <c r="AP390" s="1132">
        <f t="shared" si="89"/>
        <v>0</v>
      </c>
      <c r="AQ390" s="1117">
        <f t="shared" si="89"/>
        <v>0</v>
      </c>
      <c r="AR390" s="48"/>
      <c r="AS390" s="1131">
        <f t="shared" ref="AS390:AW395" si="90">+AS398/AS$385</f>
        <v>0</v>
      </c>
      <c r="AT390" s="1132">
        <f t="shared" si="90"/>
        <v>0</v>
      </c>
      <c r="AU390" s="1132">
        <f t="shared" si="90"/>
        <v>4.1160130086337059E-2</v>
      </c>
      <c r="AV390" s="1132">
        <f t="shared" si="90"/>
        <v>3.8478317773318199E-2</v>
      </c>
      <c r="AW390" s="1117">
        <f t="shared" si="90"/>
        <v>2.0810585831504524E-2</v>
      </c>
      <c r="AX390" s="48"/>
      <c r="AY390" s="1131">
        <f t="shared" ref="AY390:BC395" si="91">+AY398/AY$385</f>
        <v>4.6479477523001377E-2</v>
      </c>
      <c r="AZ390" s="1132">
        <f t="shared" si="91"/>
        <v>5.043957749436264E-2</v>
      </c>
      <c r="BA390" s="1132">
        <f t="shared" si="91"/>
        <v>4.8079739264757289E-2</v>
      </c>
      <c r="BB390" s="1132">
        <f t="shared" si="91"/>
        <v>4.7216200097168433E-2</v>
      </c>
      <c r="BC390" s="1117">
        <f t="shared" si="91"/>
        <v>4.8041630585571697E-2</v>
      </c>
      <c r="BD390" s="48"/>
      <c r="BE390" s="1131">
        <f t="shared" ref="BE390:BI395" si="92">+BE398/BE$385</f>
        <v>5.9627667793414857E-2</v>
      </c>
      <c r="BF390" s="1132">
        <f t="shared" si="92"/>
        <v>6.7839463570659536E-2</v>
      </c>
      <c r="BG390" s="1132">
        <f t="shared" si="92"/>
        <v>6.2933230187888392E-2</v>
      </c>
      <c r="BH390" s="1132">
        <f t="shared" si="92"/>
        <v>6.0465182024088071E-2</v>
      </c>
      <c r="BI390" s="1117">
        <f t="shared" si="92"/>
        <v>6.2634178111078007E-2</v>
      </c>
      <c r="BJ390" s="48"/>
      <c r="BK390" s="1131">
        <f t="shared" ref="BK390:BO395" si="93">+BK398/BK$385</f>
        <v>7.403075477116676E-2</v>
      </c>
      <c r="BL390" s="1132">
        <f t="shared" si="93"/>
        <v>7.1827043640155533E-2</v>
      </c>
      <c r="BM390" s="1132">
        <f t="shared" si="93"/>
        <v>7.124037807307336E-2</v>
      </c>
      <c r="BN390" s="1132">
        <f t="shared" si="93"/>
        <v>7.1180859864525062E-2</v>
      </c>
      <c r="BO390" s="1117">
        <f t="shared" si="93"/>
        <v>7.2042302419570228E-2</v>
      </c>
      <c r="BP390" s="48"/>
      <c r="BQ390" s="1131">
        <f t="shared" ref="BQ390:BU395" si="94">+BQ398/BQ$385</f>
        <v>8.2733513079670112E-2</v>
      </c>
      <c r="BR390" s="1132">
        <f t="shared" si="94"/>
        <v>7.941811890464201E-2</v>
      </c>
      <c r="BS390" s="1132">
        <f t="shared" si="94"/>
        <v>9.2777400987649902E-2</v>
      </c>
      <c r="BT390" s="1132">
        <f t="shared" si="94"/>
        <v>8.1874899320131492E-2</v>
      </c>
      <c r="BU390" s="1117">
        <f t="shared" si="94"/>
        <v>8.4129552610723898E-2</v>
      </c>
      <c r="BV390" s="48"/>
      <c r="BW390" s="1131">
        <f t="shared" ref="BW390:CA395" si="95">+BW398/BW$385</f>
        <v>0.10335367171142144</v>
      </c>
      <c r="BX390" s="1132">
        <f t="shared" si="95"/>
        <v>9.8645350269299575E-2</v>
      </c>
      <c r="BY390" s="1132">
        <f t="shared" si="95"/>
        <v>0.11593570790990569</v>
      </c>
      <c r="BZ390" s="1132">
        <f t="shared" si="95"/>
        <v>0.10473885355862998</v>
      </c>
      <c r="CA390" s="1117">
        <f t="shared" si="95"/>
        <v>0.10578491151582438</v>
      </c>
      <c r="CB390" s="48"/>
      <c r="CC390" s="1131">
        <f t="shared" ref="CC390:CD390" si="96">+CC398/CC$385</f>
        <v>0.11501702987740922</v>
      </c>
      <c r="CD390" s="1132">
        <f t="shared" si="96"/>
        <v>0.12654722460878751</v>
      </c>
      <c r="CE390" s="1132">
        <f t="shared" ref="CE390:CF390" si="97">+CE398/CE$385</f>
        <v>0.13921658405847886</v>
      </c>
      <c r="CF390" s="1132">
        <f t="shared" si="97"/>
        <v>0.12129446539660425</v>
      </c>
      <c r="CG390" s="1117">
        <f t="shared" ref="CG390:CG395" si="98">+CG398/CG$385</f>
        <v>0.12584684630325074</v>
      </c>
      <c r="CH390" s="48"/>
      <c r="CI390" s="1131">
        <f t="shared" si="85"/>
        <v>0.12329805510472332</v>
      </c>
      <c r="CJ390" s="1132">
        <f t="shared" si="85"/>
        <v>0.13838907399818212</v>
      </c>
      <c r="CK390" s="1132">
        <f t="shared" si="85"/>
        <v>0.16117078454566075</v>
      </c>
      <c r="CL390" s="1132">
        <f t="shared" si="85"/>
        <v>0.1282694836322506</v>
      </c>
      <c r="CM390" s="1117">
        <f t="shared" si="85"/>
        <v>0.13816197987324735</v>
      </c>
      <c r="CN390" s="48"/>
      <c r="CO390" s="1131">
        <f t="shared" si="86"/>
        <v>0.16645144328665371</v>
      </c>
      <c r="CP390" s="1132">
        <f t="shared" si="86"/>
        <v>0.15424720354149998</v>
      </c>
      <c r="CQ390" s="1132">
        <f t="shared" si="86"/>
        <v>0.15134366602243399</v>
      </c>
      <c r="CR390" s="1132">
        <f t="shared" si="86"/>
        <v>0.14046362196949616</v>
      </c>
      <c r="CS390" s="1117">
        <f t="shared" si="86"/>
        <v>0.15249978286949462</v>
      </c>
      <c r="CT390" s="48"/>
      <c r="CU390" s="1131">
        <f t="shared" si="87"/>
        <v>0.17394243226872247</v>
      </c>
      <c r="CV390" s="1132">
        <f t="shared" si="87"/>
        <v>0.16208603942686509</v>
      </c>
      <c r="CW390" s="1132">
        <f t="shared" si="87"/>
        <v>0.15932576094287074</v>
      </c>
      <c r="CX390" s="1132">
        <f t="shared" si="87"/>
        <v>0.14789885261832619</v>
      </c>
      <c r="CY390" s="1117">
        <f t="shared" si="87"/>
        <v>0.16021015220570009</v>
      </c>
      <c r="CZ390" s="48"/>
      <c r="DD390" s="48"/>
      <c r="DE390" s="48"/>
      <c r="DF390" s="48"/>
      <c r="DG390" s="48"/>
      <c r="DH390" s="48"/>
      <c r="DI390" s="48"/>
      <c r="DJ390" s="48"/>
      <c r="DK390" s="48"/>
    </row>
    <row r="391" spans="1:115" x14ac:dyDescent="0.2">
      <c r="A391" s="1139" t="s">
        <v>640</v>
      </c>
      <c r="B391" s="48"/>
      <c r="C391" s="656"/>
      <c r="D391" s="654"/>
      <c r="E391" s="654"/>
      <c r="F391" s="654"/>
      <c r="G391" s="655"/>
      <c r="H391" s="48"/>
      <c r="I391" s="656"/>
      <c r="J391" s="654"/>
      <c r="K391" s="654"/>
      <c r="L391" s="654"/>
      <c r="M391" s="655"/>
      <c r="N391" s="48"/>
      <c r="O391" s="656"/>
      <c r="P391" s="654"/>
      <c r="Q391" s="654"/>
      <c r="R391" s="654"/>
      <c r="S391" s="655"/>
      <c r="T391" s="48"/>
      <c r="U391" s="656"/>
      <c r="V391" s="654"/>
      <c r="W391" s="654"/>
      <c r="X391" s="654"/>
      <c r="Y391" s="655"/>
      <c r="Z391" s="48"/>
      <c r="AA391" s="656"/>
      <c r="AB391" s="654"/>
      <c r="AC391" s="654"/>
      <c r="AD391" s="654"/>
      <c r="AE391" s="655"/>
      <c r="AF391" s="48"/>
      <c r="AG391" s="1131">
        <f t="shared" si="88"/>
        <v>0</v>
      </c>
      <c r="AH391" s="1132">
        <f t="shared" si="88"/>
        <v>0</v>
      </c>
      <c r="AI391" s="1132">
        <f t="shared" si="88"/>
        <v>0</v>
      </c>
      <c r="AJ391" s="1132">
        <f t="shared" si="88"/>
        <v>5.4433815737904784E-3</v>
      </c>
      <c r="AK391" s="1117">
        <f t="shared" si="88"/>
        <v>1.5434787679060686E-3</v>
      </c>
      <c r="AL391" s="48"/>
      <c r="AM391" s="1131">
        <f t="shared" si="89"/>
        <v>9.1563960002536849E-3</v>
      </c>
      <c r="AN391" s="1132">
        <f t="shared" si="89"/>
        <v>8.9169134740931816E-3</v>
      </c>
      <c r="AO391" s="1132">
        <f t="shared" si="89"/>
        <v>9.7598208833706481E-3</v>
      </c>
      <c r="AP391" s="1132">
        <f t="shared" si="89"/>
        <v>9.7467871329542811E-3</v>
      </c>
      <c r="AQ391" s="1117">
        <f t="shared" si="89"/>
        <v>9.4062101539069375E-3</v>
      </c>
      <c r="AR391" s="48"/>
      <c r="AS391" s="1131">
        <f t="shared" si="90"/>
        <v>1.0906110564132642E-2</v>
      </c>
      <c r="AT391" s="1132">
        <f t="shared" si="90"/>
        <v>1.0719025419403136E-2</v>
      </c>
      <c r="AU391" s="1132">
        <f t="shared" si="90"/>
        <v>1.1263986217042856E-2</v>
      </c>
      <c r="AV391" s="1132">
        <f t="shared" si="90"/>
        <v>1.1222842683884474E-2</v>
      </c>
      <c r="AW391" s="1117">
        <f t="shared" si="90"/>
        <v>1.1035916728828156E-2</v>
      </c>
      <c r="AX391" s="48"/>
      <c r="AY391" s="1131">
        <f t="shared" si="91"/>
        <v>1.216832721552176E-2</v>
      </c>
      <c r="AZ391" s="1132">
        <f t="shared" si="91"/>
        <v>1.2811424450185783E-2</v>
      </c>
      <c r="BA391" s="1132">
        <f t="shared" si="91"/>
        <v>1.355515952360254E-2</v>
      </c>
      <c r="BB391" s="1132">
        <f t="shared" si="91"/>
        <v>1.3122738184455949E-2</v>
      </c>
      <c r="BC391" s="1117">
        <f t="shared" si="91"/>
        <v>1.2928854618674492E-2</v>
      </c>
      <c r="BD391" s="48"/>
      <c r="BE391" s="1131">
        <f t="shared" si="92"/>
        <v>1.2596857850583679E-2</v>
      </c>
      <c r="BF391" s="1132">
        <f t="shared" si="92"/>
        <v>1.1201558758364479E-2</v>
      </c>
      <c r="BG391" s="1132">
        <f t="shared" si="92"/>
        <v>1.2510580645161293E-2</v>
      </c>
      <c r="BH391" s="1132">
        <f t="shared" si="92"/>
        <v>9.9464089150145835E-3</v>
      </c>
      <c r="BI391" s="1117">
        <f t="shared" si="92"/>
        <v>1.1497889548702435E-2</v>
      </c>
      <c r="BJ391" s="48"/>
      <c r="BK391" s="1131">
        <f t="shared" si="93"/>
        <v>1.2012039200584813E-2</v>
      </c>
      <c r="BL391" s="1132">
        <f t="shared" si="93"/>
        <v>1.3058732738349047E-2</v>
      </c>
      <c r="BM391" s="1132">
        <f t="shared" si="93"/>
        <v>1.5439265864395389E-2</v>
      </c>
      <c r="BN391" s="1132">
        <f t="shared" si="93"/>
        <v>1.5920342373186777E-2</v>
      </c>
      <c r="BO391" s="1117">
        <f t="shared" si="93"/>
        <v>1.4146854705348233E-2</v>
      </c>
      <c r="BP391" s="48"/>
      <c r="BQ391" s="1131">
        <f t="shared" si="94"/>
        <v>9.889943705329713E-3</v>
      </c>
      <c r="BR391" s="1132">
        <f t="shared" si="94"/>
        <v>1.1447549564374051E-2</v>
      </c>
      <c r="BS391" s="1132">
        <f t="shared" si="94"/>
        <v>1.755094991679635E-2</v>
      </c>
      <c r="BT391" s="1132">
        <f t="shared" si="94"/>
        <v>1.5118191759164814E-2</v>
      </c>
      <c r="BU391" s="1117">
        <f t="shared" si="94"/>
        <v>1.3552990650534634E-2</v>
      </c>
      <c r="BV391" s="48"/>
      <c r="BW391" s="1131">
        <f t="shared" si="95"/>
        <v>1.0290439023915889E-2</v>
      </c>
      <c r="BX391" s="1132">
        <f t="shared" si="95"/>
        <v>9.2044011909225096E-3</v>
      </c>
      <c r="BY391" s="1132">
        <f t="shared" si="95"/>
        <v>1.6030381977660754E-2</v>
      </c>
      <c r="BZ391" s="1132">
        <f t="shared" si="95"/>
        <v>1.4188582603324576E-2</v>
      </c>
      <c r="CA391" s="1117">
        <f t="shared" si="95"/>
        <v>1.2565550954784668E-2</v>
      </c>
      <c r="CB391" s="48"/>
      <c r="CC391" s="1131">
        <f t="shared" ref="CC391:CD391" si="99">+CC399/CC$385</f>
        <v>1.0384866229868232E-2</v>
      </c>
      <c r="CD391" s="1132">
        <f t="shared" si="99"/>
        <v>9.2429443912904648E-3</v>
      </c>
      <c r="CE391" s="1132">
        <f t="shared" ref="CE391:CF391" si="100">+CE399/CE$385</f>
        <v>1.6244641403718722E-2</v>
      </c>
      <c r="CF391" s="1132">
        <f t="shared" si="100"/>
        <v>1.4572616432436019E-2</v>
      </c>
      <c r="CG391" s="1117">
        <f t="shared" si="98"/>
        <v>1.278458626736108E-2</v>
      </c>
      <c r="CH391" s="48"/>
      <c r="CI391" s="1131">
        <f t="shared" si="85"/>
        <v>1.0564616958521095E-2</v>
      </c>
      <c r="CJ391" s="1132">
        <f t="shared" si="85"/>
        <v>9.3241143127253626E-3</v>
      </c>
      <c r="CK391" s="1132">
        <f t="shared" si="85"/>
        <v>1.6526743792257301E-2</v>
      </c>
      <c r="CL391" s="1132">
        <f t="shared" si="85"/>
        <v>1.5129362398252903E-2</v>
      </c>
      <c r="CM391" s="1117">
        <f t="shared" si="85"/>
        <v>1.3021475551802943E-2</v>
      </c>
      <c r="CN391" s="48"/>
      <c r="CO391" s="1131">
        <f t="shared" si="86"/>
        <v>9.9835071795418007E-3</v>
      </c>
      <c r="CP391" s="1132">
        <f t="shared" si="86"/>
        <v>9.0935014022551948E-3</v>
      </c>
      <c r="CQ391" s="1132">
        <f t="shared" si="86"/>
        <v>1.6295005946542176E-2</v>
      </c>
      <c r="CR391" s="1132">
        <f t="shared" si="86"/>
        <v>1.4496701458707007E-2</v>
      </c>
      <c r="CS391" s="1117">
        <f t="shared" si="86"/>
        <v>1.2584683866577021E-2</v>
      </c>
      <c r="CT391" s="48"/>
      <c r="CU391" s="1131">
        <f t="shared" si="87"/>
        <v>9.4434876738668672E-3</v>
      </c>
      <c r="CV391" s="1132">
        <f t="shared" si="87"/>
        <v>8.6494951443681356E-3</v>
      </c>
      <c r="CW391" s="1132">
        <f t="shared" si="87"/>
        <v>1.5527716195963397E-2</v>
      </c>
      <c r="CX391" s="1132">
        <f t="shared" si="87"/>
        <v>1.3816608347513531E-2</v>
      </c>
      <c r="CY391" s="1117">
        <f t="shared" si="87"/>
        <v>1.1967251768340657E-2</v>
      </c>
      <c r="CZ391" s="48"/>
      <c r="DD391" s="48"/>
      <c r="DE391" s="48"/>
      <c r="DF391" s="48"/>
      <c r="DG391" s="48"/>
      <c r="DH391" s="48"/>
      <c r="DI391" s="48"/>
      <c r="DJ391" s="48"/>
      <c r="DK391" s="48"/>
    </row>
    <row r="392" spans="1:115" x14ac:dyDescent="0.2">
      <c r="A392" s="1139" t="s">
        <v>469</v>
      </c>
      <c r="B392" s="48"/>
      <c r="C392" s="656"/>
      <c r="D392" s="654"/>
      <c r="E392" s="654"/>
      <c r="F392" s="654"/>
      <c r="G392" s="655"/>
      <c r="H392" s="48"/>
      <c r="I392" s="656"/>
      <c r="J392" s="654"/>
      <c r="K392" s="654"/>
      <c r="L392" s="654"/>
      <c r="M392" s="655"/>
      <c r="N392" s="48"/>
      <c r="O392" s="656"/>
      <c r="P392" s="654"/>
      <c r="Q392" s="654"/>
      <c r="R392" s="654"/>
      <c r="S392" s="655"/>
      <c r="T392" s="48"/>
      <c r="U392" s="656"/>
      <c r="V392" s="654"/>
      <c r="W392" s="654"/>
      <c r="X392" s="654"/>
      <c r="Y392" s="655"/>
      <c r="Z392" s="48"/>
      <c r="AA392" s="656"/>
      <c r="AB392" s="654"/>
      <c r="AC392" s="654"/>
      <c r="AD392" s="654"/>
      <c r="AE392" s="655"/>
      <c r="AF392" s="48"/>
      <c r="AG392" s="1131">
        <f t="shared" si="88"/>
        <v>4.3021525611288596E-3</v>
      </c>
      <c r="AH392" s="1132">
        <f t="shared" si="88"/>
        <v>4.3846100547949955E-3</v>
      </c>
      <c r="AI392" s="1132">
        <f t="shared" si="88"/>
        <v>4.3934465249127258E-3</v>
      </c>
      <c r="AJ392" s="1132">
        <f t="shared" si="88"/>
        <v>4.3637775616553664E-3</v>
      </c>
      <c r="AK392" s="1117">
        <f t="shared" si="88"/>
        <v>4.3628999839478207E-3</v>
      </c>
      <c r="AL392" s="48"/>
      <c r="AM392" s="1131">
        <f t="shared" si="89"/>
        <v>8.5826348223157108E-3</v>
      </c>
      <c r="AN392" s="1132">
        <f t="shared" si="89"/>
        <v>1.1230368194218866E-2</v>
      </c>
      <c r="AO392" s="1132">
        <f t="shared" si="89"/>
        <v>1.3213572409932832E-2</v>
      </c>
      <c r="AP392" s="1132">
        <f t="shared" si="89"/>
        <v>1.5558679852402831E-2</v>
      </c>
      <c r="AQ392" s="1117">
        <f t="shared" si="89"/>
        <v>1.2228230403739536E-2</v>
      </c>
      <c r="AR392" s="48"/>
      <c r="AS392" s="1131">
        <f t="shared" si="90"/>
        <v>1.5800052474447272E-2</v>
      </c>
      <c r="AT392" s="1132">
        <f t="shared" si="90"/>
        <v>1.6201030011890886E-2</v>
      </c>
      <c r="AU392" s="1132">
        <f t="shared" si="90"/>
        <v>1.8485195820176482E-2</v>
      </c>
      <c r="AV392" s="1132">
        <f t="shared" si="90"/>
        <v>1.6679284095305748E-2</v>
      </c>
      <c r="AW392" s="1117">
        <f t="shared" si="90"/>
        <v>1.6807679659496186E-2</v>
      </c>
      <c r="AX392" s="48"/>
      <c r="AY392" s="1131">
        <f t="shared" si="91"/>
        <v>2.712946829501876E-2</v>
      </c>
      <c r="AZ392" s="1132">
        <f t="shared" si="91"/>
        <v>2.8590707446161073E-2</v>
      </c>
      <c r="BA392" s="1132">
        <f t="shared" si="91"/>
        <v>3.1734516470231906E-2</v>
      </c>
      <c r="BB392" s="1132">
        <f t="shared" si="91"/>
        <v>3.0654233971049886E-2</v>
      </c>
      <c r="BC392" s="1117">
        <f t="shared" si="91"/>
        <v>2.9589091546941691E-2</v>
      </c>
      <c r="BD392" s="48"/>
      <c r="BE392" s="1131">
        <f t="shared" si="92"/>
        <v>4.1244866665604653E-2</v>
      </c>
      <c r="BF392" s="1132">
        <f t="shared" si="92"/>
        <v>4.3948926215510199E-2</v>
      </c>
      <c r="BG392" s="1132">
        <f t="shared" si="92"/>
        <v>4.6088316062206182E-2</v>
      </c>
      <c r="BH392" s="1132">
        <f t="shared" si="92"/>
        <v>4.4194852543033514E-2</v>
      </c>
      <c r="BI392" s="1117">
        <f t="shared" si="92"/>
        <v>4.3916628891710829E-2</v>
      </c>
      <c r="BJ392" s="48"/>
      <c r="BK392" s="1131">
        <f t="shared" si="93"/>
        <v>5.2169797368633482E-2</v>
      </c>
      <c r="BL392" s="1132">
        <f t="shared" si="93"/>
        <v>5.4832434202027054E-2</v>
      </c>
      <c r="BM392" s="1132">
        <f t="shared" si="93"/>
        <v>5.7011063061914918E-2</v>
      </c>
      <c r="BN392" s="1132">
        <f t="shared" si="93"/>
        <v>6.0091164654485593E-2</v>
      </c>
      <c r="BO392" s="1117">
        <f t="shared" si="93"/>
        <v>5.6093037518508533E-2</v>
      </c>
      <c r="BP392" s="48"/>
      <c r="BQ392" s="1131">
        <f t="shared" si="94"/>
        <v>6.7060065990626208E-2</v>
      </c>
      <c r="BR392" s="1132">
        <f t="shared" si="94"/>
        <v>6.8830325224104844E-2</v>
      </c>
      <c r="BS392" s="1132">
        <f t="shared" si="94"/>
        <v>7.1917516056166322E-2</v>
      </c>
      <c r="BT392" s="1132">
        <f t="shared" si="94"/>
        <v>7.024058610328951E-2</v>
      </c>
      <c r="BU392" s="1117">
        <f t="shared" si="94"/>
        <v>6.9540025386398016E-2</v>
      </c>
      <c r="BV392" s="48"/>
      <c r="BW392" s="1131">
        <f t="shared" si="95"/>
        <v>8.5883202489317037E-2</v>
      </c>
      <c r="BX392" s="1132">
        <f t="shared" si="95"/>
        <v>8.2033558277180146E-2</v>
      </c>
      <c r="BY392" s="1132">
        <f t="shared" si="95"/>
        <v>8.2742060414405502E-2</v>
      </c>
      <c r="BZ392" s="1132">
        <f t="shared" si="95"/>
        <v>8.0895029173661218E-2</v>
      </c>
      <c r="CA392" s="1117">
        <f t="shared" si="95"/>
        <v>8.2746150766442927E-2</v>
      </c>
      <c r="CB392" s="48"/>
      <c r="CC392" s="1131">
        <f t="shared" ref="CC392:CD392" si="101">+CC400/CC$385</f>
        <v>0.10060662823443085</v>
      </c>
      <c r="CD392" s="1132">
        <f t="shared" si="101"/>
        <v>9.6581558805709511E-2</v>
      </c>
      <c r="CE392" s="1132">
        <f t="shared" ref="CE392:CF392" si="102">+CE400/CE$385</f>
        <v>9.7902678787706462E-2</v>
      </c>
      <c r="CF392" s="1132">
        <f t="shared" si="102"/>
        <v>9.7333635158129941E-2</v>
      </c>
      <c r="CG392" s="1117">
        <f t="shared" si="98"/>
        <v>9.8005061531965601E-2</v>
      </c>
      <c r="CH392" s="48"/>
      <c r="CI392" s="1131">
        <f t="shared" si="85"/>
        <v>0.11327499225102899</v>
      </c>
      <c r="CJ392" s="1132">
        <f t="shared" si="85"/>
        <v>0.10711118757473612</v>
      </c>
      <c r="CK392" s="1132">
        <f t="shared" si="85"/>
        <v>0.10877624213210881</v>
      </c>
      <c r="CL392" s="1132">
        <f t="shared" si="85"/>
        <v>0.10939607837050484</v>
      </c>
      <c r="CM392" s="1117">
        <f t="shared" si="85"/>
        <v>0.10951857691328185</v>
      </c>
      <c r="CN392" s="48"/>
      <c r="CO392" s="1131">
        <f t="shared" si="86"/>
        <v>0.12057638133216353</v>
      </c>
      <c r="CP392" s="1132">
        <f t="shared" si="86"/>
        <v>0.11699542358001636</v>
      </c>
      <c r="CQ392" s="1132">
        <f t="shared" si="86"/>
        <v>0.11937804528324315</v>
      </c>
      <c r="CR392" s="1132">
        <f t="shared" si="86"/>
        <v>0.1160096957887459</v>
      </c>
      <c r="CS392" s="1117">
        <f t="shared" si="86"/>
        <v>0.11813340621077886</v>
      </c>
      <c r="CT392" s="48"/>
      <c r="CU392" s="1131">
        <f t="shared" si="87"/>
        <v>0.12583040198019071</v>
      </c>
      <c r="CV392" s="1132">
        <f t="shared" si="87"/>
        <v>0.12238378065039966</v>
      </c>
      <c r="CW392" s="1132">
        <f t="shared" si="87"/>
        <v>0.12466552647751457</v>
      </c>
      <c r="CX392" s="1132">
        <f t="shared" si="87"/>
        <v>0.12077650250712217</v>
      </c>
      <c r="CY392" s="1117">
        <f t="shared" si="87"/>
        <v>0.12329994640523885</v>
      </c>
      <c r="CZ392" s="48"/>
      <c r="DD392" s="48"/>
      <c r="DE392" s="48"/>
      <c r="DF392" s="48"/>
      <c r="DG392" s="48"/>
      <c r="DH392" s="48"/>
      <c r="DI392" s="48"/>
      <c r="DJ392" s="48"/>
      <c r="DK392" s="48"/>
    </row>
    <row r="393" spans="1:115" x14ac:dyDescent="0.2">
      <c r="A393" s="1139" t="s">
        <v>466</v>
      </c>
      <c r="B393" s="48"/>
      <c r="C393" s="656"/>
      <c r="D393" s="654"/>
      <c r="E393" s="654"/>
      <c r="F393" s="654"/>
      <c r="G393" s="655"/>
      <c r="H393" s="48"/>
      <c r="I393" s="656"/>
      <c r="J393" s="654"/>
      <c r="K393" s="654"/>
      <c r="L393" s="654"/>
      <c r="M393" s="655"/>
      <c r="N393" s="48"/>
      <c r="O393" s="656"/>
      <c r="P393" s="654"/>
      <c r="Q393" s="654"/>
      <c r="R393" s="654"/>
      <c r="S393" s="655"/>
      <c r="T393" s="48"/>
      <c r="U393" s="656"/>
      <c r="V393" s="654"/>
      <c r="W393" s="654"/>
      <c r="X393" s="654"/>
      <c r="Y393" s="655"/>
      <c r="Z393" s="48"/>
      <c r="AA393" s="656"/>
      <c r="AB393" s="654"/>
      <c r="AC393" s="654"/>
      <c r="AD393" s="654"/>
      <c r="AE393" s="655"/>
      <c r="AF393" s="48"/>
      <c r="AG393" s="1131">
        <f t="shared" si="88"/>
        <v>0</v>
      </c>
      <c r="AH393" s="1132">
        <f t="shared" si="88"/>
        <v>0</v>
      </c>
      <c r="AI393" s="1132">
        <f t="shared" si="88"/>
        <v>0</v>
      </c>
      <c r="AJ393" s="1132">
        <f t="shared" si="88"/>
        <v>0</v>
      </c>
      <c r="AK393" s="1117">
        <f t="shared" si="88"/>
        <v>0</v>
      </c>
      <c r="AL393" s="48"/>
      <c r="AM393" s="1131">
        <f t="shared" si="89"/>
        <v>0</v>
      </c>
      <c r="AN393" s="1132">
        <f t="shared" si="89"/>
        <v>0</v>
      </c>
      <c r="AO393" s="1132">
        <f t="shared" si="89"/>
        <v>0</v>
      </c>
      <c r="AP393" s="1132">
        <f t="shared" si="89"/>
        <v>0</v>
      </c>
      <c r="AQ393" s="1117">
        <f t="shared" si="89"/>
        <v>0</v>
      </c>
      <c r="AR393" s="48"/>
      <c r="AS393" s="1131">
        <f t="shared" si="90"/>
        <v>0</v>
      </c>
      <c r="AT393" s="1132">
        <f t="shared" si="90"/>
        <v>0</v>
      </c>
      <c r="AU393" s="1132">
        <f t="shared" si="90"/>
        <v>0</v>
      </c>
      <c r="AV393" s="1132">
        <f t="shared" si="90"/>
        <v>0</v>
      </c>
      <c r="AW393" s="1117">
        <f t="shared" si="90"/>
        <v>0</v>
      </c>
      <c r="AX393" s="48"/>
      <c r="AY393" s="1131">
        <f t="shared" si="91"/>
        <v>1.468274777136864E-2</v>
      </c>
      <c r="AZ393" s="1132">
        <f t="shared" si="91"/>
        <v>1.4059176351369858E-2</v>
      </c>
      <c r="BA393" s="1132">
        <f t="shared" si="91"/>
        <v>1.4092433552803161E-2</v>
      </c>
      <c r="BB393" s="1132">
        <f t="shared" si="91"/>
        <v>1.234355149625486E-2</v>
      </c>
      <c r="BC393" s="1117">
        <f t="shared" si="91"/>
        <v>1.3735834920238504E-2</v>
      </c>
      <c r="BD393" s="48"/>
      <c r="BE393" s="1131">
        <f t="shared" si="92"/>
        <v>1.2043081386596597E-2</v>
      </c>
      <c r="BF393" s="1132">
        <f t="shared" si="92"/>
        <v>1.4573775261285057E-2</v>
      </c>
      <c r="BG393" s="1132">
        <f t="shared" si="92"/>
        <v>3.8795698924731184E-2</v>
      </c>
      <c r="BH393" s="1132">
        <f t="shared" si="92"/>
        <v>3.8280697374443479E-2</v>
      </c>
      <c r="BI393" s="1117">
        <f t="shared" si="92"/>
        <v>2.6648472417511185E-2</v>
      </c>
      <c r="BJ393" s="48"/>
      <c r="BK393" s="1131">
        <f t="shared" si="93"/>
        <v>3.4462052580737805E-2</v>
      </c>
      <c r="BL393" s="1132">
        <f t="shared" si="93"/>
        <v>3.1224946013318235E-2</v>
      </c>
      <c r="BM393" s="1132">
        <f t="shared" si="93"/>
        <v>4.4141415138617614E-2</v>
      </c>
      <c r="BN393" s="1132">
        <f t="shared" si="93"/>
        <v>4.5102197218292124E-2</v>
      </c>
      <c r="BO393" s="1117">
        <f t="shared" si="93"/>
        <v>3.885319270225232E-2</v>
      </c>
      <c r="BP393" s="48"/>
      <c r="BQ393" s="1131">
        <f t="shared" si="94"/>
        <v>4.3143280745142454E-2</v>
      </c>
      <c r="BR393" s="1132">
        <f t="shared" si="94"/>
        <v>4.4013530389348951E-2</v>
      </c>
      <c r="BS393" s="1132">
        <f t="shared" si="94"/>
        <v>5.2426229561439684E-2</v>
      </c>
      <c r="BT393" s="1132">
        <f t="shared" si="94"/>
        <v>5.1387166250441652E-2</v>
      </c>
      <c r="BU393" s="1117">
        <f t="shared" si="94"/>
        <v>4.7845037754771669E-2</v>
      </c>
      <c r="BV393" s="48"/>
      <c r="BW393" s="1131">
        <f t="shared" si="95"/>
        <v>4.9879061341130786E-2</v>
      </c>
      <c r="BX393" s="1132">
        <f t="shared" si="95"/>
        <v>4.8106498710238074E-2</v>
      </c>
      <c r="BY393" s="1132">
        <f t="shared" si="95"/>
        <v>5.5126963853494838E-2</v>
      </c>
      <c r="BZ393" s="1132">
        <f t="shared" si="95"/>
        <v>5.5742527869244163E-2</v>
      </c>
      <c r="CA393" s="1117">
        <f t="shared" si="95"/>
        <v>5.2400854536089836E-2</v>
      </c>
      <c r="CB393" s="48"/>
      <c r="CC393" s="1131">
        <f t="shared" ref="CC393:CD393" si="103">+CC401/CC$385</f>
        <v>6.7228697389941292E-2</v>
      </c>
      <c r="CD393" s="1132">
        <f t="shared" si="103"/>
        <v>6.7138565482156909E-2</v>
      </c>
      <c r="CE393" s="1132">
        <f t="shared" ref="CE393:CF393" si="104">+CE401/CE$385</f>
        <v>7.461462084541097E-2</v>
      </c>
      <c r="CF393" s="1132">
        <f t="shared" si="104"/>
        <v>7.5001380723636171E-2</v>
      </c>
      <c r="CG393" s="1117">
        <f t="shared" si="98"/>
        <v>7.1281967732824136E-2</v>
      </c>
      <c r="CH393" s="48"/>
      <c r="CI393" s="1131">
        <f t="shared" si="85"/>
        <v>7.1960649627007045E-2</v>
      </c>
      <c r="CJ393" s="1132">
        <f t="shared" si="85"/>
        <v>7.1277238753250191E-2</v>
      </c>
      <c r="CK393" s="1132">
        <f t="shared" si="85"/>
        <v>7.9958921925119955E-2</v>
      </c>
      <c r="CL393" s="1132">
        <f t="shared" si="85"/>
        <v>8.2038240060555545E-2</v>
      </c>
      <c r="CM393" s="1117">
        <f t="shared" si="85"/>
        <v>7.6575609908350703E-2</v>
      </c>
      <c r="CN393" s="48"/>
      <c r="CO393" s="1131">
        <f t="shared" si="86"/>
        <v>7.5126497964091779E-2</v>
      </c>
      <c r="CP393" s="1132">
        <f t="shared" si="86"/>
        <v>7.679679680150657E-2</v>
      </c>
      <c r="CQ393" s="1132">
        <f t="shared" si="86"/>
        <v>8.7096930346133514E-2</v>
      </c>
      <c r="CR393" s="1132">
        <f t="shared" si="86"/>
        <v>8.6842755414956924E-2</v>
      </c>
      <c r="CS393" s="1117">
        <f t="shared" si="86"/>
        <v>8.1760071985817737E-2</v>
      </c>
      <c r="CT393" s="48"/>
      <c r="CU393" s="1131">
        <f t="shared" si="87"/>
        <v>7.8507494592287105E-2</v>
      </c>
      <c r="CV393" s="1132">
        <f t="shared" si="87"/>
        <v>8.0699606530480222E-2</v>
      </c>
      <c r="CW393" s="1132">
        <f t="shared" si="87"/>
        <v>9.1690554800813034E-2</v>
      </c>
      <c r="CX393" s="1132">
        <f t="shared" si="87"/>
        <v>9.1439646109049671E-2</v>
      </c>
      <c r="CY393" s="1117">
        <f t="shared" si="87"/>
        <v>8.5893850671292224E-2</v>
      </c>
      <c r="CZ393" s="48"/>
      <c r="DD393" s="48"/>
      <c r="DE393" s="48"/>
      <c r="DF393" s="48"/>
      <c r="DG393" s="48"/>
      <c r="DH393" s="48"/>
      <c r="DI393" s="48"/>
      <c r="DJ393" s="48"/>
      <c r="DK393" s="48"/>
    </row>
    <row r="394" spans="1:115" x14ac:dyDescent="0.2">
      <c r="A394" s="1139" t="s">
        <v>467</v>
      </c>
      <c r="B394" s="48"/>
      <c r="C394" s="656"/>
      <c r="D394" s="654"/>
      <c r="E394" s="654"/>
      <c r="F394" s="654"/>
      <c r="G394" s="655"/>
      <c r="H394" s="48"/>
      <c r="I394" s="656"/>
      <c r="J394" s="654"/>
      <c r="K394" s="654"/>
      <c r="L394" s="654"/>
      <c r="M394" s="655"/>
      <c r="N394" s="48"/>
      <c r="O394" s="656"/>
      <c r="P394" s="654"/>
      <c r="Q394" s="654"/>
      <c r="R394" s="654"/>
      <c r="S394" s="655"/>
      <c r="T394" s="48"/>
      <c r="U394" s="656"/>
      <c r="V394" s="654"/>
      <c r="W394" s="654"/>
      <c r="X394" s="654"/>
      <c r="Y394" s="655"/>
      <c r="Z394" s="48"/>
      <c r="AA394" s="656"/>
      <c r="AB394" s="654"/>
      <c r="AC394" s="654"/>
      <c r="AD394" s="654"/>
      <c r="AE394" s="655"/>
      <c r="AF394" s="48"/>
      <c r="AG394" s="1131">
        <f t="shared" si="88"/>
        <v>0</v>
      </c>
      <c r="AH394" s="1132">
        <f t="shared" si="88"/>
        <v>0</v>
      </c>
      <c r="AI394" s="1132">
        <f t="shared" si="88"/>
        <v>0</v>
      </c>
      <c r="AJ394" s="1132">
        <f t="shared" si="88"/>
        <v>0</v>
      </c>
      <c r="AK394" s="1117">
        <f t="shared" si="88"/>
        <v>0</v>
      </c>
      <c r="AL394" s="48"/>
      <c r="AM394" s="1131">
        <f t="shared" si="89"/>
        <v>0</v>
      </c>
      <c r="AN394" s="1132">
        <f t="shared" si="89"/>
        <v>0</v>
      </c>
      <c r="AO394" s="1132">
        <f t="shared" si="89"/>
        <v>0</v>
      </c>
      <c r="AP394" s="1132">
        <f t="shared" si="89"/>
        <v>0</v>
      </c>
      <c r="AQ394" s="1117">
        <f t="shared" si="89"/>
        <v>0</v>
      </c>
      <c r="AR394" s="48"/>
      <c r="AS394" s="1131">
        <f t="shared" si="90"/>
        <v>0</v>
      </c>
      <c r="AT394" s="1132">
        <f t="shared" si="90"/>
        <v>0</v>
      </c>
      <c r="AU394" s="1132">
        <f t="shared" si="90"/>
        <v>0</v>
      </c>
      <c r="AV394" s="1132">
        <f t="shared" si="90"/>
        <v>0</v>
      </c>
      <c r="AW394" s="1117">
        <f t="shared" si="90"/>
        <v>0</v>
      </c>
      <c r="AX394" s="48"/>
      <c r="AY394" s="1131">
        <f t="shared" si="91"/>
        <v>2.2941793392763497E-2</v>
      </c>
      <c r="AZ394" s="1132">
        <f t="shared" si="91"/>
        <v>2.1967463049015402E-2</v>
      </c>
      <c r="BA394" s="1132">
        <f t="shared" si="91"/>
        <v>2.2019427426254935E-2</v>
      </c>
      <c r="BB394" s="1132">
        <f t="shared" si="91"/>
        <v>1.9286799212898217E-2</v>
      </c>
      <c r="BC394" s="1117">
        <f t="shared" si="91"/>
        <v>2.1462242062872661E-2</v>
      </c>
      <c r="BD394" s="48"/>
      <c r="BE394" s="1131">
        <f t="shared" si="92"/>
        <v>2.4587957830968055E-2</v>
      </c>
      <c r="BF394" s="1132">
        <f t="shared" si="92"/>
        <v>2.6538056979164344E-2</v>
      </c>
      <c r="BG394" s="1132">
        <f t="shared" si="92"/>
        <v>2.8051182795698938E-2</v>
      </c>
      <c r="BH394" s="1132">
        <f t="shared" si="92"/>
        <v>2.9604294095618541E-2</v>
      </c>
      <c r="BI394" s="1117">
        <f t="shared" si="92"/>
        <v>2.7320304292430698E-2</v>
      </c>
      <c r="BJ394" s="48"/>
      <c r="BK394" s="1131">
        <f t="shared" si="93"/>
        <v>3.8530489343741571E-2</v>
      </c>
      <c r="BL394" s="1132">
        <f t="shared" si="93"/>
        <v>3.7383532669956816E-2</v>
      </c>
      <c r="BM394" s="1132">
        <f t="shared" si="93"/>
        <v>3.6294851090689993E-2</v>
      </c>
      <c r="BN394" s="1132">
        <f t="shared" si="93"/>
        <v>4.887827732228129E-2</v>
      </c>
      <c r="BO394" s="1117">
        <f t="shared" si="93"/>
        <v>4.0320933686202598E-2</v>
      </c>
      <c r="BP394" s="48"/>
      <c r="BQ394" s="1131">
        <f t="shared" si="94"/>
        <v>5.382306315419931E-2</v>
      </c>
      <c r="BR394" s="1132">
        <f t="shared" si="94"/>
        <v>6.0410719955094644E-2</v>
      </c>
      <c r="BS394" s="1132">
        <f t="shared" si="94"/>
        <v>5.957001700053071E-2</v>
      </c>
      <c r="BT394" s="1132">
        <f t="shared" si="94"/>
        <v>7.2171795820007545E-2</v>
      </c>
      <c r="BU394" s="1117">
        <f t="shared" si="94"/>
        <v>6.1803584548746342E-2</v>
      </c>
      <c r="BV394" s="48"/>
      <c r="BW394" s="1131">
        <f t="shared" si="95"/>
        <v>7.3681216181181591E-2</v>
      </c>
      <c r="BX394" s="1132">
        <f t="shared" si="95"/>
        <v>6.8239751556688336E-2</v>
      </c>
      <c r="BY394" s="1132">
        <f t="shared" si="95"/>
        <v>6.6357016428850404E-2</v>
      </c>
      <c r="BZ394" s="1132">
        <f t="shared" si="95"/>
        <v>7.9521256503132062E-2</v>
      </c>
      <c r="CA394" s="1117">
        <f t="shared" si="95"/>
        <v>7.2070718975535825E-2</v>
      </c>
      <c r="CB394" s="48"/>
      <c r="CC394" s="1131">
        <f t="shared" ref="CC394:CD394" si="105">+CC402/CC$385</f>
        <v>9.0409155053931795E-2</v>
      </c>
      <c r="CD394" s="1132">
        <f t="shared" si="105"/>
        <v>8.4230837645649009E-2</v>
      </c>
      <c r="CE394" s="1132">
        <f t="shared" ref="CE394:CF394" si="106">+CE402/CE$385</f>
        <v>8.2904691966567148E-2</v>
      </c>
      <c r="CF394" s="1132">
        <f t="shared" si="106"/>
        <v>9.80861493682329E-2</v>
      </c>
      <c r="CG394" s="1117">
        <f t="shared" si="98"/>
        <v>8.9098376635512899E-2</v>
      </c>
      <c r="CH394" s="48"/>
      <c r="CI394" s="1131">
        <f t="shared" si="85"/>
        <v>0.10868486056335239</v>
      </c>
      <c r="CJ394" s="1132">
        <f t="shared" si="85"/>
        <v>9.9381401381595139E-2</v>
      </c>
      <c r="CK394" s="1132">
        <f t="shared" si="85"/>
        <v>9.8089112633296643E-2</v>
      </c>
      <c r="CL394" s="1132">
        <f t="shared" si="85"/>
        <v>0.11618276512067567</v>
      </c>
      <c r="CM394" s="1117">
        <f t="shared" si="85"/>
        <v>0.10566013833042236</v>
      </c>
      <c r="CN394" s="48"/>
      <c r="CO394" s="1131">
        <f t="shared" si="86"/>
        <v>0.12312945590312671</v>
      </c>
      <c r="CP394" s="1132">
        <f t="shared" si="86"/>
        <v>0.11627209725254463</v>
      </c>
      <c r="CQ394" s="1132">
        <f t="shared" si="86"/>
        <v>0.11632488484970326</v>
      </c>
      <c r="CR394" s="1132">
        <f t="shared" si="86"/>
        <v>0.13242047757099801</v>
      </c>
      <c r="CS394" s="1117">
        <f t="shared" si="86"/>
        <v>0.122251120410731</v>
      </c>
      <c r="CT394" s="48"/>
      <c r="CU394" s="1131">
        <f t="shared" si="87"/>
        <v>0.13938559799285935</v>
      </c>
      <c r="CV394" s="1132">
        <f t="shared" si="87"/>
        <v>0.13190433147519398</v>
      </c>
      <c r="CW394" s="1132">
        <f t="shared" si="87"/>
        <v>0.13199231441591794</v>
      </c>
      <c r="CX394" s="1132">
        <f t="shared" si="87"/>
        <v>0.14850686403627592</v>
      </c>
      <c r="CY394" s="1117">
        <f t="shared" si="87"/>
        <v>0.13815596174470615</v>
      </c>
      <c r="CZ394" s="48"/>
      <c r="DD394" s="48"/>
      <c r="DE394" s="48"/>
      <c r="DF394" s="48"/>
      <c r="DG394" s="48"/>
      <c r="DH394" s="48"/>
      <c r="DI394" s="48"/>
      <c r="DJ394" s="48"/>
      <c r="DK394" s="48"/>
    </row>
    <row r="395" spans="1:115" x14ac:dyDescent="0.2">
      <c r="A395" s="1139" t="s">
        <v>468</v>
      </c>
      <c r="B395" s="48"/>
      <c r="C395" s="656"/>
      <c r="D395" s="654"/>
      <c r="E395" s="654"/>
      <c r="F395" s="654"/>
      <c r="G395" s="655"/>
      <c r="H395" s="48"/>
      <c r="I395" s="656"/>
      <c r="J395" s="654"/>
      <c r="K395" s="654"/>
      <c r="L395" s="654"/>
      <c r="M395" s="655"/>
      <c r="N395" s="48"/>
      <c r="O395" s="656"/>
      <c r="P395" s="654"/>
      <c r="Q395" s="654"/>
      <c r="R395" s="654"/>
      <c r="S395" s="655"/>
      <c r="T395" s="48"/>
      <c r="U395" s="656"/>
      <c r="V395" s="654"/>
      <c r="W395" s="654"/>
      <c r="X395" s="654"/>
      <c r="Y395" s="655"/>
      <c r="Z395" s="48"/>
      <c r="AA395" s="656"/>
      <c r="AB395" s="654"/>
      <c r="AC395" s="654"/>
      <c r="AD395" s="654"/>
      <c r="AE395" s="655"/>
      <c r="AF395" s="48"/>
      <c r="AG395" s="1131">
        <f t="shared" si="88"/>
        <v>0</v>
      </c>
      <c r="AH395" s="1132">
        <f t="shared" si="88"/>
        <v>0</v>
      </c>
      <c r="AI395" s="1132">
        <f t="shared" si="88"/>
        <v>0</v>
      </c>
      <c r="AJ395" s="1132">
        <f t="shared" si="88"/>
        <v>0</v>
      </c>
      <c r="AK395" s="1117">
        <f t="shared" si="88"/>
        <v>0</v>
      </c>
      <c r="AL395" s="48"/>
      <c r="AM395" s="1131">
        <f t="shared" si="89"/>
        <v>0</v>
      </c>
      <c r="AN395" s="1132">
        <f t="shared" si="89"/>
        <v>0</v>
      </c>
      <c r="AO395" s="1132">
        <f t="shared" si="89"/>
        <v>0</v>
      </c>
      <c r="AP395" s="1132">
        <f t="shared" si="89"/>
        <v>0</v>
      </c>
      <c r="AQ395" s="1117">
        <f t="shared" si="89"/>
        <v>0</v>
      </c>
      <c r="AR395" s="48"/>
      <c r="AS395" s="1131">
        <f t="shared" si="90"/>
        <v>0</v>
      </c>
      <c r="AT395" s="1132">
        <f t="shared" si="90"/>
        <v>0</v>
      </c>
      <c r="AU395" s="1132">
        <f t="shared" si="90"/>
        <v>0</v>
      </c>
      <c r="AV395" s="1132">
        <f t="shared" si="90"/>
        <v>0</v>
      </c>
      <c r="AW395" s="1117">
        <f t="shared" si="90"/>
        <v>0</v>
      </c>
      <c r="AX395" s="48"/>
      <c r="AY395" s="1131">
        <f t="shared" si="91"/>
        <v>6.1515408728077849E-3</v>
      </c>
      <c r="AZ395" s="1132">
        <f t="shared" si="91"/>
        <v>5.8902869755830881E-3</v>
      </c>
      <c r="BA395" s="1132">
        <f t="shared" si="91"/>
        <v>5.9042205415012526E-3</v>
      </c>
      <c r="BB395" s="1132">
        <f t="shared" si="91"/>
        <v>3.5896755542909214E-3</v>
      </c>
      <c r="BC395" s="1117">
        <f t="shared" si="91"/>
        <v>5.3147566571972666E-3</v>
      </c>
      <c r="BD395" s="48"/>
      <c r="BE395" s="1131">
        <f t="shared" si="92"/>
        <v>7.6523391708825036E-3</v>
      </c>
      <c r="BF395" s="1132">
        <f t="shared" si="92"/>
        <v>7.5084136099486014E-3</v>
      </c>
      <c r="BG395" s="1132">
        <f t="shared" si="92"/>
        <v>7.2150203297491038E-3</v>
      </c>
      <c r="BH395" s="1132">
        <f t="shared" si="92"/>
        <v>7.5991461740107374E-3</v>
      </c>
      <c r="BI395" s="1117">
        <f t="shared" si="92"/>
        <v>7.4949198661828581E-3</v>
      </c>
      <c r="BJ395" s="48"/>
      <c r="BK395" s="1131">
        <f t="shared" si="93"/>
        <v>1.2091886101175715E-2</v>
      </c>
      <c r="BL395" s="1132">
        <f t="shared" si="93"/>
        <v>1.1731940777391725E-2</v>
      </c>
      <c r="BM395" s="1132">
        <f t="shared" si="93"/>
        <v>1.1390283718756918E-2</v>
      </c>
      <c r="BN395" s="1132">
        <f t="shared" si="93"/>
        <v>1.2553628705288762E-2</v>
      </c>
      <c r="BO395" s="1117">
        <f t="shared" si="93"/>
        <v>1.1941404980316055E-2</v>
      </c>
      <c r="BP395" s="48"/>
      <c r="BQ395" s="1131">
        <f t="shared" si="94"/>
        <v>1.5821930142338306E-2</v>
      </c>
      <c r="BR395" s="1132">
        <f t="shared" si="94"/>
        <v>1.9613981394524676E-2</v>
      </c>
      <c r="BS395" s="1132">
        <f t="shared" si="94"/>
        <v>1.9913378967914876E-2</v>
      </c>
      <c r="BT395" s="1132">
        <f t="shared" si="94"/>
        <v>1.7832217797693003E-2</v>
      </c>
      <c r="BU395" s="1117">
        <f t="shared" si="94"/>
        <v>1.8299822884457296E-2</v>
      </c>
      <c r="BV395" s="48"/>
      <c r="BW395" s="1131">
        <f t="shared" si="95"/>
        <v>1.9743783166056746E-2</v>
      </c>
      <c r="BX395" s="1132">
        <f t="shared" si="95"/>
        <v>2.0552736945372321E-2</v>
      </c>
      <c r="BY395" s="1132">
        <f t="shared" si="95"/>
        <v>2.235668853699423E-2</v>
      </c>
      <c r="BZ395" s="1132">
        <f t="shared" si="95"/>
        <v>2.2306390344349909E-2</v>
      </c>
      <c r="CA395" s="1117">
        <f t="shared" si="95"/>
        <v>2.1320751153091594E-2</v>
      </c>
      <c r="CB395" s="48"/>
      <c r="CC395" s="1131">
        <f t="shared" ref="CC395:CD395" si="107">+CC403/CC$385</f>
        <v>2.3083040081066996E-2</v>
      </c>
      <c r="CD395" s="1132">
        <f t="shared" si="107"/>
        <v>2.3343357322935895E-2</v>
      </c>
      <c r="CE395" s="1132">
        <f t="shared" ref="CE395:CF395" si="108">+CE403/CE$385</f>
        <v>2.0650046377561543E-2</v>
      </c>
      <c r="CF395" s="1132">
        <f t="shared" si="108"/>
        <v>1.9996362737309238E-2</v>
      </c>
      <c r="CG395" s="1117">
        <f t="shared" si="98"/>
        <v>2.1657597991620398E-2</v>
      </c>
      <c r="CH395" s="48"/>
      <c r="CI395" s="1131">
        <f t="shared" si="85"/>
        <v>2.1154305001838559E-2</v>
      </c>
      <c r="CJ395" s="1132">
        <f t="shared" si="85"/>
        <v>2.2063789384353976E-2</v>
      </c>
      <c r="CK395" s="1132">
        <f t="shared" si="85"/>
        <v>2.2514330277488667E-2</v>
      </c>
      <c r="CL395" s="1132">
        <f t="shared" si="85"/>
        <v>2.2761544229302603E-2</v>
      </c>
      <c r="CM395" s="1117">
        <f t="shared" si="85"/>
        <v>2.2168014361194241E-2</v>
      </c>
      <c r="CN395" s="48"/>
      <c r="CO395" s="1131">
        <f t="shared" si="86"/>
        <v>3.5369785305895372E-2</v>
      </c>
      <c r="CP395" s="1132">
        <f t="shared" si="86"/>
        <v>2.9998722096936825E-2</v>
      </c>
      <c r="CQ395" s="1132">
        <f t="shared" si="86"/>
        <v>3.0475479818246037E-2</v>
      </c>
      <c r="CR395" s="1132">
        <f t="shared" si="86"/>
        <v>2.3949299859088276E-2</v>
      </c>
      <c r="CS395" s="1117">
        <f t="shared" si="86"/>
        <v>2.9675744148998644E-2</v>
      </c>
      <c r="CT395" s="48"/>
      <c r="CU395" s="1131">
        <f t="shared" si="87"/>
        <v>4.3084715383944552E-2</v>
      </c>
      <c r="CV395" s="1132">
        <f t="shared" si="87"/>
        <v>3.9575758093687304E-2</v>
      </c>
      <c r="CW395" s="1132">
        <f t="shared" si="87"/>
        <v>3.9934678018686616E-2</v>
      </c>
      <c r="CX395" s="1132">
        <f t="shared" si="87"/>
        <v>3.4215545052934948E-2</v>
      </c>
      <c r="CY395" s="1117">
        <f t="shared" si="87"/>
        <v>3.8998776885856512E-2</v>
      </c>
      <c r="CZ395" s="48"/>
      <c r="DD395" s="48"/>
      <c r="DE395" s="48"/>
      <c r="DF395" s="48"/>
      <c r="DG395" s="48"/>
      <c r="DH395" s="48"/>
      <c r="DI395" s="48"/>
      <c r="DJ395" s="48"/>
      <c r="DK395" s="48"/>
    </row>
    <row r="396" spans="1:115" x14ac:dyDescent="0.2">
      <c r="A396" s="205" t="s">
        <v>499</v>
      </c>
      <c r="B396" s="48"/>
      <c r="C396" s="656"/>
      <c r="D396" s="654"/>
      <c r="E396" s="654"/>
      <c r="F396" s="654"/>
      <c r="G396" s="655"/>
      <c r="H396" s="48"/>
      <c r="I396" s="656"/>
      <c r="J396" s="654"/>
      <c r="K396" s="654"/>
      <c r="L396" s="654"/>
      <c r="M396" s="655"/>
      <c r="N396" s="48"/>
      <c r="O396" s="656"/>
      <c r="P396" s="654"/>
      <c r="Q396" s="654"/>
      <c r="R396" s="654"/>
      <c r="S396" s="655"/>
      <c r="T396" s="48"/>
      <c r="U396" s="656"/>
      <c r="V396" s="654"/>
      <c r="W396" s="654"/>
      <c r="X396" s="654"/>
      <c r="Y396" s="655"/>
      <c r="Z396" s="48"/>
      <c r="AA396" s="656"/>
      <c r="AB396" s="654"/>
      <c r="AC396" s="654"/>
      <c r="AD396" s="654"/>
      <c r="AE396" s="655"/>
      <c r="AF396" s="48"/>
      <c r="AG396" s="656">
        <f>+AG47</f>
        <v>46.948262499999998</v>
      </c>
      <c r="AH396" s="654">
        <f>+AH47</f>
        <v>51.033149999999992</v>
      </c>
      <c r="AI396" s="654">
        <f>+AI47</f>
        <v>55.1775375</v>
      </c>
      <c r="AJ396" s="654">
        <f>+AJ47</f>
        <v>61.428862500000022</v>
      </c>
      <c r="AK396" s="655">
        <f>+SUM(AG396:AJ396)</f>
        <v>214.58781250000004</v>
      </c>
      <c r="AL396" s="48"/>
      <c r="AM396" s="656">
        <f>+AM47</f>
        <v>56.17734999999999</v>
      </c>
      <c r="AN396" s="654">
        <f>+AN47</f>
        <v>55.827575000000003</v>
      </c>
      <c r="AO396" s="654">
        <f>+AO47</f>
        <v>51.297279000000003</v>
      </c>
      <c r="AP396" s="654">
        <f>+AP47</f>
        <v>48.625440000000005</v>
      </c>
      <c r="AQ396" s="655">
        <f>+SUM(AM396:AP396)</f>
        <v>211.92764399999999</v>
      </c>
      <c r="AR396" s="48"/>
      <c r="AS396" s="656">
        <f>+AS47</f>
        <v>45.810672727272731</v>
      </c>
      <c r="AT396" s="654">
        <f>+AT47</f>
        <v>53.484672891566269</v>
      </c>
      <c r="AU396" s="654">
        <f>+AU47</f>
        <v>43.107608333333339</v>
      </c>
      <c r="AV396" s="654">
        <f>+AV47</f>
        <v>46.697988607594958</v>
      </c>
      <c r="AW396" s="655">
        <f>+SUM(AS396:AV396)</f>
        <v>189.1009425597673</v>
      </c>
      <c r="AX396" s="48"/>
      <c r="AY396" s="656">
        <f>+AY47</f>
        <v>44.387432479734095</v>
      </c>
      <c r="AZ396" s="654">
        <f>+AZ47</f>
        <v>43.44758055233968</v>
      </c>
      <c r="BA396" s="654">
        <f>+BA47</f>
        <v>43.034054023400337</v>
      </c>
      <c r="BB396" s="654">
        <f>+BB47</f>
        <v>36.106336625906025</v>
      </c>
      <c r="BC396" s="655">
        <f>+SUM(AY396:BB396)</f>
        <v>166.97540368138016</v>
      </c>
      <c r="BD396" s="48"/>
      <c r="BE396" s="656">
        <f>+BE47</f>
        <v>43.379506539872857</v>
      </c>
      <c r="BF396" s="654">
        <f>+BF47</f>
        <v>37.234817819846157</v>
      </c>
      <c r="BG396" s="654">
        <f>+BG47</f>
        <v>45.454440955855659</v>
      </c>
      <c r="BH396" s="654">
        <f>+BH47</f>
        <v>46.331828307243036</v>
      </c>
      <c r="BI396" s="655">
        <f>+SUM(BE396:BH396)</f>
        <v>172.40059362281769</v>
      </c>
      <c r="BJ396" s="48"/>
      <c r="BK396" s="656">
        <f>+BK47</f>
        <v>31.481632990271983</v>
      </c>
      <c r="BL396" s="654">
        <f>+BL47</f>
        <v>27.083834271742923</v>
      </c>
      <c r="BM396" s="654">
        <f>+BM47</f>
        <v>31.509113940688934</v>
      </c>
      <c r="BN396" s="654">
        <f>+BN47</f>
        <v>33.362582757750353</v>
      </c>
      <c r="BO396" s="655">
        <f>+SUM(BK396:BN396)</f>
        <v>123.4371639604542</v>
      </c>
      <c r="BP396" s="48"/>
      <c r="BQ396" s="656">
        <f>+BQ47</f>
        <v>23.123303601633744</v>
      </c>
      <c r="BR396" s="654">
        <f>+BR47</f>
        <v>20.237882340457158</v>
      </c>
      <c r="BS396" s="654">
        <f>+BS47</f>
        <v>19.754240118050475</v>
      </c>
      <c r="BT396" s="654">
        <f>+BT47</f>
        <v>22.611480140624604</v>
      </c>
      <c r="BU396" s="655">
        <f>+SUM(BQ396:BT396)</f>
        <v>85.726906200765981</v>
      </c>
      <c r="BV396" s="48"/>
      <c r="BW396" s="656">
        <f>+BW47</f>
        <v>14.074261851440987</v>
      </c>
      <c r="BX396" s="654">
        <f>+BX47</f>
        <v>16.333298831429079</v>
      </c>
      <c r="BY396" s="654">
        <f>+BY47</f>
        <v>16.696005718611989</v>
      </c>
      <c r="BZ396" s="654">
        <f>+BZ47</f>
        <v>20.82971735996141</v>
      </c>
      <c r="CA396" s="655">
        <f>+SUM(BW396:BZ396)</f>
        <v>67.933283761443462</v>
      </c>
      <c r="CB396" s="48"/>
      <c r="CC396" s="656">
        <f>+CC47</f>
        <v>9.2994426184007661</v>
      </c>
      <c r="CD396" s="654">
        <f>+CD47</f>
        <v>13.251833022975605</v>
      </c>
      <c r="CE396" s="654">
        <f>+CE47</f>
        <v>15.94177673029383</v>
      </c>
      <c r="CF396" s="654">
        <f>+CF47</f>
        <v>17.269736477333215</v>
      </c>
      <c r="CG396" s="655">
        <f>+SUM(CC396:CF396)</f>
        <v>55.762788849003414</v>
      </c>
      <c r="CH396" s="48"/>
      <c r="CI396" s="656">
        <f>+CI47</f>
        <v>8.5032955358652575</v>
      </c>
      <c r="CJ396" s="654">
        <f>+CJ47</f>
        <v>9.5851659532934779</v>
      </c>
      <c r="CK396" s="654">
        <f>+CK47</f>
        <v>11.508555293958032</v>
      </c>
      <c r="CL396" s="654">
        <f>+CL47</f>
        <v>11.706467653914213</v>
      </c>
      <c r="CM396" s="655">
        <f>+SUM(CI396:CL396)</f>
        <v>41.303484437030981</v>
      </c>
      <c r="CN396" s="48"/>
      <c r="CO396" s="656">
        <f>+CO47</f>
        <v>7.3849781494194273</v>
      </c>
      <c r="CP396" s="654">
        <f>+CP47</f>
        <v>8.2938718866929388</v>
      </c>
      <c r="CQ396" s="654">
        <f>+CQ47</f>
        <v>9.9260704193610856</v>
      </c>
      <c r="CR396" s="654">
        <f>+CR47</f>
        <v>10.079370109345779</v>
      </c>
      <c r="CS396" s="655">
        <f>+SUM(CO396:CR396)</f>
        <v>35.684290564819229</v>
      </c>
      <c r="CT396" s="48"/>
      <c r="CU396" s="656">
        <f>+CU47</f>
        <v>6.4186906765470768</v>
      </c>
      <c r="CV396" s="654">
        <f>+CV47</f>
        <v>7.1816238474431318</v>
      </c>
      <c r="CW396" s="654">
        <f>+CW47</f>
        <v>8.5665784340040059</v>
      </c>
      <c r="CX396" s="654">
        <f>+CX47</f>
        <v>8.6834499361107422</v>
      </c>
      <c r="CY396" s="655">
        <f>+SUM(CU396:CX396)</f>
        <v>30.850342894104955</v>
      </c>
      <c r="CZ396" s="48"/>
      <c r="DD396" s="48"/>
      <c r="DE396" s="48"/>
      <c r="DF396" s="48"/>
      <c r="DG396" s="48"/>
      <c r="DH396" s="48"/>
      <c r="DI396" s="48"/>
      <c r="DJ396" s="48"/>
      <c r="DK396" s="48"/>
    </row>
    <row r="397" spans="1:115" x14ac:dyDescent="0.2">
      <c r="A397" s="2128" t="s">
        <v>727</v>
      </c>
      <c r="B397" s="48"/>
      <c r="C397" s="2161"/>
      <c r="D397" s="654"/>
      <c r="E397" s="654"/>
      <c r="F397" s="654"/>
      <c r="G397" s="2162"/>
      <c r="H397" s="48"/>
      <c r="I397" s="2161"/>
      <c r="J397" s="654"/>
      <c r="K397" s="654"/>
      <c r="L397" s="654"/>
      <c r="M397" s="2162"/>
      <c r="N397" s="48"/>
      <c r="O397" s="2161"/>
      <c r="P397" s="654"/>
      <c r="Q397" s="654"/>
      <c r="R397" s="654"/>
      <c r="S397" s="2162"/>
      <c r="T397" s="48"/>
      <c r="U397" s="2161"/>
      <c r="V397" s="654"/>
      <c r="W397" s="654"/>
      <c r="X397" s="654"/>
      <c r="Y397" s="2162"/>
      <c r="Z397" s="48"/>
      <c r="AA397" s="2161"/>
      <c r="AB397" s="654"/>
      <c r="AC397" s="654"/>
      <c r="AD397" s="654"/>
      <c r="AE397" s="2162"/>
      <c r="AF397" s="48"/>
      <c r="AG397" s="2161"/>
      <c r="AH397" s="654"/>
      <c r="AI397" s="654"/>
      <c r="AJ397" s="654"/>
      <c r="AK397" s="2162"/>
      <c r="AL397" s="48"/>
      <c r="AM397" s="2161"/>
      <c r="AN397" s="654"/>
      <c r="AO397" s="654"/>
      <c r="AP397" s="654"/>
      <c r="AQ397" s="2162"/>
      <c r="AR397" s="48"/>
      <c r="AS397" s="2161"/>
      <c r="AT397" s="654"/>
      <c r="AU397" s="654"/>
      <c r="AV397" s="654"/>
      <c r="AW397" s="2162"/>
      <c r="AX397" s="48"/>
      <c r="AY397" s="2161"/>
      <c r="AZ397" s="654"/>
      <c r="BA397" s="654"/>
      <c r="BB397" s="654"/>
      <c r="BC397" s="2162"/>
      <c r="BD397" s="48"/>
      <c r="BE397" s="2161"/>
      <c r="BF397" s="654"/>
      <c r="BG397" s="654"/>
      <c r="BH397" s="654"/>
      <c r="BI397" s="2162"/>
      <c r="BJ397" s="48"/>
      <c r="BK397" s="2161"/>
      <c r="BL397" s="654"/>
      <c r="BM397" s="654"/>
      <c r="BN397" s="654"/>
      <c r="BO397" s="2162"/>
      <c r="BP397" s="48"/>
      <c r="BQ397" s="2161"/>
      <c r="BR397" s="654"/>
      <c r="BS397" s="654"/>
      <c r="BT397" s="654"/>
      <c r="BU397" s="2162"/>
      <c r="BV397" s="48"/>
      <c r="BW397" s="2161"/>
      <c r="BX397" s="654"/>
      <c r="BY397" s="654"/>
      <c r="BZ397" s="654"/>
      <c r="CA397" s="2162"/>
      <c r="CB397" s="48"/>
      <c r="CC397" s="2161"/>
      <c r="CD397" s="654"/>
      <c r="CE397" s="654"/>
      <c r="CF397" s="654"/>
      <c r="CG397" s="2162"/>
      <c r="CH397" s="48"/>
      <c r="CI397" s="2161">
        <f>+CI73</f>
        <v>0</v>
      </c>
      <c r="CJ397" s="654">
        <f>+CJ73</f>
        <v>0</v>
      </c>
      <c r="CK397" s="654">
        <f>+CK73</f>
        <v>0.78000000000000014</v>
      </c>
      <c r="CL397" s="654">
        <f>+CL73</f>
        <v>1.4117625</v>
      </c>
      <c r="CM397" s="655">
        <f>+SUM(CI397:CL397)</f>
        <v>2.1917625000000003</v>
      </c>
      <c r="CN397" s="48"/>
      <c r="CO397" s="2161">
        <f t="shared" ref="CO397:CX397" si="109">+CO73</f>
        <v>2.4534999999999996</v>
      </c>
      <c r="CP397" s="654">
        <f t="shared" si="109"/>
        <v>4.8334999999999999</v>
      </c>
      <c r="CQ397" s="654">
        <f t="shared" si="109"/>
        <v>5.8134999999999994</v>
      </c>
      <c r="CR397" s="654">
        <f t="shared" si="109"/>
        <v>6.7934999999999981</v>
      </c>
      <c r="CS397" s="655">
        <f t="shared" ref="CS397" si="110">+SUM(CO397:CR397)</f>
        <v>19.893999999999998</v>
      </c>
      <c r="CT397" s="48"/>
      <c r="CU397" s="2161">
        <f t="shared" ref="CU397" si="111">+CU73</f>
        <v>8.2914999999999992</v>
      </c>
      <c r="CV397" s="654">
        <f t="shared" si="109"/>
        <v>9.5515000000000008</v>
      </c>
      <c r="CW397" s="654">
        <f t="shared" si="109"/>
        <v>10.811499999999999</v>
      </c>
      <c r="CX397" s="654">
        <f t="shared" si="109"/>
        <v>12.0715</v>
      </c>
      <c r="CY397" s="655">
        <f t="shared" ref="CY397" si="112">+SUM(CU397:CX397)</f>
        <v>40.725999999999999</v>
      </c>
      <c r="CZ397" s="48"/>
      <c r="DD397" s="48"/>
      <c r="DE397" s="48"/>
      <c r="DF397" s="48"/>
      <c r="DG397" s="48"/>
      <c r="DH397" s="48"/>
      <c r="DI397" s="48"/>
      <c r="DJ397" s="48"/>
      <c r="DK397" s="48"/>
    </row>
    <row r="398" spans="1:115" x14ac:dyDescent="0.2">
      <c r="A398" s="205" t="s">
        <v>498</v>
      </c>
      <c r="B398" s="48"/>
      <c r="C398" s="656"/>
      <c r="D398" s="654"/>
      <c r="E398" s="654"/>
      <c r="F398" s="654"/>
      <c r="G398" s="655"/>
      <c r="H398" s="48"/>
      <c r="I398" s="656"/>
      <c r="J398" s="654"/>
      <c r="K398" s="654"/>
      <c r="L398" s="654"/>
      <c r="M398" s="655"/>
      <c r="N398" s="48"/>
      <c r="O398" s="656"/>
      <c r="P398" s="654"/>
      <c r="Q398" s="654"/>
      <c r="R398" s="654"/>
      <c r="S398" s="655"/>
      <c r="T398" s="48"/>
      <c r="U398" s="656"/>
      <c r="V398" s="654"/>
      <c r="W398" s="654"/>
      <c r="X398" s="654"/>
      <c r="Y398" s="655"/>
      <c r="Z398" s="48"/>
      <c r="AA398" s="656"/>
      <c r="AB398" s="654"/>
      <c r="AC398" s="654"/>
      <c r="AD398" s="654"/>
      <c r="AE398" s="655"/>
      <c r="AF398" s="48"/>
      <c r="AG398" s="656">
        <f>+AG97</f>
        <v>0</v>
      </c>
      <c r="AH398" s="654">
        <f>+AH97</f>
        <v>0</v>
      </c>
      <c r="AI398" s="654">
        <f>+AI97</f>
        <v>0</v>
      </c>
      <c r="AJ398" s="654">
        <f>+AJ97</f>
        <v>0</v>
      </c>
      <c r="AK398" s="655">
        <f>+SUM(AG398:AJ398)</f>
        <v>0</v>
      </c>
      <c r="AL398" s="48"/>
      <c r="AM398" s="656">
        <f>+AM97</f>
        <v>0</v>
      </c>
      <c r="AN398" s="654">
        <f>+AN97</f>
        <v>0</v>
      </c>
      <c r="AO398" s="654">
        <f>+AO97</f>
        <v>0</v>
      </c>
      <c r="AP398" s="654">
        <f>+AP97</f>
        <v>0</v>
      </c>
      <c r="AQ398" s="655">
        <f>+SUM(AM398:AP398)</f>
        <v>0</v>
      </c>
      <c r="AR398" s="48"/>
      <c r="AS398" s="656">
        <f>+AS97</f>
        <v>0</v>
      </c>
      <c r="AT398" s="654">
        <f>+AT97</f>
        <v>0</v>
      </c>
      <c r="AU398" s="654">
        <f>+AU97</f>
        <v>8.5050000000000008</v>
      </c>
      <c r="AV398" s="654">
        <f>+AV97</f>
        <v>8.82</v>
      </c>
      <c r="AW398" s="655">
        <f>+SUM(AS398:AV398)</f>
        <v>17.325000000000003</v>
      </c>
      <c r="AX398" s="48"/>
      <c r="AY398" s="656">
        <f>+AY97</f>
        <v>9.75</v>
      </c>
      <c r="AZ398" s="654">
        <f>+AZ97</f>
        <v>11.05</v>
      </c>
      <c r="BA398" s="654">
        <f>+BA97</f>
        <v>10.508163574487558</v>
      </c>
      <c r="BB398" s="654">
        <f>+BB97</f>
        <v>11.781527896845756</v>
      </c>
      <c r="BC398" s="655">
        <f>+SUM(AY398:BB398)</f>
        <v>43.08969147133331</v>
      </c>
      <c r="BD398" s="48"/>
      <c r="BE398" s="656">
        <f>+BE97</f>
        <v>13.071159939997852</v>
      </c>
      <c r="BF398" s="654">
        <f>+BF97</f>
        <v>15.156353753638898</v>
      </c>
      <c r="BG398" s="654">
        <f>+BG97</f>
        <v>14.631976018684048</v>
      </c>
      <c r="BH398" s="654">
        <f>+BH97</f>
        <v>15.984756915433991</v>
      </c>
      <c r="BI398" s="655">
        <f>+SUM(BE398:BH398)</f>
        <v>58.844246627754792</v>
      </c>
      <c r="BJ398" s="48"/>
      <c r="BK398" s="656">
        <f>+BK97</f>
        <v>17.0136</v>
      </c>
      <c r="BL398" s="654">
        <f>+BL97</f>
        <v>17.0136</v>
      </c>
      <c r="BM398" s="654">
        <f>+BM97</f>
        <v>17.380800000000001</v>
      </c>
      <c r="BN398" s="654">
        <f>+BN97</f>
        <v>17.380800000000001</v>
      </c>
      <c r="BO398" s="655">
        <f>+SUM(BK398:BN398)</f>
        <v>68.788800000000009</v>
      </c>
      <c r="BP398" s="48"/>
      <c r="BQ398" s="656">
        <f>+BQ97</f>
        <v>18.041862664309821</v>
      </c>
      <c r="BR398" s="654">
        <f>+BR97</f>
        <v>17.927846161533889</v>
      </c>
      <c r="BS398" s="654">
        <f>+BS97</f>
        <v>20.628684000000003</v>
      </c>
      <c r="BT398" s="654">
        <f>+BT97</f>
        <v>20.147529599999999</v>
      </c>
      <c r="BU398" s="655">
        <f>+SUM(BQ398:BT398)</f>
        <v>76.745922425843716</v>
      </c>
      <c r="BV398" s="48"/>
      <c r="BW398" s="656">
        <f>+BW97</f>
        <v>21.441029257549516</v>
      </c>
      <c r="BX398" s="654">
        <f>+BX97</f>
        <v>23.120299905417895</v>
      </c>
      <c r="BY398" s="654">
        <f>+BY97</f>
        <v>27.988502989361972</v>
      </c>
      <c r="BZ398" s="654">
        <f>+BZ97</f>
        <v>27.316730918919166</v>
      </c>
      <c r="CA398" s="655">
        <f>+SUM(BW398:BZ398)</f>
        <v>99.866563071248549</v>
      </c>
      <c r="CB398" s="48"/>
      <c r="CC398" s="656">
        <f>+CC97</f>
        <v>25.02137976468099</v>
      </c>
      <c r="CD398" s="654">
        <f>+CD97</f>
        <v>31.232614316796404</v>
      </c>
      <c r="CE398" s="654">
        <f>+CE97</f>
        <v>36.015330295928479</v>
      </c>
      <c r="CF398" s="654">
        <f>+CF97</f>
        <v>33.988286032178664</v>
      </c>
      <c r="CG398" s="655">
        <f>+SUM(CC398:CF398)</f>
        <v>126.25761040958453</v>
      </c>
      <c r="CH398" s="48"/>
      <c r="CI398" s="656">
        <f>+CI97</f>
        <v>30.321474985771054</v>
      </c>
      <c r="CJ398" s="654">
        <f>+CJ97</f>
        <v>38.767317791745079</v>
      </c>
      <c r="CK398" s="654">
        <f>+CK97</f>
        <v>46.106070025103961</v>
      </c>
      <c r="CL398" s="654">
        <f>+CL97</f>
        <v>38.774531314534997</v>
      </c>
      <c r="CM398" s="655">
        <f>+SUM(CI398:CL398)</f>
        <v>153.9693941171551</v>
      </c>
      <c r="CN398" s="48"/>
      <c r="CO398" s="656">
        <f>+CO97</f>
        <v>45.482212478656578</v>
      </c>
      <c r="CP398" s="654">
        <f>+CP97</f>
        <v>46.52078135009409</v>
      </c>
      <c r="CQ398" s="654">
        <f>+CQ97</f>
        <v>46.106070025103961</v>
      </c>
      <c r="CR398" s="654">
        <f>+CR97</f>
        <v>46.529437577441996</v>
      </c>
      <c r="CS398" s="655">
        <f>+SUM(CO398:CR398)</f>
        <v>184.63850143129665</v>
      </c>
      <c r="CT398" s="48"/>
      <c r="CU398" s="656">
        <f>+CU97</f>
        <v>52.75936647524162</v>
      </c>
      <c r="CV398" s="654">
        <f>+CV97</f>
        <v>53.964106366109142</v>
      </c>
      <c r="CW398" s="654">
        <f>+CW97</f>
        <v>53.483041229120595</v>
      </c>
      <c r="CX398" s="654">
        <f>+CX97</f>
        <v>53.974147589832711</v>
      </c>
      <c r="CY398" s="655">
        <f>+SUM(CU398:CX398)</f>
        <v>214.18066166030408</v>
      </c>
      <c r="CZ398" s="48"/>
      <c r="DD398" s="48"/>
      <c r="DE398" s="48"/>
      <c r="DF398" s="48"/>
      <c r="DG398" s="48"/>
      <c r="DH398" s="48"/>
      <c r="DI398" s="48"/>
      <c r="DJ398" s="48"/>
      <c r="DK398" s="48"/>
    </row>
    <row r="399" spans="1:115" x14ac:dyDescent="0.2">
      <c r="A399" s="205" t="s">
        <v>621</v>
      </c>
      <c r="B399" s="48"/>
      <c r="C399" s="656"/>
      <c r="D399" s="654"/>
      <c r="E399" s="654"/>
      <c r="F399" s="654"/>
      <c r="G399" s="655"/>
      <c r="H399" s="48"/>
      <c r="I399" s="656"/>
      <c r="J399" s="654"/>
      <c r="K399" s="654"/>
      <c r="L399" s="654"/>
      <c r="M399" s="655"/>
      <c r="N399" s="48"/>
      <c r="O399" s="656"/>
      <c r="P399" s="654"/>
      <c r="Q399" s="654"/>
      <c r="R399" s="654"/>
      <c r="S399" s="655"/>
      <c r="T399" s="48"/>
      <c r="U399" s="656"/>
      <c r="V399" s="654"/>
      <c r="W399" s="654"/>
      <c r="X399" s="654"/>
      <c r="Y399" s="655"/>
      <c r="Z399" s="48"/>
      <c r="AA399" s="656"/>
      <c r="AB399" s="654"/>
      <c r="AC399" s="654"/>
      <c r="AD399" s="654"/>
      <c r="AE399" s="655"/>
      <c r="AF399" s="48"/>
      <c r="AG399" s="656">
        <f>++AG132</f>
        <v>0</v>
      </c>
      <c r="AH399" s="654">
        <f>++AH132</f>
        <v>0</v>
      </c>
      <c r="AI399" s="654">
        <f>++AI132</f>
        <v>0</v>
      </c>
      <c r="AJ399" s="654">
        <f>++AJ132</f>
        <v>1.125</v>
      </c>
      <c r="AK399" s="655">
        <f>++AK132</f>
        <v>1.125</v>
      </c>
      <c r="AL399" s="48"/>
      <c r="AM399" s="656">
        <f>++AM132</f>
        <v>1.7324999999999999</v>
      </c>
      <c r="AN399" s="654">
        <f>++AN132</f>
        <v>1.6800000000000002</v>
      </c>
      <c r="AO399" s="654">
        <f>++AO132</f>
        <v>1.9179999999999999</v>
      </c>
      <c r="AP399" s="654">
        <f>++AP132</f>
        <v>2.0022240000000004</v>
      </c>
      <c r="AQ399" s="655">
        <f>++AQ132</f>
        <v>7.3327240000000007</v>
      </c>
      <c r="AR399" s="48"/>
      <c r="AS399" s="656">
        <f>++AS132</f>
        <v>2.0824999999999996</v>
      </c>
      <c r="AT399" s="654">
        <f>++AT132</f>
        <v>2.2049999999999996</v>
      </c>
      <c r="AU399" s="654">
        <f>++AU132</f>
        <v>2.3274999999999997</v>
      </c>
      <c r="AV399" s="654">
        <f>++AV132</f>
        <v>2.5724999999999998</v>
      </c>
      <c r="AW399" s="655">
        <f>++AW132</f>
        <v>9.1875</v>
      </c>
      <c r="AX399" s="48"/>
      <c r="AY399" s="656">
        <f>++AY132</f>
        <v>2.5525500000000001</v>
      </c>
      <c r="AZ399" s="654">
        <f>++AZ132</f>
        <v>2.8066499999999999</v>
      </c>
      <c r="BA399" s="654">
        <f>++BA132</f>
        <v>2.9625750000000002</v>
      </c>
      <c r="BB399" s="654">
        <f>++BB132</f>
        <v>3.2744250000000004</v>
      </c>
      <c r="BC399" s="655">
        <f>++BC132</f>
        <v>11.5962</v>
      </c>
      <c r="BD399" s="48"/>
      <c r="BE399" s="656">
        <f>++BE132</f>
        <v>2.7613950000000003</v>
      </c>
      <c r="BF399" s="654">
        <f>++BF132</f>
        <v>2.5025962499999999</v>
      </c>
      <c r="BG399" s="654">
        <f>++BG132</f>
        <v>2.9087100000000001</v>
      </c>
      <c r="BH399" s="654">
        <f>++BH132</f>
        <v>2.6294624999999998</v>
      </c>
      <c r="BI399" s="655">
        <f>++BI132</f>
        <v>10.802163749999998</v>
      </c>
      <c r="BJ399" s="48"/>
      <c r="BK399" s="656">
        <f>++BK132</f>
        <v>2.7605828250000002</v>
      </c>
      <c r="BL399" s="654">
        <f>++BL132</f>
        <v>3.0932089650000001</v>
      </c>
      <c r="BM399" s="654">
        <f>++BM132</f>
        <v>3.7667794500000009</v>
      </c>
      <c r="BN399" s="654">
        <f>++BN132</f>
        <v>3.8873973600000005</v>
      </c>
      <c r="BO399" s="655">
        <f>++BO132</f>
        <v>13.507968600000002</v>
      </c>
      <c r="BP399" s="48"/>
      <c r="BQ399" s="656">
        <f>++BQ132</f>
        <v>2.1567198037086612</v>
      </c>
      <c r="BR399" s="654">
        <f>++BR132</f>
        <v>2.5841698386617984</v>
      </c>
      <c r="BS399" s="654">
        <f>++BS132</f>
        <v>3.9023835102000008</v>
      </c>
      <c r="BT399" s="654">
        <f>++BT132</f>
        <v>3.7202392735199998</v>
      </c>
      <c r="BU399" s="655">
        <f>++BU132</f>
        <v>12.363512426090463</v>
      </c>
      <c r="BV399" s="48"/>
      <c r="BW399" s="656">
        <f>++BW132</f>
        <v>2.1347824468284231</v>
      </c>
      <c r="BX399" s="654">
        <f>++BX132</f>
        <v>2.157309142326036</v>
      </c>
      <c r="BY399" s="654">
        <f>++BY132</f>
        <v>3.8699586347549935</v>
      </c>
      <c r="BZ399" s="654">
        <f>++BZ132</f>
        <v>3.7004958516078759</v>
      </c>
      <c r="CA399" s="655">
        <f>++CA132</f>
        <v>11.862546075517329</v>
      </c>
      <c r="CB399" s="48"/>
      <c r="CC399" s="656">
        <f>++CC132</f>
        <v>2.2591757239766848</v>
      </c>
      <c r="CD399" s="654">
        <f>++CD132</f>
        <v>2.2812141334368343</v>
      </c>
      <c r="CE399" s="654">
        <f>++CE132</f>
        <v>4.2024887311420329</v>
      </c>
      <c r="CF399" s="654">
        <f>++CF132</f>
        <v>4.0834365683821936</v>
      </c>
      <c r="CG399" s="655">
        <f>++CG132</f>
        <v>12.826315156937746</v>
      </c>
      <c r="CH399" s="48"/>
      <c r="CI399" s="656">
        <f>++CI132</f>
        <v>2.5980520825731874</v>
      </c>
      <c r="CJ399" s="654">
        <f>++CJ132</f>
        <v>2.6119901827851755</v>
      </c>
      <c r="CK399" s="654">
        <f>++CK132</f>
        <v>4.727799822534787</v>
      </c>
      <c r="CL399" s="654">
        <f>++CL132</f>
        <v>4.5734489565880576</v>
      </c>
      <c r="CM399" s="655">
        <f>++CM132</f>
        <v>14.511291044481206</v>
      </c>
      <c r="CN399" s="48"/>
      <c r="CO399" s="656">
        <f>++CO132</f>
        <v>2.7279546867018469</v>
      </c>
      <c r="CP399" s="654">
        <f>++CP132</f>
        <v>2.7425896919244344</v>
      </c>
      <c r="CQ399" s="654">
        <f>++CQ132</f>
        <v>4.9641898136615268</v>
      </c>
      <c r="CR399" s="654">
        <f>++CR132</f>
        <v>4.80212140441746</v>
      </c>
      <c r="CS399" s="655">
        <f>++CS132</f>
        <v>15.236855596705269</v>
      </c>
      <c r="CT399" s="48"/>
      <c r="CU399" s="656">
        <f>++CU132</f>
        <v>2.8643524210369393</v>
      </c>
      <c r="CV399" s="654">
        <f>++CV132</f>
        <v>2.8797191765206565</v>
      </c>
      <c r="CW399" s="654">
        <f>++CW132</f>
        <v>5.2123993043446033</v>
      </c>
      <c r="CX399" s="654">
        <f>++CX132</f>
        <v>5.0422274746383335</v>
      </c>
      <c r="CY399" s="655">
        <f>++CY132</f>
        <v>15.998698376540535</v>
      </c>
      <c r="CZ399" s="48"/>
      <c r="DD399" s="48"/>
      <c r="DE399" s="48"/>
      <c r="DF399" s="48"/>
      <c r="DG399" s="48"/>
      <c r="DH399" s="48"/>
      <c r="DI399" s="48"/>
      <c r="DJ399" s="48"/>
      <c r="DK399" s="48"/>
    </row>
    <row r="400" spans="1:115" x14ac:dyDescent="0.2">
      <c r="A400" s="205" t="s">
        <v>500</v>
      </c>
      <c r="B400" s="48"/>
      <c r="C400" s="656"/>
      <c r="D400" s="654"/>
      <c r="E400" s="654"/>
      <c r="F400" s="654"/>
      <c r="G400" s="655"/>
      <c r="H400" s="48"/>
      <c r="I400" s="656"/>
      <c r="J400" s="654"/>
      <c r="K400" s="654"/>
      <c r="L400" s="654"/>
      <c r="M400" s="655"/>
      <c r="N400" s="48"/>
      <c r="O400" s="656"/>
      <c r="P400" s="654"/>
      <c r="Q400" s="654"/>
      <c r="R400" s="654"/>
      <c r="S400" s="655"/>
      <c r="T400" s="48"/>
      <c r="U400" s="656"/>
      <c r="V400" s="654"/>
      <c r="W400" s="654"/>
      <c r="X400" s="654"/>
      <c r="Y400" s="655"/>
      <c r="Z400" s="48"/>
      <c r="AA400" s="656"/>
      <c r="AB400" s="654"/>
      <c r="AC400" s="654"/>
      <c r="AD400" s="654"/>
      <c r="AE400" s="655"/>
      <c r="AF400" s="48"/>
      <c r="AG400" s="656">
        <f>+AG223</f>
        <v>0.68812499999999999</v>
      </c>
      <c r="AH400" s="654">
        <f>+AH223</f>
        <v>0.75937500000000002</v>
      </c>
      <c r="AI400" s="654">
        <f>+AI223</f>
        <v>0.83062499999999995</v>
      </c>
      <c r="AJ400" s="654">
        <f>+AJ223</f>
        <v>0.90187499999999998</v>
      </c>
      <c r="AK400" s="655">
        <f>+SUM(AG400:AJ400)</f>
        <v>3.18</v>
      </c>
      <c r="AL400" s="48"/>
      <c r="AM400" s="656">
        <f>+AM223</f>
        <v>1.6239374999999998</v>
      </c>
      <c r="AN400" s="654">
        <f>+AN223</f>
        <v>2.1158687499999997</v>
      </c>
      <c r="AO400" s="654">
        <f>+AO223</f>
        <v>2.5967312500000004</v>
      </c>
      <c r="AP400" s="654">
        <f>+AP223</f>
        <v>3.1961262499999998</v>
      </c>
      <c r="AQ400" s="655">
        <f>+SUM(AM400:AP400)</f>
        <v>9.5326637500000011</v>
      </c>
      <c r="AR400" s="48"/>
      <c r="AS400" s="656">
        <f>+AS223</f>
        <v>3.0169884198907573</v>
      </c>
      <c r="AT400" s="654">
        <f>+AT223</f>
        <v>3.3326976827160624</v>
      </c>
      <c r="AU400" s="654">
        <f>+AU223</f>
        <v>3.8196329827147073</v>
      </c>
      <c r="AV400" s="654">
        <f>+AV223</f>
        <v>3.823225500325985</v>
      </c>
      <c r="AW400" s="655">
        <f>+SUM(AS400:AV400)</f>
        <v>13.992544585647511</v>
      </c>
      <c r="AX400" s="48"/>
      <c r="AY400" s="656">
        <f>+AY223</f>
        <v>5.690948564246086</v>
      </c>
      <c r="AZ400" s="654">
        <f>+AZ223</f>
        <v>6.2634806430602907</v>
      </c>
      <c r="BA400" s="654">
        <f>+BA223</f>
        <v>6.9358007161844739</v>
      </c>
      <c r="BB400" s="654">
        <f>+BB223</f>
        <v>7.6489364231582782</v>
      </c>
      <c r="BC400" s="655">
        <f>+SUM(AY400:BB400)</f>
        <v>26.539166346649129</v>
      </c>
      <c r="BD400" s="48"/>
      <c r="BE400" s="656">
        <f>+BE223</f>
        <v>9.0414109563671943</v>
      </c>
      <c r="BF400" s="654">
        <f>+BF223</f>
        <v>9.8188493504382102</v>
      </c>
      <c r="BG400" s="654">
        <f>+BG223</f>
        <v>10.715533484462936</v>
      </c>
      <c r="BH400" s="654">
        <f>+BH223</f>
        <v>11.683483802833965</v>
      </c>
      <c r="BI400" s="655">
        <f>+SUM(BE400:BH400)</f>
        <v>41.259277594102301</v>
      </c>
      <c r="BJ400" s="48"/>
      <c r="BK400" s="656">
        <f>+BK223</f>
        <v>11.989558491664608</v>
      </c>
      <c r="BL400" s="654">
        <f>+BL223</f>
        <v>12.988103856999945</v>
      </c>
      <c r="BM400" s="654">
        <f>+BM223</f>
        <v>13.909217099467631</v>
      </c>
      <c r="BN400" s="654">
        <f>+BN223</f>
        <v>14.672940403002983</v>
      </c>
      <c r="BO400" s="655">
        <f>+SUM(BK400:BN400)</f>
        <v>53.559819851135167</v>
      </c>
      <c r="BP400" s="48"/>
      <c r="BQ400" s="656">
        <f>+BQ223</f>
        <v>14.62392271070784</v>
      </c>
      <c r="BR400" s="654">
        <f>+BR223</f>
        <v>15.537757616089428</v>
      </c>
      <c r="BS400" s="654">
        <f>+BS223</f>
        <v>15.990572025024354</v>
      </c>
      <c r="BT400" s="654">
        <f>+BT223</f>
        <v>17.284592706539172</v>
      </c>
      <c r="BU400" s="655">
        <f>+SUM(BQ400:BT400)</f>
        <v>63.436845058360795</v>
      </c>
      <c r="BV400" s="48"/>
      <c r="BW400" s="656">
        <f>+BW223</f>
        <v>17.816728006016291</v>
      </c>
      <c r="BX400" s="654">
        <f>+BX223</f>
        <v>19.226861321888926</v>
      </c>
      <c r="BY400" s="654">
        <f>+BY223</f>
        <v>19.975091772883289</v>
      </c>
      <c r="BZ400" s="654">
        <f>+BZ223</f>
        <v>21.098070768724234</v>
      </c>
      <c r="CA400" s="655">
        <f>+SUM(BW400:BZ400)</f>
        <v>78.11675186951274</v>
      </c>
      <c r="CB400" s="48"/>
      <c r="CC400" s="656">
        <f>+CC223</f>
        <v>21.886468939259263</v>
      </c>
      <c r="CD400" s="654">
        <f>+CD223</f>
        <v>23.83690820260194</v>
      </c>
      <c r="CE400" s="654">
        <f>+CE223</f>
        <v>25.32742300237966</v>
      </c>
      <c r="CF400" s="654">
        <f>+CF223</f>
        <v>27.274149908565061</v>
      </c>
      <c r="CG400" s="655">
        <f>+SUM(CC400:CF400)</f>
        <v>98.324950052805931</v>
      </c>
      <c r="CH400" s="48"/>
      <c r="CI400" s="656">
        <f>+CI223</f>
        <v>27.856601964530178</v>
      </c>
      <c r="CJ400" s="654">
        <f>+CJ223</f>
        <v>30.005356115147919</v>
      </c>
      <c r="CK400" s="654">
        <f>+CK223</f>
        <v>31.117581582472351</v>
      </c>
      <c r="CL400" s="654">
        <f>+CL223</f>
        <v>33.069297126241487</v>
      </c>
      <c r="CM400" s="655">
        <f>+SUM(CI400:CL400)</f>
        <v>122.04883678839192</v>
      </c>
      <c r="CN400" s="48"/>
      <c r="CO400" s="656">
        <f>+CO223</f>
        <v>32.94702940011517</v>
      </c>
      <c r="CP400" s="654">
        <f>+CP223</f>
        <v>35.285686834920334</v>
      </c>
      <c r="CQ400" s="654">
        <f>+CQ223</f>
        <v>36.367907953765062</v>
      </c>
      <c r="CR400" s="654">
        <f>+CR223</f>
        <v>38.428924321435467</v>
      </c>
      <c r="CS400" s="655">
        <f>+SUM(CO400:CR400)</f>
        <v>143.02954851023603</v>
      </c>
      <c r="CT400" s="48"/>
      <c r="CU400" s="656">
        <f>+CU223</f>
        <v>38.166261131405356</v>
      </c>
      <c r="CV400" s="654">
        <f>+CV223</f>
        <v>40.745837086633735</v>
      </c>
      <c r="CW400" s="654">
        <f>+CW223</f>
        <v>41.848169768589351</v>
      </c>
      <c r="CX400" s="654">
        <f>+CX223</f>
        <v>44.07612808549581</v>
      </c>
      <c r="CY400" s="655">
        <f>+SUM(CU400:CX400)</f>
        <v>164.83639607212424</v>
      </c>
      <c r="CZ400" s="48"/>
      <c r="DD400" s="48"/>
      <c r="DE400" s="48"/>
      <c r="DF400" s="48"/>
      <c r="DG400" s="48"/>
      <c r="DH400" s="48"/>
      <c r="DI400" s="48"/>
      <c r="DJ400" s="48"/>
      <c r="DK400" s="48"/>
    </row>
    <row r="401" spans="1:115" x14ac:dyDescent="0.2">
      <c r="A401" s="205" t="s">
        <v>501</v>
      </c>
      <c r="B401" s="48"/>
      <c r="C401" s="656"/>
      <c r="D401" s="654"/>
      <c r="E401" s="654"/>
      <c r="F401" s="654"/>
      <c r="G401" s="655"/>
      <c r="H401" s="48"/>
      <c r="I401" s="656"/>
      <c r="J401" s="654"/>
      <c r="K401" s="654"/>
      <c r="L401" s="654"/>
      <c r="M401" s="655"/>
      <c r="N401" s="48"/>
      <c r="O401" s="656"/>
      <c r="P401" s="654"/>
      <c r="Q401" s="654"/>
      <c r="R401" s="654"/>
      <c r="S401" s="655"/>
      <c r="T401" s="48"/>
      <c r="U401" s="656"/>
      <c r="V401" s="654"/>
      <c r="W401" s="654"/>
      <c r="X401" s="654"/>
      <c r="Y401" s="655"/>
      <c r="Z401" s="48"/>
      <c r="AA401" s="656"/>
      <c r="AB401" s="654"/>
      <c r="AC401" s="654"/>
      <c r="AD401" s="654"/>
      <c r="AE401" s="655"/>
      <c r="AF401" s="48"/>
      <c r="AG401" s="656">
        <f>+AG162</f>
        <v>0</v>
      </c>
      <c r="AH401" s="654">
        <f>+AH162</f>
        <v>0</v>
      </c>
      <c r="AI401" s="654">
        <f>+AI162</f>
        <v>0</v>
      </c>
      <c r="AJ401" s="654">
        <f>+AJ162</f>
        <v>0</v>
      </c>
      <c r="AK401" s="655">
        <f>+SUM(AG401:AJ401)</f>
        <v>0</v>
      </c>
      <c r="AL401" s="48"/>
      <c r="AM401" s="656">
        <f>+AM162</f>
        <v>0</v>
      </c>
      <c r="AN401" s="654">
        <f>+AN162</f>
        <v>0</v>
      </c>
      <c r="AO401" s="654">
        <f>+AO162</f>
        <v>0</v>
      </c>
      <c r="AP401" s="654">
        <f>+AP162</f>
        <v>0</v>
      </c>
      <c r="AQ401" s="655">
        <f>+SUM(AM401:AP401)</f>
        <v>0</v>
      </c>
      <c r="AR401" s="48"/>
      <c r="AS401" s="656">
        <f>+AS162</f>
        <v>0</v>
      </c>
      <c r="AT401" s="654">
        <f>+AT162</f>
        <v>0</v>
      </c>
      <c r="AU401" s="654">
        <f>+AU162</f>
        <v>0</v>
      </c>
      <c r="AV401" s="654">
        <f>+AV162</f>
        <v>0</v>
      </c>
      <c r="AW401" s="655">
        <f>+SUM(AS401:AV401)</f>
        <v>0</v>
      </c>
      <c r="AX401" s="48"/>
      <c r="AY401" s="656">
        <f>+AY162</f>
        <v>3.08</v>
      </c>
      <c r="AZ401" s="654">
        <f>+AZ162</f>
        <v>3.08</v>
      </c>
      <c r="BA401" s="654">
        <f>+BA162</f>
        <v>3.08</v>
      </c>
      <c r="BB401" s="654">
        <f>+BB162</f>
        <v>3.08</v>
      </c>
      <c r="BC401" s="655">
        <f>+SUM(AY401:BB401)</f>
        <v>12.32</v>
      </c>
      <c r="BD401" s="48"/>
      <c r="BE401" s="656">
        <f>+BE162</f>
        <v>2.64</v>
      </c>
      <c r="BF401" s="654">
        <f>+BF162</f>
        <v>3.2560000000000002</v>
      </c>
      <c r="BG401" s="654">
        <f>+BG162</f>
        <v>9.02</v>
      </c>
      <c r="BH401" s="654">
        <f>+BH162</f>
        <v>10.119999999999999</v>
      </c>
      <c r="BI401" s="655">
        <f>+SUM(BE401:BH401)</f>
        <v>25.036000000000001</v>
      </c>
      <c r="BJ401" s="48"/>
      <c r="BK401" s="656">
        <f>+BK162</f>
        <v>7.92</v>
      </c>
      <c r="BL401" s="654">
        <f>+BL162</f>
        <v>7.396221737228676</v>
      </c>
      <c r="BM401" s="654">
        <f>+BM162</f>
        <v>10.769357617029094</v>
      </c>
      <c r="BN401" s="654">
        <f>+BN162</f>
        <v>11.012964312368133</v>
      </c>
      <c r="BO401" s="655">
        <f>+SUM(BK401:BN401)</f>
        <v>37.098543666625901</v>
      </c>
      <c r="BP401" s="48"/>
      <c r="BQ401" s="656">
        <f>+BQ162</f>
        <v>9.408341518654705</v>
      </c>
      <c r="BR401" s="654">
        <f>+BR162</f>
        <v>9.9356143500916332</v>
      </c>
      <c r="BS401" s="654">
        <f>+BS162</f>
        <v>11.656762438067867</v>
      </c>
      <c r="BT401" s="654">
        <f>+BT162</f>
        <v>12.64519970940993</v>
      </c>
      <c r="BU401" s="655">
        <f>+SUM(BQ401:BT401)</f>
        <v>43.645918016224137</v>
      </c>
      <c r="BV401" s="48"/>
      <c r="BW401" s="656">
        <f>+BW162</f>
        <v>10.347560912401606</v>
      </c>
      <c r="BX401" s="654">
        <f>+BX162</f>
        <v>11.275104954708178</v>
      </c>
      <c r="BY401" s="654">
        <f>+BY162</f>
        <v>13.308420851727602</v>
      </c>
      <c r="BZ401" s="654">
        <f>+BZ162</f>
        <v>14.538097208521831</v>
      </c>
      <c r="CA401" s="655">
        <f>+SUM(BW401:BZ401)</f>
        <v>49.469183927359218</v>
      </c>
      <c r="CB401" s="48"/>
      <c r="CC401" s="656">
        <f>+CC162</f>
        <v>14.62526697369478</v>
      </c>
      <c r="CD401" s="654">
        <f>+CD162</f>
        <v>16.570200792389215</v>
      </c>
      <c r="CE401" s="654">
        <f>+CE162</f>
        <v>19.302802412707816</v>
      </c>
      <c r="CF401" s="654">
        <f>+CF162</f>
        <v>21.016361896712258</v>
      </c>
      <c r="CG401" s="655">
        <f>+SUM(CC401:CF401)</f>
        <v>71.514632075504068</v>
      </c>
      <c r="CH401" s="48"/>
      <c r="CI401" s="656">
        <f>+CI162</f>
        <v>17.69657303817068</v>
      </c>
      <c r="CJ401" s="654">
        <f>+CJ162</f>
        <v>19.967091954829005</v>
      </c>
      <c r="CK401" s="654">
        <f>+CK162</f>
        <v>22.873820859058764</v>
      </c>
      <c r="CL401" s="654">
        <f>+CL162</f>
        <v>24.799307038120464</v>
      </c>
      <c r="CM401" s="655">
        <f>+SUM(CI401:CL401)</f>
        <v>85.336792890178913</v>
      </c>
      <c r="CN401" s="48"/>
      <c r="CO401" s="656">
        <f>+CO162</f>
        <v>20.528024724277991</v>
      </c>
      <c r="CP401" s="654">
        <f>+CP162</f>
        <v>23.161826667601641</v>
      </c>
      <c r="CQ401" s="654">
        <f>+CQ162</f>
        <v>26.533632196508169</v>
      </c>
      <c r="CR401" s="654">
        <f>+CR162</f>
        <v>28.76719616421974</v>
      </c>
      <c r="CS401" s="655">
        <f>+SUM(CO401:CR401)</f>
        <v>98.990679752607534</v>
      </c>
      <c r="CT401" s="48"/>
      <c r="CU401" s="656">
        <f>+CU162</f>
        <v>23.812508680162466</v>
      </c>
      <c r="CV401" s="654">
        <f>+CV162</f>
        <v>26.867718934417905</v>
      </c>
      <c r="CW401" s="654">
        <f>+CW162</f>
        <v>30.779013347949473</v>
      </c>
      <c r="CX401" s="654">
        <f>+CX162</f>
        <v>33.369947550494892</v>
      </c>
      <c r="CY401" s="655">
        <f>+SUM(CU401:CX401)</f>
        <v>114.82918851302475</v>
      </c>
      <c r="CZ401" s="48"/>
      <c r="DD401" s="48"/>
      <c r="DE401" s="48"/>
      <c r="DF401" s="48"/>
      <c r="DG401" s="48"/>
      <c r="DH401" s="48"/>
      <c r="DI401" s="48"/>
      <c r="DJ401" s="48"/>
      <c r="DK401" s="48"/>
    </row>
    <row r="402" spans="1:115" x14ac:dyDescent="0.2">
      <c r="A402" s="205" t="s">
        <v>502</v>
      </c>
      <c r="B402" s="48"/>
      <c r="C402" s="656"/>
      <c r="D402" s="654"/>
      <c r="E402" s="654"/>
      <c r="F402" s="654"/>
      <c r="G402" s="655"/>
      <c r="H402" s="48"/>
      <c r="I402" s="656"/>
      <c r="J402" s="654"/>
      <c r="K402" s="654"/>
      <c r="L402" s="654"/>
      <c r="M402" s="655"/>
      <c r="N402" s="48"/>
      <c r="O402" s="656"/>
      <c r="P402" s="654"/>
      <c r="Q402" s="654"/>
      <c r="R402" s="654"/>
      <c r="S402" s="655"/>
      <c r="T402" s="48"/>
      <c r="U402" s="656"/>
      <c r="V402" s="654"/>
      <c r="W402" s="654"/>
      <c r="X402" s="654"/>
      <c r="Y402" s="655"/>
      <c r="Z402" s="48"/>
      <c r="AA402" s="656"/>
      <c r="AB402" s="654"/>
      <c r="AC402" s="654"/>
      <c r="AD402" s="654"/>
      <c r="AE402" s="655"/>
      <c r="AF402" s="48"/>
      <c r="AG402" s="656">
        <f>+AG273</f>
        <v>0</v>
      </c>
      <c r="AH402" s="654">
        <f>+AH273</f>
        <v>0</v>
      </c>
      <c r="AI402" s="654">
        <f>+AI273</f>
        <v>0</v>
      </c>
      <c r="AJ402" s="654">
        <f>+AJ273</f>
        <v>0</v>
      </c>
      <c r="AK402" s="655">
        <f>+SUM(AG402:AJ402)</f>
        <v>0</v>
      </c>
      <c r="AL402" s="48"/>
      <c r="AM402" s="656">
        <f>+AM273</f>
        <v>0</v>
      </c>
      <c r="AN402" s="654">
        <f>+AN273</f>
        <v>0</v>
      </c>
      <c r="AO402" s="654">
        <f>+AO273</f>
        <v>0</v>
      </c>
      <c r="AP402" s="654">
        <f>+AP273</f>
        <v>0</v>
      </c>
      <c r="AQ402" s="655">
        <f>+SUM(AM402:AP402)</f>
        <v>0</v>
      </c>
      <c r="AR402" s="48"/>
      <c r="AS402" s="656">
        <f>+AS273</f>
        <v>0</v>
      </c>
      <c r="AT402" s="654">
        <f>+AT273</f>
        <v>0</v>
      </c>
      <c r="AU402" s="654">
        <f>+AU273</f>
        <v>0</v>
      </c>
      <c r="AV402" s="654">
        <f>+AV273</f>
        <v>0</v>
      </c>
      <c r="AW402" s="655">
        <f>+SUM(AS402:AV402)</f>
        <v>0</v>
      </c>
      <c r="AX402" s="48"/>
      <c r="AY402" s="656">
        <f>+AY273</f>
        <v>4.8125</v>
      </c>
      <c r="AZ402" s="654">
        <f>+AZ273</f>
        <v>4.8125</v>
      </c>
      <c r="BA402" s="654">
        <f>+BA273</f>
        <v>4.8125</v>
      </c>
      <c r="BB402" s="654">
        <f>+BB273</f>
        <v>4.8125</v>
      </c>
      <c r="BC402" s="655">
        <f>+SUM(AY402:BB402)</f>
        <v>19.25</v>
      </c>
      <c r="BD402" s="48"/>
      <c r="BE402" s="656">
        <f>+BE273</f>
        <v>5.3900000000000006</v>
      </c>
      <c r="BF402" s="654">
        <f>+BF273</f>
        <v>5.9290000000000012</v>
      </c>
      <c r="BG402" s="654">
        <f>+BG273</f>
        <v>6.5219000000000023</v>
      </c>
      <c r="BH402" s="654">
        <f>+BH273</f>
        <v>7.8262800000000023</v>
      </c>
      <c r="BI402" s="655">
        <f>+SUM(BE402:BH402)</f>
        <v>25.667180000000009</v>
      </c>
      <c r="BJ402" s="48"/>
      <c r="BK402" s="656">
        <f>+BK273</f>
        <v>8.8550000000000004</v>
      </c>
      <c r="BL402" s="654">
        <f>+BL273</f>
        <v>8.8550000000000004</v>
      </c>
      <c r="BM402" s="654">
        <f>+BM273</f>
        <v>8.8550000000000004</v>
      </c>
      <c r="BN402" s="654">
        <f>+BN273</f>
        <v>11.935</v>
      </c>
      <c r="BO402" s="655">
        <f>+SUM(BK402:BN402)</f>
        <v>38.5</v>
      </c>
      <c r="BP402" s="48"/>
      <c r="BQ402" s="656">
        <f>+BQ273</f>
        <v>11.737303028162552</v>
      </c>
      <c r="BR402" s="654">
        <f>+BR273</f>
        <v>13.637115922663066</v>
      </c>
      <c r="BS402" s="654">
        <f>+BS273</f>
        <v>13.245155</v>
      </c>
      <c r="BT402" s="654">
        <f>+BT273</f>
        <v>17.759818999999997</v>
      </c>
      <c r="BU402" s="655">
        <f>+SUM(BQ402:BT402)</f>
        <v>56.379392950825618</v>
      </c>
      <c r="BV402" s="48"/>
      <c r="BW402" s="656">
        <f>+BW273</f>
        <v>15.285389340434667</v>
      </c>
      <c r="BX402" s="654">
        <f>+BX273</f>
        <v>15.993896490353498</v>
      </c>
      <c r="BY402" s="654">
        <f>+BY273</f>
        <v>16.019512764154491</v>
      </c>
      <c r="BZ402" s="654">
        <f>+BZ273</f>
        <v>20.739779866068865</v>
      </c>
      <c r="CA402" s="655">
        <f>+SUM(BW402:BZ402)</f>
        <v>68.038578461011525</v>
      </c>
      <c r="CB402" s="48"/>
      <c r="CC402" s="656">
        <f>+CC273</f>
        <v>19.668059636207595</v>
      </c>
      <c r="CD402" s="654">
        <f>+CD273</f>
        <v>20.788676115972049</v>
      </c>
      <c r="CE402" s="654">
        <f>+CE273</f>
        <v>21.447443811750919</v>
      </c>
      <c r="CF402" s="654">
        <f>+CF273</f>
        <v>27.485014172920643</v>
      </c>
      <c r="CG402" s="655">
        <f>+SUM(CC402:CF402)</f>
        <v>89.389193736851198</v>
      </c>
      <c r="CH402" s="48"/>
      <c r="CI402" s="656">
        <f>+CI273</f>
        <v>26.727796136805896</v>
      </c>
      <c r="CJ402" s="654">
        <f>+CJ273</f>
        <v>27.839989521137209</v>
      </c>
      <c r="CK402" s="654">
        <f>+CK273</f>
        <v>28.060318180618083</v>
      </c>
      <c r="CL402" s="654">
        <f>+CL273</f>
        <v>35.120841971240573</v>
      </c>
      <c r="CM402" s="655">
        <f>+SUM(CI402:CL402)</f>
        <v>117.74894580980177</v>
      </c>
      <c r="CN402" s="48"/>
      <c r="CO402" s="656">
        <f>+CO273</f>
        <v>33.644647142668639</v>
      </c>
      <c r="CP402" s="654">
        <f>+CP273</f>
        <v>35.067532436315467</v>
      </c>
      <c r="CQ402" s="654">
        <f>+CQ273</f>
        <v>35.437778319361989</v>
      </c>
      <c r="CR402" s="654">
        <f>+CR273</f>
        <v>43.865096590296268</v>
      </c>
      <c r="CS402" s="655">
        <f>+SUM(CO402:CR402)</f>
        <v>148.01505448864236</v>
      </c>
      <c r="CT402" s="48"/>
      <c r="CU402" s="656">
        <f>+CU273</f>
        <v>42.27775678400878</v>
      </c>
      <c r="CV402" s="654">
        <f>+CV273</f>
        <v>43.915561136834654</v>
      </c>
      <c r="CW402" s="654">
        <f>+CW273</f>
        <v>44.307652146502861</v>
      </c>
      <c r="CX402" s="654">
        <f>+CX273</f>
        <v>54.196035031335789</v>
      </c>
      <c r="CY402" s="655">
        <f>+SUM(CU402:CX402)</f>
        <v>184.6970050986821</v>
      </c>
      <c r="CZ402" s="48"/>
      <c r="DD402" s="48"/>
      <c r="DE402" s="48"/>
      <c r="DF402" s="48"/>
      <c r="DG402" s="48"/>
      <c r="DH402" s="48"/>
      <c r="DI402" s="48"/>
      <c r="DJ402" s="48"/>
      <c r="DK402" s="48"/>
    </row>
    <row r="403" spans="1:115" x14ac:dyDescent="0.2">
      <c r="A403" s="205" t="s">
        <v>503</v>
      </c>
      <c r="B403" s="48"/>
      <c r="C403" s="656"/>
      <c r="D403" s="654"/>
      <c r="E403" s="654"/>
      <c r="F403" s="654"/>
      <c r="G403" s="655"/>
      <c r="H403" s="48"/>
      <c r="I403" s="656"/>
      <c r="J403" s="654"/>
      <c r="K403" s="654"/>
      <c r="L403" s="654"/>
      <c r="M403" s="655"/>
      <c r="N403" s="48"/>
      <c r="O403" s="656"/>
      <c r="P403" s="654"/>
      <c r="Q403" s="654"/>
      <c r="R403" s="654"/>
      <c r="S403" s="655"/>
      <c r="T403" s="48"/>
      <c r="U403" s="656"/>
      <c r="V403" s="654"/>
      <c r="W403" s="654"/>
      <c r="X403" s="654"/>
      <c r="Y403" s="655"/>
      <c r="Z403" s="48"/>
      <c r="AA403" s="656"/>
      <c r="AB403" s="654"/>
      <c r="AC403" s="654"/>
      <c r="AD403" s="654"/>
      <c r="AE403" s="655"/>
      <c r="AF403" s="48"/>
      <c r="AG403" s="656">
        <f>+AG300</f>
        <v>0</v>
      </c>
      <c r="AH403" s="654">
        <f>+AH300</f>
        <v>0</v>
      </c>
      <c r="AI403" s="654">
        <f>+AI300</f>
        <v>0</v>
      </c>
      <c r="AJ403" s="654">
        <f>+AJ300</f>
        <v>0</v>
      </c>
      <c r="AK403" s="655">
        <f>+SUM(AG403:AJ403)</f>
        <v>0</v>
      </c>
      <c r="AL403" s="48"/>
      <c r="AM403" s="656">
        <f>+AM300</f>
        <v>0</v>
      </c>
      <c r="AN403" s="654">
        <f>+AN300</f>
        <v>0</v>
      </c>
      <c r="AO403" s="654">
        <f>+AO300</f>
        <v>0</v>
      </c>
      <c r="AP403" s="654">
        <f>+AP300</f>
        <v>0</v>
      </c>
      <c r="AQ403" s="655">
        <f>+SUM(AM403:AP403)</f>
        <v>0</v>
      </c>
      <c r="AR403" s="48"/>
      <c r="AS403" s="656">
        <f>+AS300</f>
        <v>0</v>
      </c>
      <c r="AT403" s="654">
        <f>+AT300</f>
        <v>0</v>
      </c>
      <c r="AU403" s="654">
        <f>+AU300</f>
        <v>0</v>
      </c>
      <c r="AV403" s="654">
        <f>+AV300</f>
        <v>0</v>
      </c>
      <c r="AW403" s="655">
        <f>+SUM(AS403:AV403)</f>
        <v>0</v>
      </c>
      <c r="AX403" s="48"/>
      <c r="AY403" s="656">
        <f>+AY300</f>
        <v>1.2904087288888892</v>
      </c>
      <c r="AZ403" s="654">
        <f>+AZ300</f>
        <v>1.2904087288888892</v>
      </c>
      <c r="BA403" s="654">
        <f>+BA300</f>
        <v>1.2904087288888892</v>
      </c>
      <c r="BB403" s="654">
        <f>+BB300</f>
        <v>0.89570661333333323</v>
      </c>
      <c r="BC403" s="655">
        <f>+SUM(AY403:BB403)</f>
        <v>4.7669328000000011</v>
      </c>
      <c r="BD403" s="48"/>
      <c r="BE403" s="656">
        <f>+BE300</f>
        <v>1.6774922266666665</v>
      </c>
      <c r="BF403" s="654">
        <f>+BF300</f>
        <v>1.6774922266666665</v>
      </c>
      <c r="BG403" s="654">
        <f>+BG300</f>
        <v>1.6774922266666665</v>
      </c>
      <c r="BH403" s="654">
        <f>+BH300</f>
        <v>2.0089330800000003</v>
      </c>
      <c r="BI403" s="655">
        <f>+SUM(BE403:BH403)</f>
        <v>7.0414097599999996</v>
      </c>
      <c r="BJ403" s="48"/>
      <c r="BK403" s="656">
        <f>+BK300</f>
        <v>2.7789330800000003</v>
      </c>
      <c r="BL403" s="654">
        <f>+BL300</f>
        <v>2.7789330800000003</v>
      </c>
      <c r="BM403" s="654">
        <f>+BM300</f>
        <v>2.7789330800000003</v>
      </c>
      <c r="BN403" s="654">
        <f>+BN300</f>
        <v>3.0653199499999992</v>
      </c>
      <c r="BO403" s="655">
        <f>+SUM(BK403:BN403)</f>
        <v>11.402119190000001</v>
      </c>
      <c r="BP403" s="48"/>
      <c r="BQ403" s="656">
        <f>+BQ300</f>
        <v>3.450319949999999</v>
      </c>
      <c r="BR403" s="654">
        <f>+BR300</f>
        <v>4.4276601600000003</v>
      </c>
      <c r="BS403" s="654">
        <f>+BS300</f>
        <v>4.4276601600000003</v>
      </c>
      <c r="BT403" s="654">
        <f>+BT300</f>
        <v>4.3880986590029014</v>
      </c>
      <c r="BU403" s="655">
        <f>+SUM(BQ403:BT403)</f>
        <v>16.693738929002901</v>
      </c>
      <c r="BV403" s="48"/>
      <c r="BW403" s="656">
        <f>+BW300</f>
        <v>4.0959070491479705</v>
      </c>
      <c r="BX403" s="654">
        <f>+BX300</f>
        <v>4.8171093797824733</v>
      </c>
      <c r="BY403" s="654">
        <f>+BY300</f>
        <v>5.3972176064699244</v>
      </c>
      <c r="BZ403" s="654">
        <f>+BZ300</f>
        <v>5.8176850529292103</v>
      </c>
      <c r="CA403" s="655">
        <f>+SUM(BW403:BZ403)</f>
        <v>20.127919088329577</v>
      </c>
      <c r="CB403" s="48"/>
      <c r="CC403" s="656">
        <f>+CC300</f>
        <v>5.0215999544357199</v>
      </c>
      <c r="CD403" s="654">
        <f>+CD300</f>
        <v>5.761280647444516</v>
      </c>
      <c r="CE403" s="654">
        <f>+CE300</f>
        <v>5.3421669978751707</v>
      </c>
      <c r="CF403" s="654">
        <f>+CF300</f>
        <v>5.6032407917096325</v>
      </c>
      <c r="CG403" s="655">
        <f>+SUM(CC403:CF403)</f>
        <v>21.728288391465043</v>
      </c>
      <c r="CH403" s="48"/>
      <c r="CI403" s="656">
        <f>+CI300</f>
        <v>5.2022696498320302</v>
      </c>
      <c r="CJ403" s="654">
        <f>+CJ300</f>
        <v>6.1807909399308354</v>
      </c>
      <c r="CK403" s="654">
        <f>+CK300</f>
        <v>6.440666596421047</v>
      </c>
      <c r="CL403" s="654">
        <f>+CL300</f>
        <v>6.8805781741243734</v>
      </c>
      <c r="CM403" s="655">
        <f>+SUM(CI403:CL403)</f>
        <v>24.704305360308286</v>
      </c>
      <c r="CN403" s="48"/>
      <c r="CO403" s="656">
        <f>+CO300</f>
        <v>9.6646569043969706</v>
      </c>
      <c r="CP403" s="654">
        <f>+CP300</f>
        <v>9.047580503320825</v>
      </c>
      <c r="CQ403" s="654">
        <f>+CQ300</f>
        <v>9.2841982983312477</v>
      </c>
      <c r="CR403" s="654">
        <f>+CR300</f>
        <v>7.9333526872807409</v>
      </c>
      <c r="CS403" s="655">
        <f>+SUM(CO403:CR403)</f>
        <v>35.92978839332978</v>
      </c>
      <c r="CT403" s="48"/>
      <c r="CU403" s="656">
        <f>+CU300</f>
        <v>13.06824481395822</v>
      </c>
      <c r="CV403" s="654">
        <f>+CV300</f>
        <v>13.176152781811805</v>
      </c>
      <c r="CW403" s="654">
        <f>+CW300</f>
        <v>13.405415535475859</v>
      </c>
      <c r="CX403" s="654">
        <f>+CX300</f>
        <v>12.486607203907742</v>
      </c>
      <c r="CY403" s="655">
        <f>+SUM(CU403:CX403)</f>
        <v>52.13642033515363</v>
      </c>
      <c r="CZ403" s="48"/>
      <c r="DD403" s="48"/>
      <c r="DE403" s="48"/>
      <c r="DF403" s="48"/>
      <c r="DG403" s="48"/>
      <c r="DH403" s="48"/>
      <c r="DI403" s="48"/>
      <c r="DJ403" s="48"/>
      <c r="DK403" s="48"/>
    </row>
    <row r="404" spans="1:115" x14ac:dyDescent="0.2">
      <c r="A404" s="205" t="s">
        <v>549</v>
      </c>
      <c r="B404" s="48"/>
      <c r="C404" s="656"/>
      <c r="D404" s="654"/>
      <c r="E404" s="654"/>
      <c r="F404" s="654"/>
      <c r="G404" s="655"/>
      <c r="H404" s="48"/>
      <c r="I404" s="656"/>
      <c r="J404" s="654"/>
      <c r="K404" s="654"/>
      <c r="L404" s="654"/>
      <c r="M404" s="655"/>
      <c r="N404" s="48"/>
      <c r="O404" s="656"/>
      <c r="P404" s="654"/>
      <c r="Q404" s="654"/>
      <c r="R404" s="654"/>
      <c r="S404" s="655"/>
      <c r="T404" s="48"/>
      <c r="U404" s="656"/>
      <c r="V404" s="654"/>
      <c r="W404" s="654"/>
      <c r="X404" s="654"/>
      <c r="Y404" s="655"/>
      <c r="Z404" s="48"/>
      <c r="AA404" s="656"/>
      <c r="AB404" s="654"/>
      <c r="AC404" s="654"/>
      <c r="AD404" s="654"/>
      <c r="AE404" s="655"/>
      <c r="AF404" s="48"/>
      <c r="AG404" s="656">
        <f>+AG385-SUM(AG396:AG403)</f>
        <v>112.31261250000001</v>
      </c>
      <c r="AH404" s="654">
        <f>+AH385-SUM(AH396:AH403)</f>
        <v>121.39847499999999</v>
      </c>
      <c r="AI404" s="654">
        <f>+AI385-SUM(AI396:AI403)</f>
        <v>133.0518375</v>
      </c>
      <c r="AJ404" s="654">
        <f>+AJ385-SUM(AJ396:AJ403)</f>
        <v>143.21726250000006</v>
      </c>
      <c r="AK404" s="655">
        <f>+AK385-SUM(AK396:AK403)</f>
        <v>509.9801875</v>
      </c>
      <c r="AL404" s="48"/>
      <c r="AM404" s="656">
        <f>+AM385-SUM(AM396:AM403)</f>
        <v>129.67821249999997</v>
      </c>
      <c r="AN404" s="654">
        <f>+AN385-SUM(AN396:AN403)</f>
        <v>128.78255625</v>
      </c>
      <c r="AO404" s="654">
        <f>+AO385-SUM(AO396:AO403)</f>
        <v>140.70798975000002</v>
      </c>
      <c r="AP404" s="654">
        <f>+AP385-SUM(AP396:AP403)</f>
        <v>151.60020975000003</v>
      </c>
      <c r="AQ404" s="655">
        <f>+AQ385-SUM(AQ396:AQ403)</f>
        <v>550.76896824999994</v>
      </c>
      <c r="AR404" s="48"/>
      <c r="AS404" s="656">
        <f>+AS385-SUM(AS396:AS403)</f>
        <v>140.0378388528365</v>
      </c>
      <c r="AT404" s="654">
        <f>+AT385-SUM(AT396:AT403)</f>
        <v>146.68662942571768</v>
      </c>
      <c r="AU404" s="654">
        <f>+AU385-SUM(AU396:AU403)</f>
        <v>148.872258683952</v>
      </c>
      <c r="AV404" s="654">
        <f>+AV385-SUM(AV396:AV403)</f>
        <v>167.30628589207913</v>
      </c>
      <c r="AW404" s="655">
        <f>+AW385-SUM(AW396:AW403)</f>
        <v>602.90301285458531</v>
      </c>
      <c r="AX404" s="48"/>
      <c r="AY404" s="656">
        <f>+AY385-SUM(AY396:AY403)</f>
        <v>138.20616022713097</v>
      </c>
      <c r="AZ404" s="654">
        <f>+AZ385-SUM(AZ396:AZ403)</f>
        <v>146.3233800757111</v>
      </c>
      <c r="BA404" s="654">
        <f>+BA385-SUM(BA396:BA403)</f>
        <v>145.93349795703872</v>
      </c>
      <c r="BB404" s="654">
        <f>+BB385-SUM(BB396:BB403)</f>
        <v>181.92356744075653</v>
      </c>
      <c r="BC404" s="655">
        <f>+BC385-SUM(BC396:BC403)</f>
        <v>612.38660570063735</v>
      </c>
      <c r="BD404" s="48"/>
      <c r="BE404" s="656">
        <f>+BE385-SUM(BE396:BE403)</f>
        <v>141.25203533709544</v>
      </c>
      <c r="BF404" s="654">
        <f>+BF385-SUM(BF396:BF403)</f>
        <v>147.83989059941001</v>
      </c>
      <c r="BG404" s="654">
        <f>+BG385-SUM(BG396:BG403)</f>
        <v>141.56994731433065</v>
      </c>
      <c r="BH404" s="654">
        <f>+BH385-SUM(BH396:BH403)</f>
        <v>167.77825539448895</v>
      </c>
      <c r="BI404" s="655">
        <f>+BI385-SUM(BI396:BI403)</f>
        <v>598.4401286453251</v>
      </c>
      <c r="BJ404" s="48"/>
      <c r="BK404" s="656">
        <f>+BK385-SUM(BK396:BK403)</f>
        <v>147.01869261306337</v>
      </c>
      <c r="BL404" s="654">
        <f>+BL385-SUM(BL396:BL403)</f>
        <v>157.66009808902842</v>
      </c>
      <c r="BM404" s="654">
        <f>+BM385-SUM(BM396:BM403)</f>
        <v>155.00479881281433</v>
      </c>
      <c r="BN404" s="654">
        <f>+BN385-SUM(BN396:BN403)</f>
        <v>148.86099521687854</v>
      </c>
      <c r="BO404" s="655">
        <f>+BO385-SUM(BO396:BO403)</f>
        <v>608.54458473178465</v>
      </c>
      <c r="BP404" s="48"/>
      <c r="BQ404" s="656">
        <f>+BQ385-SUM(BQ396:BQ403)</f>
        <v>135.53022672282268</v>
      </c>
      <c r="BR404" s="654">
        <f>+BR385-SUM(BR396:BR403)</f>
        <v>141.45195361050304</v>
      </c>
      <c r="BS404" s="654">
        <f>+BS385-SUM(BS396:BS403)</f>
        <v>132.74054274865728</v>
      </c>
      <c r="BT404" s="654">
        <f>+BT385-SUM(BT396:BT403)</f>
        <v>147.52004091090339</v>
      </c>
      <c r="BU404" s="655">
        <f>+BU385-SUM(BU396:BU403)</f>
        <v>557.24276399288647</v>
      </c>
      <c r="BV404" s="48"/>
      <c r="BW404" s="656">
        <f>+BW385-SUM(BW396:BW403)</f>
        <v>122.25734113618057</v>
      </c>
      <c r="BX404" s="654">
        <f>+BX385-SUM(BX396:BX403)</f>
        <v>141.45411997409389</v>
      </c>
      <c r="BY404" s="654">
        <f>+BY385-SUM(BY396:BY403)</f>
        <v>138.15928966203572</v>
      </c>
      <c r="BZ404" s="654">
        <f>+BZ385-SUM(BZ396:BZ403)</f>
        <v>146.7674229732674</v>
      </c>
      <c r="CA404" s="655">
        <f>+CA385-SUM(CA396:CA403)</f>
        <v>548.63817374557766</v>
      </c>
      <c r="CB404" s="48"/>
      <c r="CC404" s="656">
        <f>+CC385-SUM(CC396:CC403)</f>
        <v>119.76360638934423</v>
      </c>
      <c r="CD404" s="654">
        <f>+CD385-SUM(CD396:CD403)</f>
        <v>133.08327276838341</v>
      </c>
      <c r="CE404" s="654">
        <f>+CE385-SUM(CE396:CE403)</f>
        <v>131.1205680179221</v>
      </c>
      <c r="CF404" s="654">
        <f>+CF385-SUM(CF396:CF403)</f>
        <v>143.49277415219831</v>
      </c>
      <c r="CG404" s="655">
        <f>+CG385-SUM(CG396:CG403)</f>
        <v>527.46022132784799</v>
      </c>
      <c r="CH404" s="48"/>
      <c r="CI404" s="656">
        <f>+CI385-SUM(CI396:CI403)</f>
        <v>127.01407670937128</v>
      </c>
      <c r="CJ404" s="654">
        <f>+CJ385-SUM(CJ396:CJ403)</f>
        <v>145.17509033844655</v>
      </c>
      <c r="CK404" s="654">
        <f>+CK385-SUM(CK396:CK403)</f>
        <v>134.45483825968094</v>
      </c>
      <c r="CL404" s="654">
        <f>+CL385-SUM(CL396:CL403)</f>
        <v>145.95336850166746</v>
      </c>
      <c r="CM404" s="655">
        <f>+CM385-SUM(CM396:CM403)</f>
        <v>552.59737380916624</v>
      </c>
      <c r="CN404" s="48"/>
      <c r="CO404" s="656">
        <f>+CO385-SUM(CO396:CO403)</f>
        <v>118.41312511794473</v>
      </c>
      <c r="CP404" s="654">
        <f>+CP385-SUM(CP396:CP403)</f>
        <v>136.64549454355929</v>
      </c>
      <c r="CQ404" s="654">
        <f>+CQ385-SUM(CQ396:CQ403)</f>
        <v>130.21151348805336</v>
      </c>
      <c r="CR404" s="654">
        <f>+CR385-SUM(CR396:CR403)</f>
        <v>144.05714366156988</v>
      </c>
      <c r="CS404" s="655">
        <f>+CS385-SUM(CS396:CS403)</f>
        <v>529.32727681112749</v>
      </c>
      <c r="CT404" s="48"/>
      <c r="CU404" s="656">
        <f>+CU385-SUM(CU396:CU403)</f>
        <v>115.65642038252125</v>
      </c>
      <c r="CV404" s="654">
        <f>+CV385-SUM(CV396:CV403)</f>
        <v>134.65272409241257</v>
      </c>
      <c r="CW404" s="654">
        <f>+CW385-SUM(CW396:CW403)</f>
        <v>127.26980652835749</v>
      </c>
      <c r="CX404" s="654">
        <f>+CX385-SUM(CX396:CX403)</f>
        <v>141.03955357739105</v>
      </c>
      <c r="CY404" s="655">
        <f>+CY385-SUM(CY396:CY403)</f>
        <v>518.61850458068227</v>
      </c>
      <c r="CZ404" s="48"/>
      <c r="DD404" s="48"/>
      <c r="DE404" s="48"/>
      <c r="DF404" s="48"/>
      <c r="DG404" s="48"/>
      <c r="DH404" s="48"/>
      <c r="DI404" s="48"/>
      <c r="DJ404" s="48"/>
      <c r="DK404" s="48"/>
    </row>
    <row r="405" spans="1:115" x14ac:dyDescent="0.2">
      <c r="A405" s="1139" t="s">
        <v>464</v>
      </c>
      <c r="B405" s="48"/>
      <c r="C405" s="656"/>
      <c r="D405" s="654"/>
      <c r="E405" s="654"/>
      <c r="F405" s="654"/>
      <c r="G405" s="655"/>
      <c r="H405" s="48"/>
      <c r="I405" s="656"/>
      <c r="J405" s="654"/>
      <c r="K405" s="654"/>
      <c r="L405" s="654"/>
      <c r="M405" s="655"/>
      <c r="N405" s="48"/>
      <c r="O405" s="656"/>
      <c r="P405" s="654"/>
      <c r="Q405" s="654"/>
      <c r="R405" s="654"/>
      <c r="S405" s="655"/>
      <c r="T405" s="48"/>
      <c r="U405" s="656"/>
      <c r="V405" s="654"/>
      <c r="W405" s="654"/>
      <c r="X405" s="654"/>
      <c r="Y405" s="655"/>
      <c r="Z405" s="48"/>
      <c r="AA405" s="656"/>
      <c r="AB405" s="654"/>
      <c r="AC405" s="654"/>
      <c r="AD405" s="654"/>
      <c r="AE405" s="655"/>
      <c r="AF405" s="48"/>
      <c r="AG405" s="1131">
        <f>+IF(ISERROR(AG396/AG376),0,AG396/AG376)</f>
        <v>0.85</v>
      </c>
      <c r="AH405" s="1132">
        <f>+IF(ISERROR(AH396/AH376),0,AH396/AH376)</f>
        <v>0.85</v>
      </c>
      <c r="AI405" s="1132">
        <f>+IF(ISERROR(AI396/AI376),0,AI396/AI376)</f>
        <v>0.85</v>
      </c>
      <c r="AJ405" s="1132">
        <f>+IF(ISERROR(AJ396/AJ376),0,AJ396/AJ376)</f>
        <v>0.85</v>
      </c>
      <c r="AK405" s="1117">
        <f>+IF(ISERROR(AK396/AK376),0,AK396/AK376)</f>
        <v>0.85000000000000009</v>
      </c>
      <c r="AL405" s="48"/>
      <c r="AM405" s="1131">
        <f>+IF(ISERROR(AM396/AM376),0,AM396/AM376)</f>
        <v>0.85</v>
      </c>
      <c r="AN405" s="1132">
        <f>+IF(ISERROR(AN396/AN376),0,AN396/AN376)</f>
        <v>0.85</v>
      </c>
      <c r="AO405" s="1132">
        <f>+IF(ISERROR(AO396/AO376),0,AO396/AO376)</f>
        <v>0.85</v>
      </c>
      <c r="AP405" s="1132">
        <f>+IF(ISERROR(AP396/AP376),0,AP396/AP376)</f>
        <v>0.85</v>
      </c>
      <c r="AQ405" s="1117">
        <f>+IF(ISERROR(AQ396/AQ376),0,AQ396/AQ376)</f>
        <v>0.85</v>
      </c>
      <c r="AR405" s="48"/>
      <c r="AS405" s="1131">
        <f>+IF(ISERROR(AS396/AS376),0,AS396/AS376)</f>
        <v>0.85</v>
      </c>
      <c r="AT405" s="1132">
        <f>+IF(ISERROR(AT396/AT376),0,AT396/AT376)</f>
        <v>0.85000000000000009</v>
      </c>
      <c r="AU405" s="1132">
        <f>+IF(ISERROR(AU396/AU376),0,AU396/AU376)</f>
        <v>0.85</v>
      </c>
      <c r="AV405" s="1132">
        <f>+IF(ISERROR(AV396/AV376),0,AV396/AV376)</f>
        <v>0.85</v>
      </c>
      <c r="AW405" s="1117">
        <f>+IF(ISERROR(AW396/AW376),0,AW396/AW376)</f>
        <v>0.85000000000000009</v>
      </c>
      <c r="AX405" s="48"/>
      <c r="AY405" s="1131">
        <f>+IF(ISERROR(AY396/AY376),0,AY396/AY376)</f>
        <v>0.83191142057483536</v>
      </c>
      <c r="AZ405" s="1132">
        <f>+IF(ISERROR(AZ396/AZ376),0,AZ396/AZ376)</f>
        <v>0.83191142057483536</v>
      </c>
      <c r="BA405" s="1132">
        <f>+IF(ISERROR(BA396/BA376),0,BA396/BA376)</f>
        <v>0.83191142057483536</v>
      </c>
      <c r="BB405" s="1132">
        <f>+IF(ISERROR(BB396/BB376),0,BB396/BB376)</f>
        <v>0.83191142057483536</v>
      </c>
      <c r="BC405" s="1117">
        <f>+IF(ISERROR(BC396/BC376),0,BC396/BC376)</f>
        <v>0.83191142057483547</v>
      </c>
      <c r="BD405" s="48"/>
      <c r="BE405" s="1131">
        <f>+IF(ISERROR(BE396/BE376),0,BE396/BE376)</f>
        <v>0.84055909519067717</v>
      </c>
      <c r="BF405" s="1132">
        <f>+IF(ISERROR(BF396/BF376),0,BF396/BF376)</f>
        <v>0.84055909519067717</v>
      </c>
      <c r="BG405" s="1132">
        <f>+IF(ISERROR(BG396/BG376),0,BG396/BG376)</f>
        <v>0.84055909519067729</v>
      </c>
      <c r="BH405" s="1132">
        <f>+IF(ISERROR(BH396/BH376),0,BH396/BH376)</f>
        <v>0.84055909519067706</v>
      </c>
      <c r="BI405" s="1117">
        <f>+IF(ISERROR(BI396/BI376),0,BI396/BI376)</f>
        <v>0.84055909519067717</v>
      </c>
      <c r="BJ405" s="48"/>
      <c r="BK405" s="1131">
        <f>+IF(ISERROR(BK396/BK376),0,BK396/BK376)</f>
        <v>0.81306907661146266</v>
      </c>
      <c r="BL405" s="1132">
        <f>+IF(ISERROR(BL396/BL376),0,BL396/BL376)</f>
        <v>0.81306907661146266</v>
      </c>
      <c r="BM405" s="1132">
        <f>+IF(ISERROR(BM396/BM376),0,BM396/BM376)</f>
        <v>0.81306907661146266</v>
      </c>
      <c r="BN405" s="1132">
        <f>+IF(ISERROR(BN396/BN376),0,BN396/BN376)</f>
        <v>0.81306907661146266</v>
      </c>
      <c r="BO405" s="1117">
        <f>+IF(ISERROR(BO396/BO376),0,BO396/BO376)</f>
        <v>0.81306907661146266</v>
      </c>
      <c r="BP405" s="48"/>
      <c r="BQ405" s="1131">
        <f>+IF(ISERROR(BQ396/BQ376),0,BQ396/BQ376)</f>
        <v>0.7790886602098015</v>
      </c>
      <c r="BR405" s="1132">
        <f>+IF(ISERROR(BR396/BR376),0,BR396/BR376)</f>
        <v>0.7790886602098015</v>
      </c>
      <c r="BS405" s="1132">
        <f>+IF(ISERROR(BS396/BS376),0,BS396/BS376)</f>
        <v>0.7790886602098015</v>
      </c>
      <c r="BT405" s="1132">
        <f>+IF(ISERROR(BT396/BT376),0,BT396/BT376)</f>
        <v>0.7790886602098015</v>
      </c>
      <c r="BU405" s="1117">
        <f>+IF(ISERROR(BU396/BU376),0,BU396/BU376)</f>
        <v>0.7790886602098015</v>
      </c>
      <c r="BV405" s="48"/>
      <c r="BW405" s="1131">
        <f>+IF(ISERROR(BW396/BW376),0,BW396/BW376)</f>
        <v>0.7790886602098015</v>
      </c>
      <c r="BX405" s="1132">
        <f>+IF(ISERROR(BX396/BX376),0,BX396/BX376)</f>
        <v>0.76908866020980138</v>
      </c>
      <c r="BY405" s="1132">
        <f>+IF(ISERROR(BY396/BY376),0,BY396/BY376)</f>
        <v>0.76908866020980149</v>
      </c>
      <c r="BZ405" s="1132">
        <f>+IF(ISERROR(BZ396/BZ376),0,BZ396/BZ376)</f>
        <v>0.76908866020980149</v>
      </c>
      <c r="CA405" s="1117">
        <f>+IF(ISERROR(CA396/CA376),0,CA396/CA376)</f>
        <v>0.77113929807034365</v>
      </c>
      <c r="CB405" s="48"/>
      <c r="CC405" s="1131">
        <f t="shared" ref="CC405:CD405" si="113">+IF(ISERROR(CC396/CC376),0,CC396/CC376)</f>
        <v>0.76908866020980149</v>
      </c>
      <c r="CD405" s="1132">
        <f t="shared" si="113"/>
        <v>0.76908866020980149</v>
      </c>
      <c r="CE405" s="1132">
        <f t="shared" ref="CE405:CF405" si="114">+IF(ISERROR(CE396/CE376),0,CE396/CE376)</f>
        <v>0.76908866020980149</v>
      </c>
      <c r="CF405" s="1132">
        <f t="shared" si="114"/>
        <v>0.76908866020980149</v>
      </c>
      <c r="CG405" s="1117">
        <f>+IF(ISERROR(CG396/CG376),0,CG396/CG376)</f>
        <v>0.76908866020980138</v>
      </c>
      <c r="CH405" s="48"/>
      <c r="CI405" s="1131">
        <f t="shared" ref="CI405:CM413" si="115">+IF(ISERROR(CI396/CI376),0,CI396/CI376)</f>
        <v>0.7690886602098016</v>
      </c>
      <c r="CJ405" s="1132">
        <f t="shared" si="115"/>
        <v>0.76908866020980149</v>
      </c>
      <c r="CK405" s="1132">
        <f t="shared" si="115"/>
        <v>0.76908866020980149</v>
      </c>
      <c r="CL405" s="1132">
        <f t="shared" si="115"/>
        <v>0.76908866020980149</v>
      </c>
      <c r="CM405" s="1117">
        <f t="shared" si="115"/>
        <v>0.7690886602098016</v>
      </c>
      <c r="CN405" s="48"/>
      <c r="CO405" s="1131">
        <f t="shared" ref="CO405:CS413" si="116">+IF(ISERROR(CO396/CO376),0,CO396/CO376)</f>
        <v>0.76908866020980149</v>
      </c>
      <c r="CP405" s="1132">
        <f t="shared" si="116"/>
        <v>0.76908866020980149</v>
      </c>
      <c r="CQ405" s="1132">
        <f t="shared" si="116"/>
        <v>0.76908866020980149</v>
      </c>
      <c r="CR405" s="1132">
        <f t="shared" si="116"/>
        <v>0.76908866020980149</v>
      </c>
      <c r="CS405" s="1117">
        <f t="shared" si="116"/>
        <v>0.76908866020980138</v>
      </c>
      <c r="CT405" s="48"/>
      <c r="CU405" s="1131">
        <f t="shared" ref="CU405:CY413" si="117">+IF(ISERROR(CU396/CU376),0,CU396/CU376)</f>
        <v>0.76908866020980149</v>
      </c>
      <c r="CV405" s="1132">
        <f t="shared" si="117"/>
        <v>0.76908866020980149</v>
      </c>
      <c r="CW405" s="1132">
        <f t="shared" si="117"/>
        <v>0.76908866020980149</v>
      </c>
      <c r="CX405" s="1132">
        <f t="shared" si="117"/>
        <v>0.7690886602098016</v>
      </c>
      <c r="CY405" s="1117">
        <f t="shared" si="117"/>
        <v>0.76908866020980149</v>
      </c>
      <c r="CZ405" s="48"/>
      <c r="DD405" s="48"/>
      <c r="DE405" s="48"/>
      <c r="DF405" s="48"/>
      <c r="DG405" s="48"/>
      <c r="DH405" s="48"/>
      <c r="DI405" s="48"/>
      <c r="DJ405" s="48"/>
      <c r="DK405" s="48"/>
    </row>
    <row r="406" spans="1:115" x14ac:dyDescent="0.2">
      <c r="A406" s="2164" t="s">
        <v>726</v>
      </c>
      <c r="B406" s="48"/>
      <c r="C406" s="2161"/>
      <c r="D406" s="654"/>
      <c r="E406" s="654"/>
      <c r="F406" s="654"/>
      <c r="G406" s="2162"/>
      <c r="H406" s="48"/>
      <c r="I406" s="2161"/>
      <c r="J406" s="654"/>
      <c r="K406" s="654"/>
      <c r="L406" s="654"/>
      <c r="M406" s="2162"/>
      <c r="N406" s="48"/>
      <c r="O406" s="2161"/>
      <c r="P406" s="654"/>
      <c r="Q406" s="654"/>
      <c r="R406" s="654"/>
      <c r="S406" s="2162"/>
      <c r="T406" s="48"/>
      <c r="U406" s="2161"/>
      <c r="V406" s="654"/>
      <c r="W406" s="654"/>
      <c r="X406" s="654"/>
      <c r="Y406" s="2162"/>
      <c r="Z406" s="48"/>
      <c r="AA406" s="2161"/>
      <c r="AB406" s="654"/>
      <c r="AC406" s="654"/>
      <c r="AD406" s="654"/>
      <c r="AE406" s="2162"/>
      <c r="AF406" s="48"/>
      <c r="AG406" s="2133"/>
      <c r="AH406" s="1132"/>
      <c r="AI406" s="1132"/>
      <c r="AJ406" s="1132"/>
      <c r="AK406" s="2160"/>
      <c r="AL406" s="48"/>
      <c r="AM406" s="2133"/>
      <c r="AN406" s="1132"/>
      <c r="AO406" s="1132"/>
      <c r="AP406" s="1132"/>
      <c r="AQ406" s="2160"/>
      <c r="AR406" s="48"/>
      <c r="AS406" s="2133"/>
      <c r="AT406" s="1132"/>
      <c r="AU406" s="1132"/>
      <c r="AV406" s="1132"/>
      <c r="AW406" s="2160"/>
      <c r="AX406" s="48"/>
      <c r="AY406" s="2133"/>
      <c r="AZ406" s="1132"/>
      <c r="BA406" s="1132"/>
      <c r="BB406" s="1132"/>
      <c r="BC406" s="2160"/>
      <c r="BD406" s="48"/>
      <c r="BE406" s="2133"/>
      <c r="BF406" s="1132"/>
      <c r="BG406" s="1132"/>
      <c r="BH406" s="1132"/>
      <c r="BI406" s="2160"/>
      <c r="BJ406" s="48"/>
      <c r="BK406" s="2133"/>
      <c r="BL406" s="1132"/>
      <c r="BM406" s="1132"/>
      <c r="BN406" s="1132"/>
      <c r="BO406" s="2160"/>
      <c r="BP406" s="48"/>
      <c r="BQ406" s="2133"/>
      <c r="BR406" s="1132"/>
      <c r="BS406" s="1132"/>
      <c r="BT406" s="1132"/>
      <c r="BU406" s="2160"/>
      <c r="BV406" s="48"/>
      <c r="BW406" s="2133"/>
      <c r="BX406" s="1132"/>
      <c r="BY406" s="1132"/>
      <c r="BZ406" s="1132"/>
      <c r="CA406" s="2160"/>
      <c r="CB406" s="48"/>
      <c r="CC406" s="2133"/>
      <c r="CD406" s="1132"/>
      <c r="CE406" s="1132"/>
      <c r="CF406" s="1132"/>
      <c r="CG406" s="2160"/>
      <c r="CH406" s="48"/>
      <c r="CI406" s="1131">
        <f t="shared" si="115"/>
        <v>0</v>
      </c>
      <c r="CJ406" s="1132">
        <f t="shared" si="115"/>
        <v>0</v>
      </c>
      <c r="CK406" s="1132">
        <f t="shared" si="115"/>
        <v>0.4</v>
      </c>
      <c r="CL406" s="1132">
        <f t="shared" si="115"/>
        <v>0.40050000000000002</v>
      </c>
      <c r="CM406" s="1117">
        <f t="shared" si="115"/>
        <v>0.40032191780821924</v>
      </c>
      <c r="CN406" s="48"/>
      <c r="CO406" s="1131">
        <f t="shared" si="116"/>
        <v>0.69999999999999984</v>
      </c>
      <c r="CP406" s="1132">
        <f t="shared" si="116"/>
        <v>0.7</v>
      </c>
      <c r="CQ406" s="1132">
        <f t="shared" si="116"/>
        <v>0.7</v>
      </c>
      <c r="CR406" s="1132">
        <f t="shared" si="116"/>
        <v>0.7</v>
      </c>
      <c r="CS406" s="1117">
        <f t="shared" si="116"/>
        <v>0.7</v>
      </c>
      <c r="CT406" s="48"/>
      <c r="CU406" s="1131">
        <f t="shared" si="117"/>
        <v>0.69999999999999984</v>
      </c>
      <c r="CV406" s="1132">
        <f t="shared" si="117"/>
        <v>0.7</v>
      </c>
      <c r="CW406" s="1132">
        <f t="shared" si="117"/>
        <v>0.7</v>
      </c>
      <c r="CX406" s="1132">
        <f t="shared" si="117"/>
        <v>0.7</v>
      </c>
      <c r="CY406" s="1117">
        <f t="shared" si="117"/>
        <v>0.7</v>
      </c>
      <c r="CZ406" s="48"/>
      <c r="DD406" s="48"/>
      <c r="DE406" s="48"/>
      <c r="DF406" s="48"/>
      <c r="DG406" s="48"/>
      <c r="DH406" s="48"/>
      <c r="DI406" s="48"/>
      <c r="DJ406" s="48"/>
      <c r="DK406" s="48"/>
    </row>
    <row r="407" spans="1:115" x14ac:dyDescent="0.2">
      <c r="A407" s="1139" t="s">
        <v>465</v>
      </c>
      <c r="B407" s="48"/>
      <c r="C407" s="656"/>
      <c r="D407" s="654"/>
      <c r="E407" s="654"/>
      <c r="F407" s="654"/>
      <c r="G407" s="655"/>
      <c r="H407" s="48"/>
      <c r="I407" s="656"/>
      <c r="J407" s="654"/>
      <c r="K407" s="654"/>
      <c r="L407" s="654"/>
      <c r="M407" s="655"/>
      <c r="N407" s="48"/>
      <c r="O407" s="656"/>
      <c r="P407" s="654"/>
      <c r="Q407" s="654"/>
      <c r="R407" s="654"/>
      <c r="S407" s="655"/>
      <c r="T407" s="48"/>
      <c r="U407" s="656"/>
      <c r="V407" s="654"/>
      <c r="W407" s="654"/>
      <c r="X407" s="654"/>
      <c r="Y407" s="655"/>
      <c r="Z407" s="48"/>
      <c r="AA407" s="656"/>
      <c r="AB407" s="654"/>
      <c r="AC407" s="654"/>
      <c r="AD407" s="654"/>
      <c r="AE407" s="655"/>
      <c r="AF407" s="48"/>
      <c r="AG407" s="1131">
        <f t="shared" ref="AG407:AK413" si="118">+IF(ISERROR(AG398/AG378),0,AG398/AG378)</f>
        <v>0</v>
      </c>
      <c r="AH407" s="1132">
        <f t="shared" si="118"/>
        <v>0</v>
      </c>
      <c r="AI407" s="1132">
        <f t="shared" si="118"/>
        <v>0</v>
      </c>
      <c r="AJ407" s="1132">
        <f t="shared" si="118"/>
        <v>0</v>
      </c>
      <c r="AK407" s="1117">
        <f t="shared" si="118"/>
        <v>0</v>
      </c>
      <c r="AL407" s="48"/>
      <c r="AM407" s="1131">
        <f t="shared" ref="AM407:AQ413" si="119">+IF(ISERROR(AM398/AM378),0,AM398/AM378)</f>
        <v>0</v>
      </c>
      <c r="AN407" s="1132">
        <f t="shared" si="119"/>
        <v>0</v>
      </c>
      <c r="AO407" s="1132">
        <f t="shared" si="119"/>
        <v>0</v>
      </c>
      <c r="AP407" s="1132">
        <f t="shared" si="119"/>
        <v>0</v>
      </c>
      <c r="AQ407" s="1117">
        <f t="shared" si="119"/>
        <v>0</v>
      </c>
      <c r="AR407" s="48"/>
      <c r="AS407" s="1131">
        <f t="shared" ref="AS407:AW413" si="120">+IF(ISERROR(AS398/AS378),0,AS398/AS378)</f>
        <v>0</v>
      </c>
      <c r="AT407" s="1132">
        <f t="shared" si="120"/>
        <v>0</v>
      </c>
      <c r="AU407" s="1132">
        <f t="shared" si="120"/>
        <v>0.63</v>
      </c>
      <c r="AV407" s="1132">
        <f t="shared" si="120"/>
        <v>0.63</v>
      </c>
      <c r="AW407" s="1117">
        <f t="shared" si="120"/>
        <v>0.63000000000000012</v>
      </c>
      <c r="AX407" s="48"/>
      <c r="AY407" s="1131">
        <f t="shared" ref="AY407:BC413" si="121">+IF(ISERROR(AY398/AY378),0,AY398/AY378)</f>
        <v>0.65</v>
      </c>
      <c r="AZ407" s="1132">
        <f t="shared" si="121"/>
        <v>0.65</v>
      </c>
      <c r="BA407" s="1132">
        <f t="shared" si="121"/>
        <v>0.65</v>
      </c>
      <c r="BB407" s="1132">
        <f t="shared" si="121"/>
        <v>0.65</v>
      </c>
      <c r="BC407" s="1117">
        <f t="shared" si="121"/>
        <v>0.65</v>
      </c>
      <c r="BD407" s="48"/>
      <c r="BE407" s="1131">
        <f t="shared" ref="BE407:BI413" si="122">+IF(ISERROR(BE398/BE378),0,BE398/BE378)</f>
        <v>0.67</v>
      </c>
      <c r="BF407" s="1132">
        <f t="shared" si="122"/>
        <v>0.67</v>
      </c>
      <c r="BG407" s="1132">
        <f t="shared" si="122"/>
        <v>0.67</v>
      </c>
      <c r="BH407" s="1132">
        <f t="shared" si="122"/>
        <v>0.67</v>
      </c>
      <c r="BI407" s="1117">
        <f t="shared" si="122"/>
        <v>0.67</v>
      </c>
      <c r="BJ407" s="48"/>
      <c r="BK407" s="1131">
        <f t="shared" ref="BK407:BO413" si="123">+IF(ISERROR(BK398/BK378),0,BK398/BK378)</f>
        <v>0.68</v>
      </c>
      <c r="BL407" s="1132">
        <f t="shared" si="123"/>
        <v>0.68</v>
      </c>
      <c r="BM407" s="1132">
        <f t="shared" si="123"/>
        <v>0.68</v>
      </c>
      <c r="BN407" s="1132">
        <f t="shared" si="123"/>
        <v>0.68</v>
      </c>
      <c r="BO407" s="1117">
        <f t="shared" si="123"/>
        <v>0.68000000000000016</v>
      </c>
      <c r="BP407" s="48"/>
      <c r="BQ407" s="1131">
        <f t="shared" ref="BQ407:BU413" si="124">+IF(ISERROR(BQ398/BQ378),0,BQ398/BQ378)</f>
        <v>0.68000000000000016</v>
      </c>
      <c r="BR407" s="1132">
        <f t="shared" si="124"/>
        <v>0.68</v>
      </c>
      <c r="BS407" s="1132">
        <f t="shared" si="124"/>
        <v>0.68</v>
      </c>
      <c r="BT407" s="1132">
        <f t="shared" si="124"/>
        <v>0.68</v>
      </c>
      <c r="BU407" s="1117">
        <f t="shared" si="124"/>
        <v>0.68</v>
      </c>
      <c r="BV407" s="48"/>
      <c r="BW407" s="1131">
        <f t="shared" ref="BW407:CA413" si="125">+IF(ISERROR(BW398/BW378),0,BW398/BW378)</f>
        <v>0.6875</v>
      </c>
      <c r="BX407" s="1132">
        <f t="shared" si="125"/>
        <v>0.69499999999999995</v>
      </c>
      <c r="BY407" s="1132">
        <f t="shared" si="125"/>
        <v>0.7024999999999999</v>
      </c>
      <c r="BZ407" s="1132">
        <f t="shared" si="125"/>
        <v>0.70999999999999985</v>
      </c>
      <c r="CA407" s="1117">
        <f t="shared" si="125"/>
        <v>0.69949692143732911</v>
      </c>
      <c r="CB407" s="48"/>
      <c r="CC407" s="1131">
        <f t="shared" ref="CC407:CD407" si="126">+IF(ISERROR(CC398/CC378),0,CC398/CC378)</f>
        <v>0.7104999999999998</v>
      </c>
      <c r="CD407" s="1132">
        <f t="shared" si="126"/>
        <v>0.71099999999999974</v>
      </c>
      <c r="CE407" s="1132">
        <f t="shared" ref="CE407:CF407" si="127">+IF(ISERROR(CE398/CE378),0,CE398/CE378)</f>
        <v>0.71149999999999969</v>
      </c>
      <c r="CF407" s="1132">
        <f t="shared" si="127"/>
        <v>0.71199999999999963</v>
      </c>
      <c r="CG407" s="1117">
        <f t="shared" ref="CG407:CG413" si="128">+IF(ISERROR(CG398/CG378),0,CG398/CG378)</f>
        <v>0.71131232478149864</v>
      </c>
      <c r="CH407" s="48"/>
      <c r="CI407" s="1131">
        <f t="shared" si="115"/>
        <v>0.7</v>
      </c>
      <c r="CJ407" s="1132">
        <f t="shared" si="115"/>
        <v>0.7</v>
      </c>
      <c r="CK407" s="1132">
        <f t="shared" si="115"/>
        <v>0.7</v>
      </c>
      <c r="CL407" s="1132">
        <f t="shared" si="115"/>
        <v>0.7</v>
      </c>
      <c r="CM407" s="1117">
        <f t="shared" si="115"/>
        <v>0.7</v>
      </c>
      <c r="CN407" s="48"/>
      <c r="CO407" s="1131">
        <f t="shared" si="116"/>
        <v>0.7</v>
      </c>
      <c r="CP407" s="1132">
        <f t="shared" si="116"/>
        <v>0.7</v>
      </c>
      <c r="CQ407" s="1132">
        <f t="shared" si="116"/>
        <v>0.7</v>
      </c>
      <c r="CR407" s="1132">
        <f t="shared" si="116"/>
        <v>0.7</v>
      </c>
      <c r="CS407" s="1117">
        <f t="shared" si="116"/>
        <v>0.7</v>
      </c>
      <c r="CT407" s="48"/>
      <c r="CU407" s="1131">
        <f t="shared" si="117"/>
        <v>0.7</v>
      </c>
      <c r="CV407" s="1132">
        <f t="shared" si="117"/>
        <v>0.7</v>
      </c>
      <c r="CW407" s="1132">
        <f t="shared" si="117"/>
        <v>0.7</v>
      </c>
      <c r="CX407" s="1132">
        <f t="shared" si="117"/>
        <v>0.7</v>
      </c>
      <c r="CY407" s="1117">
        <f t="shared" si="117"/>
        <v>0.7</v>
      </c>
      <c r="CZ407" s="48"/>
      <c r="DD407" s="48"/>
      <c r="DE407" s="48"/>
      <c r="DF407" s="48"/>
      <c r="DG407" s="48"/>
      <c r="DH407" s="48"/>
      <c r="DI407" s="48"/>
      <c r="DJ407" s="48"/>
      <c r="DK407" s="48"/>
    </row>
    <row r="408" spans="1:115" x14ac:dyDescent="0.2">
      <c r="A408" s="1139" t="s">
        <v>640</v>
      </c>
      <c r="B408" s="48"/>
      <c r="C408" s="656"/>
      <c r="D408" s="654"/>
      <c r="E408" s="654"/>
      <c r="F408" s="654"/>
      <c r="G408" s="655"/>
      <c r="H408" s="48"/>
      <c r="I408" s="656"/>
      <c r="J408" s="654"/>
      <c r="K408" s="654"/>
      <c r="L408" s="654"/>
      <c r="M408" s="655"/>
      <c r="N408" s="48"/>
      <c r="O408" s="656"/>
      <c r="P408" s="654"/>
      <c r="Q408" s="654"/>
      <c r="R408" s="654"/>
      <c r="S408" s="655"/>
      <c r="T408" s="48"/>
      <c r="U408" s="656"/>
      <c r="V408" s="654"/>
      <c r="W408" s="654"/>
      <c r="X408" s="654"/>
      <c r="Y408" s="655"/>
      <c r="Z408" s="48"/>
      <c r="AA408" s="656"/>
      <c r="AB408" s="654"/>
      <c r="AC408" s="654"/>
      <c r="AD408" s="654"/>
      <c r="AE408" s="655"/>
      <c r="AF408" s="48"/>
      <c r="AG408" s="1131">
        <f t="shared" si="118"/>
        <v>0</v>
      </c>
      <c r="AH408" s="1132">
        <f t="shared" si="118"/>
        <v>0</v>
      </c>
      <c r="AI408" s="1132">
        <f t="shared" si="118"/>
        <v>0</v>
      </c>
      <c r="AJ408" s="1132">
        <f t="shared" si="118"/>
        <v>0.45</v>
      </c>
      <c r="AK408" s="1117">
        <f t="shared" si="118"/>
        <v>0.45</v>
      </c>
      <c r="AL408" s="48"/>
      <c r="AM408" s="1131">
        <f t="shared" si="119"/>
        <v>0.35</v>
      </c>
      <c r="AN408" s="1132">
        <f t="shared" si="119"/>
        <v>0.35</v>
      </c>
      <c r="AO408" s="1132">
        <f t="shared" si="119"/>
        <v>0.35</v>
      </c>
      <c r="AP408" s="1132">
        <f t="shared" si="119"/>
        <v>0.35</v>
      </c>
      <c r="AQ408" s="1117">
        <f t="shared" si="119"/>
        <v>0.35000000000000003</v>
      </c>
      <c r="AR408" s="48"/>
      <c r="AS408" s="1131">
        <f t="shared" si="120"/>
        <v>0.35</v>
      </c>
      <c r="AT408" s="1132">
        <f t="shared" si="120"/>
        <v>0.35</v>
      </c>
      <c r="AU408" s="1132">
        <f t="shared" si="120"/>
        <v>0.35</v>
      </c>
      <c r="AV408" s="1132">
        <f t="shared" si="120"/>
        <v>0.35</v>
      </c>
      <c r="AW408" s="1117">
        <f t="shared" si="120"/>
        <v>0.35</v>
      </c>
      <c r="AX408" s="48"/>
      <c r="AY408" s="1131">
        <f t="shared" si="121"/>
        <v>0.35</v>
      </c>
      <c r="AZ408" s="1132">
        <f t="shared" si="121"/>
        <v>0.35</v>
      </c>
      <c r="BA408" s="1132">
        <f t="shared" si="121"/>
        <v>0.35</v>
      </c>
      <c r="BB408" s="1132">
        <f t="shared" si="121"/>
        <v>0.35</v>
      </c>
      <c r="BC408" s="1117">
        <f t="shared" si="121"/>
        <v>0.34999999999999992</v>
      </c>
      <c r="BD408" s="48"/>
      <c r="BE408" s="1131">
        <f t="shared" si="122"/>
        <v>0.35</v>
      </c>
      <c r="BF408" s="1132">
        <f t="shared" si="122"/>
        <v>0.35</v>
      </c>
      <c r="BG408" s="1132">
        <f t="shared" si="122"/>
        <v>0.35</v>
      </c>
      <c r="BH408" s="1132">
        <f t="shared" si="122"/>
        <v>0.35</v>
      </c>
      <c r="BI408" s="1117">
        <f t="shared" si="122"/>
        <v>0.34999999999999992</v>
      </c>
      <c r="BJ408" s="48"/>
      <c r="BK408" s="1131">
        <f t="shared" si="123"/>
        <v>0.35</v>
      </c>
      <c r="BL408" s="1132">
        <f t="shared" si="123"/>
        <v>0.35</v>
      </c>
      <c r="BM408" s="1132">
        <f t="shared" si="123"/>
        <v>0.35</v>
      </c>
      <c r="BN408" s="1132">
        <f t="shared" si="123"/>
        <v>0.35</v>
      </c>
      <c r="BO408" s="1117">
        <f t="shared" si="123"/>
        <v>0.35000000000000003</v>
      </c>
      <c r="BP408" s="48"/>
      <c r="BQ408" s="1131">
        <f t="shared" si="124"/>
        <v>0.34999999999999992</v>
      </c>
      <c r="BR408" s="1132">
        <f t="shared" si="124"/>
        <v>0.35</v>
      </c>
      <c r="BS408" s="1132">
        <f t="shared" si="124"/>
        <v>0.35</v>
      </c>
      <c r="BT408" s="1132">
        <f t="shared" si="124"/>
        <v>0.35</v>
      </c>
      <c r="BU408" s="1117">
        <f t="shared" si="124"/>
        <v>0.35000000000000003</v>
      </c>
      <c r="BV408" s="48"/>
      <c r="BW408" s="1131">
        <f t="shared" si="125"/>
        <v>0.35</v>
      </c>
      <c r="BX408" s="1132">
        <f t="shared" si="125"/>
        <v>0.35</v>
      </c>
      <c r="BY408" s="1132">
        <f t="shared" si="125"/>
        <v>0.35</v>
      </c>
      <c r="BZ408" s="1132">
        <f t="shared" si="125"/>
        <v>0.35</v>
      </c>
      <c r="CA408" s="1117">
        <f t="shared" si="125"/>
        <v>0.35000000000000003</v>
      </c>
      <c r="CB408" s="48"/>
      <c r="CC408" s="1131">
        <f t="shared" ref="CC408:CD408" si="129">+IF(ISERROR(CC399/CC379),0,CC399/CC379)</f>
        <v>0.34999999999999992</v>
      </c>
      <c r="CD408" s="1132">
        <f t="shared" si="129"/>
        <v>0.35</v>
      </c>
      <c r="CE408" s="1132">
        <f t="shared" ref="CE408:CF408" si="130">+IF(ISERROR(CE399/CE379),0,CE399/CE379)</f>
        <v>0.35</v>
      </c>
      <c r="CF408" s="1132">
        <f t="shared" si="130"/>
        <v>0.35</v>
      </c>
      <c r="CG408" s="1117">
        <f t="shared" si="128"/>
        <v>0.35</v>
      </c>
      <c r="CH408" s="48"/>
      <c r="CI408" s="1131">
        <f t="shared" si="115"/>
        <v>0.35</v>
      </c>
      <c r="CJ408" s="1132">
        <f t="shared" si="115"/>
        <v>0.35</v>
      </c>
      <c r="CK408" s="1132">
        <f t="shared" si="115"/>
        <v>0.35</v>
      </c>
      <c r="CL408" s="1132">
        <f t="shared" si="115"/>
        <v>0.35</v>
      </c>
      <c r="CM408" s="1117">
        <f t="shared" si="115"/>
        <v>0.34999999999999992</v>
      </c>
      <c r="CN408" s="48"/>
      <c r="CO408" s="1131">
        <f t="shared" si="116"/>
        <v>0.35</v>
      </c>
      <c r="CP408" s="1132">
        <f t="shared" si="116"/>
        <v>0.35</v>
      </c>
      <c r="CQ408" s="1132">
        <f t="shared" si="116"/>
        <v>0.35</v>
      </c>
      <c r="CR408" s="1132">
        <f t="shared" si="116"/>
        <v>0.35</v>
      </c>
      <c r="CS408" s="1117">
        <f t="shared" si="116"/>
        <v>0.35</v>
      </c>
      <c r="CT408" s="48"/>
      <c r="CU408" s="1131">
        <f t="shared" si="117"/>
        <v>0.35</v>
      </c>
      <c r="CV408" s="1132">
        <f t="shared" si="117"/>
        <v>0.35</v>
      </c>
      <c r="CW408" s="1132">
        <f t="shared" si="117"/>
        <v>0.35</v>
      </c>
      <c r="CX408" s="1132">
        <f t="shared" si="117"/>
        <v>0.35</v>
      </c>
      <c r="CY408" s="1117">
        <f t="shared" si="117"/>
        <v>0.35000000000000009</v>
      </c>
      <c r="CZ408" s="48"/>
      <c r="DD408" s="48"/>
      <c r="DE408" s="48"/>
      <c r="DF408" s="48"/>
      <c r="DG408" s="48"/>
      <c r="DH408" s="48"/>
      <c r="DI408" s="48"/>
      <c r="DJ408" s="48"/>
      <c r="DK408" s="48"/>
    </row>
    <row r="409" spans="1:115" x14ac:dyDescent="0.2">
      <c r="A409" s="1139" t="s">
        <v>469</v>
      </c>
      <c r="B409" s="48"/>
      <c r="C409" s="656"/>
      <c r="D409" s="654"/>
      <c r="E409" s="654"/>
      <c r="F409" s="654"/>
      <c r="G409" s="655"/>
      <c r="H409" s="48"/>
      <c r="I409" s="656"/>
      <c r="J409" s="654"/>
      <c r="K409" s="654"/>
      <c r="L409" s="654"/>
      <c r="M409" s="655"/>
      <c r="N409" s="48"/>
      <c r="O409" s="656"/>
      <c r="P409" s="654"/>
      <c r="Q409" s="654"/>
      <c r="R409" s="654"/>
      <c r="S409" s="655"/>
      <c r="T409" s="48"/>
      <c r="U409" s="656"/>
      <c r="V409" s="654"/>
      <c r="W409" s="654"/>
      <c r="X409" s="654"/>
      <c r="Y409" s="655"/>
      <c r="Z409" s="48"/>
      <c r="AA409" s="656"/>
      <c r="AB409" s="654"/>
      <c r="AC409" s="654"/>
      <c r="AD409" s="654"/>
      <c r="AE409" s="655"/>
      <c r="AF409" s="48"/>
      <c r="AG409" s="1131">
        <f t="shared" si="118"/>
        <v>0.62028169014084511</v>
      </c>
      <c r="AH409" s="1132">
        <f t="shared" si="118"/>
        <v>0.63116883116883116</v>
      </c>
      <c r="AI409" s="1132">
        <f t="shared" si="118"/>
        <v>0.64048192771084334</v>
      </c>
      <c r="AJ409" s="1132">
        <f t="shared" si="118"/>
        <v>0.64853932584269658</v>
      </c>
      <c r="AK409" s="1117">
        <f t="shared" si="118"/>
        <v>0.63600000000000001</v>
      </c>
      <c r="AL409" s="48"/>
      <c r="AM409" s="1131">
        <f t="shared" si="119"/>
        <v>0.61064629847238538</v>
      </c>
      <c r="AN409" s="1132">
        <f t="shared" si="119"/>
        <v>0.61091581701705311</v>
      </c>
      <c r="AO409" s="1132">
        <f t="shared" si="119"/>
        <v>0.61854548161381573</v>
      </c>
      <c r="AP409" s="1132">
        <f t="shared" si="119"/>
        <v>0.62447590960990118</v>
      </c>
      <c r="AQ409" s="1117">
        <f t="shared" si="119"/>
        <v>0.61743924185657706</v>
      </c>
      <c r="AR409" s="48"/>
      <c r="AS409" s="1131">
        <f t="shared" si="120"/>
        <v>0.72999670568563335</v>
      </c>
      <c r="AT409" s="1132">
        <f t="shared" si="120"/>
        <v>0.73273698522401531</v>
      </c>
      <c r="AU409" s="1132">
        <f t="shared" si="120"/>
        <v>0.69944854880439167</v>
      </c>
      <c r="AV409" s="1132">
        <f t="shared" si="120"/>
        <v>0.71856789004393151</v>
      </c>
      <c r="AW409" s="1117">
        <f t="shared" si="120"/>
        <v>0.71894141555921076</v>
      </c>
      <c r="AX409" s="48"/>
      <c r="AY409" s="1131">
        <f t="shared" si="121"/>
        <v>0.66957475134663513</v>
      </c>
      <c r="AZ409" s="1132">
        <f t="shared" si="121"/>
        <v>0.68015726607021476</v>
      </c>
      <c r="BA409" s="1132">
        <f t="shared" si="121"/>
        <v>0.68683593336063775</v>
      </c>
      <c r="BB409" s="1132">
        <f t="shared" si="121"/>
        <v>0.6903203907006743</v>
      </c>
      <c r="BC409" s="1117">
        <f t="shared" si="121"/>
        <v>0.68247446453213056</v>
      </c>
      <c r="BD409" s="48"/>
      <c r="BE409" s="1131">
        <f t="shared" si="122"/>
        <v>0.69068925567903416</v>
      </c>
      <c r="BF409" s="1132">
        <f t="shared" si="122"/>
        <v>0.6979404524478352</v>
      </c>
      <c r="BG409" s="1132">
        <f t="shared" si="122"/>
        <v>0.70279371903263643</v>
      </c>
      <c r="BH409" s="1132">
        <f t="shared" si="122"/>
        <v>0.70488892184058571</v>
      </c>
      <c r="BI409" s="1117">
        <f t="shared" si="122"/>
        <v>0.69953838490173414</v>
      </c>
      <c r="BJ409" s="48"/>
      <c r="BK409" s="1131">
        <f t="shared" si="123"/>
        <v>0.71680245715237112</v>
      </c>
      <c r="BL409" s="1132">
        <f t="shared" si="123"/>
        <v>0.72096318086891698</v>
      </c>
      <c r="BM409" s="1132">
        <f t="shared" si="123"/>
        <v>0.72369520410933774</v>
      </c>
      <c r="BN409" s="1132">
        <f t="shared" si="123"/>
        <v>0.72559342697872886</v>
      </c>
      <c r="BO409" s="1117">
        <f t="shared" si="123"/>
        <v>0.72199505171214806</v>
      </c>
      <c r="BP409" s="48"/>
      <c r="BQ409" s="1131">
        <f t="shared" si="124"/>
        <v>0.7284617070648266</v>
      </c>
      <c r="BR409" s="1132">
        <f t="shared" si="124"/>
        <v>0.73140553671350172</v>
      </c>
      <c r="BS409" s="1132">
        <f t="shared" si="124"/>
        <v>0.73433584463412072</v>
      </c>
      <c r="BT409" s="1132">
        <f t="shared" si="124"/>
        <v>0.73155912815246393</v>
      </c>
      <c r="BU409" s="1117">
        <f t="shared" si="124"/>
        <v>0.731501711409691</v>
      </c>
      <c r="BV409" s="48"/>
      <c r="BW409" s="1131">
        <f t="shared" si="125"/>
        <v>0.74023290732035996</v>
      </c>
      <c r="BX409" s="1132">
        <f t="shared" si="125"/>
        <v>0.74056683941309198</v>
      </c>
      <c r="BY409" s="1132">
        <f t="shared" si="125"/>
        <v>0.74138098956449128</v>
      </c>
      <c r="BZ409" s="1132">
        <f t="shared" si="125"/>
        <v>0.73800303932061795</v>
      </c>
      <c r="CA409" s="1117">
        <f t="shared" si="125"/>
        <v>0.74000418002627621</v>
      </c>
      <c r="CB409" s="48"/>
      <c r="CC409" s="1131">
        <f t="shared" ref="CC409:CD409" si="131">+IF(ISERROR(CC400/CC380),0,CC400/CC380)</f>
        <v>0.7455858100279269</v>
      </c>
      <c r="CD409" s="1132">
        <f t="shared" si="131"/>
        <v>0.74606575356288052</v>
      </c>
      <c r="CE409" s="1132">
        <f t="shared" ref="CE409:CF409" si="132">+IF(ISERROR(CE400/CE380),0,CE400/CE380)</f>
        <v>0.74657138671343515</v>
      </c>
      <c r="CF409" s="1132">
        <f t="shared" si="132"/>
        <v>0.74630231215042198</v>
      </c>
      <c r="CG409" s="1117">
        <f t="shared" si="128"/>
        <v>0.74615461819134832</v>
      </c>
      <c r="CH409" s="48"/>
      <c r="CI409" s="1131">
        <f t="shared" si="115"/>
        <v>0.74806915466270518</v>
      </c>
      <c r="CJ409" s="1132">
        <f t="shared" si="115"/>
        <v>0.74927607981932809</v>
      </c>
      <c r="CK409" s="1132">
        <f t="shared" si="115"/>
        <v>0.74961644994808641</v>
      </c>
      <c r="CL409" s="1132">
        <f t="shared" si="115"/>
        <v>0.75007305347023123</v>
      </c>
      <c r="CM409" s="1117">
        <f t="shared" si="115"/>
        <v>0.74930261902232775</v>
      </c>
      <c r="CN409" s="48"/>
      <c r="CO409" s="1131">
        <f t="shared" si="116"/>
        <v>0.75138759802844768</v>
      </c>
      <c r="CP409" s="1132">
        <f t="shared" si="116"/>
        <v>0.75221829554327924</v>
      </c>
      <c r="CQ409" s="1132">
        <f t="shared" si="116"/>
        <v>0.75241992533459745</v>
      </c>
      <c r="CR409" s="1132">
        <f t="shared" si="116"/>
        <v>0.75271335847514798</v>
      </c>
      <c r="CS409" s="1117">
        <f t="shared" si="116"/>
        <v>0.75221091139798901</v>
      </c>
      <c r="CT409" s="48"/>
      <c r="CU409" s="1131">
        <f t="shared" si="117"/>
        <v>0.753277365672259</v>
      </c>
      <c r="CV409" s="1132">
        <f t="shared" si="117"/>
        <v>0.75390810736503777</v>
      </c>
      <c r="CW409" s="1132">
        <f t="shared" si="117"/>
        <v>0.75404556863509153</v>
      </c>
      <c r="CX409" s="1132">
        <f t="shared" si="117"/>
        <v>0.75425803982202333</v>
      </c>
      <c r="CY409" s="1117">
        <f t="shared" si="117"/>
        <v>0.75389036143961341</v>
      </c>
      <c r="CZ409" s="48"/>
      <c r="DD409" s="48"/>
      <c r="DE409" s="48"/>
      <c r="DF409" s="48"/>
      <c r="DG409" s="48"/>
      <c r="DH409" s="48"/>
      <c r="DI409" s="48"/>
      <c r="DJ409" s="48"/>
      <c r="DK409" s="48"/>
    </row>
    <row r="410" spans="1:115" x14ac:dyDescent="0.2">
      <c r="A410" s="1139" t="s">
        <v>466</v>
      </c>
      <c r="B410" s="48"/>
      <c r="C410" s="656"/>
      <c r="D410" s="654"/>
      <c r="E410" s="654"/>
      <c r="F410" s="654"/>
      <c r="G410" s="655"/>
      <c r="H410" s="48"/>
      <c r="I410" s="656"/>
      <c r="J410" s="654"/>
      <c r="K410" s="654"/>
      <c r="L410" s="654"/>
      <c r="M410" s="655"/>
      <c r="N410" s="48"/>
      <c r="O410" s="656"/>
      <c r="P410" s="654"/>
      <c r="Q410" s="654"/>
      <c r="R410" s="654"/>
      <c r="S410" s="655"/>
      <c r="T410" s="48"/>
      <c r="U410" s="656"/>
      <c r="V410" s="654"/>
      <c r="W410" s="654"/>
      <c r="X410" s="654"/>
      <c r="Y410" s="655"/>
      <c r="Z410" s="48"/>
      <c r="AA410" s="656"/>
      <c r="AB410" s="654"/>
      <c r="AC410" s="654"/>
      <c r="AD410" s="654"/>
      <c r="AE410" s="655"/>
      <c r="AF410" s="48"/>
      <c r="AG410" s="1131">
        <f t="shared" si="118"/>
        <v>0</v>
      </c>
      <c r="AH410" s="1132">
        <f t="shared" si="118"/>
        <v>0</v>
      </c>
      <c r="AI410" s="1132">
        <f t="shared" si="118"/>
        <v>0</v>
      </c>
      <c r="AJ410" s="1132">
        <f t="shared" si="118"/>
        <v>0</v>
      </c>
      <c r="AK410" s="1117">
        <f t="shared" si="118"/>
        <v>0</v>
      </c>
      <c r="AL410" s="48"/>
      <c r="AM410" s="1131">
        <f t="shared" si="119"/>
        <v>0</v>
      </c>
      <c r="AN410" s="1132">
        <f t="shared" si="119"/>
        <v>0</v>
      </c>
      <c r="AO410" s="1132">
        <f t="shared" si="119"/>
        <v>0</v>
      </c>
      <c r="AP410" s="1132">
        <f t="shared" si="119"/>
        <v>0</v>
      </c>
      <c r="AQ410" s="1117">
        <f t="shared" si="119"/>
        <v>0</v>
      </c>
      <c r="AR410" s="48"/>
      <c r="AS410" s="1131">
        <f t="shared" si="120"/>
        <v>0</v>
      </c>
      <c r="AT410" s="1132">
        <f t="shared" si="120"/>
        <v>0</v>
      </c>
      <c r="AU410" s="1132">
        <f t="shared" si="120"/>
        <v>0</v>
      </c>
      <c r="AV410" s="1132">
        <f t="shared" si="120"/>
        <v>0</v>
      </c>
      <c r="AW410" s="1117">
        <f t="shared" si="120"/>
        <v>0</v>
      </c>
      <c r="AX410" s="48"/>
      <c r="AY410" s="1131">
        <f t="shared" si="121"/>
        <v>0.88</v>
      </c>
      <c r="AZ410" s="1132">
        <f t="shared" si="121"/>
        <v>0.88</v>
      </c>
      <c r="BA410" s="1132">
        <f t="shared" si="121"/>
        <v>0.88</v>
      </c>
      <c r="BB410" s="1132">
        <f t="shared" si="121"/>
        <v>0.88</v>
      </c>
      <c r="BC410" s="1117">
        <f t="shared" si="121"/>
        <v>0.88</v>
      </c>
      <c r="BD410" s="48"/>
      <c r="BE410" s="1131">
        <f t="shared" si="122"/>
        <v>0.88</v>
      </c>
      <c r="BF410" s="1132">
        <f t="shared" si="122"/>
        <v>0.88</v>
      </c>
      <c r="BG410" s="1132">
        <f t="shared" si="122"/>
        <v>0.88</v>
      </c>
      <c r="BH410" s="1132">
        <f t="shared" si="122"/>
        <v>0.87999999999999989</v>
      </c>
      <c r="BI410" s="1117">
        <f t="shared" si="122"/>
        <v>0.88000000000000012</v>
      </c>
      <c r="BJ410" s="48"/>
      <c r="BK410" s="1131">
        <f t="shared" si="123"/>
        <v>0.88</v>
      </c>
      <c r="BL410" s="1132">
        <f t="shared" si="123"/>
        <v>0.88</v>
      </c>
      <c r="BM410" s="1132">
        <f t="shared" si="123"/>
        <v>0.88</v>
      </c>
      <c r="BN410" s="1132">
        <f t="shared" si="123"/>
        <v>0.88</v>
      </c>
      <c r="BO410" s="1117">
        <f t="shared" si="123"/>
        <v>0.87999999999999989</v>
      </c>
      <c r="BP410" s="48"/>
      <c r="BQ410" s="1131">
        <f t="shared" si="124"/>
        <v>0.88</v>
      </c>
      <c r="BR410" s="1132">
        <f t="shared" si="124"/>
        <v>0.88</v>
      </c>
      <c r="BS410" s="1132">
        <f t="shared" si="124"/>
        <v>0.88</v>
      </c>
      <c r="BT410" s="1132">
        <f t="shared" si="124"/>
        <v>0.88</v>
      </c>
      <c r="BU410" s="1117">
        <f t="shared" si="124"/>
        <v>0.88000000000000012</v>
      </c>
      <c r="BV410" s="48"/>
      <c r="BW410" s="1131">
        <f t="shared" si="125"/>
        <v>0.88</v>
      </c>
      <c r="BX410" s="1132">
        <f t="shared" si="125"/>
        <v>0.88</v>
      </c>
      <c r="BY410" s="1132">
        <f t="shared" si="125"/>
        <v>0.88</v>
      </c>
      <c r="BZ410" s="1132">
        <f t="shared" si="125"/>
        <v>0.88</v>
      </c>
      <c r="CA410" s="1117">
        <f t="shared" si="125"/>
        <v>0.88000000000000012</v>
      </c>
      <c r="CB410" s="48"/>
      <c r="CC410" s="1131">
        <f t="shared" ref="CC410:CD410" si="133">+IF(ISERROR(CC401/CC381),0,CC401/CC381)</f>
        <v>0.88</v>
      </c>
      <c r="CD410" s="1132">
        <f t="shared" si="133"/>
        <v>0.88</v>
      </c>
      <c r="CE410" s="1132">
        <f t="shared" ref="CE410:CF410" si="134">+IF(ISERROR(CE401/CE381),0,CE401/CE381)</f>
        <v>0.87999999999999989</v>
      </c>
      <c r="CF410" s="1132">
        <f t="shared" si="134"/>
        <v>0.88</v>
      </c>
      <c r="CG410" s="1117">
        <f t="shared" si="128"/>
        <v>0.87999999999999989</v>
      </c>
      <c r="CH410" s="48"/>
      <c r="CI410" s="1131">
        <f t="shared" si="115"/>
        <v>0.87999999999999989</v>
      </c>
      <c r="CJ410" s="1132">
        <f t="shared" si="115"/>
        <v>0.88</v>
      </c>
      <c r="CK410" s="1132">
        <f t="shared" si="115"/>
        <v>0.88</v>
      </c>
      <c r="CL410" s="1132">
        <f t="shared" si="115"/>
        <v>0.87999999999999989</v>
      </c>
      <c r="CM410" s="1117">
        <f t="shared" si="115"/>
        <v>0.88</v>
      </c>
      <c r="CN410" s="48"/>
      <c r="CO410" s="1131">
        <f t="shared" si="116"/>
        <v>0.88</v>
      </c>
      <c r="CP410" s="1132">
        <f t="shared" si="116"/>
        <v>0.88</v>
      </c>
      <c r="CQ410" s="1132">
        <f t="shared" si="116"/>
        <v>0.88</v>
      </c>
      <c r="CR410" s="1132">
        <f t="shared" si="116"/>
        <v>0.88</v>
      </c>
      <c r="CS410" s="1117">
        <f t="shared" si="116"/>
        <v>0.88</v>
      </c>
      <c r="CT410" s="48"/>
      <c r="CU410" s="1131">
        <f t="shared" si="117"/>
        <v>0.88</v>
      </c>
      <c r="CV410" s="1132">
        <f t="shared" si="117"/>
        <v>0.87999999999999989</v>
      </c>
      <c r="CW410" s="1132">
        <f t="shared" si="117"/>
        <v>0.88</v>
      </c>
      <c r="CX410" s="1132">
        <f t="shared" si="117"/>
        <v>0.87999999999999989</v>
      </c>
      <c r="CY410" s="1117">
        <f t="shared" si="117"/>
        <v>0.88000000000000012</v>
      </c>
      <c r="CZ410" s="48"/>
      <c r="DD410" s="48"/>
      <c r="DE410" s="48"/>
      <c r="DF410" s="48"/>
      <c r="DG410" s="48"/>
      <c r="DH410" s="48"/>
      <c r="DI410" s="48"/>
      <c r="DJ410" s="48"/>
      <c r="DK410" s="48"/>
    </row>
    <row r="411" spans="1:115" x14ac:dyDescent="0.2">
      <c r="A411" s="1139" t="s">
        <v>467</v>
      </c>
      <c r="B411" s="48"/>
      <c r="C411" s="656"/>
      <c r="D411" s="654"/>
      <c r="E411" s="654"/>
      <c r="F411" s="654"/>
      <c r="G411" s="655"/>
      <c r="H411" s="48"/>
      <c r="I411" s="656"/>
      <c r="J411" s="654"/>
      <c r="K411" s="654"/>
      <c r="L411" s="654"/>
      <c r="M411" s="655"/>
      <c r="N411" s="48"/>
      <c r="O411" s="656"/>
      <c r="P411" s="654"/>
      <c r="Q411" s="654"/>
      <c r="R411" s="654"/>
      <c r="S411" s="655"/>
      <c r="T411" s="48"/>
      <c r="U411" s="656"/>
      <c r="V411" s="654"/>
      <c r="W411" s="654"/>
      <c r="X411" s="654"/>
      <c r="Y411" s="655"/>
      <c r="Z411" s="48"/>
      <c r="AA411" s="656"/>
      <c r="AB411" s="654"/>
      <c r="AC411" s="654"/>
      <c r="AD411" s="654"/>
      <c r="AE411" s="655"/>
      <c r="AF411" s="48"/>
      <c r="AG411" s="1131">
        <f t="shared" si="118"/>
        <v>0</v>
      </c>
      <c r="AH411" s="1132">
        <f t="shared" si="118"/>
        <v>0</v>
      </c>
      <c r="AI411" s="1132">
        <f t="shared" si="118"/>
        <v>0</v>
      </c>
      <c r="AJ411" s="1132">
        <f t="shared" si="118"/>
        <v>0</v>
      </c>
      <c r="AK411" s="1117">
        <f t="shared" si="118"/>
        <v>0</v>
      </c>
      <c r="AL411" s="48"/>
      <c r="AM411" s="1131">
        <f t="shared" si="119"/>
        <v>0</v>
      </c>
      <c r="AN411" s="1132">
        <f t="shared" si="119"/>
        <v>0</v>
      </c>
      <c r="AO411" s="1132">
        <f t="shared" si="119"/>
        <v>0</v>
      </c>
      <c r="AP411" s="1132">
        <f t="shared" si="119"/>
        <v>0</v>
      </c>
      <c r="AQ411" s="1117">
        <f t="shared" si="119"/>
        <v>0</v>
      </c>
      <c r="AR411" s="48"/>
      <c r="AS411" s="1131">
        <f t="shared" si="120"/>
        <v>0</v>
      </c>
      <c r="AT411" s="1132">
        <f t="shared" si="120"/>
        <v>0</v>
      </c>
      <c r="AU411" s="1132">
        <f t="shared" si="120"/>
        <v>0</v>
      </c>
      <c r="AV411" s="1132">
        <f t="shared" si="120"/>
        <v>0</v>
      </c>
      <c r="AW411" s="1117">
        <f t="shared" si="120"/>
        <v>0</v>
      </c>
      <c r="AX411" s="48"/>
      <c r="AY411" s="1131">
        <f t="shared" si="121"/>
        <v>0.77</v>
      </c>
      <c r="AZ411" s="1132">
        <f t="shared" si="121"/>
        <v>0.77</v>
      </c>
      <c r="BA411" s="1132">
        <f t="shared" si="121"/>
        <v>0.77</v>
      </c>
      <c r="BB411" s="1132">
        <f t="shared" si="121"/>
        <v>0.77</v>
      </c>
      <c r="BC411" s="1117">
        <f t="shared" si="121"/>
        <v>0.77</v>
      </c>
      <c r="BD411" s="48"/>
      <c r="BE411" s="1131">
        <f t="shared" si="122"/>
        <v>0.77000000000000013</v>
      </c>
      <c r="BF411" s="1132">
        <f t="shared" si="122"/>
        <v>0.77</v>
      </c>
      <c r="BG411" s="1132">
        <f t="shared" si="122"/>
        <v>0.77</v>
      </c>
      <c r="BH411" s="1132">
        <f t="shared" si="122"/>
        <v>0.77</v>
      </c>
      <c r="BI411" s="1117">
        <f t="shared" si="122"/>
        <v>0.77000000000000024</v>
      </c>
      <c r="BJ411" s="48"/>
      <c r="BK411" s="1131">
        <f t="shared" si="123"/>
        <v>0.77</v>
      </c>
      <c r="BL411" s="1132">
        <f t="shared" si="123"/>
        <v>0.77</v>
      </c>
      <c r="BM411" s="1132">
        <f t="shared" si="123"/>
        <v>0.77</v>
      </c>
      <c r="BN411" s="1132">
        <f t="shared" si="123"/>
        <v>0.77</v>
      </c>
      <c r="BO411" s="1117">
        <f t="shared" si="123"/>
        <v>0.77</v>
      </c>
      <c r="BP411" s="48"/>
      <c r="BQ411" s="1131">
        <f t="shared" si="124"/>
        <v>0.77</v>
      </c>
      <c r="BR411" s="1132">
        <f t="shared" si="124"/>
        <v>0.77</v>
      </c>
      <c r="BS411" s="1132">
        <f t="shared" si="124"/>
        <v>0.77</v>
      </c>
      <c r="BT411" s="1132">
        <f t="shared" si="124"/>
        <v>0.77</v>
      </c>
      <c r="BU411" s="1117">
        <f t="shared" si="124"/>
        <v>0.77000000000000013</v>
      </c>
      <c r="BV411" s="48"/>
      <c r="BW411" s="1131">
        <f t="shared" si="125"/>
        <v>0.7675895740218025</v>
      </c>
      <c r="BX411" s="1132">
        <f t="shared" si="125"/>
        <v>0.76540581258280205</v>
      </c>
      <c r="BY411" s="1132">
        <f t="shared" si="125"/>
        <v>0.76088055493951867</v>
      </c>
      <c r="BZ411" s="1132">
        <f t="shared" si="125"/>
        <v>0.76145551517286203</v>
      </c>
      <c r="CA411" s="1117">
        <f t="shared" si="125"/>
        <v>0.76361701698855422</v>
      </c>
      <c r="CB411" s="48"/>
      <c r="CC411" s="1131">
        <f t="shared" ref="CC411:CD411" si="135">+IF(ISERROR(CC402/CC382),0,CC402/CC382)</f>
        <v>0.75867921463410914</v>
      </c>
      <c r="CD411" s="1132">
        <f t="shared" si="135"/>
        <v>0.75928998772109757</v>
      </c>
      <c r="CE411" s="1132">
        <f t="shared" ref="CE411:CF411" si="136">+IF(ISERROR(CE402/CE382),0,CE402/CE382)</f>
        <v>0.75931598969575498</v>
      </c>
      <c r="CF411" s="1132">
        <f t="shared" si="136"/>
        <v>0.76174814027239757</v>
      </c>
      <c r="CG411" s="1117">
        <f t="shared" si="128"/>
        <v>0.75991562982323024</v>
      </c>
      <c r="CH411" s="48"/>
      <c r="CI411" s="1131">
        <f t="shared" si="115"/>
        <v>0.76296280814932216</v>
      </c>
      <c r="CJ411" s="1132">
        <f t="shared" si="115"/>
        <v>0.7632790650885608</v>
      </c>
      <c r="CK411" s="1132">
        <f t="shared" si="115"/>
        <v>0.76326889881533966</v>
      </c>
      <c r="CL411" s="1132">
        <f t="shared" si="115"/>
        <v>0.76470996689416026</v>
      </c>
      <c r="CM411" s="1117">
        <f t="shared" si="115"/>
        <v>0.76363098255472828</v>
      </c>
      <c r="CN411" s="48"/>
      <c r="CO411" s="1131">
        <f t="shared" si="116"/>
        <v>0.76301149485962283</v>
      </c>
      <c r="CP411" s="1132">
        <f t="shared" si="116"/>
        <v>0.76332989785402661</v>
      </c>
      <c r="CQ411" s="1132">
        <f t="shared" si="116"/>
        <v>0.76333713429189942</v>
      </c>
      <c r="CR411" s="1132">
        <f t="shared" si="116"/>
        <v>0.76470566051042466</v>
      </c>
      <c r="CS411" s="1117">
        <f t="shared" si="116"/>
        <v>0.76366635516172165</v>
      </c>
      <c r="CT411" s="48"/>
      <c r="CU411" s="1131">
        <f t="shared" si="117"/>
        <v>0.76442821998329291</v>
      </c>
      <c r="CV411" s="1132">
        <f t="shared" si="117"/>
        <v>0.76466446600045679</v>
      </c>
      <c r="CW411" s="1132">
        <f t="shared" si="117"/>
        <v>0.76466171487946288</v>
      </c>
      <c r="CX411" s="1132">
        <f t="shared" si="117"/>
        <v>0.76570925256625</v>
      </c>
      <c r="CY411" s="1117">
        <f t="shared" si="117"/>
        <v>0.76491595012706015</v>
      </c>
      <c r="CZ411" s="48"/>
      <c r="DD411" s="48"/>
      <c r="DE411" s="48"/>
      <c r="DF411" s="48"/>
      <c r="DG411" s="48"/>
      <c r="DH411" s="48"/>
      <c r="DI411" s="48"/>
      <c r="DJ411" s="48"/>
      <c r="DK411" s="48"/>
    </row>
    <row r="412" spans="1:115" x14ac:dyDescent="0.2">
      <c r="A412" s="1139" t="s">
        <v>468</v>
      </c>
      <c r="B412" s="48"/>
      <c r="C412" s="656"/>
      <c r="D412" s="654"/>
      <c r="E412" s="654"/>
      <c r="F412" s="654"/>
      <c r="G412" s="655"/>
      <c r="H412" s="48"/>
      <c r="I412" s="656"/>
      <c r="J412" s="654"/>
      <c r="K412" s="654"/>
      <c r="L412" s="654"/>
      <c r="M412" s="655"/>
      <c r="N412" s="48"/>
      <c r="O412" s="656"/>
      <c r="P412" s="654"/>
      <c r="Q412" s="654"/>
      <c r="R412" s="654"/>
      <c r="S412" s="655"/>
      <c r="T412" s="48"/>
      <c r="U412" s="656"/>
      <c r="V412" s="654"/>
      <c r="W412" s="654"/>
      <c r="X412" s="654"/>
      <c r="Y412" s="655"/>
      <c r="Z412" s="48"/>
      <c r="AA412" s="656"/>
      <c r="AB412" s="654"/>
      <c r="AC412" s="654"/>
      <c r="AD412" s="654"/>
      <c r="AE412" s="655"/>
      <c r="AF412" s="48"/>
      <c r="AG412" s="1131">
        <f t="shared" si="118"/>
        <v>0</v>
      </c>
      <c r="AH412" s="1132">
        <f t="shared" si="118"/>
        <v>0</v>
      </c>
      <c r="AI412" s="1132">
        <f t="shared" si="118"/>
        <v>0</v>
      </c>
      <c r="AJ412" s="1132">
        <f t="shared" si="118"/>
        <v>0</v>
      </c>
      <c r="AK412" s="1117">
        <f t="shared" si="118"/>
        <v>0</v>
      </c>
      <c r="AL412" s="48"/>
      <c r="AM412" s="1131">
        <f t="shared" si="119"/>
        <v>0</v>
      </c>
      <c r="AN412" s="1132">
        <f t="shared" si="119"/>
        <v>0</v>
      </c>
      <c r="AO412" s="1132">
        <f t="shared" si="119"/>
        <v>0</v>
      </c>
      <c r="AP412" s="1132">
        <f t="shared" si="119"/>
        <v>0</v>
      </c>
      <c r="AQ412" s="1117">
        <f t="shared" si="119"/>
        <v>0</v>
      </c>
      <c r="AR412" s="48"/>
      <c r="AS412" s="1131">
        <f t="shared" si="120"/>
        <v>0</v>
      </c>
      <c r="AT412" s="1132">
        <f t="shared" si="120"/>
        <v>0</v>
      </c>
      <c r="AU412" s="1132">
        <f t="shared" si="120"/>
        <v>0</v>
      </c>
      <c r="AV412" s="1132">
        <f t="shared" si="120"/>
        <v>0</v>
      </c>
      <c r="AW412" s="1117">
        <f t="shared" si="120"/>
        <v>0</v>
      </c>
      <c r="AX412" s="48"/>
      <c r="AY412" s="1131">
        <f t="shared" si="121"/>
        <v>0.76000000000000012</v>
      </c>
      <c r="AZ412" s="1132">
        <f t="shared" si="121"/>
        <v>0.76000000000000012</v>
      </c>
      <c r="BA412" s="1132">
        <f t="shared" si="121"/>
        <v>0.76000000000000012</v>
      </c>
      <c r="BB412" s="1132">
        <f t="shared" si="121"/>
        <v>0.76</v>
      </c>
      <c r="BC412" s="1117">
        <f t="shared" si="121"/>
        <v>0.76000000000000012</v>
      </c>
      <c r="BD412" s="48"/>
      <c r="BE412" s="1131">
        <f t="shared" si="122"/>
        <v>0.77</v>
      </c>
      <c r="BF412" s="1132">
        <f t="shared" si="122"/>
        <v>0.77</v>
      </c>
      <c r="BG412" s="1132">
        <f t="shared" si="122"/>
        <v>0.77</v>
      </c>
      <c r="BH412" s="1132">
        <f t="shared" si="122"/>
        <v>0.76999999999999991</v>
      </c>
      <c r="BI412" s="1117">
        <f t="shared" si="122"/>
        <v>0.76999999999999991</v>
      </c>
      <c r="BJ412" s="48"/>
      <c r="BK412" s="1131">
        <f t="shared" si="123"/>
        <v>0.76999999999999991</v>
      </c>
      <c r="BL412" s="1132">
        <f t="shared" si="123"/>
        <v>0.76999999999999991</v>
      </c>
      <c r="BM412" s="1132">
        <f t="shared" si="123"/>
        <v>0.76999999999999991</v>
      </c>
      <c r="BN412" s="1132">
        <f t="shared" si="123"/>
        <v>0.77</v>
      </c>
      <c r="BO412" s="1117">
        <f t="shared" si="123"/>
        <v>0.77</v>
      </c>
      <c r="BP412" s="48"/>
      <c r="BQ412" s="1131">
        <f t="shared" si="124"/>
        <v>0.77</v>
      </c>
      <c r="BR412" s="1132">
        <f t="shared" si="124"/>
        <v>0.77000000000000013</v>
      </c>
      <c r="BS412" s="1132">
        <f t="shared" si="124"/>
        <v>0.77000000000000013</v>
      </c>
      <c r="BT412" s="1132">
        <f t="shared" si="124"/>
        <v>0.77</v>
      </c>
      <c r="BU412" s="1117">
        <f t="shared" si="124"/>
        <v>0.76999999999999991</v>
      </c>
      <c r="BV412" s="48"/>
      <c r="BW412" s="1131">
        <f t="shared" si="125"/>
        <v>0.77000000000000013</v>
      </c>
      <c r="BX412" s="1132">
        <f t="shared" si="125"/>
        <v>0.77</v>
      </c>
      <c r="BY412" s="1132">
        <f t="shared" si="125"/>
        <v>0.77000000000000013</v>
      </c>
      <c r="BZ412" s="1132">
        <f t="shared" si="125"/>
        <v>0.77</v>
      </c>
      <c r="CA412" s="1117">
        <f t="shared" si="125"/>
        <v>0.76999999999999991</v>
      </c>
      <c r="CB412" s="48"/>
      <c r="CC412" s="1131">
        <f t="shared" ref="CC412:CD412" si="137">+IF(ISERROR(CC403/CC383),0,CC403/CC383)</f>
        <v>0.77</v>
      </c>
      <c r="CD412" s="1132">
        <f t="shared" si="137"/>
        <v>0.77</v>
      </c>
      <c r="CE412" s="1132">
        <f t="shared" ref="CE412:CF412" si="138">+IF(ISERROR(CE403/CE383),0,CE403/CE383)</f>
        <v>0.77</v>
      </c>
      <c r="CF412" s="1132">
        <f t="shared" si="138"/>
        <v>0.77</v>
      </c>
      <c r="CG412" s="1117">
        <f t="shared" si="128"/>
        <v>0.77000000000000013</v>
      </c>
      <c r="CH412" s="48"/>
      <c r="CI412" s="1131">
        <f t="shared" si="115"/>
        <v>0.77</v>
      </c>
      <c r="CJ412" s="1132">
        <f t="shared" si="115"/>
        <v>0.77</v>
      </c>
      <c r="CK412" s="1132">
        <f t="shared" si="115"/>
        <v>0.77</v>
      </c>
      <c r="CL412" s="1132">
        <f t="shared" si="115"/>
        <v>0.77</v>
      </c>
      <c r="CM412" s="1117">
        <f t="shared" si="115"/>
        <v>0.77</v>
      </c>
      <c r="CN412" s="48"/>
      <c r="CO412" s="1131">
        <f t="shared" si="116"/>
        <v>0.77</v>
      </c>
      <c r="CP412" s="1132">
        <f t="shared" si="116"/>
        <v>0.76999999999999991</v>
      </c>
      <c r="CQ412" s="1132">
        <f t="shared" si="116"/>
        <v>0.77</v>
      </c>
      <c r="CR412" s="1132">
        <f t="shared" si="116"/>
        <v>0.77</v>
      </c>
      <c r="CS412" s="1117">
        <f t="shared" si="116"/>
        <v>0.76999999999999991</v>
      </c>
      <c r="CT412" s="48"/>
      <c r="CU412" s="1131">
        <f t="shared" si="117"/>
        <v>0.77</v>
      </c>
      <c r="CV412" s="1132">
        <f t="shared" si="117"/>
        <v>0.77</v>
      </c>
      <c r="CW412" s="1132">
        <f t="shared" si="117"/>
        <v>0.77</v>
      </c>
      <c r="CX412" s="1132">
        <f t="shared" si="117"/>
        <v>0.77</v>
      </c>
      <c r="CY412" s="1117">
        <f t="shared" si="117"/>
        <v>0.77</v>
      </c>
      <c r="CZ412" s="48"/>
      <c r="DD412" s="48"/>
      <c r="DE412" s="48"/>
      <c r="DF412" s="48"/>
      <c r="DG412" s="48"/>
      <c r="DH412" s="48"/>
      <c r="DI412" s="48"/>
      <c r="DJ412" s="48"/>
      <c r="DK412" s="48"/>
    </row>
    <row r="413" spans="1:115" x14ac:dyDescent="0.2">
      <c r="A413" s="1139" t="s">
        <v>550</v>
      </c>
      <c r="B413" s="48"/>
      <c r="C413" s="656"/>
      <c r="D413" s="654"/>
      <c r="E413" s="654"/>
      <c r="F413" s="654"/>
      <c r="G413" s="655"/>
      <c r="H413" s="48"/>
      <c r="I413" s="656"/>
      <c r="J413" s="654"/>
      <c r="K413" s="654"/>
      <c r="L413" s="654"/>
      <c r="M413" s="655"/>
      <c r="N413" s="48"/>
      <c r="O413" s="656"/>
      <c r="P413" s="654"/>
      <c r="Q413" s="654"/>
      <c r="R413" s="654"/>
      <c r="S413" s="655"/>
      <c r="T413" s="48"/>
      <c r="U413" s="656"/>
      <c r="V413" s="654"/>
      <c r="W413" s="654"/>
      <c r="X413" s="654"/>
      <c r="Y413" s="655"/>
      <c r="Z413" s="48"/>
      <c r="AA413" s="656"/>
      <c r="AB413" s="654"/>
      <c r="AC413" s="654"/>
      <c r="AD413" s="654"/>
      <c r="AE413" s="655"/>
      <c r="AF413" s="48"/>
      <c r="AG413" s="1131">
        <f t="shared" si="118"/>
        <v>0.68237655148425302</v>
      </c>
      <c r="AH413" s="1132">
        <f t="shared" si="118"/>
        <v>0.67853024255385441</v>
      </c>
      <c r="AI413" s="1132">
        <f t="shared" si="118"/>
        <v>0.68779345028589822</v>
      </c>
      <c r="AJ413" s="1132">
        <f t="shared" si="118"/>
        <v>0.67264322914373376</v>
      </c>
      <c r="AK413" s="1117">
        <f t="shared" si="118"/>
        <v>0.68009259953825241</v>
      </c>
      <c r="AL413" s="48"/>
      <c r="AM413" s="1131">
        <f t="shared" si="119"/>
        <v>0.68014133529665133</v>
      </c>
      <c r="AN413" s="1132">
        <f t="shared" si="119"/>
        <v>0.69182928390281306</v>
      </c>
      <c r="AO413" s="1132">
        <f t="shared" si="119"/>
        <v>0.68876883614001316</v>
      </c>
      <c r="AP413" s="1132">
        <f t="shared" si="119"/>
        <v>0.69545570500626441</v>
      </c>
      <c r="AQ413" s="1117">
        <f t="shared" si="119"/>
        <v>0.68924737556160665</v>
      </c>
      <c r="AR413" s="48"/>
      <c r="AS413" s="1131">
        <f t="shared" si="120"/>
        <v>0.6991851245395081</v>
      </c>
      <c r="AT413" s="1132">
        <f t="shared" si="120"/>
        <v>0.70385177388319575</v>
      </c>
      <c r="AU413" s="1132">
        <f t="shared" si="120"/>
        <v>0.70038006547671228</v>
      </c>
      <c r="AV413" s="1132">
        <f t="shared" si="120"/>
        <v>0.66178516540203669</v>
      </c>
      <c r="AW413" s="1117">
        <f t="shared" si="120"/>
        <v>0.68977097776463792</v>
      </c>
      <c r="AX413" s="48"/>
      <c r="AY413" s="1131">
        <f t="shared" si="121"/>
        <v>0.68818931505830772</v>
      </c>
      <c r="AZ413" s="1132">
        <f t="shared" si="121"/>
        <v>0.69907157897376082</v>
      </c>
      <c r="BA413" s="1132">
        <f t="shared" si="121"/>
        <v>0.70710083722035322</v>
      </c>
      <c r="BB413" s="1132">
        <f t="shared" si="121"/>
        <v>0.71724945093549985</v>
      </c>
      <c r="BC413" s="1117">
        <f t="shared" si="121"/>
        <v>0.70376302305076521</v>
      </c>
      <c r="BD413" s="48"/>
      <c r="BE413" s="1131">
        <f t="shared" si="122"/>
        <v>0.7087400336699553</v>
      </c>
      <c r="BF413" s="1132">
        <f t="shared" si="122"/>
        <v>0.68860188013821744</v>
      </c>
      <c r="BG413" s="1132">
        <f t="shared" si="122"/>
        <v>0.69588203418327388</v>
      </c>
      <c r="BH413" s="1132">
        <f t="shared" si="122"/>
        <v>0.71320276885285461</v>
      </c>
      <c r="BI413" s="1117">
        <f t="shared" si="122"/>
        <v>0.7018329311961029</v>
      </c>
      <c r="BJ413" s="48"/>
      <c r="BK413" s="1131">
        <f t="shared" si="123"/>
        <v>0.71747702283864268</v>
      </c>
      <c r="BL413" s="1132">
        <f t="shared" si="123"/>
        <v>0.7084576466863155</v>
      </c>
      <c r="BM413" s="1132">
        <f t="shared" si="123"/>
        <v>0.72056766737023115</v>
      </c>
      <c r="BN413" s="1132">
        <f t="shared" si="123"/>
        <v>0.64471965652046714</v>
      </c>
      <c r="BO413" s="1117">
        <f t="shared" si="123"/>
        <v>0.69670731818535336</v>
      </c>
      <c r="BP413" s="48"/>
      <c r="BQ413" s="1131">
        <f t="shared" si="124"/>
        <v>0.72918913942307262</v>
      </c>
      <c r="BR413" s="1132">
        <f t="shared" si="124"/>
        <v>0.6942873267665528</v>
      </c>
      <c r="BS413" s="1132">
        <f t="shared" si="124"/>
        <v>0.69957011801257385</v>
      </c>
      <c r="BT413" s="1132">
        <f t="shared" si="124"/>
        <v>0.69434624703419789</v>
      </c>
      <c r="BU413" s="1117">
        <f t="shared" si="124"/>
        <v>0.703761752361443</v>
      </c>
      <c r="BV413" s="48"/>
      <c r="BW413" s="1131">
        <f t="shared" si="125"/>
        <v>0.6718650511512384</v>
      </c>
      <c r="BX413" s="1132">
        <f t="shared" si="125"/>
        <v>0.68066511472920277</v>
      </c>
      <c r="BY413" s="1132">
        <f t="shared" si="125"/>
        <v>0.70508033861784791</v>
      </c>
      <c r="BZ413" s="1132">
        <f t="shared" si="125"/>
        <v>0.69728814796041805</v>
      </c>
      <c r="CA413" s="1117">
        <f t="shared" si="125"/>
        <v>0.6890568922445871</v>
      </c>
      <c r="CB413" s="48"/>
      <c r="CC413" s="1131">
        <f t="shared" ref="CC413:CD413" si="139">+IF(ISERROR(CC404/CC384),0,CC404/CC384)</f>
        <v>0.67999928221916173</v>
      </c>
      <c r="CD413" s="1132">
        <f t="shared" si="139"/>
        <v>0.67799744751053004</v>
      </c>
      <c r="CE413" s="1132">
        <f t="shared" ref="CE413:CF413" si="140">+IF(ISERROR(CE404/CE384),0,CE404/CE384)</f>
        <v>0.69010002594762399</v>
      </c>
      <c r="CF413" s="1132">
        <f t="shared" si="140"/>
        <v>0.67855389616859707</v>
      </c>
      <c r="CG413" s="1117">
        <f t="shared" si="128"/>
        <v>0.68157648895306355</v>
      </c>
      <c r="CH413" s="48"/>
      <c r="CI413" s="1131">
        <f t="shared" si="115"/>
        <v>0.70070655389624936</v>
      </c>
      <c r="CJ413" s="1132">
        <f t="shared" si="115"/>
        <v>0.69976324264242906</v>
      </c>
      <c r="CK413" s="1132">
        <f t="shared" si="115"/>
        <v>0.6928555901448602</v>
      </c>
      <c r="CL413" s="1132">
        <f t="shared" si="115"/>
        <v>0.67815152592559558</v>
      </c>
      <c r="CM413" s="1117">
        <f t="shared" si="115"/>
        <v>0.69246906705655475</v>
      </c>
      <c r="CN413" s="48"/>
      <c r="CO413" s="1131">
        <f t="shared" si="116"/>
        <v>0.69560048821908449</v>
      </c>
      <c r="CP413" s="1132">
        <f t="shared" si="116"/>
        <v>0.69515328256012343</v>
      </c>
      <c r="CQ413" s="1132">
        <f t="shared" si="116"/>
        <v>0.68961192058797804</v>
      </c>
      <c r="CR413" s="1132">
        <f t="shared" si="116"/>
        <v>0.67571903630204444</v>
      </c>
      <c r="CS413" s="1117">
        <f t="shared" si="116"/>
        <v>0.68850223887789297</v>
      </c>
      <c r="CT413" s="48"/>
      <c r="CU413" s="1131">
        <f t="shared" si="117"/>
        <v>0.69299839674684682</v>
      </c>
      <c r="CV413" s="1132">
        <f t="shared" si="117"/>
        <v>0.69307786431351026</v>
      </c>
      <c r="CW413" s="1132">
        <f t="shared" si="117"/>
        <v>0.68683993716511182</v>
      </c>
      <c r="CX413" s="1132">
        <f t="shared" si="117"/>
        <v>0.67259949851463319</v>
      </c>
      <c r="CY413" s="1117">
        <f t="shared" si="117"/>
        <v>0.68585284875131491</v>
      </c>
      <c r="CZ413" s="48"/>
      <c r="DD413" s="48"/>
      <c r="DE413" s="48"/>
      <c r="DF413" s="48"/>
      <c r="DG413" s="48"/>
      <c r="DH413" s="48"/>
      <c r="DI413" s="48"/>
      <c r="DJ413" s="48"/>
      <c r="DK413" s="48"/>
    </row>
    <row r="414" spans="1:115" x14ac:dyDescent="0.2">
      <c r="A414" s="205"/>
      <c r="B414" s="48"/>
      <c r="C414" s="656"/>
      <c r="D414" s="654"/>
      <c r="E414" s="654"/>
      <c r="F414" s="654"/>
      <c r="G414" s="655"/>
      <c r="H414" s="48"/>
      <c r="I414" s="656"/>
      <c r="J414" s="654"/>
      <c r="K414" s="654"/>
      <c r="L414" s="654"/>
      <c r="M414" s="655"/>
      <c r="N414" s="48"/>
      <c r="O414" s="656"/>
      <c r="P414" s="654"/>
      <c r="Q414" s="654"/>
      <c r="R414" s="654"/>
      <c r="S414" s="655"/>
      <c r="T414" s="48"/>
      <c r="U414" s="656"/>
      <c r="V414" s="654"/>
      <c r="W414" s="654"/>
      <c r="X414" s="654"/>
      <c r="Y414" s="655"/>
      <c r="Z414" s="48"/>
      <c r="AA414" s="656"/>
      <c r="AB414" s="654"/>
      <c r="AC414" s="654"/>
      <c r="AD414" s="654"/>
      <c r="AE414" s="655"/>
      <c r="AF414" s="48"/>
      <c r="AG414" s="656"/>
      <c r="AH414" s="654"/>
      <c r="AI414" s="654"/>
      <c r="AJ414" s="654"/>
      <c r="AK414" s="655"/>
      <c r="AL414" s="48"/>
      <c r="AM414" s="656"/>
      <c r="AN414" s="654"/>
      <c r="AO414" s="654"/>
      <c r="AP414" s="654"/>
      <c r="AQ414" s="655"/>
      <c r="AR414" s="48"/>
      <c r="AS414" s="656"/>
      <c r="AT414" s="654"/>
      <c r="AU414" s="654"/>
      <c r="AV414" s="654"/>
      <c r="AW414" s="655"/>
      <c r="AX414" s="48"/>
      <c r="AY414" s="656"/>
      <c r="AZ414" s="654"/>
      <c r="BA414" s="654"/>
      <c r="BB414" s="654"/>
      <c r="BC414" s="655"/>
      <c r="BD414" s="48"/>
      <c r="BE414" s="656"/>
      <c r="BF414" s="654"/>
      <c r="BG414" s="654"/>
      <c r="BH414" s="654"/>
      <c r="BI414" s="655"/>
      <c r="BJ414" s="48"/>
      <c r="BK414" s="656"/>
      <c r="BL414" s="654"/>
      <c r="BM414" s="654"/>
      <c r="BN414" s="654"/>
      <c r="BO414" s="655"/>
      <c r="BP414" s="48"/>
      <c r="BQ414" s="656"/>
      <c r="BR414" s="654"/>
      <c r="BS414" s="654"/>
      <c r="BT414" s="654"/>
      <c r="BU414" s="655"/>
      <c r="BV414" s="48"/>
      <c r="BW414" s="656"/>
      <c r="BX414" s="654"/>
      <c r="BY414" s="654"/>
      <c r="BZ414" s="654"/>
      <c r="CA414" s="655"/>
      <c r="CB414" s="48"/>
      <c r="CC414" s="656"/>
      <c r="CD414" s="654"/>
      <c r="CE414" s="654"/>
      <c r="CF414" s="654"/>
      <c r="CG414" s="655"/>
      <c r="CH414" s="48"/>
      <c r="CI414" s="656"/>
      <c r="CJ414" s="654"/>
      <c r="CK414" s="654"/>
      <c r="CL414" s="654"/>
      <c r="CM414" s="655"/>
      <c r="CN414" s="48"/>
      <c r="CO414" s="656"/>
      <c r="CP414" s="654"/>
      <c r="CQ414" s="654"/>
      <c r="CR414" s="654"/>
      <c r="CS414" s="655"/>
      <c r="CT414" s="48"/>
      <c r="CU414" s="656"/>
      <c r="CV414" s="654"/>
      <c r="CW414" s="654"/>
      <c r="CX414" s="654"/>
      <c r="CY414" s="655"/>
      <c r="CZ414" s="48"/>
      <c r="DD414" s="48"/>
      <c r="DE414" s="48"/>
      <c r="DF414" s="48"/>
      <c r="DG414" s="48"/>
      <c r="DH414" s="48"/>
      <c r="DI414" s="48"/>
      <c r="DJ414" s="48"/>
      <c r="DK414" s="48"/>
    </row>
    <row r="415" spans="1:115" x14ac:dyDescent="0.2">
      <c r="A415" s="1240" t="s">
        <v>496</v>
      </c>
      <c r="B415" s="1194"/>
      <c r="C415" s="1243"/>
      <c r="D415" s="1244"/>
      <c r="E415" s="1244"/>
      <c r="F415" s="1245"/>
      <c r="G415" s="1246"/>
      <c r="H415" s="1194"/>
      <c r="I415" s="1243"/>
      <c r="J415" s="1244"/>
      <c r="K415" s="1244"/>
      <c r="L415" s="1245"/>
      <c r="M415" s="1246"/>
      <c r="N415" s="1194"/>
      <c r="O415" s="1243"/>
      <c r="P415" s="1244"/>
      <c r="Q415" s="1244"/>
      <c r="R415" s="1245"/>
      <c r="S415" s="1246"/>
      <c r="T415" s="1194"/>
      <c r="U415" s="1243"/>
      <c r="V415" s="1244"/>
      <c r="W415" s="1244"/>
      <c r="X415" s="1245"/>
      <c r="Y415" s="1246"/>
      <c r="Z415" s="1194"/>
      <c r="AA415" s="1243"/>
      <c r="AB415" s="1244"/>
      <c r="AC415" s="1244"/>
      <c r="AD415" s="1245"/>
      <c r="AE415" s="1246"/>
      <c r="AF415" s="1194"/>
      <c r="AG415" s="1243">
        <f>+AG351+AG328+AG426+AG428+AG429+AG430+AG431+AG432+AG433</f>
        <v>59.22000000000002</v>
      </c>
      <c r="AH415" s="1244">
        <f>+AH351+AH328+AH426+AH428+AH429+AH430+AH431+AH432+AH433</f>
        <v>71.810999999999993</v>
      </c>
      <c r="AI415" s="1244">
        <f>+AI351+AI328+AI426+AI428+AI429+AI430+AI431+AI432+AI433</f>
        <v>81.774000000000001</v>
      </c>
      <c r="AJ415" s="1245">
        <f>+AJ351+AJ328+AJ426+AJ428+AJ429+AJ430+AJ431+AJ432+AJ433</f>
        <v>83.321000000000083</v>
      </c>
      <c r="AK415" s="1246">
        <f>+SUM(AG415:AJ415)</f>
        <v>296.12600000000009</v>
      </c>
      <c r="AL415" s="1194"/>
      <c r="AM415" s="1243">
        <f>+AM351+AM328+AM426+AM428+AM429+AM430+AM431+AM432+AM433</f>
        <v>73.638999999999939</v>
      </c>
      <c r="AN415" s="1244">
        <f>+AN351+AN328+AN426+AN428+AN429+AN430+AN431+AN432+AN433</f>
        <v>73.189999999999984</v>
      </c>
      <c r="AO415" s="1244">
        <f>+AO351+AO328+AO426+AO428+AO429+AO430+AO431+AO432+AO433</f>
        <v>79.114999999999995</v>
      </c>
      <c r="AP415" s="1245">
        <f>+AP351+AP328+AP426+AP428+AP429+AP430+AP431+AP432+AP433</f>
        <v>82.285000000000039</v>
      </c>
      <c r="AQ415" s="1246">
        <f>+SUM(AM415:AP415)</f>
        <v>308.22899999999993</v>
      </c>
      <c r="AR415" s="1194"/>
      <c r="AS415" s="1243">
        <f>+AS351+AS328+AS426+AS428+AS429+AS430+AS431+AS432+AS433</f>
        <v>70.569999999999965</v>
      </c>
      <c r="AT415" s="1244">
        <f>+AT351+AT328+AT426+AT428+AT429+AT430+AT431+AT432+AT433</f>
        <v>78.631000000000029</v>
      </c>
      <c r="AU415" s="1244">
        <f>+AU351+AU328+AU426+AU428+AU429+AU430+AU431+AU432+AU433</f>
        <v>74.738</v>
      </c>
      <c r="AV415" s="1245">
        <f>+AV351+AV328+AV426+AV428+AV429+AV430+AV431+AV432+AV433</f>
        <v>95.695000000000093</v>
      </c>
      <c r="AW415" s="1246">
        <f>+SUM(AS415:AV415)</f>
        <v>319.63400000000007</v>
      </c>
      <c r="AX415" s="1194"/>
      <c r="AY415" s="1243">
        <f>+AY351+AY328+AY426+AY428+AY429+AY430+AY431+AY432+AY433</f>
        <v>80.246000000000024</v>
      </c>
      <c r="AZ415" s="1244">
        <f>+AZ351+AZ328+AZ426+AZ428+AZ429+AZ430+AZ431+AZ432+AZ433</f>
        <v>86.417000000000016</v>
      </c>
      <c r="BA415" s="1244">
        <f>+BA351+BA328+BA426+BA428+BA429+BA430+BA431+BA432+BA433</f>
        <v>83.74</v>
      </c>
      <c r="BB415" s="1245">
        <f>+BB351+BB328+BB426+BB428+BB429+BB430+BB431+BB432+BB433</f>
        <v>106.02799999999996</v>
      </c>
      <c r="BC415" s="1246">
        <f>+SUM(AY415:BB415)</f>
        <v>356.43099999999998</v>
      </c>
      <c r="BD415" s="1194"/>
      <c r="BE415" s="1243">
        <f>+BE351+BE328+BE426+BE428+BE429+BE430+BE431+BE432+BE433</f>
        <v>78.374000000000024</v>
      </c>
      <c r="BF415" s="1244">
        <f>+BF351+BF328+BF426+BF428+BF429+BF430+BF431+BF432+BF433</f>
        <v>83.447999999999951</v>
      </c>
      <c r="BG415" s="1244">
        <f>+BG351+BG328+BG426+BG428+BG429+BG430+BG431+BG432+BG433</f>
        <v>87.706999999999937</v>
      </c>
      <c r="BH415" s="1245">
        <f>+BH351+BH328+BH426+BH428+BH429+BH430+BH431+BH432+BH433</f>
        <v>106.29499999999996</v>
      </c>
      <c r="BI415" s="1246">
        <f>+SUM(BE415:BH415)</f>
        <v>355.82399999999984</v>
      </c>
      <c r="BJ415" s="1194"/>
      <c r="BK415" s="1243">
        <f>+BK351+BK328+BK426+BK428+BK429+BK430+BK431+BK432+BK433</f>
        <v>74.817999999999969</v>
      </c>
      <c r="BL415" s="1244">
        <f>+BL351+BL328+BL426+BL428+BL429+BL430+BL431+BL432+BL433</f>
        <v>81.138999999999996</v>
      </c>
      <c r="BM415" s="1244">
        <f>+BM351+BM328+BM426+BM428+BM429+BM430+BM431+BM432+BM433</f>
        <v>84.771999999999991</v>
      </c>
      <c r="BN415" s="1245">
        <f>+BN351+BN328+BN426+BN428+BN429+BN430+BN431+BN432+BN433</f>
        <v>86.028279999999953</v>
      </c>
      <c r="BO415" s="1246">
        <f>+SUM(BK415:BN415)</f>
        <v>326.75727999999992</v>
      </c>
      <c r="BP415" s="1194"/>
      <c r="BQ415" s="1243">
        <f>+BQ351+BQ328+BQ426+BQ428+BQ429+BQ430+BQ431+BQ432+BQ433</f>
        <v>67.365999999999985</v>
      </c>
      <c r="BR415" s="1244">
        <f>+BR351+BR328+BR426+BR428+BR429+BR430+BR431+BR432+BR433</f>
        <v>78.85400000000007</v>
      </c>
      <c r="BS415" s="1244">
        <f>+BS351+BS328+BS426+BS428+BS429+BS430+BS431+BS432+BS433</f>
        <v>78.256999999999977</v>
      </c>
      <c r="BT415" s="1245">
        <f>+BT351+BT328+BT426+BT428+BT429+BT430+BT431+BT432+BT433</f>
        <v>92.84</v>
      </c>
      <c r="BU415" s="1246">
        <f>+SUM(BQ415:BT415)</f>
        <v>317.31700000000001</v>
      </c>
      <c r="BV415" s="1194"/>
      <c r="BW415" s="1243">
        <f>+BW351+BW328+BW426+BW428+BW429+BW430+BW431+BW432+BW433</f>
        <v>54.463999999999992</v>
      </c>
      <c r="BX415" s="1244">
        <f>+BX351+BX328+BX426+BX428+BX429+BX430+BX431+BX432+BX433</f>
        <v>69.182999999999993</v>
      </c>
      <c r="BY415" s="1244">
        <f>+BY351+BY328+BY426+BY428+BY429+BY430+BY431+BY432+BY433</f>
        <v>86.747999999999976</v>
      </c>
      <c r="BZ415" s="1245">
        <f>+BZ351+BZ328+BZ426+BZ428+BZ429+BZ430+BZ431+BZ432+BZ433</f>
        <v>112.69700000000002</v>
      </c>
      <c r="CA415" s="1246">
        <f>+SUM(BW415:BZ415)</f>
        <v>323.09199999999998</v>
      </c>
      <c r="CB415" s="1194"/>
      <c r="CC415" s="1243">
        <f>+CC351+CC328+CC426+CC428+CC429+CC430+CC431+CC432+CC433</f>
        <v>63.829000000000036</v>
      </c>
      <c r="CD415" s="1244">
        <f>+CD351+CD328+CD426+CD428+CD429+CD430+CD431+CD432+CD433</f>
        <v>87.951999999999998</v>
      </c>
      <c r="CE415" s="1244">
        <f>+CE351+CE328+CE426+CE428+CE429+CE430+CE431+CE432+CE433</f>
        <v>97.867000000000019</v>
      </c>
      <c r="CF415" s="1244">
        <f>+CF351+CF328+CF426+CF428+CF429+CF430+CF431+CF432+CF433</f>
        <v>121.72800000000001</v>
      </c>
      <c r="CG415" s="1246">
        <f>+SUM(CC415:CF415)</f>
        <v>371.37600000000009</v>
      </c>
      <c r="CH415" s="1194"/>
      <c r="CI415" s="1243">
        <f>+CI351+CI328+CI426+CI428+CI429+CI430+CI431+CI432+CI433+CI427</f>
        <v>72.695630175540998</v>
      </c>
      <c r="CJ415" s="1244">
        <f t="shared" ref="CJ415:CL415" si="141">+CJ351+CJ328+CJ426+CJ428+CJ429+CJ430+CJ431+CJ432+CJ433+CJ427</f>
        <v>98.439464198663785</v>
      </c>
      <c r="CK415" s="1244">
        <f t="shared" si="141"/>
        <v>104.27456251998946</v>
      </c>
      <c r="CL415" s="1245">
        <f t="shared" si="141"/>
        <v>128.02184576204354</v>
      </c>
      <c r="CM415" s="1246">
        <f>+SUM(CI415:CL415)</f>
        <v>403.4315026562378</v>
      </c>
      <c r="CN415" s="1194"/>
      <c r="CO415" s="1243">
        <f t="shared" ref="CO415:CX415" si="142">+CO351+CO328+CO426+CO428+CO429+CO430+CO431+CO432+CO433+CO427</f>
        <v>94.276238234957916</v>
      </c>
      <c r="CP415" s="1244">
        <f t="shared" si="142"/>
        <v>114.74315811557085</v>
      </c>
      <c r="CQ415" s="1244">
        <f t="shared" si="142"/>
        <v>122.10552129680899</v>
      </c>
      <c r="CR415" s="1245">
        <f t="shared" si="142"/>
        <v>146.57452279250936</v>
      </c>
      <c r="CS415" s="1246">
        <f t="shared" ref="CS415" si="143">+SUM(CO415:CR415)</f>
        <v>477.69944043984714</v>
      </c>
      <c r="CT415" s="1194"/>
      <c r="CU415" s="1243">
        <f t="shared" ref="CU415" si="144">+CU351+CU328+CU426+CU428+CU429+CU430+CU431+CU432+CU433+CU427</f>
        <v>113.62241259852564</v>
      </c>
      <c r="CV415" s="1244">
        <f t="shared" si="142"/>
        <v>133.49679684270265</v>
      </c>
      <c r="CW415" s="1244">
        <f t="shared" si="142"/>
        <v>141.13347132317185</v>
      </c>
      <c r="CX415" s="1245">
        <f t="shared" si="142"/>
        <v>168.76591553907792</v>
      </c>
      <c r="CY415" s="1246">
        <f t="shared" ref="CY415" si="145">+SUM(CU415:CX415)</f>
        <v>557.01859630347803</v>
      </c>
      <c r="CZ415" s="48"/>
      <c r="DD415" s="48"/>
      <c r="DE415" s="48"/>
      <c r="DF415" s="48"/>
      <c r="DG415" s="48"/>
      <c r="DH415" s="48"/>
      <c r="DI415" s="48"/>
      <c r="DJ415" s="48"/>
      <c r="DK415" s="48"/>
    </row>
    <row r="416" spans="1:115" x14ac:dyDescent="0.2">
      <c r="A416" s="205" t="s">
        <v>639</v>
      </c>
      <c r="B416" s="48"/>
      <c r="C416" s="685"/>
      <c r="D416" s="578"/>
      <c r="E416" s="578"/>
      <c r="F416" s="582"/>
      <c r="G416" s="707"/>
      <c r="H416" s="48"/>
      <c r="I416" s="685"/>
      <c r="J416" s="578"/>
      <c r="K416" s="578"/>
      <c r="L416" s="582"/>
      <c r="M416" s="707"/>
      <c r="N416" s="48"/>
      <c r="O416" s="685"/>
      <c r="P416" s="578"/>
      <c r="Q416" s="578"/>
      <c r="R416" s="582"/>
      <c r="S416" s="707"/>
      <c r="T416" s="48"/>
      <c r="U416" s="685"/>
      <c r="V416" s="578"/>
      <c r="W416" s="578"/>
      <c r="X416" s="582"/>
      <c r="Y416" s="707"/>
      <c r="Z416" s="48"/>
      <c r="AA416" s="685"/>
      <c r="AB416" s="578"/>
      <c r="AC416" s="578"/>
      <c r="AD416" s="582"/>
      <c r="AE416" s="707"/>
      <c r="AF416" s="48"/>
      <c r="AG416" s="656"/>
      <c r="AH416" s="654"/>
      <c r="AI416" s="654"/>
      <c r="AJ416" s="654"/>
      <c r="AK416" s="655"/>
      <c r="AL416" s="48"/>
      <c r="AM416" s="1131">
        <f>+AM415/AG415-1</f>
        <v>0.24348193177980271</v>
      </c>
      <c r="AN416" s="1132">
        <f>+AN415/AH415-1</f>
        <v>1.920318614139882E-2</v>
      </c>
      <c r="AO416" s="1132">
        <f>+AO415/AI415-1</f>
        <v>-3.2516447770685186E-2</v>
      </c>
      <c r="AP416" s="1132">
        <f>+AP415/AJ415-1</f>
        <v>-1.2433840208351365E-2</v>
      </c>
      <c r="AQ416" s="1117">
        <f>+AQ415/AK415-1</f>
        <v>4.0871115673732916E-2</v>
      </c>
      <c r="AR416" s="48"/>
      <c r="AS416" s="1131">
        <f>+AS415/AM415-1</f>
        <v>-4.1676285663846291E-2</v>
      </c>
      <c r="AT416" s="1132">
        <f>+AT415/AN415-1</f>
        <v>7.434075693400799E-2</v>
      </c>
      <c r="AU416" s="1132">
        <f>+AU415/AO415-1</f>
        <v>-5.532452758642481E-2</v>
      </c>
      <c r="AV416" s="1132">
        <f>+AV415/AP415-1</f>
        <v>0.16297016467156888</v>
      </c>
      <c r="AW416" s="1117">
        <f>+AW415/AQ415-1</f>
        <v>3.70017097677382E-2</v>
      </c>
      <c r="AX416" s="48"/>
      <c r="AY416" s="1131">
        <f>+AY415/AS415-1</f>
        <v>0.13711208728921731</v>
      </c>
      <c r="AZ416" s="1132">
        <f>+AZ415/AT415-1</f>
        <v>9.9019470692220501E-2</v>
      </c>
      <c r="BA416" s="1132">
        <f>+BA415/AU415-1</f>
        <v>0.12044742968770894</v>
      </c>
      <c r="BB416" s="1132">
        <f>+BB415/AV415-1</f>
        <v>0.10797847327446419</v>
      </c>
      <c r="BC416" s="1117">
        <f>+BC415/AW415-1</f>
        <v>0.11512229612619396</v>
      </c>
      <c r="BD416" s="48"/>
      <c r="BE416" s="1131">
        <f>+BE415/AY415-1</f>
        <v>-2.3328265583331231E-2</v>
      </c>
      <c r="BF416" s="1132">
        <f>+BF415/AZ415-1</f>
        <v>-3.4356665933786945E-2</v>
      </c>
      <c r="BG416" s="1132">
        <f>+BG415/BA415-1</f>
        <v>4.7372820635299018E-2</v>
      </c>
      <c r="BH416" s="1132">
        <f>+BH415/BB415-1</f>
        <v>2.5182027388990225E-3</v>
      </c>
      <c r="BI416" s="1117">
        <f>+BI415/BC415-1</f>
        <v>-1.7029944084553383E-3</v>
      </c>
      <c r="BJ416" s="48"/>
      <c r="BK416" s="1131">
        <f>+BK415/BE415-1</f>
        <v>-4.537218975680779E-2</v>
      </c>
      <c r="BL416" s="1132">
        <f>+BL415/BF415-1</f>
        <v>-2.7669926181573601E-2</v>
      </c>
      <c r="BM416" s="1132">
        <f>+BM415/BG415-1</f>
        <v>-3.3463691609563084E-2</v>
      </c>
      <c r="BN416" s="1132">
        <f>+BN415/BH415-1</f>
        <v>-0.19066484782915483</v>
      </c>
      <c r="BO416" s="1117">
        <f>+BO415/BI415-1</f>
        <v>-8.168847520122291E-2</v>
      </c>
      <c r="BP416" s="48"/>
      <c r="BQ416" s="1131">
        <f>+BQ415/BK415-1</f>
        <v>-9.9601700125638071E-2</v>
      </c>
      <c r="BR416" s="1132">
        <f>+BR415/BL415-1</f>
        <v>-2.8161549932830376E-2</v>
      </c>
      <c r="BS416" s="1132">
        <f>+BS415/BM415-1</f>
        <v>-7.685320624734604E-2</v>
      </c>
      <c r="BT416" s="1132">
        <f>+BT415/BN415-1</f>
        <v>7.9180009178377864E-2</v>
      </c>
      <c r="BU416" s="1117">
        <f>+BU415/BO415-1</f>
        <v>-2.8890802371717372E-2</v>
      </c>
      <c r="BV416" s="48"/>
      <c r="BW416" s="1131">
        <f>+BW415/BQ415-1</f>
        <v>-0.19152094528397112</v>
      </c>
      <c r="BX416" s="1132">
        <f>+BX415/BR415-1</f>
        <v>-0.12264438075430628</v>
      </c>
      <c r="BY416" s="1132">
        <f>+BY415/BS415-1</f>
        <v>0.10850147590630876</v>
      </c>
      <c r="BZ416" s="1132">
        <f>+BZ415/BT415-1</f>
        <v>0.21388410168031036</v>
      </c>
      <c r="CA416" s="1117">
        <f>+CA415/BU415-1</f>
        <v>1.8199466148992816E-2</v>
      </c>
      <c r="CB416" s="48"/>
      <c r="CC416" s="1131">
        <f>+CC415/BW415-1</f>
        <v>0.17194844300822654</v>
      </c>
      <c r="CD416" s="1132">
        <f>+CD415/BX415-1</f>
        <v>0.27129497130798041</v>
      </c>
      <c r="CE416" s="1132">
        <f>+CE415/BY415-1</f>
        <v>0.12817586572601147</v>
      </c>
      <c r="CF416" s="1132">
        <f>+CF415/BZ415-1</f>
        <v>8.0135229864148894E-2</v>
      </c>
      <c r="CG416" s="1117">
        <f>+CG415/CA415-1</f>
        <v>0.14944350216037572</v>
      </c>
      <c r="CH416" s="48"/>
      <c r="CI416" s="1131">
        <f>+CI415/CC415-1</f>
        <v>0.13891225266792451</v>
      </c>
      <c r="CJ416" s="1132">
        <f>+CJ415/CD415-1</f>
        <v>0.11924076995024313</v>
      </c>
      <c r="CK416" s="1132">
        <f>+CK415/CE415-1</f>
        <v>6.5472146075688853E-2</v>
      </c>
      <c r="CL416" s="1132">
        <f>+CL415/CF415-1</f>
        <v>5.1704174569889627E-2</v>
      </c>
      <c r="CM416" s="1117">
        <f>+CM415/CG415-1</f>
        <v>8.6315493344313321E-2</v>
      </c>
      <c r="CN416" s="48"/>
      <c r="CO416" s="1131">
        <f>+CO415/CI415-1</f>
        <v>0.29686252127267321</v>
      </c>
      <c r="CP416" s="1132">
        <f>+CP415/CJ415-1</f>
        <v>0.16562152231958582</v>
      </c>
      <c r="CQ416" s="1132">
        <f>+CQ415/CK415-1</f>
        <v>0.17100008233936559</v>
      </c>
      <c r="CR416" s="1132">
        <f>+CR415/CL415-1</f>
        <v>0.14491805613356012</v>
      </c>
      <c r="CS416" s="1117">
        <f>+CS415/CM415-1</f>
        <v>0.18409057620592595</v>
      </c>
      <c r="CT416" s="48"/>
      <c r="CU416" s="1131">
        <f>+CU415/CO415-1</f>
        <v>0.20520732186357127</v>
      </c>
      <c r="CV416" s="1132">
        <f>+CV415/CP415-1</f>
        <v>0.16344014784953798</v>
      </c>
      <c r="CW416" s="1132">
        <f>+CW415/CQ415-1</f>
        <v>0.1558320199142389</v>
      </c>
      <c r="CX416" s="1132">
        <f>+CX415/CR415-1</f>
        <v>0.15140006819590779</v>
      </c>
      <c r="CY416" s="1117">
        <f>+CY415/CS415-1</f>
        <v>0.1660440627491564</v>
      </c>
      <c r="CZ416" s="48"/>
      <c r="DD416" s="48"/>
      <c r="DE416" s="48"/>
      <c r="DF416" s="48"/>
      <c r="DG416" s="48"/>
      <c r="DH416" s="48"/>
      <c r="DI416" s="48"/>
      <c r="DJ416" s="48"/>
      <c r="DK416" s="48"/>
    </row>
    <row r="417" spans="1:115" x14ac:dyDescent="0.2">
      <c r="A417" s="205" t="s">
        <v>497</v>
      </c>
      <c r="B417" s="48"/>
      <c r="C417" s="685"/>
      <c r="D417" s="578"/>
      <c r="E417" s="578"/>
      <c r="F417" s="582"/>
      <c r="G417" s="707"/>
      <c r="H417" s="48"/>
      <c r="I417" s="685"/>
      <c r="J417" s="578"/>
      <c r="K417" s="578"/>
      <c r="L417" s="582"/>
      <c r="M417" s="707"/>
      <c r="N417" s="48"/>
      <c r="O417" s="685"/>
      <c r="P417" s="578"/>
      <c r="Q417" s="578"/>
      <c r="R417" s="582"/>
      <c r="S417" s="707"/>
      <c r="T417" s="48"/>
      <c r="U417" s="685"/>
      <c r="V417" s="578"/>
      <c r="W417" s="578"/>
      <c r="X417" s="582"/>
      <c r="Y417" s="707"/>
      <c r="Z417" s="48"/>
      <c r="AA417" s="685"/>
      <c r="AB417" s="578"/>
      <c r="AC417" s="578"/>
      <c r="AD417" s="582"/>
      <c r="AE417" s="707"/>
      <c r="AF417" s="48"/>
      <c r="AG417" s="1131">
        <f>+AG415/AG366</f>
        <v>0.26804506343552126</v>
      </c>
      <c r="AH417" s="1132">
        <f>+AH415/AH366</f>
        <v>0.29901813821016338</v>
      </c>
      <c r="AI417" s="1132">
        <f>+AI415/AI366</f>
        <v>0.31492842535787324</v>
      </c>
      <c r="AJ417" s="1132">
        <f>+AJ415/AJ366</f>
        <v>0.28823116332326698</v>
      </c>
      <c r="AK417" s="1117">
        <f>+AK415/AK366</f>
        <v>0.29324486916049819</v>
      </c>
      <c r="AL417" s="48"/>
      <c r="AM417" s="1131">
        <f>+AM415/AM366</f>
        <v>0.27855154257009257</v>
      </c>
      <c r="AN417" s="1132">
        <f>+AN415/AN366</f>
        <v>0.28140170422008737</v>
      </c>
      <c r="AO417" s="1132">
        <f>+AO415/AO366</f>
        <v>0.28840720771953615</v>
      </c>
      <c r="AP417" s="1132">
        <f>+AP415/AP366</f>
        <v>0.28767760250601343</v>
      </c>
      <c r="AQ417" s="1117">
        <f>+AQ415/AQ366</f>
        <v>0.28413340211136046</v>
      </c>
      <c r="AR417" s="48"/>
      <c r="AS417" s="1131">
        <f>+AS415/AS366</f>
        <v>0.267042551983804</v>
      </c>
      <c r="AT417" s="1132">
        <f>+AT415/AT366</f>
        <v>0.27865843070129748</v>
      </c>
      <c r="AU417" s="1132">
        <f>+AU415/AU366</f>
        <v>0.25871194419924887</v>
      </c>
      <c r="AV417" s="1132">
        <f>+AV415/AV366</f>
        <v>0.28615214401052591</v>
      </c>
      <c r="AW417" s="1117">
        <f>+AW415/AW366</f>
        <v>0.27325054050149311</v>
      </c>
      <c r="AX417" s="48"/>
      <c r="AY417" s="1131">
        <f>+AY415/AY366</f>
        <v>0.27071539899197772</v>
      </c>
      <c r="AZ417" s="1132">
        <f>+AZ415/AZ366</f>
        <v>0.28129343484813474</v>
      </c>
      <c r="BA417" s="1132">
        <f>+BA415/BA366</f>
        <v>0.27519890630288968</v>
      </c>
      <c r="BB417" s="1132">
        <f>+BB415/BB366</f>
        <v>0.30596885713296312</v>
      </c>
      <c r="BC417" s="1117">
        <f>+BC415/BC366</f>
        <v>0.28413192650838293</v>
      </c>
      <c r="BD417" s="48"/>
      <c r="BE417" s="1131">
        <f>+BE415/BE366</f>
        <v>0.25816928874482836</v>
      </c>
      <c r="BF417" s="1132">
        <f>+BF415/BF366</f>
        <v>0.26373209612783322</v>
      </c>
      <c r="BG417" s="1132">
        <f>+BG415/BG366</f>
        <v>0.27085861814453477</v>
      </c>
      <c r="BH417" s="1132">
        <f>+BH415/BH366</f>
        <v>0.29315884551208671</v>
      </c>
      <c r="BI417" s="1117">
        <f>+BI415/BI366</f>
        <v>0.272373207265245</v>
      </c>
      <c r="BJ417" s="48"/>
      <c r="BK417" s="1131">
        <f>+BK415/BK366</f>
        <v>0.23574154071077241</v>
      </c>
      <c r="BL417" s="1132">
        <f>+BL415/BL366</f>
        <v>0.24495753795620659</v>
      </c>
      <c r="BM417" s="1132">
        <f>+BM415/BM366</f>
        <v>0.2517304762781471</v>
      </c>
      <c r="BN417" s="1132">
        <f>+BN415/BN366</f>
        <v>0.23843097475125399</v>
      </c>
      <c r="BO417" s="1117">
        <f>+BO415/BO366</f>
        <v>0.2427298044759344</v>
      </c>
      <c r="BP417" s="48"/>
      <c r="BQ417" s="1131">
        <f>+BQ415/BQ366</f>
        <v>0.22550873868958149</v>
      </c>
      <c r="BR417" s="1132">
        <f>+BR415/BR366</f>
        <v>0.24683837523790464</v>
      </c>
      <c r="BS417" s="1132">
        <f>+BS415/BS366</f>
        <v>0.24878163535848366</v>
      </c>
      <c r="BT417" s="1132">
        <f>+BT415/BT366</f>
        <v>0.26639885222381637</v>
      </c>
      <c r="BU417" s="1117">
        <f>+BU415/BU366</f>
        <v>0.24766282197173692</v>
      </c>
      <c r="BV417" s="48"/>
      <c r="BW417" s="1131">
        <f>+BW415/BW366</f>
        <v>0.18253295305634776</v>
      </c>
      <c r="BX417" s="1132">
        <f>+BX415/BX366</f>
        <v>0.20687953781562862</v>
      </c>
      <c r="BY417" s="1132">
        <f>+BY415/BY366</f>
        <v>0.25613180388856893</v>
      </c>
      <c r="BZ417" s="1132">
        <f>+BZ415/BZ366</f>
        <v>0.30748264054677166</v>
      </c>
      <c r="CA417" s="1117">
        <f>+CA415/CA366</f>
        <v>0.24147546582899287</v>
      </c>
      <c r="CB417" s="48"/>
      <c r="CC417" s="1131">
        <f>+CC415/CC366</f>
        <v>0.2070313260202527</v>
      </c>
      <c r="CD417" s="1132">
        <f>+CD415/CD366</f>
        <v>0.25157462972603445</v>
      </c>
      <c r="CE417" s="1132">
        <f>+CE415/CE366</f>
        <v>0.26857025246981348</v>
      </c>
      <c r="CF417" s="1132">
        <f>+CF415/CF366</f>
        <v>0.30653239757953027</v>
      </c>
      <c r="CG417" s="1117">
        <f>+CG415/CG366</f>
        <v>0.26163833946844678</v>
      </c>
      <c r="CH417" s="48"/>
      <c r="CI417" s="1131">
        <f>+CI415/CI366</f>
        <v>0.21243797251653138</v>
      </c>
      <c r="CJ417" s="1132">
        <f>+CJ415/CJ366</f>
        <v>0.25240386457653186</v>
      </c>
      <c r="CK417" s="1132">
        <f>+CK415/CK366</f>
        <v>0.25875940693772681</v>
      </c>
      <c r="CL417" s="1132">
        <f>+CL415/CL366</f>
        <v>0.29803037980960878</v>
      </c>
      <c r="CM417" s="1117">
        <f>+CM415/CM366</f>
        <v>0.25782600319789029</v>
      </c>
      <c r="CN417" s="48"/>
      <c r="CO417" s="1131">
        <f>+CO415/CO366</f>
        <v>0.24814165830506807</v>
      </c>
      <c r="CP417" s="1132">
        <f>+CP415/CP366</f>
        <v>0.27354218260529084</v>
      </c>
      <c r="CQ417" s="1132">
        <f>+CQ415/CQ366</f>
        <v>0.28592948303629184</v>
      </c>
      <c r="CR417" s="1132">
        <f>+CR415/CR366</f>
        <v>0.31346037159614554</v>
      </c>
      <c r="CS417" s="1117">
        <f>+CS415/CS366</f>
        <v>0.28198666435116909</v>
      </c>
      <c r="CT417" s="48"/>
      <c r="CU417" s="1131">
        <f>+CU415/CU366</f>
        <v>0.27011619114155</v>
      </c>
      <c r="CV417" s="1132">
        <f>+CV415/CV366</f>
        <v>0.28913864900860148</v>
      </c>
      <c r="CW417" s="1132">
        <f>+CW415/CW366</f>
        <v>0.30092023765596904</v>
      </c>
      <c r="CX417" s="1132">
        <f>+CX415/CX366</f>
        <v>0.3289186871200433</v>
      </c>
      <c r="CY417" s="1117">
        <f>+CY415/CY366</f>
        <v>0.29875803841994031</v>
      </c>
      <c r="CZ417" s="48"/>
      <c r="DD417" s="48"/>
      <c r="DE417" s="48"/>
      <c r="DF417" s="48"/>
      <c r="DG417" s="48"/>
      <c r="DH417" s="48"/>
      <c r="DI417" s="48"/>
      <c r="DJ417" s="48"/>
      <c r="DK417" s="48"/>
    </row>
    <row r="418" spans="1:115" x14ac:dyDescent="0.2">
      <c r="A418" s="1139" t="s">
        <v>464</v>
      </c>
      <c r="B418" s="48"/>
      <c r="C418" s="685"/>
      <c r="D418" s="578"/>
      <c r="E418" s="578"/>
      <c r="F418" s="582"/>
      <c r="G418" s="707"/>
      <c r="H418" s="48"/>
      <c r="I418" s="685"/>
      <c r="J418" s="578"/>
      <c r="K418" s="578"/>
      <c r="L418" s="582"/>
      <c r="M418" s="707"/>
      <c r="N418" s="48"/>
      <c r="O418" s="685"/>
      <c r="P418" s="578"/>
      <c r="Q418" s="578"/>
      <c r="R418" s="582"/>
      <c r="S418" s="707"/>
      <c r="T418" s="48"/>
      <c r="U418" s="685"/>
      <c r="V418" s="578"/>
      <c r="W418" s="578"/>
      <c r="X418" s="582"/>
      <c r="Y418" s="707"/>
      <c r="Z418" s="48"/>
      <c r="AA418" s="685"/>
      <c r="AB418" s="578"/>
      <c r="AC418" s="578"/>
      <c r="AD418" s="582"/>
      <c r="AE418" s="707"/>
      <c r="AF418" s="48"/>
      <c r="AG418" s="1131">
        <f t="shared" ref="AG418:AK418" si="146">+AG426/AG$415</f>
        <v>0.36754495947315086</v>
      </c>
      <c r="AH418" s="1132">
        <f t="shared" si="146"/>
        <v>0.357718873153138</v>
      </c>
      <c r="AI418" s="1132">
        <f t="shared" si="146"/>
        <v>0.34676104262968671</v>
      </c>
      <c r="AJ418" s="1132">
        <f t="shared" si="146"/>
        <v>0.36547252540468028</v>
      </c>
      <c r="AK418" s="1117">
        <f t="shared" si="146"/>
        <v>0.35883960303804247</v>
      </c>
      <c r="AL418" s="48"/>
      <c r="AM418" s="1131">
        <f t="shared" ref="AM418:AQ418" si="147">+AM426/AM$415</f>
        <v>0.3659278279414318</v>
      </c>
      <c r="AN418" s="1132">
        <f t="shared" si="147"/>
        <v>0.36154291970316049</v>
      </c>
      <c r="AO418" s="1132">
        <f t="shared" si="147"/>
        <v>0.31779200769466065</v>
      </c>
      <c r="AP418" s="1132">
        <f t="shared" si="147"/>
        <v>0.28793029701398698</v>
      </c>
      <c r="AQ418" s="1117">
        <f t="shared" si="147"/>
        <v>0.33170903709064498</v>
      </c>
      <c r="AR418" s="48"/>
      <c r="AS418" s="1131">
        <f t="shared" ref="AS418:AW418" si="148">+AS426/AS$415</f>
        <v>0.29630865978871962</v>
      </c>
      <c r="AT418" s="1132">
        <f t="shared" si="148"/>
        <v>0.31460358371534058</v>
      </c>
      <c r="AU418" s="1132">
        <f t="shared" si="148"/>
        <v>0.26228085532778517</v>
      </c>
      <c r="AV418" s="1132">
        <f t="shared" si="148"/>
        <v>0.25552345947088861</v>
      </c>
      <c r="AW418" s="1117">
        <f t="shared" si="148"/>
        <v>0.28064211107693671</v>
      </c>
      <c r="AX418" s="48"/>
      <c r="AY418" s="1131">
        <f t="shared" ref="AY418:BC418" si="149">+AY426/AY$415</f>
        <v>0.26191599848374508</v>
      </c>
      <c r="AZ418" s="1132">
        <f t="shared" si="149"/>
        <v>0.24095315574355697</v>
      </c>
      <c r="BA418" s="1132">
        <f t="shared" si="149"/>
        <v>0.23883299632214258</v>
      </c>
      <c r="BB418" s="1132">
        <f t="shared" si="149"/>
        <v>0.1702320459877962</v>
      </c>
      <c r="BC418" s="1117">
        <f t="shared" si="149"/>
        <v>0.22413706596291527</v>
      </c>
      <c r="BD418" s="48"/>
      <c r="BE418" s="1131">
        <f t="shared" ref="BE418:BI418" si="150">+BE426/BE$415</f>
        <v>0.25694979955450437</v>
      </c>
      <c r="BF418" s="1132">
        <f t="shared" si="150"/>
        <v>0.21959569545608792</v>
      </c>
      <c r="BG418" s="1132">
        <f t="shared" si="150"/>
        <v>0.25771814157601347</v>
      </c>
      <c r="BH418" s="1132">
        <f t="shared" si="150"/>
        <v>0.22325402535780631</v>
      </c>
      <c r="BI418" s="1117">
        <f t="shared" si="150"/>
        <v>0.23831297735206111</v>
      </c>
      <c r="BJ418" s="48"/>
      <c r="BK418" s="1131">
        <f>+BK426/BK$415</f>
        <v>0.18446480404609511</v>
      </c>
      <c r="BL418" s="1132">
        <f t="shared" ref="BL418:BO418" si="151">+BL426/BL$415</f>
        <v>0.15263183587522347</v>
      </c>
      <c r="BM418" s="1132">
        <f t="shared" si="151"/>
        <v>0.17056041563006019</v>
      </c>
      <c r="BN418" s="1132">
        <f t="shared" si="151"/>
        <v>0.1740442996835071</v>
      </c>
      <c r="BO418" s="1117">
        <f t="shared" si="151"/>
        <v>0.17020940295368056</v>
      </c>
      <c r="BP418" s="48"/>
      <c r="BQ418" s="1131">
        <f t="shared" ref="BQ418:BU418" si="152">+BQ426/BQ$415</f>
        <v>0.14053899124540514</v>
      </c>
      <c r="BR418" s="1132">
        <f t="shared" si="152"/>
        <v>0.11915025663973622</v>
      </c>
      <c r="BS418" s="1132">
        <f t="shared" si="152"/>
        <v>0.1179529475687472</v>
      </c>
      <c r="BT418" s="1132">
        <f t="shared" si="152"/>
        <v>0.11920056501774592</v>
      </c>
      <c r="BU418" s="1117">
        <f t="shared" si="152"/>
        <v>0.12341049579897299</v>
      </c>
      <c r="BV418" s="48"/>
      <c r="BW418" s="1131">
        <f t="shared" ref="BW418:CA418" si="153">+BW426/BW$415</f>
        <v>0.10029989824093793</v>
      </c>
      <c r="BX418" s="1132">
        <f t="shared" si="153"/>
        <v>9.4074126024762866E-2</v>
      </c>
      <c r="BY418" s="1132">
        <f t="shared" si="153"/>
        <v>8.5897608885451462E-2</v>
      </c>
      <c r="BZ418" s="1132">
        <f t="shared" si="153"/>
        <v>9.5001569990590534E-2</v>
      </c>
      <c r="CA418" s="1117">
        <f t="shared" si="153"/>
        <v>9.3251772335403965E-2</v>
      </c>
      <c r="CB418" s="48"/>
      <c r="CC418" s="1131">
        <f t="shared" ref="CC418" si="154">+CC426/CC$415</f>
        <v>5.6843607520740427E-2</v>
      </c>
      <c r="CD418" s="1132">
        <f>+CD426/CD$415</f>
        <v>6.784600583026483E-2</v>
      </c>
      <c r="CE418" s="1132">
        <f t="shared" ref="CE418:CF418" si="155">+CE426/CE$415</f>
        <v>7.5751757198775999E-2</v>
      </c>
      <c r="CF418" s="1132">
        <f t="shared" si="155"/>
        <v>7.4549983591915378E-2</v>
      </c>
      <c r="CG418" s="1117">
        <f>+CG426/CG$415</f>
        <v>7.0235772246117351E-2</v>
      </c>
      <c r="CH418" s="48"/>
      <c r="CI418" s="1131">
        <f t="shared" ref="CI418:CM418" si="156">+CI426/CI$415</f>
        <v>4.4035558684188257E-2</v>
      </c>
      <c r="CJ418" s="1132">
        <f t="shared" si="156"/>
        <v>4.202345710068512E-2</v>
      </c>
      <c r="CK418" s="1132">
        <f t="shared" si="156"/>
        <v>4.8526606734051389E-2</v>
      </c>
      <c r="CL418" s="1132">
        <f t="shared" si="156"/>
        <v>4.5659163268499343E-2</v>
      </c>
      <c r="CM418" s="1117">
        <f t="shared" si="156"/>
        <v>4.5220614192709105E-2</v>
      </c>
      <c r="CN418" s="48"/>
      <c r="CO418" s="1131">
        <f t="shared" ref="CO418:CS418" si="157">+CO426/CO$415</f>
        <v>3.2137936721618479E-2</v>
      </c>
      <c r="CP418" s="1132">
        <f t="shared" si="157"/>
        <v>3.1759400997843051E-2</v>
      </c>
      <c r="CQ418" s="1132">
        <f t="shared" si="157"/>
        <v>3.743322048641734E-2</v>
      </c>
      <c r="CR418" s="1132">
        <f t="shared" si="157"/>
        <v>3.4873374006399581E-2</v>
      </c>
      <c r="CS418" s="1117">
        <f t="shared" si="157"/>
        <v>3.4239874320353858E-2</v>
      </c>
      <c r="CT418" s="48"/>
      <c r="CU418" s="1131">
        <f t="shared" ref="CU418:CY418" si="158">+CU426/CU$415</f>
        <v>2.427858552866706E-2</v>
      </c>
      <c r="CV418" s="1132">
        <f t="shared" si="158"/>
        <v>2.4686287344521069E-2</v>
      </c>
      <c r="CW418" s="1132">
        <f t="shared" si="158"/>
        <v>2.9134526627855317E-2</v>
      </c>
      <c r="CX418" s="1132">
        <f t="shared" si="158"/>
        <v>2.7096668729940297E-2</v>
      </c>
      <c r="CY418" s="1117">
        <f t="shared" si="158"/>
        <v>2.6460485935487187E-2</v>
      </c>
      <c r="CZ418" s="48"/>
      <c r="DD418" s="48"/>
      <c r="DE418" s="48"/>
      <c r="DF418" s="48"/>
      <c r="DG418" s="48"/>
      <c r="DH418" s="48"/>
      <c r="DI418" s="48"/>
      <c r="DJ418" s="48"/>
      <c r="DK418" s="48"/>
    </row>
    <row r="419" spans="1:115" x14ac:dyDescent="0.2">
      <c r="A419" s="2164" t="s">
        <v>726</v>
      </c>
      <c r="B419" s="48"/>
      <c r="C419" s="2163"/>
      <c r="D419" s="578"/>
      <c r="E419" s="578"/>
      <c r="F419" s="582"/>
      <c r="G419" s="2134"/>
      <c r="H419" s="48"/>
      <c r="I419" s="2163"/>
      <c r="J419" s="578"/>
      <c r="K419" s="578"/>
      <c r="L419" s="582"/>
      <c r="M419" s="2134"/>
      <c r="N419" s="48"/>
      <c r="O419" s="2163"/>
      <c r="P419" s="578"/>
      <c r="Q419" s="578"/>
      <c r="R419" s="582"/>
      <c r="S419" s="2134"/>
      <c r="T419" s="48"/>
      <c r="U419" s="2163"/>
      <c r="V419" s="578"/>
      <c r="W419" s="578"/>
      <c r="X419" s="582"/>
      <c r="Y419" s="2134"/>
      <c r="Z419" s="48"/>
      <c r="AA419" s="2163"/>
      <c r="AB419" s="578"/>
      <c r="AC419" s="578"/>
      <c r="AD419" s="582"/>
      <c r="AE419" s="2134"/>
      <c r="AF419" s="48"/>
      <c r="AG419" s="2133"/>
      <c r="AH419" s="1132"/>
      <c r="AI419" s="1132"/>
      <c r="AJ419" s="1132"/>
      <c r="AK419" s="2160"/>
      <c r="AL419" s="48"/>
      <c r="AM419" s="2133"/>
      <c r="AN419" s="1132"/>
      <c r="AO419" s="1132"/>
      <c r="AP419" s="1132"/>
      <c r="AQ419" s="2160"/>
      <c r="AR419" s="48"/>
      <c r="AS419" s="2133"/>
      <c r="AT419" s="1132"/>
      <c r="AU419" s="1132"/>
      <c r="AV419" s="1132"/>
      <c r="AW419" s="2160"/>
      <c r="AX419" s="48"/>
      <c r="AY419" s="2133"/>
      <c r="AZ419" s="1132"/>
      <c r="BA419" s="1132"/>
      <c r="BB419" s="1132"/>
      <c r="BC419" s="2160"/>
      <c r="BD419" s="48"/>
      <c r="BE419" s="2133"/>
      <c r="BF419" s="1132"/>
      <c r="BG419" s="1132"/>
      <c r="BH419" s="1132"/>
      <c r="BI419" s="2160"/>
      <c r="BJ419" s="48"/>
      <c r="BK419" s="2133"/>
      <c r="BL419" s="1132"/>
      <c r="BM419" s="1132"/>
      <c r="BN419" s="1132"/>
      <c r="BO419" s="2160"/>
      <c r="BP419" s="48"/>
      <c r="BQ419" s="2133"/>
      <c r="BR419" s="1132"/>
      <c r="BS419" s="1132"/>
      <c r="BT419" s="1132"/>
      <c r="BU419" s="2160"/>
      <c r="BV419" s="48"/>
      <c r="BW419" s="2133"/>
      <c r="BX419" s="1132"/>
      <c r="BY419" s="1132"/>
      <c r="BZ419" s="1132"/>
      <c r="CA419" s="2160"/>
      <c r="CB419" s="48"/>
      <c r="CC419" s="2133"/>
      <c r="CD419" s="1132"/>
      <c r="CE419" s="1132"/>
      <c r="CF419" s="1132"/>
      <c r="CG419" s="2160"/>
      <c r="CH419" s="48"/>
      <c r="CI419" s="1131">
        <f t="shared" ref="CI419:CM425" si="159">+CI427/CI$415</f>
        <v>-6.8779925119657165E-2</v>
      </c>
      <c r="CJ419" s="1132">
        <f t="shared" si="159"/>
        <v>-5.0792637289343044E-2</v>
      </c>
      <c r="CK419" s="1132">
        <f t="shared" si="159"/>
        <v>-3.0880014475080871E-2</v>
      </c>
      <c r="CL419" s="1132">
        <f t="shared" si="159"/>
        <v>-1.2405988138556329E-2</v>
      </c>
      <c r="CM419" s="1117">
        <f t="shared" si="159"/>
        <v>-3.6705704444251183E-2</v>
      </c>
      <c r="CN419" s="48"/>
      <c r="CO419" s="1131">
        <f t="shared" ref="CO419:CS425" si="160">+CO427/CO$415</f>
        <v>-1.640392137991091E-2</v>
      </c>
      <c r="CP419" s="1132">
        <f t="shared" si="160"/>
        <v>1.6177901005768432E-2</v>
      </c>
      <c r="CQ419" s="1132">
        <f t="shared" si="160"/>
        <v>1.9388669343574472E-2</v>
      </c>
      <c r="CR419" s="1132">
        <f t="shared" si="160"/>
        <v>2.1250033734818402E-2</v>
      </c>
      <c r="CS419" s="1117">
        <f t="shared" si="160"/>
        <v>1.2124738055385329E-2</v>
      </c>
      <c r="CT419" s="48"/>
      <c r="CU419" s="1131">
        <f t="shared" ref="CU419:CY425" si="161">+CU427/CU$415</f>
        <v>2.7255458504910127E-2</v>
      </c>
      <c r="CV419" s="1132">
        <f t="shared" si="161"/>
        <v>2.9011364136501464E-2</v>
      </c>
      <c r="CW419" s="1132">
        <f t="shared" si="161"/>
        <v>3.2837721353056674E-2</v>
      </c>
      <c r="CX419" s="1132">
        <f t="shared" si="161"/>
        <v>3.4327245698889571E-2</v>
      </c>
      <c r="CY419" s="1117">
        <f t="shared" si="161"/>
        <v>3.1233294372449257E-2</v>
      </c>
      <c r="CZ419" s="48"/>
      <c r="DD419" s="48"/>
      <c r="DE419" s="48"/>
      <c r="DF419" s="48"/>
      <c r="DG419" s="48"/>
      <c r="DH419" s="48"/>
      <c r="DI419" s="48"/>
      <c r="DJ419" s="48"/>
      <c r="DK419" s="48"/>
    </row>
    <row r="420" spans="1:115" x14ac:dyDescent="0.2">
      <c r="A420" s="1139" t="s">
        <v>465</v>
      </c>
      <c r="B420" s="48"/>
      <c r="C420" s="685"/>
      <c r="D420" s="578"/>
      <c r="E420" s="578"/>
      <c r="F420" s="582"/>
      <c r="G420" s="707"/>
      <c r="H420" s="48"/>
      <c r="I420" s="685"/>
      <c r="J420" s="578"/>
      <c r="K420" s="578"/>
      <c r="L420" s="582"/>
      <c r="M420" s="707"/>
      <c r="N420" s="48"/>
      <c r="O420" s="685"/>
      <c r="P420" s="578"/>
      <c r="Q420" s="578"/>
      <c r="R420" s="582"/>
      <c r="S420" s="707"/>
      <c r="T420" s="48"/>
      <c r="U420" s="685"/>
      <c r="V420" s="578"/>
      <c r="W420" s="578"/>
      <c r="X420" s="582"/>
      <c r="Y420" s="707"/>
      <c r="Z420" s="48"/>
      <c r="AA420" s="685"/>
      <c r="AB420" s="578"/>
      <c r="AC420" s="578"/>
      <c r="AD420" s="582"/>
      <c r="AE420" s="707"/>
      <c r="AF420" s="48"/>
      <c r="AG420" s="1131">
        <f t="shared" ref="AG420:AK425" si="162">+AG428/AG$415</f>
        <v>0</v>
      </c>
      <c r="AH420" s="1132">
        <f t="shared" si="162"/>
        <v>0</v>
      </c>
      <c r="AI420" s="1132">
        <f t="shared" si="162"/>
        <v>0</v>
      </c>
      <c r="AJ420" s="1132">
        <f t="shared" si="162"/>
        <v>0</v>
      </c>
      <c r="AK420" s="1117">
        <f t="shared" si="162"/>
        <v>0</v>
      </c>
      <c r="AL420" s="48"/>
      <c r="AM420" s="1131">
        <f t="shared" ref="AM420:AQ425" si="163">+AM428/AM$415</f>
        <v>0</v>
      </c>
      <c r="AN420" s="1132">
        <f t="shared" si="163"/>
        <v>0</v>
      </c>
      <c r="AO420" s="1132">
        <f t="shared" si="163"/>
        <v>0</v>
      </c>
      <c r="AP420" s="1132">
        <f t="shared" si="163"/>
        <v>0</v>
      </c>
      <c r="AQ420" s="1117">
        <f t="shared" si="163"/>
        <v>0</v>
      </c>
      <c r="AR420" s="48"/>
      <c r="AS420" s="1131">
        <f t="shared" ref="AS420:AW425" si="164">+AS428/AS$415</f>
        <v>0</v>
      </c>
      <c r="AT420" s="1132">
        <f t="shared" si="164"/>
        <v>0</v>
      </c>
      <c r="AU420" s="1132">
        <f t="shared" si="164"/>
        <v>3.0078850021367693E-2</v>
      </c>
      <c r="AV420" s="1132">
        <f t="shared" si="164"/>
        <v>3.2929188504892674E-2</v>
      </c>
      <c r="AW420" s="1117">
        <f t="shared" si="164"/>
        <v>1.6891794323734912E-2</v>
      </c>
      <c r="AX420" s="48"/>
      <c r="AY420" s="1131">
        <f t="shared" ref="AY420:BC425" si="165">+AY428/AY$415</f>
        <v>3.9628806345943415E-2</v>
      </c>
      <c r="AZ420" s="1132">
        <f t="shared" si="165"/>
        <v>4.2646237799137524E-2</v>
      </c>
      <c r="BA420" s="1132">
        <f t="shared" si="165"/>
        <v>3.9521304738156293E-2</v>
      </c>
      <c r="BB420" s="1132">
        <f t="shared" si="165"/>
        <v>3.9994754131859357E-2</v>
      </c>
      <c r="BC420" s="1117">
        <f t="shared" si="165"/>
        <v>4.0443987688474445E-2</v>
      </c>
      <c r="BD420" s="48"/>
      <c r="BE420" s="1131">
        <f t="shared" ref="BE420:BI425" si="166">+BE428/BE$415</f>
        <v>5.4677690332260574E-2</v>
      </c>
      <c r="BF420" s="1132">
        <f t="shared" si="166"/>
        <v>6.590471946206676E-2</v>
      </c>
      <c r="BG420" s="1132">
        <f t="shared" si="166"/>
        <v>6.1610792534054326E-2</v>
      </c>
      <c r="BH420" s="1132">
        <f t="shared" si="166"/>
        <v>5.8349756806577523E-2</v>
      </c>
      <c r="BI420" s="1117">
        <f t="shared" si="166"/>
        <v>6.0116550632645906E-2</v>
      </c>
      <c r="BJ420" s="48"/>
      <c r="BK420" s="1131">
        <f t="shared" ref="BK420:BO425" si="167">+BK428/BK$415</f>
        <v>7.4698730772334521E-2</v>
      </c>
      <c r="BL420" s="1132">
        <f t="shared" si="167"/>
        <v>7.3610433093449917E-2</v>
      </c>
      <c r="BM420" s="1132">
        <f t="shared" si="167"/>
        <v>7.2371979953368831E-2</v>
      </c>
      <c r="BN420" s="1132">
        <f t="shared" si="167"/>
        <v>6.8878398687107226E-2</v>
      </c>
      <c r="BO420" s="1117">
        <f t="shared" si="167"/>
        <v>7.2292480285388067E-2</v>
      </c>
      <c r="BP420" s="48"/>
      <c r="BQ420" s="1131">
        <f t="shared" ref="BQ420:BU425" si="168">+BQ428/BQ$415</f>
        <v>8.6607596358201921E-2</v>
      </c>
      <c r="BR420" s="1132">
        <f t="shared" si="168"/>
        <v>8.7800695822820851E-2</v>
      </c>
      <c r="BS420" s="1132">
        <f t="shared" si="168"/>
        <v>0.10271136687266744</v>
      </c>
      <c r="BT420" s="1132">
        <f t="shared" si="168"/>
        <v>9.006547446945655E-2</v>
      </c>
      <c r="BU420" s="1117">
        <f t="shared" si="168"/>
        <v>9.1887309825121333E-2</v>
      </c>
      <c r="BV420" s="48"/>
      <c r="BW420" s="1131">
        <f t="shared" ref="BW420:CA425" si="169">+BW428/BW$415</f>
        <v>0.12070973419862946</v>
      </c>
      <c r="BX420" s="1132">
        <f t="shared" si="169"/>
        <v>0.11173508640029836</v>
      </c>
      <c r="BY420" s="1132">
        <f t="shared" si="169"/>
        <v>0.12706170608434336</v>
      </c>
      <c r="BZ420" s="1132">
        <f t="shared" si="169"/>
        <v>0.11478400564812316</v>
      </c>
      <c r="CA420" s="1117">
        <f t="shared" si="169"/>
        <v>0.11842653303008786</v>
      </c>
      <c r="CB420" s="48"/>
      <c r="CC420" s="1131">
        <f t="shared" ref="CC420" si="170">+CC428/CC$415</f>
        <v>0.13323197410799378</v>
      </c>
      <c r="CD420" s="1132">
        <f t="shared" ref="CD420:CD425" si="171">+CD428/CD$415</f>
        <v>0.14395464060084795</v>
      </c>
      <c r="CE420" s="1132">
        <f t="shared" ref="CE420:CF420" si="172">+CE428/CE$415</f>
        <v>0.15520250040822234</v>
      </c>
      <c r="CF420" s="1132">
        <f t="shared" si="172"/>
        <v>0.13609710853739743</v>
      </c>
      <c r="CG420" s="1117">
        <f t="shared" ref="CG420:CG425" si="173">+CG428/CG$415</f>
        <v>0.14250030739993086</v>
      </c>
      <c r="CH420" s="48"/>
      <c r="CI420" s="1131">
        <f t="shared" si="159"/>
        <v>0.13135503168778392</v>
      </c>
      <c r="CJ420" s="1132">
        <f t="shared" si="159"/>
        <v>0.14787036276623172</v>
      </c>
      <c r="CK420" s="1132">
        <f t="shared" si="159"/>
        <v>0.16995684285780774</v>
      </c>
      <c r="CL420" s="1132">
        <f t="shared" si="159"/>
        <v>0.13626708203457968</v>
      </c>
      <c r="CM420" s="1117">
        <f t="shared" si="159"/>
        <v>0.14692098780470936</v>
      </c>
      <c r="CN420" s="48"/>
      <c r="CO420" s="1131">
        <f t="shared" si="160"/>
        <v>0.16984920939076728</v>
      </c>
      <c r="CP420" s="1132">
        <f t="shared" si="160"/>
        <v>0.15570675398630818</v>
      </c>
      <c r="CQ420" s="1132">
        <f t="shared" si="160"/>
        <v>0.15376887356126795</v>
      </c>
      <c r="CR420" s="1132">
        <f t="shared" si="160"/>
        <v>0.1455438460561963</v>
      </c>
      <c r="CS420" s="1117">
        <f t="shared" si="160"/>
        <v>0.15488416188896156</v>
      </c>
      <c r="CT420" s="48"/>
      <c r="CU420" s="1131">
        <f t="shared" si="161"/>
        <v>0.17342829689577216</v>
      </c>
      <c r="CV420" s="1132">
        <f t="shared" si="161"/>
        <v>0.16390853165346686</v>
      </c>
      <c r="CW420" s="1132">
        <f t="shared" si="161"/>
        <v>0.16244380566950975</v>
      </c>
      <c r="CX420" s="1132">
        <f t="shared" si="161"/>
        <v>0.15348414245986958</v>
      </c>
      <c r="CY420" s="1117">
        <f t="shared" si="161"/>
        <v>0.16232089210155129</v>
      </c>
      <c r="CZ420" s="48"/>
      <c r="DD420" s="48"/>
      <c r="DE420" s="48"/>
      <c r="DF420" s="48"/>
      <c r="DG420" s="48"/>
      <c r="DH420" s="48"/>
      <c r="DI420" s="48"/>
      <c r="DJ420" s="48"/>
      <c r="DK420" s="48"/>
    </row>
    <row r="421" spans="1:115" x14ac:dyDescent="0.2">
      <c r="A421" s="1139" t="s">
        <v>640</v>
      </c>
      <c r="B421" s="48"/>
      <c r="C421" s="685"/>
      <c r="D421" s="578"/>
      <c r="E421" s="578"/>
      <c r="F421" s="582"/>
      <c r="G421" s="707"/>
      <c r="H421" s="48"/>
      <c r="I421" s="685"/>
      <c r="J421" s="578"/>
      <c r="K421" s="578"/>
      <c r="L421" s="582"/>
      <c r="M421" s="707"/>
      <c r="N421" s="48"/>
      <c r="O421" s="685"/>
      <c r="P421" s="578"/>
      <c r="Q421" s="578"/>
      <c r="R421" s="582"/>
      <c r="S421" s="707"/>
      <c r="T421" s="48"/>
      <c r="U421" s="685"/>
      <c r="V421" s="578"/>
      <c r="W421" s="578"/>
      <c r="X421" s="582"/>
      <c r="Y421" s="707"/>
      <c r="Z421" s="48"/>
      <c r="AA421" s="685"/>
      <c r="AB421" s="578"/>
      <c r="AC421" s="578"/>
      <c r="AD421" s="582"/>
      <c r="AE421" s="707"/>
      <c r="AF421" s="48"/>
      <c r="AG421" s="1131">
        <f t="shared" si="162"/>
        <v>0</v>
      </c>
      <c r="AH421" s="1132">
        <f t="shared" si="162"/>
        <v>0</v>
      </c>
      <c r="AI421" s="1132">
        <f t="shared" si="162"/>
        <v>0</v>
      </c>
      <c r="AJ421" s="1132">
        <f t="shared" si="162"/>
        <v>1.0501554230026033E-2</v>
      </c>
      <c r="AK421" s="1117">
        <f t="shared" si="162"/>
        <v>2.9548232846828707E-3</v>
      </c>
      <c r="AL421" s="48"/>
      <c r="AM421" s="1131">
        <f t="shared" si="163"/>
        <v>2.0165944676054821E-2</v>
      </c>
      <c r="AN421" s="1132">
        <f t="shared" si="163"/>
        <v>1.9674818964339397E-2</v>
      </c>
      <c r="AO421" s="1132">
        <f t="shared" si="163"/>
        <v>2.0779877393667445E-2</v>
      </c>
      <c r="AP421" s="1132">
        <f t="shared" si="163"/>
        <v>2.0856681047578533E-2</v>
      </c>
      <c r="AQ421" s="1117">
        <f t="shared" si="163"/>
        <v>2.0391306463700697E-2</v>
      </c>
      <c r="AR421" s="48"/>
      <c r="AS421" s="1131">
        <f t="shared" si="164"/>
        <v>2.5294034292192159E-2</v>
      </c>
      <c r="AT421" s="1132">
        <f t="shared" si="164"/>
        <v>2.4036321552568313E-2</v>
      </c>
      <c r="AU421" s="1132">
        <f t="shared" si="164"/>
        <v>2.669324841446118E-2</v>
      </c>
      <c r="AV421" s="1132">
        <f t="shared" si="164"/>
        <v>2.304195621505823E-2</v>
      </c>
      <c r="AW421" s="1117">
        <f t="shared" si="164"/>
        <v>2.463755420261924E-2</v>
      </c>
      <c r="AX421" s="48"/>
      <c r="AY421" s="1131">
        <f t="shared" si="165"/>
        <v>2.7264910400518396E-2</v>
      </c>
      <c r="AZ421" s="1132">
        <f t="shared" si="165"/>
        <v>2.7838272562111615E-2</v>
      </c>
      <c r="BA421" s="1132">
        <f t="shared" si="165"/>
        <v>3.0324217817052787E-2</v>
      </c>
      <c r="BB421" s="1132">
        <f t="shared" si="165"/>
        <v>2.6470837891877628E-2</v>
      </c>
      <c r="BC421" s="1117">
        <f t="shared" si="165"/>
        <v>2.7886463298646861E-2</v>
      </c>
      <c r="BD421" s="48"/>
      <c r="BE421" s="1131">
        <f t="shared" si="166"/>
        <v>3.0200193941868472E-2</v>
      </c>
      <c r="BF421" s="1132">
        <f t="shared" si="166"/>
        <v>2.5705619068162225E-2</v>
      </c>
      <c r="BG421" s="1132">
        <f t="shared" si="166"/>
        <v>2.8426237358477682E-2</v>
      </c>
      <c r="BH421" s="1132">
        <f t="shared" si="166"/>
        <v>2.1203490286466915E-2</v>
      </c>
      <c r="BI421" s="1117">
        <f t="shared" si="166"/>
        <v>2.6021284399028739E-2</v>
      </c>
      <c r="BJ421" s="48"/>
      <c r="BK421" s="1131">
        <f t="shared" si="167"/>
        <v>3.1626264401614604E-2</v>
      </c>
      <c r="BL421" s="1132">
        <f t="shared" si="167"/>
        <v>3.2676295862655448E-2</v>
      </c>
      <c r="BM421" s="1132">
        <f t="shared" si="167"/>
        <v>3.8086492002076165E-2</v>
      </c>
      <c r="BN421" s="1132">
        <f t="shared" si="167"/>
        <v>3.8732087634438375E-2</v>
      </c>
      <c r="BO421" s="1117">
        <f t="shared" si="167"/>
        <v>3.5433820479837522E-2</v>
      </c>
      <c r="BP421" s="48"/>
      <c r="BQ421" s="1131">
        <f t="shared" si="168"/>
        <v>2.7441394391939915E-2</v>
      </c>
      <c r="BR421" s="1132">
        <f t="shared" si="168"/>
        <v>2.8089922120031554E-2</v>
      </c>
      <c r="BS421" s="1132">
        <f t="shared" si="168"/>
        <v>4.2742504205374621E-2</v>
      </c>
      <c r="BT421" s="1132">
        <f t="shared" si="168"/>
        <v>3.4347011203791467E-2</v>
      </c>
      <c r="BU421" s="1117">
        <f t="shared" si="168"/>
        <v>3.3396560427649311E-2</v>
      </c>
      <c r="BV421" s="48"/>
      <c r="BW421" s="1131">
        <f t="shared" si="169"/>
        <v>3.3596752457640537E-2</v>
      </c>
      <c r="BX421" s="1132">
        <f t="shared" si="169"/>
        <v>2.6727984071140964E-2</v>
      </c>
      <c r="BY421" s="1132">
        <f t="shared" si="169"/>
        <v>3.8238430871242762E-2</v>
      </c>
      <c r="BZ421" s="1132">
        <f t="shared" si="169"/>
        <v>2.8144969139306853E-2</v>
      </c>
      <c r="CA421" s="1117">
        <f t="shared" si="169"/>
        <v>3.1470592389033804E-2</v>
      </c>
      <c r="CB421" s="48"/>
      <c r="CC421" s="1131">
        <f t="shared" ref="CC421" si="174">+CC429/CC$415</f>
        <v>3.0337876746262E-2</v>
      </c>
      <c r="CD421" s="1132">
        <f t="shared" si="171"/>
        <v>2.2231744588965745E-2</v>
      </c>
      <c r="CE421" s="1132">
        <f t="shared" ref="CE421:CF421" si="175">+CE429/CE$415</f>
        <v>3.9260173616539364E-2</v>
      </c>
      <c r="CF421" s="1132">
        <f t="shared" si="175"/>
        <v>3.0670246119740074E-2</v>
      </c>
      <c r="CG421" s="1117">
        <f t="shared" si="173"/>
        <v>3.0878317031578371E-2</v>
      </c>
      <c r="CH421" s="48"/>
      <c r="CI421" s="1131">
        <f t="shared" si="159"/>
        <v>3.0633227605089117E-2</v>
      </c>
      <c r="CJ421" s="1132">
        <f t="shared" si="159"/>
        <v>2.2743406278434103E-2</v>
      </c>
      <c r="CK421" s="1132">
        <f t="shared" si="159"/>
        <v>4.1453636757454199E-2</v>
      </c>
      <c r="CL421" s="1132">
        <f t="shared" si="159"/>
        <v>3.2661918136967664E-2</v>
      </c>
      <c r="CM421" s="1117">
        <f t="shared" si="159"/>
        <v>3.2148578659672085E-2</v>
      </c>
      <c r="CN421" s="48"/>
      <c r="CO421" s="1131">
        <f t="shared" si="160"/>
        <v>2.4802080758551521E-2</v>
      </c>
      <c r="CP421" s="1132">
        <f t="shared" si="160"/>
        <v>2.0487419059347398E-2</v>
      </c>
      <c r="CQ421" s="1132">
        <f t="shared" si="160"/>
        <v>3.7170209679552028E-2</v>
      </c>
      <c r="CR421" s="1132">
        <f t="shared" si="160"/>
        <v>2.9954121048306158E-2</v>
      </c>
      <c r="CS421" s="1117">
        <f t="shared" si="160"/>
        <v>2.8507960683900557E-2</v>
      </c>
      <c r="CT421" s="48"/>
      <c r="CU421" s="1131">
        <f t="shared" si="161"/>
        <v>2.1608053920723735E-2</v>
      </c>
      <c r="CV421" s="1132">
        <f t="shared" si="161"/>
        <v>1.8489812348384579E-2</v>
      </c>
      <c r="CW421" s="1132">
        <f t="shared" si="161"/>
        <v>3.3766775354108561E-2</v>
      </c>
      <c r="CX421" s="1132">
        <f t="shared" si="161"/>
        <v>2.7316158796136199E-2</v>
      </c>
      <c r="CY421" s="1117">
        <f t="shared" si="161"/>
        <v>2.5670864141722372E-2</v>
      </c>
      <c r="CZ421" s="48"/>
      <c r="DD421" s="48"/>
      <c r="DE421" s="48"/>
      <c r="DF421" s="48"/>
      <c r="DG421" s="48"/>
      <c r="DH421" s="48"/>
      <c r="DI421" s="48"/>
      <c r="DJ421" s="48"/>
      <c r="DK421" s="48"/>
    </row>
    <row r="422" spans="1:115" x14ac:dyDescent="0.2">
      <c r="A422" s="1139" t="s">
        <v>469</v>
      </c>
      <c r="B422" s="48"/>
      <c r="C422" s="685"/>
      <c r="D422" s="578"/>
      <c r="E422" s="578"/>
      <c r="F422" s="582"/>
      <c r="G422" s="707"/>
      <c r="H422" s="48"/>
      <c r="I422" s="685"/>
      <c r="J422" s="578"/>
      <c r="K422" s="578"/>
      <c r="L422" s="582"/>
      <c r="M422" s="707"/>
      <c r="N422" s="48"/>
      <c r="O422" s="685"/>
      <c r="P422" s="578"/>
      <c r="Q422" s="578"/>
      <c r="R422" s="582"/>
      <c r="S422" s="707"/>
      <c r="T422" s="48"/>
      <c r="U422" s="685"/>
      <c r="V422" s="578"/>
      <c r="W422" s="578"/>
      <c r="X422" s="582"/>
      <c r="Y422" s="707"/>
      <c r="Z422" s="48"/>
      <c r="AA422" s="685"/>
      <c r="AB422" s="578"/>
      <c r="AC422" s="578"/>
      <c r="AD422" s="582"/>
      <c r="AE422" s="707"/>
      <c r="AF422" s="48"/>
      <c r="AG422" s="1131">
        <f t="shared" si="162"/>
        <v>3.0789022399468759E-3</v>
      </c>
      <c r="AH422" s="1132">
        <f t="shared" si="162"/>
        <v>3.502041140870174E-3</v>
      </c>
      <c r="AI422" s="1132">
        <f t="shared" si="162"/>
        <v>3.6048342519154853E-3</v>
      </c>
      <c r="AJ422" s="1132">
        <f t="shared" si="162"/>
        <v>3.6701513073290381E-3</v>
      </c>
      <c r="AK422" s="1117">
        <f t="shared" si="162"/>
        <v>3.4931078669579226E-3</v>
      </c>
      <c r="AL422" s="48"/>
      <c r="AM422" s="1131">
        <f t="shared" si="163"/>
        <v>6.0802914491625204E-3</v>
      </c>
      <c r="AN422" s="1132">
        <f t="shared" si="163"/>
        <v>7.7512781912621341E-3</v>
      </c>
      <c r="AO422" s="1132">
        <f t="shared" si="163"/>
        <v>9.8248449088046419E-3</v>
      </c>
      <c r="AP422" s="1132">
        <f t="shared" si="163"/>
        <v>1.1732796687945923E-2</v>
      </c>
      <c r="AQ422" s="1117">
        <f t="shared" si="163"/>
        <v>8.9472061787536691E-3</v>
      </c>
      <c r="AR422" s="48"/>
      <c r="AS422" s="1131">
        <f t="shared" si="164"/>
        <v>1.5694242292890216E-2</v>
      </c>
      <c r="AT422" s="1132">
        <f t="shared" si="164"/>
        <v>1.5957660154587019E-2</v>
      </c>
      <c r="AU422" s="1132">
        <f t="shared" si="164"/>
        <v>1.724170841212367E-2</v>
      </c>
      <c r="AV422" s="1132">
        <f t="shared" si="164"/>
        <v>1.7438898836082139E-2</v>
      </c>
      <c r="AW422" s="1117">
        <f t="shared" si="164"/>
        <v>1.6643209676219597E-2</v>
      </c>
      <c r="AX422" s="48"/>
      <c r="AY422" s="1131">
        <f t="shared" si="165"/>
        <v>2.4527882398454607E-2</v>
      </c>
      <c r="AZ422" s="1132">
        <f t="shared" si="165"/>
        <v>2.6315049178674974E-2</v>
      </c>
      <c r="BA422" s="1132">
        <f t="shared" si="165"/>
        <v>2.9128645549275287E-2</v>
      </c>
      <c r="BB422" s="1132">
        <f t="shared" si="165"/>
        <v>2.8662838062014404E-2</v>
      </c>
      <c r="BC422" s="1117">
        <f t="shared" si="165"/>
        <v>2.7272117824082415E-2</v>
      </c>
      <c r="BD422" s="48"/>
      <c r="BE422" s="1131">
        <f t="shared" si="166"/>
        <v>4.0143648988508272E-2</v>
      </c>
      <c r="BF422" s="1132">
        <f t="shared" si="166"/>
        <v>4.5696730162256727E-2</v>
      </c>
      <c r="BG422" s="1132">
        <f t="shared" si="166"/>
        <v>4.8715352585662959E-2</v>
      </c>
      <c r="BH422" s="1132">
        <f t="shared" si="166"/>
        <v>4.5978080557280594E-2</v>
      </c>
      <c r="BI422" s="1117">
        <f t="shared" si="166"/>
        <v>4.5301712606435285E-2</v>
      </c>
      <c r="BJ422" s="48"/>
      <c r="BK422" s="1131">
        <f t="shared" si="167"/>
        <v>5.8165448763104942E-2</v>
      </c>
      <c r="BL422" s="1132">
        <f t="shared" si="167"/>
        <v>6.2095955858429301E-2</v>
      </c>
      <c r="BM422" s="1132">
        <f t="shared" si="167"/>
        <v>6.4326441260295714E-2</v>
      </c>
      <c r="BN422" s="1132">
        <f t="shared" si="167"/>
        <v>6.5210949315416308E-2</v>
      </c>
      <c r="BO422" s="1117">
        <f t="shared" si="167"/>
        <v>6.2594759000458411E-2</v>
      </c>
      <c r="BP422" s="48"/>
      <c r="BQ422" s="1131">
        <f t="shared" si="168"/>
        <v>7.9971670566928138E-2</v>
      </c>
      <c r="BR422" s="1132">
        <f t="shared" si="168"/>
        <v>8.4596065720770608E-2</v>
      </c>
      <c r="BS422" s="1132">
        <f t="shared" si="168"/>
        <v>8.8846092072050922E-2</v>
      </c>
      <c r="BT422" s="1132">
        <f t="shared" si="168"/>
        <v>8.4943014494007277E-2</v>
      </c>
      <c r="BU422" s="1117">
        <f t="shared" si="168"/>
        <v>8.4763967321837316E-2</v>
      </c>
      <c r="BV422" s="48"/>
      <c r="BW422" s="1131">
        <f t="shared" si="169"/>
        <v>0.11646395006189224</v>
      </c>
      <c r="BX422" s="1132">
        <f t="shared" si="169"/>
        <v>0.10430162134935454</v>
      </c>
      <c r="BY422" s="1132">
        <f t="shared" si="169"/>
        <v>9.8002865515314147E-2</v>
      </c>
      <c r="BZ422" s="1132">
        <f t="shared" si="169"/>
        <v>9.2393087353126083E-2</v>
      </c>
      <c r="CA422" s="1117">
        <f t="shared" si="169"/>
        <v>0.10050687726449746</v>
      </c>
      <c r="CB422" s="48"/>
      <c r="CC422" s="1131">
        <f t="shared" ref="CC422" si="176">+CC430/CC$415</f>
        <v>0.12719115551118532</v>
      </c>
      <c r="CD422" s="1132">
        <f t="shared" si="171"/>
        <v>0.11744141567135208</v>
      </c>
      <c r="CE422" s="1132">
        <f t="shared" ref="CE422:CF422" si="177">+CE430/CE$415</f>
        <v>0.11617464977104208</v>
      </c>
      <c r="CF422" s="1132">
        <f t="shared" si="177"/>
        <v>0.11449079548555256</v>
      </c>
      <c r="CG422" s="1117">
        <f t="shared" si="173"/>
        <v>0.11781615305851245</v>
      </c>
      <c r="CH422" s="48"/>
      <c r="CI422" s="1131">
        <f t="shared" si="159"/>
        <v>0.13754579185438451</v>
      </c>
      <c r="CJ422" s="1132">
        <f t="shared" si="159"/>
        <v>0.12696862444490495</v>
      </c>
      <c r="CK422" s="1132">
        <f t="shared" si="159"/>
        <v>0.1268659078971337</v>
      </c>
      <c r="CL422" s="1132">
        <f t="shared" si="159"/>
        <v>0.1257026955764374</v>
      </c>
      <c r="CM422" s="1117">
        <f t="shared" si="159"/>
        <v>0.12844628935940022</v>
      </c>
      <c r="CN422" s="48"/>
      <c r="CO422" s="1131">
        <f t="shared" si="160"/>
        <v>0.13852369362867425</v>
      </c>
      <c r="CP422" s="1132">
        <f t="shared" si="160"/>
        <v>0.13125159241055873</v>
      </c>
      <c r="CQ422" s="1132">
        <f t="shared" si="160"/>
        <v>0.1335909119748214</v>
      </c>
      <c r="CR422" s="1132">
        <f t="shared" si="160"/>
        <v>0.13014812340883261</v>
      </c>
      <c r="CS422" s="1117">
        <f t="shared" si="160"/>
        <v>0.13294615110355662</v>
      </c>
      <c r="CT422" s="48"/>
      <c r="CU422" s="1131">
        <f t="shared" si="161"/>
        <v>0.14034276826032965</v>
      </c>
      <c r="CV422" s="1132">
        <f t="shared" si="161"/>
        <v>0.13673511697001245</v>
      </c>
      <c r="CW422" s="1132">
        <f t="shared" si="161"/>
        <v>0.13924754840878456</v>
      </c>
      <c r="CX422" s="1132">
        <f t="shared" si="161"/>
        <v>0.13510853442396695</v>
      </c>
      <c r="CY422" s="1117">
        <f t="shared" si="161"/>
        <v>0.13761477614926398</v>
      </c>
      <c r="CZ422" s="48"/>
      <c r="DD422" s="48"/>
      <c r="DE422" s="48"/>
      <c r="DF422" s="48"/>
      <c r="DG422" s="48"/>
      <c r="DH422" s="48"/>
      <c r="DI422" s="48"/>
      <c r="DJ422" s="48"/>
      <c r="DK422" s="48"/>
    </row>
    <row r="423" spans="1:115" x14ac:dyDescent="0.2">
      <c r="A423" s="1139" t="s">
        <v>466</v>
      </c>
      <c r="B423" s="48"/>
      <c r="C423" s="685"/>
      <c r="D423" s="578"/>
      <c r="E423" s="578"/>
      <c r="F423" s="582"/>
      <c r="G423" s="707"/>
      <c r="H423" s="48"/>
      <c r="I423" s="685"/>
      <c r="J423" s="578"/>
      <c r="K423" s="578"/>
      <c r="L423" s="582"/>
      <c r="M423" s="707"/>
      <c r="N423" s="48"/>
      <c r="O423" s="685"/>
      <c r="P423" s="578"/>
      <c r="Q423" s="578"/>
      <c r="R423" s="582"/>
      <c r="S423" s="707"/>
      <c r="T423" s="48"/>
      <c r="U423" s="685"/>
      <c r="V423" s="578"/>
      <c r="W423" s="578"/>
      <c r="X423" s="582"/>
      <c r="Y423" s="707"/>
      <c r="Z423" s="48"/>
      <c r="AA423" s="685"/>
      <c r="AB423" s="578"/>
      <c r="AC423" s="578"/>
      <c r="AD423" s="582"/>
      <c r="AE423" s="707"/>
      <c r="AF423" s="48"/>
      <c r="AG423" s="1131">
        <f t="shared" si="162"/>
        <v>0</v>
      </c>
      <c r="AH423" s="1132">
        <f t="shared" si="162"/>
        <v>0</v>
      </c>
      <c r="AI423" s="1132">
        <f t="shared" si="162"/>
        <v>0</v>
      </c>
      <c r="AJ423" s="1132">
        <f t="shared" si="162"/>
        <v>0</v>
      </c>
      <c r="AK423" s="1117">
        <f t="shared" si="162"/>
        <v>0</v>
      </c>
      <c r="AL423" s="48"/>
      <c r="AM423" s="1131">
        <f t="shared" si="163"/>
        <v>0</v>
      </c>
      <c r="AN423" s="1132">
        <f t="shared" si="163"/>
        <v>0</v>
      </c>
      <c r="AO423" s="1132">
        <f t="shared" si="163"/>
        <v>0</v>
      </c>
      <c r="AP423" s="1132">
        <f t="shared" si="163"/>
        <v>0</v>
      </c>
      <c r="AQ423" s="1117">
        <f t="shared" si="163"/>
        <v>0</v>
      </c>
      <c r="AR423" s="48"/>
      <c r="AS423" s="1131">
        <f t="shared" si="164"/>
        <v>0</v>
      </c>
      <c r="AT423" s="1132">
        <f t="shared" si="164"/>
        <v>0</v>
      </c>
      <c r="AU423" s="1132">
        <f t="shared" si="164"/>
        <v>0</v>
      </c>
      <c r="AV423" s="1132">
        <f t="shared" si="164"/>
        <v>0</v>
      </c>
      <c r="AW423" s="1117">
        <f t="shared" si="164"/>
        <v>0</v>
      </c>
      <c r="AX423" s="48"/>
      <c r="AY423" s="1131">
        <f t="shared" si="165"/>
        <v>0</v>
      </c>
      <c r="AZ423" s="1132">
        <f t="shared" si="165"/>
        <v>0</v>
      </c>
      <c r="BA423" s="1132">
        <f t="shared" si="165"/>
        <v>0</v>
      </c>
      <c r="BB423" s="1132">
        <f t="shared" si="165"/>
        <v>0</v>
      </c>
      <c r="BC423" s="1117">
        <f t="shared" si="165"/>
        <v>0</v>
      </c>
      <c r="BD423" s="48"/>
      <c r="BE423" s="1131">
        <f t="shared" si="166"/>
        <v>0</v>
      </c>
      <c r="BF423" s="1132">
        <f t="shared" si="166"/>
        <v>0</v>
      </c>
      <c r="BG423" s="1132">
        <f t="shared" si="166"/>
        <v>0</v>
      </c>
      <c r="BH423" s="1132">
        <f t="shared" si="166"/>
        <v>0</v>
      </c>
      <c r="BI423" s="1117">
        <f t="shared" si="166"/>
        <v>0</v>
      </c>
      <c r="BJ423" s="48"/>
      <c r="BK423" s="1131">
        <f t="shared" si="167"/>
        <v>0</v>
      </c>
      <c r="BL423" s="1132">
        <f t="shared" si="167"/>
        <v>0</v>
      </c>
      <c r="BM423" s="1132">
        <f t="shared" si="167"/>
        <v>0</v>
      </c>
      <c r="BN423" s="1132">
        <f t="shared" si="167"/>
        <v>0</v>
      </c>
      <c r="BO423" s="1117">
        <f t="shared" si="167"/>
        <v>0</v>
      </c>
      <c r="BP423" s="48"/>
      <c r="BQ423" s="1131">
        <f t="shared" si="168"/>
        <v>0</v>
      </c>
      <c r="BR423" s="1132">
        <f t="shared" si="168"/>
        <v>0</v>
      </c>
      <c r="BS423" s="1132">
        <f t="shared" si="168"/>
        <v>0</v>
      </c>
      <c r="BT423" s="1132">
        <f t="shared" si="168"/>
        <v>0</v>
      </c>
      <c r="BU423" s="1117">
        <f t="shared" si="168"/>
        <v>0</v>
      </c>
      <c r="BV423" s="48"/>
      <c r="BW423" s="1131">
        <f t="shared" si="169"/>
        <v>0</v>
      </c>
      <c r="BX423" s="1132">
        <f t="shared" si="169"/>
        <v>0</v>
      </c>
      <c r="BY423" s="1132">
        <f t="shared" si="169"/>
        <v>0</v>
      </c>
      <c r="BZ423" s="1132">
        <f t="shared" si="169"/>
        <v>0</v>
      </c>
      <c r="CA423" s="1117">
        <f t="shared" si="169"/>
        <v>0</v>
      </c>
      <c r="CB423" s="48"/>
      <c r="CC423" s="1131">
        <f t="shared" ref="CC423" si="178">+CC431/CC$415</f>
        <v>0</v>
      </c>
      <c r="CD423" s="1132">
        <f t="shared" si="171"/>
        <v>0</v>
      </c>
      <c r="CE423" s="1132">
        <f t="shared" ref="CE423:CF423" si="179">+CE431/CE$415</f>
        <v>0</v>
      </c>
      <c r="CF423" s="1132">
        <f t="shared" si="179"/>
        <v>0</v>
      </c>
      <c r="CG423" s="1117">
        <f t="shared" si="173"/>
        <v>0</v>
      </c>
      <c r="CH423" s="48"/>
      <c r="CI423" s="1131">
        <f t="shared" si="159"/>
        <v>1.4120439726016286E-2</v>
      </c>
      <c r="CJ423" s="1132">
        <f t="shared" si="159"/>
        <v>1.2281612386297706E-2</v>
      </c>
      <c r="CK423" s="1132">
        <f t="shared" si="159"/>
        <v>1.343750630695657E-2</v>
      </c>
      <c r="CL423" s="1132">
        <f t="shared" si="159"/>
        <v>1.2655945671503519E-2</v>
      </c>
      <c r="CM423" s="1117">
        <f t="shared" si="159"/>
        <v>1.3030507505429573E-2</v>
      </c>
      <c r="CN423" s="48"/>
      <c r="CO423" s="1131">
        <f t="shared" si="160"/>
        <v>1.2778720805639514E-2</v>
      </c>
      <c r="CP423" s="1132">
        <f t="shared" si="160"/>
        <v>1.2360011485555499E-2</v>
      </c>
      <c r="CQ423" s="1132">
        <f t="shared" si="160"/>
        <v>1.345943739125988E-2</v>
      </c>
      <c r="CR423" s="1132">
        <f t="shared" si="160"/>
        <v>1.2956477632609287E-2</v>
      </c>
      <c r="CS423" s="1117">
        <f t="shared" si="160"/>
        <v>1.2906687976489901E-2</v>
      </c>
      <c r="CT423" s="48"/>
      <c r="CU423" s="1131">
        <f t="shared" si="161"/>
        <v>1.2418468201297774E-2</v>
      </c>
      <c r="CV423" s="1132">
        <f t="shared" si="161"/>
        <v>1.2437817394974161E-2</v>
      </c>
      <c r="CW423" s="1132">
        <f t="shared" si="161"/>
        <v>1.3631884313434352E-2</v>
      </c>
      <c r="CX423" s="1132">
        <f t="shared" si="161"/>
        <v>1.3165597097124464E-2</v>
      </c>
      <c r="CY423" s="1117">
        <f t="shared" si="161"/>
        <v>1.2956918044019135E-2</v>
      </c>
      <c r="CZ423" s="48"/>
      <c r="DD423" s="48"/>
      <c r="DE423" s="48"/>
      <c r="DF423" s="48"/>
      <c r="DG423" s="48"/>
      <c r="DH423" s="48"/>
      <c r="DI423" s="48"/>
      <c r="DJ423" s="48"/>
      <c r="DK423" s="48"/>
    </row>
    <row r="424" spans="1:115" x14ac:dyDescent="0.2">
      <c r="A424" s="1139" t="s">
        <v>467</v>
      </c>
      <c r="B424" s="48"/>
      <c r="C424" s="685"/>
      <c r="D424" s="578"/>
      <c r="E424" s="578"/>
      <c r="F424" s="582"/>
      <c r="G424" s="707"/>
      <c r="H424" s="48"/>
      <c r="I424" s="685"/>
      <c r="J424" s="578"/>
      <c r="K424" s="578"/>
      <c r="L424" s="582"/>
      <c r="M424" s="707"/>
      <c r="N424" s="48"/>
      <c r="O424" s="685"/>
      <c r="P424" s="578"/>
      <c r="Q424" s="578"/>
      <c r="R424" s="582"/>
      <c r="S424" s="707"/>
      <c r="T424" s="48"/>
      <c r="U424" s="685"/>
      <c r="V424" s="578"/>
      <c r="W424" s="578"/>
      <c r="X424" s="582"/>
      <c r="Y424" s="707"/>
      <c r="Z424" s="48"/>
      <c r="AA424" s="685"/>
      <c r="AB424" s="578"/>
      <c r="AC424" s="578"/>
      <c r="AD424" s="582"/>
      <c r="AE424" s="707"/>
      <c r="AF424" s="48"/>
      <c r="AG424" s="1131">
        <f t="shared" si="162"/>
        <v>0</v>
      </c>
      <c r="AH424" s="1132">
        <f t="shared" si="162"/>
        <v>0</v>
      </c>
      <c r="AI424" s="1132">
        <f t="shared" si="162"/>
        <v>0</v>
      </c>
      <c r="AJ424" s="1132">
        <f t="shared" si="162"/>
        <v>0</v>
      </c>
      <c r="AK424" s="1117">
        <f t="shared" si="162"/>
        <v>0</v>
      </c>
      <c r="AL424" s="48"/>
      <c r="AM424" s="1131">
        <f t="shared" si="163"/>
        <v>0</v>
      </c>
      <c r="AN424" s="1132">
        <f t="shared" si="163"/>
        <v>0</v>
      </c>
      <c r="AO424" s="1132">
        <f t="shared" si="163"/>
        <v>0</v>
      </c>
      <c r="AP424" s="1132">
        <f t="shared" si="163"/>
        <v>0</v>
      </c>
      <c r="AQ424" s="1117">
        <f t="shared" si="163"/>
        <v>0</v>
      </c>
      <c r="AR424" s="48"/>
      <c r="AS424" s="1131">
        <f t="shared" si="164"/>
        <v>0</v>
      </c>
      <c r="AT424" s="1132">
        <f t="shared" si="164"/>
        <v>0</v>
      </c>
      <c r="AU424" s="1132">
        <f t="shared" si="164"/>
        <v>0</v>
      </c>
      <c r="AV424" s="1132">
        <f t="shared" si="164"/>
        <v>0</v>
      </c>
      <c r="AW424" s="1117">
        <f t="shared" si="164"/>
        <v>0</v>
      </c>
      <c r="AX424" s="48"/>
      <c r="AY424" s="1131">
        <f t="shared" si="165"/>
        <v>3.8326581608084741E-2</v>
      </c>
      <c r="AZ424" s="1132">
        <f t="shared" si="165"/>
        <v>3.5615343782533337E-2</v>
      </c>
      <c r="BA424" s="1132">
        <f t="shared" si="165"/>
        <v>3.6647302594674643E-2</v>
      </c>
      <c r="BB424" s="1132">
        <f t="shared" si="165"/>
        <v>2.9907902723304767E-2</v>
      </c>
      <c r="BC424" s="1117">
        <f t="shared" si="165"/>
        <v>3.4770393878765217E-2</v>
      </c>
      <c r="BD424" s="48"/>
      <c r="BE424" s="1131">
        <f t="shared" si="166"/>
        <v>-2.1378379707002477E-2</v>
      </c>
      <c r="BF424" s="1132">
        <f t="shared" si="166"/>
        <v>-1.5491336487899089E-2</v>
      </c>
      <c r="BG424" s="1132">
        <f t="shared" si="166"/>
        <v>-1.0132581696563501E-2</v>
      </c>
      <c r="BH424" s="1132">
        <f t="shared" si="166"/>
        <v>6.1477550297652916E-4</v>
      </c>
      <c r="BI424" s="1117">
        <f t="shared" si="166"/>
        <v>-1.0655776336532728E-2</v>
      </c>
      <c r="BJ424" s="48"/>
      <c r="BK424" s="1131">
        <f t="shared" si="167"/>
        <v>-3.2824956392598179E-2</v>
      </c>
      <c r="BL424" s="1132">
        <f t="shared" si="167"/>
        <v>-2.9177738249132668E-2</v>
      </c>
      <c r="BM424" s="1132">
        <f t="shared" si="167"/>
        <v>-2.7010124369557752E-2</v>
      </c>
      <c r="BN424" s="1132">
        <f t="shared" si="167"/>
        <v>-4.4921315156887373E-3</v>
      </c>
      <c r="BO424" s="1117">
        <f t="shared" si="167"/>
        <v>-2.2951294924668339E-2</v>
      </c>
      <c r="BP424" s="48"/>
      <c r="BQ424" s="1131">
        <f t="shared" si="168"/>
        <v>-5.8763189737841844E-2</v>
      </c>
      <c r="BR424" s="1132">
        <f t="shared" si="168"/>
        <v>-2.9494096761821294E-2</v>
      </c>
      <c r="BS424" s="1132">
        <f t="shared" si="168"/>
        <v>-3.3569282155404598E-2</v>
      </c>
      <c r="BT424" s="1132">
        <f t="shared" si="168"/>
        <v>3.0623092004963682E-3</v>
      </c>
      <c r="BU424" s="1117">
        <f t="shared" si="168"/>
        <v>-2.7187623333756229E-2</v>
      </c>
      <c r="BV424" s="48"/>
      <c r="BW424" s="1131">
        <f t="shared" si="169"/>
        <v>3.944247609102695E-3</v>
      </c>
      <c r="BX424" s="1132">
        <f t="shared" si="169"/>
        <v>2.8478656860491926E-2</v>
      </c>
      <c r="BY424" s="1132">
        <f t="shared" si="169"/>
        <v>3.1817912362055979E-2</v>
      </c>
      <c r="BZ424" s="1132">
        <f t="shared" si="169"/>
        <v>6.5698772355919893E-2</v>
      </c>
      <c r="CA424" s="1117">
        <f t="shared" si="169"/>
        <v>3.822209534479442E-2</v>
      </c>
      <c r="CB424" s="48"/>
      <c r="CC424" s="1131">
        <f t="shared" ref="CC424" si="180">+CC432/CC$415</f>
        <v>0.10449518546114726</v>
      </c>
      <c r="CD424" s="1132">
        <f t="shared" si="171"/>
        <v>9.3929898468469622E-2</v>
      </c>
      <c r="CE424" s="1132">
        <f t="shared" ref="CE424:CF424" si="181">+CE432/CE$415</f>
        <v>9.3163922609603725E-2</v>
      </c>
      <c r="CF424" s="1132">
        <f t="shared" si="181"/>
        <v>0.11425087825647988</v>
      </c>
      <c r="CG424" s="1117">
        <f t="shared" si="173"/>
        <v>0.10220463935563222</v>
      </c>
      <c r="CH424" s="48"/>
      <c r="CI424" s="1131">
        <f t="shared" si="159"/>
        <v>0.13265434998546277</v>
      </c>
      <c r="CJ424" s="1132">
        <f t="shared" si="159"/>
        <v>0.11833458617049079</v>
      </c>
      <c r="CK424" s="1132">
        <f t="shared" si="159"/>
        <v>0.11599704836146621</v>
      </c>
      <c r="CL424" s="1132">
        <f t="shared" si="159"/>
        <v>0.13986512702061196</v>
      </c>
      <c r="CM424" s="1117">
        <f t="shared" si="159"/>
        <v>0.12714306562381683</v>
      </c>
      <c r="CN424" s="48"/>
      <c r="CO424" s="1131">
        <f t="shared" si="160"/>
        <v>0.1591262030320866</v>
      </c>
      <c r="CP424" s="1132">
        <f t="shared" si="160"/>
        <v>0.14531583720612343</v>
      </c>
      <c r="CQ424" s="1132">
        <f t="shared" si="160"/>
        <v>0.14537961889705925</v>
      </c>
      <c r="CR424" s="1132">
        <f t="shared" si="160"/>
        <v>0.16630838007552273</v>
      </c>
      <c r="CS424" s="1117">
        <f t="shared" si="160"/>
        <v>0.15449891136795557</v>
      </c>
      <c r="CT424" s="48"/>
      <c r="CU424" s="1131">
        <f t="shared" si="161"/>
        <v>0.17742269199520272</v>
      </c>
      <c r="CV424" s="1132">
        <f t="shared" si="161"/>
        <v>0.16637597068321694</v>
      </c>
      <c r="CW424" s="1132">
        <f t="shared" si="161"/>
        <v>0.16660371428399084</v>
      </c>
      <c r="CX424" s="1132">
        <f t="shared" si="161"/>
        <v>0.18713377245103829</v>
      </c>
      <c r="CY424" s="1117">
        <f t="shared" si="161"/>
        <v>0.17497623434305948</v>
      </c>
      <c r="CZ424" s="48"/>
      <c r="DD424" s="48"/>
      <c r="DE424" s="48"/>
      <c r="DF424" s="48"/>
      <c r="DG424" s="48"/>
      <c r="DH424" s="48"/>
      <c r="DI424" s="48"/>
      <c r="DJ424" s="48"/>
      <c r="DK424" s="48"/>
    </row>
    <row r="425" spans="1:115" x14ac:dyDescent="0.2">
      <c r="A425" s="1139" t="s">
        <v>468</v>
      </c>
      <c r="B425" s="48"/>
      <c r="C425" s="685"/>
      <c r="D425" s="578"/>
      <c r="E425" s="578"/>
      <c r="F425" s="582"/>
      <c r="G425" s="707"/>
      <c r="H425" s="48"/>
      <c r="I425" s="685"/>
      <c r="J425" s="578"/>
      <c r="K425" s="578"/>
      <c r="L425" s="582"/>
      <c r="M425" s="707"/>
      <c r="N425" s="48"/>
      <c r="O425" s="685"/>
      <c r="P425" s="578"/>
      <c r="Q425" s="578"/>
      <c r="R425" s="582"/>
      <c r="S425" s="707"/>
      <c r="T425" s="48"/>
      <c r="U425" s="685"/>
      <c r="V425" s="578"/>
      <c r="W425" s="578"/>
      <c r="X425" s="582"/>
      <c r="Y425" s="707"/>
      <c r="Z425" s="48"/>
      <c r="AA425" s="685"/>
      <c r="AB425" s="578"/>
      <c r="AC425" s="578"/>
      <c r="AD425" s="582"/>
      <c r="AE425" s="707"/>
      <c r="AF425" s="48"/>
      <c r="AG425" s="1131">
        <f t="shared" si="162"/>
        <v>0</v>
      </c>
      <c r="AH425" s="1132">
        <f t="shared" si="162"/>
        <v>0</v>
      </c>
      <c r="AI425" s="1132">
        <f t="shared" si="162"/>
        <v>0</v>
      </c>
      <c r="AJ425" s="1132">
        <f t="shared" si="162"/>
        <v>0</v>
      </c>
      <c r="AK425" s="1117">
        <f t="shared" si="162"/>
        <v>0</v>
      </c>
      <c r="AL425" s="48"/>
      <c r="AM425" s="1131">
        <f t="shared" si="163"/>
        <v>0</v>
      </c>
      <c r="AN425" s="1132">
        <f t="shared" si="163"/>
        <v>0</v>
      </c>
      <c r="AO425" s="1132">
        <f t="shared" si="163"/>
        <v>0</v>
      </c>
      <c r="AP425" s="1132">
        <f t="shared" si="163"/>
        <v>0</v>
      </c>
      <c r="AQ425" s="1117">
        <f t="shared" si="163"/>
        <v>0</v>
      </c>
      <c r="AR425" s="48"/>
      <c r="AS425" s="1131">
        <f t="shared" si="164"/>
        <v>0</v>
      </c>
      <c r="AT425" s="1132">
        <f t="shared" si="164"/>
        <v>0</v>
      </c>
      <c r="AU425" s="1132">
        <f t="shared" si="164"/>
        <v>0</v>
      </c>
      <c r="AV425" s="1132">
        <f t="shared" si="164"/>
        <v>0</v>
      </c>
      <c r="AW425" s="1117">
        <f t="shared" si="164"/>
        <v>0</v>
      </c>
      <c r="AX425" s="48"/>
      <c r="AY425" s="1131">
        <f t="shared" si="165"/>
        <v>6.813197228371942E-3</v>
      </c>
      <c r="AZ425" s="1132">
        <f t="shared" si="165"/>
        <v>6.4206322387797971E-3</v>
      </c>
      <c r="BA425" s="1132">
        <f t="shared" si="165"/>
        <v>6.3811492051117046E-3</v>
      </c>
      <c r="BB425" s="1132">
        <f t="shared" si="165"/>
        <v>3.8232728579200145E-3</v>
      </c>
      <c r="BC425" s="1117">
        <f t="shared" si="165"/>
        <v>5.7270972782450637E-3</v>
      </c>
      <c r="BD425" s="48"/>
      <c r="BE425" s="1131">
        <f t="shared" si="166"/>
        <v>8.8854716572922612E-3</v>
      </c>
      <c r="BF425" s="1132">
        <f t="shared" si="166"/>
        <v>8.9576502906819119E-3</v>
      </c>
      <c r="BG425" s="1132">
        <f t="shared" si="166"/>
        <v>8.6299909901090873E-3</v>
      </c>
      <c r="BH425" s="1132">
        <f t="shared" si="166"/>
        <v>8.8354027828434073E-3</v>
      </c>
      <c r="BI425" s="1117">
        <f t="shared" si="166"/>
        <v>8.8244686016044054E-3</v>
      </c>
      <c r="BJ425" s="48"/>
      <c r="BK425" s="1131">
        <f t="shared" si="167"/>
        <v>1.5116240589990605E-2</v>
      </c>
      <c r="BL425" s="1132">
        <f t="shared" si="167"/>
        <v>1.4621054430715454E-2</v>
      </c>
      <c r="BM425" s="1132">
        <f t="shared" si="167"/>
        <v>1.4050307022574727E-2</v>
      </c>
      <c r="BN425" s="1132">
        <f t="shared" si="167"/>
        <v>1.4892441529273713E-2</v>
      </c>
      <c r="BO425" s="1117">
        <f t="shared" si="167"/>
        <v>1.4657816898822973E-2</v>
      </c>
      <c r="BP425" s="48"/>
      <c r="BQ425" s="1131">
        <f t="shared" si="168"/>
        <v>2.0613360119193926E-2</v>
      </c>
      <c r="BR425" s="1132">
        <f t="shared" si="168"/>
        <v>2.5712713661151156E-2</v>
      </c>
      <c r="BS425" s="1132">
        <f t="shared" si="168"/>
        <v>2.6081878245526758E-2</v>
      </c>
      <c r="BT425" s="1132">
        <f t="shared" si="168"/>
        <v>2.28478200129697E-2</v>
      </c>
      <c r="BU425" s="1117">
        <f t="shared" si="168"/>
        <v>2.3882965919538906E-2</v>
      </c>
      <c r="BV425" s="48"/>
      <c r="BW425" s="1131">
        <f t="shared" si="169"/>
        <v>2.8646255248412671E-2</v>
      </c>
      <c r="BX425" s="1132">
        <f t="shared" si="169"/>
        <v>2.7794447972055464E-2</v>
      </c>
      <c r="BY425" s="1132">
        <f t="shared" si="169"/>
        <v>2.7808377809115097E-2</v>
      </c>
      <c r="BZ425" s="1132">
        <f t="shared" si="169"/>
        <v>2.6563381527250293E-2</v>
      </c>
      <c r="CA425" s="1117">
        <f t="shared" si="169"/>
        <v>2.751237265565815E-2</v>
      </c>
      <c r="CB425" s="48"/>
      <c r="CC425" s="1131">
        <f t="shared" ref="CC425" si="182">+CC433/CC$415</f>
        <v>3.0751727022071833E-2</v>
      </c>
      <c r="CD425" s="1132">
        <f t="shared" si="171"/>
        <v>2.9538905977474484E-2</v>
      </c>
      <c r="CE425" s="1132">
        <f t="shared" ref="CE425:CF425" si="183">+CE433/CE$415</f>
        <v>2.5419343975534192E-2</v>
      </c>
      <c r="CF425" s="1132">
        <f t="shared" si="183"/>
        <v>2.421391721898453E-2</v>
      </c>
      <c r="CG425" s="1117">
        <f t="shared" si="173"/>
        <v>2.6916344876106189E-2</v>
      </c>
      <c r="CH425" s="48"/>
      <c r="CI425" s="1131">
        <f t="shared" si="159"/>
        <v>2.6993525984700069E-2</v>
      </c>
      <c r="CJ425" s="1132">
        <f t="shared" si="159"/>
        <v>2.714017584388231E-2</v>
      </c>
      <c r="CK425" s="1132">
        <f t="shared" si="159"/>
        <v>2.7198470753031438E-2</v>
      </c>
      <c r="CL425" s="1132">
        <f t="shared" si="159"/>
        <v>2.6868418405653679E-2</v>
      </c>
      <c r="CM425" s="1117">
        <f t="shared" si="159"/>
        <v>2.704258054861633E-2</v>
      </c>
      <c r="CN425" s="48"/>
      <c r="CO425" s="1131">
        <f t="shared" si="160"/>
        <v>4.2130191993577218E-2</v>
      </c>
      <c r="CP425" s="1132">
        <f t="shared" si="160"/>
        <v>3.4697867476483298E-2</v>
      </c>
      <c r="CQ425" s="1132">
        <f t="shared" si="160"/>
        <v>3.5061142296225131E-2</v>
      </c>
      <c r="CR425" s="1132">
        <f t="shared" si="160"/>
        <v>2.7479992474833032E-2</v>
      </c>
      <c r="CS425" s="1117">
        <f t="shared" si="160"/>
        <v>3.4042838185255511E-2</v>
      </c>
      <c r="CT425" s="48"/>
      <c r="CU425" s="1131">
        <f t="shared" si="161"/>
        <v>4.9508030865742632E-2</v>
      </c>
      <c r="CV425" s="1132">
        <f t="shared" si="161"/>
        <v>4.5355237562618334E-2</v>
      </c>
      <c r="CW425" s="1132">
        <f t="shared" si="161"/>
        <v>4.5649641149036371E-2</v>
      </c>
      <c r="CX425" s="1132">
        <f t="shared" si="161"/>
        <v>3.9005857012461918E-2</v>
      </c>
      <c r="CY425" s="1117">
        <f t="shared" si="161"/>
        <v>4.4353191255525365E-2</v>
      </c>
      <c r="CZ425" s="48"/>
      <c r="DD425" s="48"/>
      <c r="DE425" s="48"/>
      <c r="DF425" s="48"/>
      <c r="DG425" s="48"/>
      <c r="DH425" s="48"/>
      <c r="DI425" s="48"/>
      <c r="DJ425" s="48"/>
      <c r="DK425" s="48"/>
    </row>
    <row r="426" spans="1:115" x14ac:dyDescent="0.2">
      <c r="A426" s="205" t="s">
        <v>499</v>
      </c>
      <c r="B426" s="48"/>
      <c r="C426" s="685"/>
      <c r="D426" s="578"/>
      <c r="E426" s="578"/>
      <c r="F426" s="582"/>
      <c r="G426" s="707"/>
      <c r="H426" s="48"/>
      <c r="I426" s="685"/>
      <c r="J426" s="578"/>
      <c r="K426" s="578"/>
      <c r="L426" s="582"/>
      <c r="M426" s="707"/>
      <c r="N426" s="48"/>
      <c r="O426" s="685"/>
      <c r="P426" s="578"/>
      <c r="Q426" s="578"/>
      <c r="R426" s="582"/>
      <c r="S426" s="707"/>
      <c r="T426" s="48"/>
      <c r="U426" s="685"/>
      <c r="V426" s="578"/>
      <c r="W426" s="578"/>
      <c r="X426" s="582"/>
      <c r="Y426" s="707"/>
      <c r="Z426" s="48"/>
      <c r="AA426" s="685"/>
      <c r="AB426" s="578"/>
      <c r="AC426" s="578"/>
      <c r="AD426" s="582"/>
      <c r="AE426" s="707"/>
      <c r="AF426" s="48"/>
      <c r="AG426" s="656">
        <f>+AG51</f>
        <v>21.766012500000002</v>
      </c>
      <c r="AH426" s="654">
        <f>+AH51</f>
        <v>25.68814999999999</v>
      </c>
      <c r="AI426" s="654">
        <f>+AI51</f>
        <v>28.356037499999999</v>
      </c>
      <c r="AJ426" s="654">
        <f>+AJ51</f>
        <v>30.451536289243396</v>
      </c>
      <c r="AK426" s="655">
        <f>+SUM(AG426:AJ426)</f>
        <v>106.26173628924339</v>
      </c>
      <c r="AL426" s="48"/>
      <c r="AM426" s="656">
        <f>+AM51</f>
        <v>26.946559321779073</v>
      </c>
      <c r="AN426" s="654">
        <f>+AN51</f>
        <v>26.461326293074311</v>
      </c>
      <c r="AO426" s="654">
        <f>+AO51</f>
        <v>25.142114688763076</v>
      </c>
      <c r="AP426" s="654">
        <f>+AP51</f>
        <v>23.692344489795929</v>
      </c>
      <c r="AQ426" s="655">
        <f>+SUM(AM426:AP426)</f>
        <v>102.24234479341239</v>
      </c>
      <c r="AR426" s="48"/>
      <c r="AS426" s="656">
        <f>+AS51</f>
        <v>20.910502121289934</v>
      </c>
      <c r="AT426" s="654">
        <f>+AT51</f>
        <v>24.737594391120954</v>
      </c>
      <c r="AU426" s="654">
        <f>+AU51</f>
        <v>19.602346565488009</v>
      </c>
      <c r="AV426" s="654">
        <f>+AV51</f>
        <v>24.452317454066712</v>
      </c>
      <c r="AW426" s="655">
        <f>+SUM(AS426:AV426)</f>
        <v>89.702760531965609</v>
      </c>
      <c r="AX426" s="48"/>
      <c r="AY426" s="656">
        <f>+AY51</f>
        <v>21.017711214326614</v>
      </c>
      <c r="AZ426" s="654">
        <f>+AZ51</f>
        <v>20.822448859890965</v>
      </c>
      <c r="BA426" s="654">
        <f>+BA51</f>
        <v>19.99987511201622</v>
      </c>
      <c r="BB426" s="654">
        <f>+BB51</f>
        <v>18.049363371994051</v>
      </c>
      <c r="BC426" s="655">
        <f>+SUM(AY426:BB426)</f>
        <v>79.889398558227853</v>
      </c>
      <c r="BD426" s="48"/>
      <c r="BE426" s="656">
        <f>+BE51</f>
        <v>20.138183590284729</v>
      </c>
      <c r="BF426" s="654">
        <f>+BF51</f>
        <v>18.324821594419614</v>
      </c>
      <c r="BG426" s="654">
        <f>+BG51</f>
        <v>22.603685043207399</v>
      </c>
      <c r="BH426" s="654">
        <f>+BH51</f>
        <v>23.730786625408012</v>
      </c>
      <c r="BI426" s="655">
        <f>+SUM(BE426:BH426)</f>
        <v>84.79747685331975</v>
      </c>
      <c r="BJ426" s="48"/>
      <c r="BK426" s="656">
        <f>+BK51</f>
        <v>13.801287709120739</v>
      </c>
      <c r="BL426" s="654">
        <f>+BL51</f>
        <v>12.384394531079757</v>
      </c>
      <c r="BM426" s="654">
        <f>+BM51</f>
        <v>14.458747553791461</v>
      </c>
      <c r="BN426" s="654">
        <f>+BN51</f>
        <v>14.972731745576652</v>
      </c>
      <c r="BO426" s="655">
        <f>+SUM(BK426:BN426)</f>
        <v>55.617161539568613</v>
      </c>
      <c r="BP426" s="48"/>
      <c r="BQ426" s="656">
        <f>+BQ51</f>
        <v>9.4675496842379605</v>
      </c>
      <c r="BR426" s="654">
        <f>+BR51</f>
        <v>9.3954743370697678</v>
      </c>
      <c r="BS426" s="654">
        <f>+BS51</f>
        <v>9.2306438178874473</v>
      </c>
      <c r="BT426" s="654">
        <f>+BT51</f>
        <v>11.066580456247532</v>
      </c>
      <c r="BU426" s="655">
        <f>+SUM(BQ426:BT426)</f>
        <v>39.160248295442713</v>
      </c>
      <c r="BV426" s="48"/>
      <c r="BW426" s="656">
        <f>+BW51</f>
        <v>5.462733657794443</v>
      </c>
      <c r="BX426" s="654">
        <f>+BX51</f>
        <v>6.5083302607711691</v>
      </c>
      <c r="BY426" s="654">
        <f>+BY51</f>
        <v>7.4514457755951415</v>
      </c>
      <c r="BZ426" s="654">
        <f>+BZ51</f>
        <v>10.706391933229582</v>
      </c>
      <c r="CA426" s="655">
        <f>+SUM(BW426:BZ426)</f>
        <v>30.128901627390334</v>
      </c>
      <c r="CB426" s="48"/>
      <c r="CC426" s="656">
        <f>+CC51</f>
        <v>3.6282706244413427</v>
      </c>
      <c r="CD426" s="654">
        <f>+CD51</f>
        <v>5.9671919047834523</v>
      </c>
      <c r="CE426" s="654">
        <f>+CE51</f>
        <v>7.413597221772612</v>
      </c>
      <c r="CF426" s="654">
        <f>+CF51</f>
        <v>9.074820402676675</v>
      </c>
      <c r="CG426" s="655">
        <f>+SUM(CC426:CF426)</f>
        <v>26.083880153674084</v>
      </c>
      <c r="CH426" s="48"/>
      <c r="CI426" s="656">
        <f>+CI51</f>
        <v>3.2011926886790825</v>
      </c>
      <c r="CJ426" s="654">
        <f>+CJ51</f>
        <v>4.1367666007669763</v>
      </c>
      <c r="CK426" s="654">
        <f>+CK51</f>
        <v>5.0600906877727834</v>
      </c>
      <c r="CL426" s="654">
        <f>+CL51</f>
        <v>5.8453703575837865</v>
      </c>
      <c r="CM426" s="655">
        <f>+SUM(CI426:CL426)</f>
        <v>18.243420334802629</v>
      </c>
      <c r="CN426" s="48"/>
      <c r="CO426" s="656">
        <f>+CO51</f>
        <v>3.0298437787473063</v>
      </c>
      <c r="CP426" s="654">
        <f>+CP51</f>
        <v>3.6441739703513241</v>
      </c>
      <c r="CQ426" s="654">
        <f>+CQ51</f>
        <v>4.570802901312379</v>
      </c>
      <c r="CR426" s="654">
        <f>+CR51</f>
        <v>5.1115481531527189</v>
      </c>
      <c r="CS426" s="655">
        <f>+SUM(CO426:CR426)</f>
        <v>16.356368803563729</v>
      </c>
      <c r="CT426" s="48"/>
      <c r="CU426" s="656">
        <f>+CU51</f>
        <v>2.7585914622468026</v>
      </c>
      <c r="CV426" s="654">
        <f>+CV51</f>
        <v>3.2955402864321108</v>
      </c>
      <c r="CW426" s="654">
        <f>+CW51</f>
        <v>4.1118568783466047</v>
      </c>
      <c r="CX426" s="654">
        <f>+CX51</f>
        <v>4.5729941062674779</v>
      </c>
      <c r="CY426" s="655">
        <f>+SUM(CU426:CX426)</f>
        <v>14.738982733292996</v>
      </c>
      <c r="CZ426" s="48"/>
      <c r="DD426" s="48"/>
      <c r="DE426" s="48"/>
      <c r="DF426" s="48"/>
      <c r="DG426" s="48"/>
      <c r="DH426" s="48"/>
      <c r="DI426" s="48"/>
      <c r="DJ426" s="48"/>
      <c r="DK426" s="48"/>
    </row>
    <row r="427" spans="1:115" x14ac:dyDescent="0.2">
      <c r="A427" s="2128" t="s">
        <v>727</v>
      </c>
      <c r="B427" s="48"/>
      <c r="C427" s="2163"/>
      <c r="D427" s="578"/>
      <c r="E427" s="578"/>
      <c r="F427" s="582"/>
      <c r="G427" s="2134"/>
      <c r="H427" s="48"/>
      <c r="I427" s="2163"/>
      <c r="J427" s="578"/>
      <c r="K427" s="578"/>
      <c r="L427" s="582"/>
      <c r="M427" s="2134"/>
      <c r="N427" s="48"/>
      <c r="O427" s="2163"/>
      <c r="P427" s="578"/>
      <c r="Q427" s="578"/>
      <c r="R427" s="582"/>
      <c r="S427" s="2134"/>
      <c r="T427" s="48"/>
      <c r="U427" s="2163"/>
      <c r="V427" s="578"/>
      <c r="W427" s="578"/>
      <c r="X427" s="582"/>
      <c r="Y427" s="2134"/>
      <c r="Z427" s="48"/>
      <c r="AA427" s="2163"/>
      <c r="AB427" s="578"/>
      <c r="AC427" s="578"/>
      <c r="AD427" s="582"/>
      <c r="AE427" s="2134"/>
      <c r="AF427" s="48"/>
      <c r="AG427" s="2161"/>
      <c r="AH427" s="654"/>
      <c r="AI427" s="654"/>
      <c r="AJ427" s="654"/>
      <c r="AK427" s="2162"/>
      <c r="AL427" s="48"/>
      <c r="AM427" s="2161"/>
      <c r="AN427" s="654"/>
      <c r="AO427" s="654"/>
      <c r="AP427" s="654"/>
      <c r="AQ427" s="2162"/>
      <c r="AR427" s="48"/>
      <c r="AS427" s="2161"/>
      <c r="AT427" s="654"/>
      <c r="AU427" s="654"/>
      <c r="AV427" s="654"/>
      <c r="AW427" s="2162"/>
      <c r="AX427" s="48"/>
      <c r="AY427" s="2161"/>
      <c r="AZ427" s="654"/>
      <c r="BA427" s="654"/>
      <c r="BB427" s="654"/>
      <c r="BC427" s="2162"/>
      <c r="BD427" s="48"/>
      <c r="BE427" s="2161"/>
      <c r="BF427" s="654"/>
      <c r="BG427" s="654"/>
      <c r="BH427" s="654"/>
      <c r="BI427" s="2162"/>
      <c r="BJ427" s="48"/>
      <c r="BK427" s="2161"/>
      <c r="BL427" s="654"/>
      <c r="BM427" s="654"/>
      <c r="BN427" s="654"/>
      <c r="BO427" s="2162"/>
      <c r="BP427" s="48"/>
      <c r="BQ427" s="2161"/>
      <c r="BR427" s="654"/>
      <c r="BS427" s="654"/>
      <c r="BT427" s="654"/>
      <c r="BU427" s="2162"/>
      <c r="BV427" s="48"/>
      <c r="BW427" s="2161"/>
      <c r="BX427" s="654"/>
      <c r="BY427" s="654"/>
      <c r="BZ427" s="654"/>
      <c r="CA427" s="2162"/>
      <c r="CB427" s="48"/>
      <c r="CC427" s="2161"/>
      <c r="CD427" s="654"/>
      <c r="CE427" s="654"/>
      <c r="CF427" s="654"/>
      <c r="CG427" s="2162"/>
      <c r="CH427" s="48"/>
      <c r="CI427" s="656">
        <f>+CI77</f>
        <v>-5</v>
      </c>
      <c r="CJ427" s="654">
        <f t="shared" ref="CJ427:CM427" si="184">+CJ77</f>
        <v>-5</v>
      </c>
      <c r="CK427" s="654">
        <f t="shared" si="184"/>
        <v>-3.2199999999999998</v>
      </c>
      <c r="CL427" s="654">
        <f t="shared" si="184"/>
        <v>-1.5882375</v>
      </c>
      <c r="CM427" s="655">
        <f t="shared" si="184"/>
        <v>-14.808237500000001</v>
      </c>
      <c r="CN427" s="48"/>
      <c r="CO427" s="656">
        <f t="shared" ref="CO427:CY427" si="185">+CO77</f>
        <v>-1.5465000000000004</v>
      </c>
      <c r="CP427" s="654">
        <f t="shared" si="185"/>
        <v>1.8563034530829401</v>
      </c>
      <c r="CQ427" s="654">
        <f t="shared" si="185"/>
        <v>2.3674635774486203</v>
      </c>
      <c r="CR427" s="654">
        <f t="shared" si="185"/>
        <v>3.1147135540057325</v>
      </c>
      <c r="CS427" s="655">
        <f t="shared" si="185"/>
        <v>5.791980584537292</v>
      </c>
      <c r="CT427" s="48"/>
      <c r="CU427" s="656">
        <f t="shared" ref="CU427" si="186">+CU77</f>
        <v>3.0968309518068935</v>
      </c>
      <c r="CV427" s="654">
        <f t="shared" si="185"/>
        <v>3.8729241842602056</v>
      </c>
      <c r="CW427" s="654">
        <f t="shared" si="185"/>
        <v>4.6345016048999321</v>
      </c>
      <c r="CX427" s="654">
        <f t="shared" si="185"/>
        <v>5.7932690483079732</v>
      </c>
      <c r="CY427" s="655">
        <f t="shared" si="185"/>
        <v>17.397525789275004</v>
      </c>
      <c r="CZ427" s="48"/>
      <c r="DD427" s="48"/>
      <c r="DE427" s="48"/>
      <c r="DF427" s="48"/>
      <c r="DG427" s="48"/>
      <c r="DH427" s="48"/>
      <c r="DI427" s="48"/>
      <c r="DJ427" s="48"/>
      <c r="DK427" s="48"/>
    </row>
    <row r="428" spans="1:115" x14ac:dyDescent="0.2">
      <c r="A428" s="205" t="s">
        <v>498</v>
      </c>
      <c r="B428" s="48"/>
      <c r="C428" s="685"/>
      <c r="D428" s="578"/>
      <c r="E428" s="578"/>
      <c r="F428" s="582"/>
      <c r="G428" s="707"/>
      <c r="H428" s="48"/>
      <c r="I428" s="685"/>
      <c r="J428" s="578"/>
      <c r="K428" s="578"/>
      <c r="L428" s="582"/>
      <c r="M428" s="707"/>
      <c r="N428" s="48"/>
      <c r="O428" s="685"/>
      <c r="P428" s="578"/>
      <c r="Q428" s="578"/>
      <c r="R428" s="582"/>
      <c r="S428" s="707"/>
      <c r="T428" s="48"/>
      <c r="U428" s="685"/>
      <c r="V428" s="578"/>
      <c r="W428" s="578"/>
      <c r="X428" s="582"/>
      <c r="Y428" s="707"/>
      <c r="Z428" s="48"/>
      <c r="AA428" s="685"/>
      <c r="AB428" s="578"/>
      <c r="AC428" s="578"/>
      <c r="AD428" s="582"/>
      <c r="AE428" s="707"/>
      <c r="AF428" s="48"/>
      <c r="AG428" s="656">
        <f>+AG101</f>
        <v>0</v>
      </c>
      <c r="AH428" s="654">
        <f>+AH101</f>
        <v>0</v>
      </c>
      <c r="AI428" s="654">
        <f>+AI101</f>
        <v>0</v>
      </c>
      <c r="AJ428" s="654">
        <f>+AJ101</f>
        <v>0</v>
      </c>
      <c r="AK428" s="655">
        <f>+SUM(AG428:AJ428)</f>
        <v>0</v>
      </c>
      <c r="AL428" s="48"/>
      <c r="AM428" s="656">
        <f>+AM101</f>
        <v>0</v>
      </c>
      <c r="AN428" s="654">
        <f>+AN101</f>
        <v>0</v>
      </c>
      <c r="AO428" s="654">
        <f>+AO101</f>
        <v>0</v>
      </c>
      <c r="AP428" s="654">
        <f>+AP101</f>
        <v>0</v>
      </c>
      <c r="AQ428" s="655">
        <f>+SUM(AM428:AP428)</f>
        <v>0</v>
      </c>
      <c r="AR428" s="48"/>
      <c r="AS428" s="656">
        <f>+AS101</f>
        <v>0</v>
      </c>
      <c r="AT428" s="654">
        <f>+AT101</f>
        <v>0</v>
      </c>
      <c r="AU428" s="654">
        <f>+AU101</f>
        <v>2.2480330928969785</v>
      </c>
      <c r="AV428" s="654">
        <f>+AV101</f>
        <v>3.1511586939757077</v>
      </c>
      <c r="AW428" s="655">
        <f>+SUM(AS428:AV428)</f>
        <v>5.3991917868726862</v>
      </c>
      <c r="AX428" s="48"/>
      <c r="AY428" s="656">
        <f>+AY101</f>
        <v>3.1800531940365762</v>
      </c>
      <c r="AZ428" s="654">
        <f>+AZ101</f>
        <v>3.6853599318880681</v>
      </c>
      <c r="BA428" s="654">
        <f>+BA101</f>
        <v>3.3095140587732077</v>
      </c>
      <c r="BB428" s="654">
        <f>+BB101</f>
        <v>4.2405637910927823</v>
      </c>
      <c r="BC428" s="655">
        <f>+SUM(AY428:BB428)</f>
        <v>14.415490975790634</v>
      </c>
      <c r="BD428" s="48"/>
      <c r="BE428" s="656">
        <f>+BE101</f>
        <v>4.2853093021005915</v>
      </c>
      <c r="BF428" s="654">
        <f>+BF101</f>
        <v>5.499617029670544</v>
      </c>
      <c r="BG428" s="654">
        <f>+BG101</f>
        <v>5.4036977807842987</v>
      </c>
      <c r="BH428" s="654">
        <f>+BH101</f>
        <v>6.2022873997551553</v>
      </c>
      <c r="BI428" s="655">
        <f>+SUM(BE428:BH428)</f>
        <v>21.390911512310588</v>
      </c>
      <c r="BJ428" s="48"/>
      <c r="BK428" s="656">
        <f>+BK101</f>
        <v>5.5888096389245216</v>
      </c>
      <c r="BL428" s="654">
        <f>+BL101</f>
        <v>5.972676930769433</v>
      </c>
      <c r="BM428" s="654">
        <f>+BM101</f>
        <v>6.1351174846069814</v>
      </c>
      <c r="BN428" s="654">
        <f>+BN101</f>
        <v>5.925490168206089</v>
      </c>
      <c r="BO428" s="655">
        <f>+SUM(BK428:BN428)</f>
        <v>23.622094222507023</v>
      </c>
      <c r="BP428" s="48"/>
      <c r="BQ428" s="656">
        <f>+BQ101</f>
        <v>5.8344073362666293</v>
      </c>
      <c r="BR428" s="654">
        <f>+BR101</f>
        <v>6.9234360684127214</v>
      </c>
      <c r="BS428" s="654">
        <f>+BS101</f>
        <v>8.0378834373543331</v>
      </c>
      <c r="BT428" s="654">
        <f>+BT101</f>
        <v>8.3616786497443467</v>
      </c>
      <c r="BU428" s="655">
        <f>+SUM(BQ428:BT428)</f>
        <v>29.157405491778029</v>
      </c>
      <c r="BV428" s="48"/>
      <c r="BW428" s="656">
        <f>+BW101</f>
        <v>6.5743349633941541</v>
      </c>
      <c r="BX428" s="654">
        <f>+BX101</f>
        <v>7.7301684824318411</v>
      </c>
      <c r="BY428" s="654">
        <f>+BY101</f>
        <v>11.022348879404614</v>
      </c>
      <c r="BZ428" s="654">
        <f>+BZ101</f>
        <v>12.935813084526538</v>
      </c>
      <c r="CA428" s="655">
        <f>+SUM(BW428:BZ428)</f>
        <v>38.262665409757147</v>
      </c>
      <c r="CB428" s="48"/>
      <c r="CC428" s="656">
        <f>+CC101</f>
        <v>8.5040636753391396</v>
      </c>
      <c r="CD428" s="654">
        <f>+CD101</f>
        <v>12.661098550125779</v>
      </c>
      <c r="CE428" s="654">
        <f>+CE101</f>
        <v>15.189203107451497</v>
      </c>
      <c r="CF428" s="654">
        <f>+CF101</f>
        <v>16.566828828040315</v>
      </c>
      <c r="CG428" s="655">
        <f>+SUM(CC428:CF428)</f>
        <v>52.92119416095673</v>
      </c>
      <c r="CH428" s="48"/>
      <c r="CI428" s="656">
        <f>+CI101</f>
        <v>9.5489368052716088</v>
      </c>
      <c r="CJ428" s="654">
        <f>+CJ101</f>
        <v>14.556279281569893</v>
      </c>
      <c r="CK428" s="654">
        <f>+CK101</f>
        <v>17.722175436276498</v>
      </c>
      <c r="CL428" s="654">
        <f>+CL101</f>
        <v>17.445163358674694</v>
      </c>
      <c r="CM428" s="655">
        <f>+SUM(CI428:CL428)</f>
        <v>59.272554881792686</v>
      </c>
      <c r="CN428" s="48"/>
      <c r="CO428" s="656">
        <f>+CO101</f>
        <v>16.012744528543227</v>
      </c>
      <c r="CP428" s="654">
        <f>+CP101</f>
        <v>17.866284692313251</v>
      </c>
      <c r="CQ428" s="654">
        <f>+CQ101</f>
        <v>18.776028465421732</v>
      </c>
      <c r="CR428" s="654">
        <f>+CR101</f>
        <v>21.333019781073418</v>
      </c>
      <c r="CS428" s="655">
        <f>+SUM(CO428:CR428)</f>
        <v>73.98807746735163</v>
      </c>
      <c r="CT428" s="48"/>
      <c r="CU428" s="656">
        <f>+CU101</f>
        <v>19.705341506151029</v>
      </c>
      <c r="CV428" s="654">
        <f>+CV101</f>
        <v>21.881263950928563</v>
      </c>
      <c r="CW428" s="654">
        <f>+CW101</f>
        <v>22.926258189084653</v>
      </c>
      <c r="CX428" s="654">
        <f>+CX101</f>
        <v>25.902891822970155</v>
      </c>
      <c r="CY428" s="655">
        <f>+SUM(CU428:CX428)</f>
        <v>90.41575546913441</v>
      </c>
      <c r="CZ428" s="48"/>
      <c r="DD428" s="48"/>
      <c r="DE428" s="48"/>
      <c r="DF428" s="48"/>
      <c r="DG428" s="48"/>
      <c r="DH428" s="48"/>
      <c r="DI428" s="48"/>
      <c r="DJ428" s="48"/>
      <c r="DK428" s="48"/>
    </row>
    <row r="429" spans="1:115" x14ac:dyDescent="0.2">
      <c r="A429" s="205" t="s">
        <v>621</v>
      </c>
      <c r="B429" s="48"/>
      <c r="C429" s="685"/>
      <c r="D429" s="578"/>
      <c r="E429" s="578"/>
      <c r="F429" s="582"/>
      <c r="G429" s="707"/>
      <c r="H429" s="48"/>
      <c r="I429" s="685"/>
      <c r="J429" s="578"/>
      <c r="K429" s="578"/>
      <c r="L429" s="582"/>
      <c r="M429" s="707"/>
      <c r="N429" s="48"/>
      <c r="O429" s="685"/>
      <c r="P429" s="578"/>
      <c r="Q429" s="578"/>
      <c r="R429" s="582"/>
      <c r="S429" s="707"/>
      <c r="T429" s="48"/>
      <c r="U429" s="685"/>
      <c r="V429" s="578"/>
      <c r="W429" s="578"/>
      <c r="X429" s="582"/>
      <c r="Y429" s="707"/>
      <c r="Z429" s="48"/>
      <c r="AA429" s="685"/>
      <c r="AB429" s="578"/>
      <c r="AC429" s="578"/>
      <c r="AD429" s="582"/>
      <c r="AE429" s="707"/>
      <c r="AF429" s="48"/>
      <c r="AG429" s="656">
        <f>+AG136</f>
        <v>0</v>
      </c>
      <c r="AH429" s="654">
        <f>+AH136</f>
        <v>0</v>
      </c>
      <c r="AI429" s="654">
        <f>+AI136</f>
        <v>0</v>
      </c>
      <c r="AJ429" s="654">
        <f>+AJ136</f>
        <v>0.875</v>
      </c>
      <c r="AK429" s="655">
        <f>+AK136</f>
        <v>0.875</v>
      </c>
      <c r="AL429" s="48"/>
      <c r="AM429" s="656">
        <f>+AM136</f>
        <v>1.4849999999999999</v>
      </c>
      <c r="AN429" s="654">
        <f>+AN136</f>
        <v>1.4400000000000002</v>
      </c>
      <c r="AO429" s="654">
        <f>+AO136</f>
        <v>1.6439999999999999</v>
      </c>
      <c r="AP429" s="654">
        <f>+AP136</f>
        <v>1.7161920000000004</v>
      </c>
      <c r="AQ429" s="655">
        <f>+AQ136</f>
        <v>6.2851920000000003</v>
      </c>
      <c r="AR429" s="48"/>
      <c r="AS429" s="656">
        <f>+AS136</f>
        <v>1.7849999999999997</v>
      </c>
      <c r="AT429" s="654">
        <f>+AT136</f>
        <v>1.8899999999999997</v>
      </c>
      <c r="AU429" s="654">
        <f>+AU136</f>
        <v>1.9949999999999997</v>
      </c>
      <c r="AV429" s="654">
        <f>+AV136</f>
        <v>2.2049999999999996</v>
      </c>
      <c r="AW429" s="655">
        <f>+AW136</f>
        <v>7.875</v>
      </c>
      <c r="AX429" s="48"/>
      <c r="AY429" s="656">
        <f>+AY136</f>
        <v>2.1879</v>
      </c>
      <c r="AZ429" s="654">
        <f>+AZ136</f>
        <v>2.4056999999999999</v>
      </c>
      <c r="BA429" s="654">
        <f>+BA136</f>
        <v>2.5393500000000002</v>
      </c>
      <c r="BB429" s="654">
        <f>+BB136</f>
        <v>2.8066500000000003</v>
      </c>
      <c r="BC429" s="655">
        <f>+BC136</f>
        <v>9.9395999999999987</v>
      </c>
      <c r="BD429" s="48"/>
      <c r="BE429" s="656">
        <f>+BE136</f>
        <v>2.3669100000000003</v>
      </c>
      <c r="BF429" s="654">
        <f>+BF136</f>
        <v>2.1450825</v>
      </c>
      <c r="BG429" s="654">
        <f>+BG136</f>
        <v>2.4931800000000002</v>
      </c>
      <c r="BH429" s="654">
        <f>+BH136</f>
        <v>2.253825</v>
      </c>
      <c r="BI429" s="655">
        <f>+BI136</f>
        <v>9.2589974999999978</v>
      </c>
      <c r="BJ429" s="48"/>
      <c r="BK429" s="656">
        <f>+BK136</f>
        <v>2.3662138500000003</v>
      </c>
      <c r="BL429" s="654">
        <f>+BL136</f>
        <v>2.6513219700000001</v>
      </c>
      <c r="BM429" s="654">
        <f>+BM136</f>
        <v>3.2286681000000006</v>
      </c>
      <c r="BN429" s="654">
        <f>+BN136</f>
        <v>3.3320548800000003</v>
      </c>
      <c r="BO429" s="655">
        <f>+BO136</f>
        <v>11.5782588</v>
      </c>
      <c r="BP429" s="48"/>
      <c r="BQ429" s="656">
        <f>+BQ136</f>
        <v>1.8486169746074239</v>
      </c>
      <c r="BR429" s="654">
        <f>+BR136</f>
        <v>2.2150027188529702</v>
      </c>
      <c r="BS429" s="654">
        <f>+BS136</f>
        <v>3.3449001516000005</v>
      </c>
      <c r="BT429" s="654">
        <f>+BT136</f>
        <v>3.1887765201599998</v>
      </c>
      <c r="BU429" s="655">
        <f>+BU136</f>
        <v>10.597296365220396</v>
      </c>
      <c r="BV429" s="48"/>
      <c r="BW429" s="656">
        <f>+BW136</f>
        <v>1.829813525852934</v>
      </c>
      <c r="BX429" s="654">
        <f>+BX136</f>
        <v>1.849122121993745</v>
      </c>
      <c r="BY429" s="654">
        <f>+BY136</f>
        <v>3.317107401218566</v>
      </c>
      <c r="BZ429" s="654">
        <f>+BZ136</f>
        <v>3.1718535870924649</v>
      </c>
      <c r="CA429" s="655">
        <f>+CA136</f>
        <v>10.16789663615771</v>
      </c>
      <c r="CB429" s="48"/>
      <c r="CC429" s="656">
        <f>+CC136</f>
        <v>1.9364363348371583</v>
      </c>
      <c r="CD429" s="654">
        <f>+CD136</f>
        <v>1.9553264000887152</v>
      </c>
      <c r="CE429" s="654">
        <f>+CE136</f>
        <v>3.8422754113298585</v>
      </c>
      <c r="CF429" s="654">
        <f>+CF136</f>
        <v>3.73342771966372</v>
      </c>
      <c r="CG429" s="655">
        <f>+CG136</f>
        <v>11.467465865919452</v>
      </c>
      <c r="CH429" s="48"/>
      <c r="CI429" s="656">
        <f>+CI136</f>
        <v>2.226901785062732</v>
      </c>
      <c r="CJ429" s="654">
        <f>+CJ136</f>
        <v>2.238848728101579</v>
      </c>
      <c r="CK429" s="654">
        <f>+CK136</f>
        <v>4.3225598377460912</v>
      </c>
      <c r="CL429" s="654">
        <f>+CL136</f>
        <v>4.1814390460233666</v>
      </c>
      <c r="CM429" s="655">
        <f>+CM136</f>
        <v>12.969749396933768</v>
      </c>
      <c r="CN429" s="48"/>
      <c r="CO429" s="656">
        <f>+CO136</f>
        <v>2.3382468743158689</v>
      </c>
      <c r="CP429" s="654">
        <f>+CP136</f>
        <v>2.3507911645066581</v>
      </c>
      <c r="CQ429" s="654">
        <f>+CQ136</f>
        <v>4.5386878296333961</v>
      </c>
      <c r="CR429" s="654">
        <f>+CR136</f>
        <v>4.390510998324535</v>
      </c>
      <c r="CS429" s="655">
        <f>+CS136</f>
        <v>13.618236866780459</v>
      </c>
      <c r="CT429" s="48"/>
      <c r="CU429" s="656">
        <f>+CU136</f>
        <v>2.4551592180316621</v>
      </c>
      <c r="CV429" s="654">
        <f>+CV136</f>
        <v>2.4683307227319911</v>
      </c>
      <c r="CW429" s="654">
        <f>+CW136</f>
        <v>4.7656222211150663</v>
      </c>
      <c r="CX429" s="654">
        <f>+CX136</f>
        <v>4.6100365482407621</v>
      </c>
      <c r="CY429" s="655">
        <f>+CY136</f>
        <v>14.299148710119484</v>
      </c>
      <c r="CZ429" s="48"/>
      <c r="DD429" s="48"/>
      <c r="DE429" s="48"/>
      <c r="DF429" s="48"/>
      <c r="DG429" s="48"/>
      <c r="DH429" s="48"/>
      <c r="DI429" s="48"/>
      <c r="DJ429" s="48"/>
      <c r="DK429" s="48"/>
    </row>
    <row r="430" spans="1:115" x14ac:dyDescent="0.2">
      <c r="A430" s="205" t="s">
        <v>500</v>
      </c>
      <c r="B430" s="48"/>
      <c r="C430" s="685"/>
      <c r="D430" s="578"/>
      <c r="E430" s="578"/>
      <c r="F430" s="582"/>
      <c r="G430" s="707"/>
      <c r="H430" s="48"/>
      <c r="I430" s="685"/>
      <c r="J430" s="578"/>
      <c r="K430" s="578"/>
      <c r="L430" s="582"/>
      <c r="M430" s="707"/>
      <c r="N430" s="48"/>
      <c r="O430" s="685"/>
      <c r="P430" s="578"/>
      <c r="Q430" s="578"/>
      <c r="R430" s="582"/>
      <c r="S430" s="707"/>
      <c r="T430" s="48"/>
      <c r="U430" s="685"/>
      <c r="V430" s="578"/>
      <c r="W430" s="578"/>
      <c r="X430" s="582"/>
      <c r="Y430" s="707"/>
      <c r="Z430" s="48"/>
      <c r="AA430" s="685"/>
      <c r="AB430" s="578"/>
      <c r="AC430" s="578"/>
      <c r="AD430" s="582"/>
      <c r="AE430" s="707"/>
      <c r="AF430" s="48"/>
      <c r="AG430" s="656">
        <f>+AG227</f>
        <v>0.18233259064965404</v>
      </c>
      <c r="AH430" s="654">
        <f>+AH227</f>
        <v>0.25148507636702805</v>
      </c>
      <c r="AI430" s="654">
        <f>+AI227</f>
        <v>0.2947817161161369</v>
      </c>
      <c r="AJ430" s="654">
        <f>+AJ227</f>
        <v>0.3058006770779631</v>
      </c>
      <c r="AK430" s="655">
        <f>+SUM(AG430:AJ430)</f>
        <v>1.0344000602107821</v>
      </c>
      <c r="AL430" s="48"/>
      <c r="AM430" s="656">
        <f>+AM227</f>
        <v>0.44774658202487849</v>
      </c>
      <c r="AN430" s="654">
        <f>+AN227</f>
        <v>0.56731605081847547</v>
      </c>
      <c r="AO430" s="654">
        <f>+AO227</f>
        <v>0.77729260496007924</v>
      </c>
      <c r="AP430" s="654">
        <f>+AP227</f>
        <v>0.96543317546763074</v>
      </c>
      <c r="AQ430" s="655">
        <f>+SUM(AM430:AP430)</f>
        <v>2.7577884132710642</v>
      </c>
      <c r="AR430" s="48"/>
      <c r="AS430" s="656">
        <f>+AS227</f>
        <v>1.1075426786092619</v>
      </c>
      <c r="AT430" s="654">
        <f>+AT227</f>
        <v>1.2547667756153325</v>
      </c>
      <c r="AU430" s="654">
        <f>+AU227</f>
        <v>1.2886108033052988</v>
      </c>
      <c r="AV430" s="654">
        <f>+AV227</f>
        <v>1.6688154241188817</v>
      </c>
      <c r="AW430" s="655">
        <f>+SUM(AS430:AV430)</f>
        <v>5.3197356816487753</v>
      </c>
      <c r="AX430" s="48"/>
      <c r="AY430" s="656">
        <f>+AY227</f>
        <v>1.9682644509463889</v>
      </c>
      <c r="AZ430" s="654">
        <f>+AZ227</f>
        <v>2.2740676048735557</v>
      </c>
      <c r="BA430" s="654">
        <f>+BA227</f>
        <v>2.4392327782963124</v>
      </c>
      <c r="BB430" s="654">
        <f>+BB227</f>
        <v>3.0390633940392622</v>
      </c>
      <c r="BC430" s="655">
        <f>+SUM(AY430:BB430)</f>
        <v>9.720628228155519</v>
      </c>
      <c r="BD430" s="48"/>
      <c r="BE430" s="656">
        <f>+BE227</f>
        <v>3.1462183458253485</v>
      </c>
      <c r="BF430" s="654">
        <f>+BF227</f>
        <v>3.8133007385799971</v>
      </c>
      <c r="BG430" s="654">
        <f>+BG227</f>
        <v>4.2726774292307379</v>
      </c>
      <c r="BH430" s="654">
        <f>+BH227</f>
        <v>4.8872400728361391</v>
      </c>
      <c r="BI430" s="655">
        <f>+SUM(BE430:BH430)</f>
        <v>16.119436586472222</v>
      </c>
      <c r="BJ430" s="48"/>
      <c r="BK430" s="656">
        <f>+BK227</f>
        <v>4.351822545557984</v>
      </c>
      <c r="BL430" s="654">
        <f>+BL227</f>
        <v>5.0384037623970945</v>
      </c>
      <c r="BM430" s="654">
        <f>+BM227</f>
        <v>5.4530810785177879</v>
      </c>
      <c r="BN430" s="654">
        <f>+BN227</f>
        <v>5.60998580677244</v>
      </c>
      <c r="BO430" s="655">
        <f>+SUM(BK430:BN430)</f>
        <v>20.453293193245305</v>
      </c>
      <c r="BP430" s="48"/>
      <c r="BQ430" s="656">
        <f>+BQ227</f>
        <v>5.3873715594116796</v>
      </c>
      <c r="BR430" s="654">
        <f>+BR227</f>
        <v>6.6707381663456511</v>
      </c>
      <c r="BS430" s="654">
        <f>+BS227</f>
        <v>6.9528286272824866</v>
      </c>
      <c r="BT430" s="654">
        <f>+BT227</f>
        <v>7.8861094656236359</v>
      </c>
      <c r="BU430" s="655">
        <f>+SUM(BQ430:BT430)</f>
        <v>26.897047818663452</v>
      </c>
      <c r="BV430" s="48"/>
      <c r="BW430" s="656">
        <f>+BW227</f>
        <v>6.3430925761708981</v>
      </c>
      <c r="BX430" s="654">
        <f>+BX227</f>
        <v>7.2158990698123944</v>
      </c>
      <c r="BY430" s="654">
        <f>+BY227</f>
        <v>8.5015525777224692</v>
      </c>
      <c r="BZ430" s="654">
        <f>+BZ227</f>
        <v>10.412423765435252</v>
      </c>
      <c r="CA430" s="655">
        <f>+SUM(BW430:BZ430)</f>
        <v>32.472967989141011</v>
      </c>
      <c r="CB430" s="48"/>
      <c r="CC430" s="656">
        <f>+CC227</f>
        <v>8.1184842651234526</v>
      </c>
      <c r="CD430" s="654">
        <f>+CD227</f>
        <v>10.329207391126758</v>
      </c>
      <c r="CE430" s="654">
        <f>+CE227</f>
        <v>11.369664449142578</v>
      </c>
      <c r="CF430" s="654">
        <f>+CF227</f>
        <v>13.936735552865343</v>
      </c>
      <c r="CG430" s="655">
        <f>+SUM(CC430:CF430)</f>
        <v>43.754091658258133</v>
      </c>
      <c r="CH430" s="48"/>
      <c r="CI430" s="656">
        <f>+CI227</f>
        <v>9.9989780168482749</v>
      </c>
      <c r="CJ430" s="654">
        <f>+CJ227</f>
        <v>12.498723360397809</v>
      </c>
      <c r="CK430" s="654">
        <f>+CK227</f>
        <v>13.228887044674892</v>
      </c>
      <c r="CL430" s="654">
        <f>+CL227</f>
        <v>16.092691104959783</v>
      </c>
      <c r="CM430" s="655">
        <f>+SUM(CI430:CL430)</f>
        <v>51.819279526880763</v>
      </c>
      <c r="CN430" s="48"/>
      <c r="CO430" s="656">
        <f>+CO227</f>
        <v>13.059492741723215</v>
      </c>
      <c r="CP430" s="654">
        <f>+CP227</f>
        <v>15.060222220885199</v>
      </c>
      <c r="CQ430" s="654">
        <f>+CQ227</f>
        <v>16.312187947201689</v>
      </c>
      <c r="CR430" s="654">
        <f>+CR227</f>
        <v>19.076399080990257</v>
      </c>
      <c r="CS430" s="655">
        <f>+SUM(CO430:CR430)</f>
        <v>63.508301990800362</v>
      </c>
      <c r="CT430" s="48"/>
      <c r="CU430" s="656">
        <f>+CU227</f>
        <v>15.946083920494445</v>
      </c>
      <c r="CV430" s="654">
        <f>+CV227</f>
        <v>18.253700131408937</v>
      </c>
      <c r="CW430" s="654">
        <f>+CW227</f>
        <v>19.652489880173178</v>
      </c>
      <c r="CX430" s="654">
        <f>+CX227</f>
        <v>22.80171550920381</v>
      </c>
      <c r="CY430" s="655">
        <f>+SUM(CU430:CX430)</f>
        <v>76.653989441280373</v>
      </c>
      <c r="CZ430" s="48"/>
      <c r="DD430" s="48"/>
      <c r="DE430" s="48"/>
      <c r="DF430" s="48"/>
      <c r="DG430" s="48"/>
      <c r="DH430" s="48"/>
      <c r="DI430" s="48"/>
      <c r="DJ430" s="48"/>
      <c r="DK430" s="48"/>
    </row>
    <row r="431" spans="1:115" x14ac:dyDescent="0.2">
      <c r="A431" s="205" t="s">
        <v>501</v>
      </c>
      <c r="B431" s="48"/>
      <c r="C431" s="685"/>
      <c r="D431" s="578"/>
      <c r="E431" s="578"/>
      <c r="F431" s="582"/>
      <c r="G431" s="707"/>
      <c r="H431" s="48"/>
      <c r="I431" s="685"/>
      <c r="J431" s="578"/>
      <c r="K431" s="578"/>
      <c r="L431" s="582"/>
      <c r="M431" s="707"/>
      <c r="N431" s="48"/>
      <c r="O431" s="685"/>
      <c r="P431" s="578"/>
      <c r="Q431" s="578"/>
      <c r="R431" s="582"/>
      <c r="S431" s="707"/>
      <c r="T431" s="48"/>
      <c r="U431" s="685"/>
      <c r="V431" s="578"/>
      <c r="W431" s="578"/>
      <c r="X431" s="582"/>
      <c r="Y431" s="707"/>
      <c r="Z431" s="48"/>
      <c r="AA431" s="685"/>
      <c r="AB431" s="578"/>
      <c r="AC431" s="578"/>
      <c r="AD431" s="582"/>
      <c r="AE431" s="707"/>
      <c r="AF431" s="48"/>
      <c r="AG431" s="656">
        <f>+AG168</f>
        <v>0</v>
      </c>
      <c r="AH431" s="654">
        <f>+AH168</f>
        <v>0</v>
      </c>
      <c r="AI431" s="654">
        <f>+AI168</f>
        <v>0</v>
      </c>
      <c r="AJ431" s="654">
        <f>+AJ168</f>
        <v>0</v>
      </c>
      <c r="AK431" s="655">
        <f>+SUM(AG431:AJ431)</f>
        <v>0</v>
      </c>
      <c r="AL431" s="48"/>
      <c r="AM431" s="656">
        <f>+AM168</f>
        <v>0</v>
      </c>
      <c r="AN431" s="654">
        <f>+AN168</f>
        <v>0</v>
      </c>
      <c r="AO431" s="654">
        <f>+AO168</f>
        <v>0</v>
      </c>
      <c r="AP431" s="654">
        <f>+AP168</f>
        <v>0</v>
      </c>
      <c r="AQ431" s="655">
        <f>+SUM(AM431:AP431)</f>
        <v>0</v>
      </c>
      <c r="AR431" s="48"/>
      <c r="AS431" s="656">
        <f>+AS168</f>
        <v>0</v>
      </c>
      <c r="AT431" s="654">
        <f>+AT168</f>
        <v>0</v>
      </c>
      <c r="AU431" s="654">
        <f>+AU168</f>
        <v>0</v>
      </c>
      <c r="AV431" s="654">
        <f>+AV168</f>
        <v>0</v>
      </c>
      <c r="AW431" s="655">
        <f>+SUM(AS431:AV431)</f>
        <v>0</v>
      </c>
      <c r="AX431" s="48"/>
      <c r="AY431" s="656">
        <f>+AY168</f>
        <v>0</v>
      </c>
      <c r="AZ431" s="654">
        <f>+AZ168</f>
        <v>0</v>
      </c>
      <c r="BA431" s="654">
        <f>+BA168</f>
        <v>0</v>
      </c>
      <c r="BB431" s="654">
        <f>+BB168</f>
        <v>0</v>
      </c>
      <c r="BC431" s="655">
        <f>+SUM(AY431:BB431)</f>
        <v>0</v>
      </c>
      <c r="BD431" s="48"/>
      <c r="BE431" s="656">
        <f>+BE168</f>
        <v>0</v>
      </c>
      <c r="BF431" s="654">
        <f>+BF168</f>
        <v>0</v>
      </c>
      <c r="BG431" s="654">
        <f>+BG168</f>
        <v>0</v>
      </c>
      <c r="BH431" s="654">
        <f>+BH168</f>
        <v>0</v>
      </c>
      <c r="BI431" s="655">
        <f>+SUM(BE431:BH431)</f>
        <v>0</v>
      </c>
      <c r="BJ431" s="48"/>
      <c r="BK431" s="656">
        <f>+BK168</f>
        <v>0</v>
      </c>
      <c r="BL431" s="654">
        <f>+BL168</f>
        <v>0</v>
      </c>
      <c r="BM431" s="654">
        <f>+BM168</f>
        <v>0</v>
      </c>
      <c r="BN431" s="654">
        <f>+BN168</f>
        <v>0</v>
      </c>
      <c r="BO431" s="655">
        <f>+SUM(BK431:BN431)</f>
        <v>0</v>
      </c>
      <c r="BP431" s="48"/>
      <c r="BQ431" s="656">
        <f>+BQ168</f>
        <v>0</v>
      </c>
      <c r="BR431" s="654">
        <f>+BR168</f>
        <v>0</v>
      </c>
      <c r="BS431" s="654">
        <f>+BS168</f>
        <v>0</v>
      </c>
      <c r="BT431" s="654">
        <f>+BT168</f>
        <v>0</v>
      </c>
      <c r="BU431" s="655">
        <f>+SUM(BQ431:BT431)</f>
        <v>0</v>
      </c>
      <c r="BV431" s="48"/>
      <c r="BW431" s="656">
        <f>+BW168</f>
        <v>0</v>
      </c>
      <c r="BX431" s="654">
        <f>+BX168</f>
        <v>0</v>
      </c>
      <c r="BY431" s="654">
        <f>+BY168</f>
        <v>0</v>
      </c>
      <c r="BZ431" s="654">
        <f>+BZ168</f>
        <v>0</v>
      </c>
      <c r="CA431" s="655">
        <f>+SUM(BW431:BZ431)</f>
        <v>0</v>
      </c>
      <c r="CB431" s="48"/>
      <c r="CC431" s="656">
        <f>+CC168</f>
        <v>0</v>
      </c>
      <c r="CD431" s="654">
        <f>+CD168</f>
        <v>0</v>
      </c>
      <c r="CE431" s="654">
        <f>+CE168</f>
        <v>0</v>
      </c>
      <c r="CF431" s="654">
        <f>+CF168</f>
        <v>0</v>
      </c>
      <c r="CG431" s="655">
        <f>+SUM(CC431:CF431)</f>
        <v>0</v>
      </c>
      <c r="CH431" s="48"/>
      <c r="CI431" s="656">
        <f>+CI168</f>
        <v>1.0264942642384973</v>
      </c>
      <c r="CJ431" s="654">
        <f>+CJ168</f>
        <v>1.2089953428028188</v>
      </c>
      <c r="CK431" s="654">
        <f>+CK168</f>
        <v>1.4011900915174955</v>
      </c>
      <c r="CL431" s="654">
        <f>+CL168</f>
        <v>1.620237524730026</v>
      </c>
      <c r="CM431" s="655">
        <f>+SUM(CI431:CL431)</f>
        <v>5.2569172232888377</v>
      </c>
      <c r="CN431" s="48"/>
      <c r="CO431" s="656">
        <f>+CO168</f>
        <v>1.2047297270104842</v>
      </c>
      <c r="CP431" s="654">
        <f>+CP168</f>
        <v>1.4182267521973664</v>
      </c>
      <c r="CQ431" s="654">
        <f>+CQ168</f>
        <v>1.6434716190215504</v>
      </c>
      <c r="CR431" s="654">
        <f>+CR168</f>
        <v>1.8990895260715277</v>
      </c>
      <c r="CS431" s="655">
        <f>+SUM(CO431:CR431)</f>
        <v>6.1655176243009286</v>
      </c>
      <c r="CT431" s="48"/>
      <c r="CU431" s="656">
        <f>+CU168</f>
        <v>1.4110163178095263</v>
      </c>
      <c r="CV431" s="654">
        <f>+CV168</f>
        <v>1.6604087819434987</v>
      </c>
      <c r="CW431" s="654">
        <f>+CW168</f>
        <v>1.9239151538308832</v>
      </c>
      <c r="CX431" s="654">
        <f>+CX168</f>
        <v>2.2219040477148368</v>
      </c>
      <c r="CY431" s="655">
        <f>+SUM(CU431:CX431)</f>
        <v>7.2172443012987451</v>
      </c>
      <c r="CZ431" s="48"/>
      <c r="DD431" s="48"/>
      <c r="DE431" s="48"/>
      <c r="DF431" s="48"/>
      <c r="DG431" s="48"/>
      <c r="DH431" s="48"/>
      <c r="DI431" s="48"/>
      <c r="DJ431" s="48"/>
      <c r="DK431" s="48"/>
    </row>
    <row r="432" spans="1:115" x14ac:dyDescent="0.2">
      <c r="A432" s="205" t="s">
        <v>502</v>
      </c>
      <c r="B432" s="48"/>
      <c r="C432" s="685"/>
      <c r="D432" s="578"/>
      <c r="E432" s="578"/>
      <c r="F432" s="582"/>
      <c r="G432" s="707"/>
      <c r="H432" s="48"/>
      <c r="I432" s="685"/>
      <c r="J432" s="578"/>
      <c r="K432" s="578"/>
      <c r="L432" s="582"/>
      <c r="M432" s="707"/>
      <c r="N432" s="48"/>
      <c r="O432" s="685"/>
      <c r="P432" s="578"/>
      <c r="Q432" s="578"/>
      <c r="R432" s="582"/>
      <c r="S432" s="707"/>
      <c r="T432" s="48"/>
      <c r="U432" s="685"/>
      <c r="V432" s="578"/>
      <c r="W432" s="578"/>
      <c r="X432" s="582"/>
      <c r="Y432" s="707"/>
      <c r="Z432" s="48"/>
      <c r="AA432" s="685"/>
      <c r="AB432" s="578"/>
      <c r="AC432" s="578"/>
      <c r="AD432" s="582"/>
      <c r="AE432" s="707"/>
      <c r="AF432" s="48"/>
      <c r="AG432" s="656">
        <f>+AG278</f>
        <v>0</v>
      </c>
      <c r="AH432" s="654">
        <f>+AH278</f>
        <v>0</v>
      </c>
      <c r="AI432" s="654">
        <f>+AI278</f>
        <v>0</v>
      </c>
      <c r="AJ432" s="654">
        <f>+AJ278</f>
        <v>0</v>
      </c>
      <c r="AK432" s="655">
        <f>+SUM(AG432:AJ432)</f>
        <v>0</v>
      </c>
      <c r="AL432" s="48"/>
      <c r="AM432" s="656">
        <f>+AM278</f>
        <v>0</v>
      </c>
      <c r="AN432" s="654">
        <f>+AN278</f>
        <v>0</v>
      </c>
      <c r="AO432" s="654">
        <f>+AO278</f>
        <v>0</v>
      </c>
      <c r="AP432" s="654">
        <f>+AP278</f>
        <v>0</v>
      </c>
      <c r="AQ432" s="655">
        <f>+SUM(AM432:AP432)</f>
        <v>0</v>
      </c>
      <c r="AR432" s="48"/>
      <c r="AS432" s="656">
        <f>+AS278</f>
        <v>0</v>
      </c>
      <c r="AT432" s="654">
        <f>+AT278</f>
        <v>0</v>
      </c>
      <c r="AU432" s="654">
        <f>+AU278</f>
        <v>0</v>
      </c>
      <c r="AV432" s="654">
        <f>+AV278</f>
        <v>0</v>
      </c>
      <c r="AW432" s="655">
        <f>+SUM(AS432:AV432)</f>
        <v>0</v>
      </c>
      <c r="AX432" s="48"/>
      <c r="AY432" s="656">
        <f>+AY278</f>
        <v>3.075554867722369</v>
      </c>
      <c r="AZ432" s="654">
        <f>+AZ278</f>
        <v>3.0777711636551839</v>
      </c>
      <c r="BA432" s="654">
        <f>+BA278</f>
        <v>3.0688451192780546</v>
      </c>
      <c r="BB432" s="654">
        <f>+BB278</f>
        <v>3.1710751099465568</v>
      </c>
      <c r="BC432" s="655">
        <f>+SUM(AY432:BB432)</f>
        <v>12.393246260602165</v>
      </c>
      <c r="BD432" s="48"/>
      <c r="BE432" s="656">
        <f>+BE278</f>
        <v>-1.6755091311566126</v>
      </c>
      <c r="BF432" s="654">
        <f>+BF278</f>
        <v>-1.2927210472422024</v>
      </c>
      <c r="BG432" s="654">
        <f>+BG278</f>
        <v>-0.88869834286049443</v>
      </c>
      <c r="BH432" s="654">
        <f>+BH278</f>
        <v>6.5347562088890143E-2</v>
      </c>
      <c r="BI432" s="655">
        <f>+SUM(BE432:BH432)</f>
        <v>-3.7915809591704193</v>
      </c>
      <c r="BJ432" s="48"/>
      <c r="BK432" s="656">
        <f>+BK278</f>
        <v>-2.4558975873814095</v>
      </c>
      <c r="BL432" s="654">
        <f>+BL278</f>
        <v>-2.3674525037963754</v>
      </c>
      <c r="BM432" s="654">
        <f>+BM278</f>
        <v>-2.2897022630561494</v>
      </c>
      <c r="BN432" s="654">
        <f>+BN278</f>
        <v>-0.38645034782849486</v>
      </c>
      <c r="BO432" s="655">
        <f>+SUM(BK432:BN432)</f>
        <v>-7.4995027020624292</v>
      </c>
      <c r="BP432" s="48"/>
      <c r="BQ432" s="656">
        <f>+BQ278</f>
        <v>-3.9586410398794527</v>
      </c>
      <c r="BR432" s="654">
        <f>+BR278</f>
        <v>-2.3257275060566585</v>
      </c>
      <c r="BS432" s="654">
        <f>+BS278</f>
        <v>-2.6270313136354968</v>
      </c>
      <c r="BT432" s="654">
        <f>+BT278</f>
        <v>0.28430478617408284</v>
      </c>
      <c r="BU432" s="655">
        <f>+SUM(BQ432:BT432)</f>
        <v>-8.6270950733975251</v>
      </c>
      <c r="BV432" s="48"/>
      <c r="BW432" s="656">
        <f>+BW278</f>
        <v>0.21481950178216913</v>
      </c>
      <c r="BX432" s="654">
        <f>+BX278</f>
        <v>1.9702389175794126</v>
      </c>
      <c r="BY432" s="654">
        <f>+BY278</f>
        <v>2.7601402615836315</v>
      </c>
      <c r="BZ432" s="654">
        <f>+BZ278</f>
        <v>7.4040545481951057</v>
      </c>
      <c r="CA432" s="655">
        <f>+SUM(BW432:BZ432)</f>
        <v>12.349253229140318</v>
      </c>
      <c r="CB432" s="48"/>
      <c r="CC432" s="656">
        <f>+CC278</f>
        <v>6.6698231927995728</v>
      </c>
      <c r="CD432" s="654">
        <f>+CD278</f>
        <v>8.2613224300988399</v>
      </c>
      <c r="CE432" s="654">
        <f>+CE278</f>
        <v>9.1176736140340893</v>
      </c>
      <c r="CF432" s="654">
        <f>+CF278</f>
        <v>13.907530908404784</v>
      </c>
      <c r="CG432" s="655">
        <f>+SUM(CC432:CF432)</f>
        <v>37.956350145337282</v>
      </c>
      <c r="CH432" s="48"/>
      <c r="CI432" s="656">
        <f>+CI278</f>
        <v>9.6433915677199842</v>
      </c>
      <c r="CJ432" s="654">
        <f>+CJ278</f>
        <v>11.648793258793724</v>
      </c>
      <c r="CK432" s="654">
        <f>+CK278</f>
        <v>12.095541471501949</v>
      </c>
      <c r="CL432" s="654">
        <f>+CL278</f>
        <v>17.905791718921414</v>
      </c>
      <c r="CM432" s="655">
        <f>+SUM(CI432:CL432)</f>
        <v>51.293518016937071</v>
      </c>
      <c r="CN432" s="48"/>
      <c r="CO432" s="656">
        <f>+CO278</f>
        <v>15.001819826477281</v>
      </c>
      <c r="CP432" s="654">
        <f>+CP278</f>
        <v>16.673998085238775</v>
      </c>
      <c r="CQ432" s="654">
        <f>+CQ278</f>
        <v>17.751654151356842</v>
      </c>
      <c r="CR432" s="654">
        <f>+CR278</f>
        <v>24.376571445965016</v>
      </c>
      <c r="CS432" s="655">
        <f>+SUM(CO432:CR432)</f>
        <v>73.804043509037911</v>
      </c>
      <c r="CT432" s="48"/>
      <c r="CU432" s="656">
        <f>+CU278</f>
        <v>20.159194314220056</v>
      </c>
      <c r="CV432" s="654">
        <f>+CV278</f>
        <v>22.210659157804862</v>
      </c>
      <c r="CW432" s="654">
        <f>+CW278</f>
        <v>23.513360532233538</v>
      </c>
      <c r="CX432" s="654">
        <f>+CX278</f>
        <v>31.581802435980958</v>
      </c>
      <c r="CY432" s="655">
        <f>+SUM(CU432:CX432)</f>
        <v>97.46501644023941</v>
      </c>
      <c r="CZ432" s="48"/>
      <c r="DD432" s="48"/>
      <c r="DE432" s="48"/>
      <c r="DF432" s="48"/>
      <c r="DG432" s="48"/>
      <c r="DH432" s="48"/>
      <c r="DI432" s="48"/>
      <c r="DJ432" s="48"/>
      <c r="DK432" s="48"/>
    </row>
    <row r="433" spans="1:115" x14ac:dyDescent="0.2">
      <c r="A433" s="205" t="s">
        <v>503</v>
      </c>
      <c r="B433" s="48"/>
      <c r="C433" s="685"/>
      <c r="D433" s="578"/>
      <c r="E433" s="578"/>
      <c r="F433" s="582"/>
      <c r="G433" s="707"/>
      <c r="H433" s="48"/>
      <c r="I433" s="685"/>
      <c r="J433" s="578"/>
      <c r="K433" s="578"/>
      <c r="L433" s="582"/>
      <c r="M433" s="707"/>
      <c r="N433" s="48"/>
      <c r="O433" s="685"/>
      <c r="P433" s="578"/>
      <c r="Q433" s="578"/>
      <c r="R433" s="582"/>
      <c r="S433" s="707"/>
      <c r="T433" s="48"/>
      <c r="U433" s="685"/>
      <c r="V433" s="578"/>
      <c r="W433" s="578"/>
      <c r="X433" s="582"/>
      <c r="Y433" s="707"/>
      <c r="Z433" s="48"/>
      <c r="AA433" s="685"/>
      <c r="AB433" s="578"/>
      <c r="AC433" s="578"/>
      <c r="AD433" s="582"/>
      <c r="AE433" s="707"/>
      <c r="AF433" s="48"/>
      <c r="AG433" s="656">
        <f>+AG304</f>
        <v>0</v>
      </c>
      <c r="AH433" s="654">
        <f>+AH304</f>
        <v>0</v>
      </c>
      <c r="AI433" s="654">
        <f>+AI304</f>
        <v>0</v>
      </c>
      <c r="AJ433" s="654">
        <f>+AJ304</f>
        <v>0</v>
      </c>
      <c r="AK433" s="655">
        <f>+SUM(AG433:AJ433)</f>
        <v>0</v>
      </c>
      <c r="AL433" s="48"/>
      <c r="AM433" s="656">
        <f>+AM304</f>
        <v>0</v>
      </c>
      <c r="AN433" s="654">
        <f>+AN304</f>
        <v>0</v>
      </c>
      <c r="AO433" s="654">
        <f>+AO304</f>
        <v>0</v>
      </c>
      <c r="AP433" s="654">
        <f>+AP304</f>
        <v>0</v>
      </c>
      <c r="AQ433" s="655">
        <f>+SUM(AM433:AP433)</f>
        <v>0</v>
      </c>
      <c r="AR433" s="48"/>
      <c r="AS433" s="656">
        <f>+AS304</f>
        <v>0</v>
      </c>
      <c r="AT433" s="654">
        <f>+AT304</f>
        <v>0</v>
      </c>
      <c r="AU433" s="654">
        <f>+AU304</f>
        <v>0</v>
      </c>
      <c r="AV433" s="654">
        <f>+AV304</f>
        <v>0</v>
      </c>
      <c r="AW433" s="655">
        <f>+SUM(AS433:AV433)</f>
        <v>0</v>
      </c>
      <c r="AX433" s="48"/>
      <c r="AY433" s="656">
        <f>+AY304</f>
        <v>0.54673182478793503</v>
      </c>
      <c r="AZ433" s="654">
        <f>+AZ304</f>
        <v>0.55485177617863379</v>
      </c>
      <c r="BA433" s="654">
        <f>+BA304</f>
        <v>0.5343574344360541</v>
      </c>
      <c r="BB433" s="654">
        <f>+BB304</f>
        <v>0.40537397457954316</v>
      </c>
      <c r="BC433" s="655">
        <f>+SUM(AY433:BB433)</f>
        <v>2.0413150099821662</v>
      </c>
      <c r="BD433" s="48"/>
      <c r="BE433" s="656">
        <f>+BE304</f>
        <v>0.69638995566862394</v>
      </c>
      <c r="BF433" s="654">
        <f>+BF304</f>
        <v>0.74749800145682377</v>
      </c>
      <c r="BG433" s="654">
        <f>+BG304</f>
        <v>0.75691061976949714</v>
      </c>
      <c r="BH433" s="654">
        <f>+BH304</f>
        <v>0.9391591388023397</v>
      </c>
      <c r="BI433" s="655">
        <f>+SUM(BE433:BH433)</f>
        <v>3.1399577156972844</v>
      </c>
      <c r="BJ433" s="48"/>
      <c r="BK433" s="656">
        <f>+BK304</f>
        <v>1.1309668884619166</v>
      </c>
      <c r="BL433" s="654">
        <f>+BL304</f>
        <v>1.1863377354538212</v>
      </c>
      <c r="BM433" s="654">
        <f>+BM304</f>
        <v>1.1910726269177045</v>
      </c>
      <c r="BN433" s="654">
        <f>+BN304</f>
        <v>1.2811711297639865</v>
      </c>
      <c r="BO433" s="655">
        <f>+SUM(BK433:BN433)</f>
        <v>4.789548380597429</v>
      </c>
      <c r="BP433" s="48"/>
      <c r="BQ433" s="656">
        <f>+BQ304</f>
        <v>1.3886396177896176</v>
      </c>
      <c r="BR433" s="654">
        <f>+BR304</f>
        <v>2.0275503230364151</v>
      </c>
      <c r="BS433" s="654">
        <f>+BS304</f>
        <v>2.0410895458601868</v>
      </c>
      <c r="BT433" s="654">
        <f>+BT304</f>
        <v>2.1211916100041068</v>
      </c>
      <c r="BU433" s="655">
        <f>+SUM(BQ433:BT433)</f>
        <v>7.5784710966903273</v>
      </c>
      <c r="BV433" s="48"/>
      <c r="BW433" s="656">
        <f>+BW304</f>
        <v>1.5601896458495474</v>
      </c>
      <c r="BX433" s="654">
        <f>+BX304</f>
        <v>1.9229032940507129</v>
      </c>
      <c r="BY433" s="654">
        <f>+BY304</f>
        <v>2.4123211581851156</v>
      </c>
      <c r="BZ433" s="654">
        <f>+BZ304</f>
        <v>2.9936134079765266</v>
      </c>
      <c r="CA433" s="655">
        <f>+SUM(BW433:BZ433)</f>
        <v>8.8890275060619022</v>
      </c>
      <c r="CB433" s="48"/>
      <c r="CC433" s="656">
        <f>+CC304</f>
        <v>1.9628519840918242</v>
      </c>
      <c r="CD433" s="654">
        <f>+CD304</f>
        <v>2.5980058585308359</v>
      </c>
      <c r="CE433" s="654">
        <f>+CE304</f>
        <v>2.4877149368536053</v>
      </c>
      <c r="CF433" s="654">
        <f>+CF304</f>
        <v>2.9475117152325492</v>
      </c>
      <c r="CG433" s="655">
        <f>+SUM(CC433:CF433)</f>
        <v>9.9960844947088141</v>
      </c>
      <c r="CH433" s="48"/>
      <c r="CI433" s="656">
        <f>+CI304</f>
        <v>1.9623113821176124</v>
      </c>
      <c r="CJ433" s="654">
        <f>+CJ304</f>
        <v>2.6716643683292922</v>
      </c>
      <c r="CK433" s="654">
        <f>+CK304</f>
        <v>2.8361086389850816</v>
      </c>
      <c r="CL433" s="654">
        <f>+CL304</f>
        <v>3.4397445169986471</v>
      </c>
      <c r="CM433" s="655">
        <f>+SUM(CI433:CL433)</f>
        <v>10.909828906430633</v>
      </c>
      <c r="CN433" s="48"/>
      <c r="CO433" s="656">
        <f>+CO304</f>
        <v>3.9718760172710024</v>
      </c>
      <c r="CP433" s="654">
        <f>+CP304</f>
        <v>3.9813428941272466</v>
      </c>
      <c r="CQ433" s="654">
        <f>+CQ304</f>
        <v>4.2811590573421681</v>
      </c>
      <c r="CR433" s="654">
        <f>+CR304</f>
        <v>4.0278667833404</v>
      </c>
      <c r="CS433" s="655">
        <f>+SUM(CO433:CR433)</f>
        <v>16.262244752080818</v>
      </c>
      <c r="CT433" s="48"/>
      <c r="CU433" s="656">
        <f>+CU304</f>
        <v>5.6252219099679523</v>
      </c>
      <c r="CV433" s="654">
        <f>+CV304</f>
        <v>6.0547789346493754</v>
      </c>
      <c r="CW433" s="654">
        <f>+CW304</f>
        <v>6.4426923200206101</v>
      </c>
      <c r="CX433" s="654">
        <f>+CX304</f>
        <v>6.5828591700944985</v>
      </c>
      <c r="CY433" s="655">
        <f>+SUM(CU433:CX433)</f>
        <v>24.705552334732435</v>
      </c>
      <c r="CZ433" s="48"/>
      <c r="DD433" s="48"/>
      <c r="DE433" s="48"/>
      <c r="DF433" s="48"/>
      <c r="DG433" s="48"/>
      <c r="DH433" s="48"/>
      <c r="DI433" s="48"/>
      <c r="DJ433" s="48"/>
      <c r="DK433" s="48"/>
    </row>
    <row r="434" spans="1:115" x14ac:dyDescent="0.2">
      <c r="A434" s="205" t="s">
        <v>549</v>
      </c>
      <c r="B434" s="48"/>
      <c r="C434" s="685"/>
      <c r="D434" s="578"/>
      <c r="E434" s="578"/>
      <c r="F434" s="582"/>
      <c r="G434" s="707"/>
      <c r="H434" s="48"/>
      <c r="I434" s="685"/>
      <c r="J434" s="578"/>
      <c r="K434" s="578"/>
      <c r="L434" s="582"/>
      <c r="M434" s="707"/>
      <c r="N434" s="48"/>
      <c r="O434" s="685"/>
      <c r="P434" s="578"/>
      <c r="Q434" s="578"/>
      <c r="R434" s="582"/>
      <c r="S434" s="707"/>
      <c r="T434" s="48"/>
      <c r="U434" s="685"/>
      <c r="V434" s="578"/>
      <c r="W434" s="578"/>
      <c r="X434" s="582"/>
      <c r="Y434" s="707"/>
      <c r="Z434" s="48"/>
      <c r="AA434" s="685"/>
      <c r="AB434" s="578"/>
      <c r="AC434" s="578"/>
      <c r="AD434" s="582"/>
      <c r="AE434" s="707"/>
      <c r="AF434" s="48"/>
      <c r="AG434" s="656">
        <f>+AG415-SUM(AG426:AG433)</f>
        <v>37.27165490935036</v>
      </c>
      <c r="AH434" s="654">
        <f>+AH415-SUM(AH426:AH433)</f>
        <v>45.871364923632974</v>
      </c>
      <c r="AI434" s="654">
        <f>+AI415-SUM(AI426:AI433)</f>
        <v>53.123180783883868</v>
      </c>
      <c r="AJ434" s="654">
        <f>+AJ415-SUM(AJ426:AJ433)</f>
        <v>51.688663033678722</v>
      </c>
      <c r="AK434" s="655">
        <f>+AK415-SUM(AK426:AK433)</f>
        <v>187.95486365054592</v>
      </c>
      <c r="AL434" s="48"/>
      <c r="AM434" s="656">
        <f>+AM415-SUM(AM426:AM433)</f>
        <v>44.759694096195986</v>
      </c>
      <c r="AN434" s="654">
        <f>+AN415-SUM(AN426:AN433)</f>
        <v>44.721357656107195</v>
      </c>
      <c r="AO434" s="654">
        <f>+AO415-SUM(AO426:AO433)</f>
        <v>51.551592706276843</v>
      </c>
      <c r="AP434" s="654">
        <f>+AP415-SUM(AP426:AP433)</f>
        <v>55.911030334736481</v>
      </c>
      <c r="AQ434" s="655">
        <f>+AQ415-SUM(AQ426:AQ433)</f>
        <v>196.94367479331649</v>
      </c>
      <c r="AR434" s="48"/>
      <c r="AS434" s="656">
        <f>+AS415-SUM(AS426:AS433)</f>
        <v>46.766955200100767</v>
      </c>
      <c r="AT434" s="654">
        <f>+AT415-SUM(AT426:AT433)</f>
        <v>50.74863883326374</v>
      </c>
      <c r="AU434" s="654">
        <f>+AU415-SUM(AU426:AU433)</f>
        <v>49.604009538309711</v>
      </c>
      <c r="AV434" s="654">
        <f>+AV415-SUM(AV426:AV433)</f>
        <v>64.217708427838801</v>
      </c>
      <c r="AW434" s="655">
        <f>+AW415-SUM(AW426:AW433)</f>
        <v>211.33731199951299</v>
      </c>
      <c r="AX434" s="48"/>
      <c r="AY434" s="656">
        <f>+AY415-SUM(AY426:AY433)</f>
        <v>48.26978444818014</v>
      </c>
      <c r="AZ434" s="654">
        <f>+AZ415-SUM(AZ426:AZ433)</f>
        <v>53.596800663513605</v>
      </c>
      <c r="BA434" s="654">
        <f>+BA415-SUM(BA426:BA433)</f>
        <v>51.848825497200153</v>
      </c>
      <c r="BB434" s="654">
        <f>+BB415-SUM(BB426:BB433)</f>
        <v>74.315910358347764</v>
      </c>
      <c r="BC434" s="655">
        <f>+BC415-SUM(BC426:BC433)</f>
        <v>228.03132096724164</v>
      </c>
      <c r="BD434" s="48"/>
      <c r="BE434" s="656">
        <f>+BE415-SUM(BE426:BE433)</f>
        <v>49.416497937277342</v>
      </c>
      <c r="BF434" s="654">
        <f>+BF415-SUM(BF426:BF433)</f>
        <v>54.210401183115181</v>
      </c>
      <c r="BG434" s="654">
        <f>+BG415-SUM(BG426:BG433)</f>
        <v>53.065547469868498</v>
      </c>
      <c r="BH434" s="654">
        <f>+BH415-SUM(BH426:BH433)</f>
        <v>68.216354201109425</v>
      </c>
      <c r="BI434" s="655">
        <f>+BI415-SUM(BI426:BI433)</f>
        <v>224.9088007913704</v>
      </c>
      <c r="BJ434" s="48"/>
      <c r="BK434" s="656">
        <f>+BK415-SUM(BK426:BK433)</f>
        <v>50.034796955316224</v>
      </c>
      <c r="BL434" s="654">
        <f>+BL415-SUM(BL426:BL433)</f>
        <v>56.273317574096268</v>
      </c>
      <c r="BM434" s="654">
        <f>+BM415-SUM(BM426:BM433)</f>
        <v>56.595015419222207</v>
      </c>
      <c r="BN434" s="654">
        <f>+BN415-SUM(BN426:BN433)</f>
        <v>55.293296617509284</v>
      </c>
      <c r="BO434" s="655">
        <f>+BO415-SUM(BO426:BO433)</f>
        <v>218.196426566144</v>
      </c>
      <c r="BP434" s="48"/>
      <c r="BQ434" s="656">
        <f>+BQ415-SUM(BQ426:BQ433)</f>
        <v>47.398055867566129</v>
      </c>
      <c r="BR434" s="654">
        <f>+BR415-SUM(BR426:BR433)</f>
        <v>53.9475258923392</v>
      </c>
      <c r="BS434" s="654">
        <f>+BS415-SUM(BS426:BS433)</f>
        <v>51.276685733651021</v>
      </c>
      <c r="BT434" s="654">
        <f>+BT415-SUM(BT426:BT433)</f>
        <v>59.931358512046302</v>
      </c>
      <c r="BU434" s="655">
        <f>+BU415-SUM(BU426:BU433)</f>
        <v>212.55362600560261</v>
      </c>
      <c r="BV434" s="48"/>
      <c r="BW434" s="656">
        <f>+BW415-SUM(BW426:BW433)</f>
        <v>32.479016129155845</v>
      </c>
      <c r="BX434" s="654">
        <f>+BX415-SUM(BX426:BX433)</f>
        <v>41.986337853360723</v>
      </c>
      <c r="BY434" s="654">
        <f>+BY415-SUM(BY426:BY433)</f>
        <v>51.283083946290439</v>
      </c>
      <c r="BZ434" s="654">
        <f>+BZ415-SUM(BZ426:BZ433)</f>
        <v>65.072849673544553</v>
      </c>
      <c r="CA434" s="655">
        <f>+CA415-SUM(CA426:CA433)</f>
        <v>190.82128760235156</v>
      </c>
      <c r="CB434" s="48"/>
      <c r="CC434" s="656">
        <f>+CC415-SUM(CC426:CC433)</f>
        <v>33.009069923367548</v>
      </c>
      <c r="CD434" s="654">
        <f>+CD415-SUM(CD426:CD433)</f>
        <v>46.179847465245622</v>
      </c>
      <c r="CE434" s="654">
        <f>+CE415-SUM(CE426:CE433)</f>
        <v>48.446871259415779</v>
      </c>
      <c r="CF434" s="654">
        <f>+CF415-SUM(CF426:CF433)</f>
        <v>61.561144873116618</v>
      </c>
      <c r="CG434" s="655">
        <f>+CG415-SUM(CG426:CG433)</f>
        <v>189.19693352114561</v>
      </c>
      <c r="CH434" s="48"/>
      <c r="CI434" s="656">
        <f>+CI415-SUM(CI426:CI433)</f>
        <v>40.087423665603204</v>
      </c>
      <c r="CJ434" s="654">
        <f>+CJ415-SUM(CJ426:CJ433)</f>
        <v>54.479393257901691</v>
      </c>
      <c r="CK434" s="654">
        <f>+CK415-SUM(CK426:CK433)</f>
        <v>50.828009311514677</v>
      </c>
      <c r="CL434" s="654">
        <f>+CL415-SUM(CL426:CL433)</f>
        <v>63.079645634151817</v>
      </c>
      <c r="CM434" s="655">
        <f>+CM415-SUM(CM426:CM433)</f>
        <v>208.4744718691714</v>
      </c>
      <c r="CN434" s="48"/>
      <c r="CO434" s="656">
        <f>+CO415-SUM(CO426:CO433)</f>
        <v>41.203984740869537</v>
      </c>
      <c r="CP434" s="654">
        <f>+CP415-SUM(CP426:CP433)</f>
        <v>51.891814882868083</v>
      </c>
      <c r="CQ434" s="654">
        <f>+CQ415-SUM(CQ426:CQ433)</f>
        <v>51.864065748070601</v>
      </c>
      <c r="CR434" s="654">
        <f>+CR415-SUM(CR426:CR433)</f>
        <v>63.244803469585747</v>
      </c>
      <c r="CS434" s="655">
        <f>+CS415-SUM(CS426:CS433)</f>
        <v>208.20466884139404</v>
      </c>
      <c r="CT434" s="48"/>
      <c r="CU434" s="656">
        <f>+CU415-SUM(CU426:CU433)</f>
        <v>42.464972997797275</v>
      </c>
      <c r="CV434" s="654">
        <f>+CV415-SUM(CV426:CV433)</f>
        <v>53.799190692543092</v>
      </c>
      <c r="CW434" s="654">
        <f>+CW415-SUM(CW426:CW433)</f>
        <v>53.162774543467378</v>
      </c>
      <c r="CX434" s="654">
        <f>+CX415-SUM(CX426:CX433)</f>
        <v>64.698442850297454</v>
      </c>
      <c r="CY434" s="655">
        <f>+CY415-SUM(CY426:CY433)</f>
        <v>214.12538108410519</v>
      </c>
      <c r="CZ434" s="48"/>
      <c r="DD434" s="48"/>
      <c r="DE434" s="48"/>
      <c r="DF434" s="48"/>
      <c r="DG434" s="48"/>
      <c r="DH434" s="48"/>
      <c r="DI434" s="48"/>
      <c r="DJ434" s="48"/>
      <c r="DK434" s="48"/>
    </row>
    <row r="435" spans="1:115" x14ac:dyDescent="0.2">
      <c r="A435" s="1139" t="s">
        <v>464</v>
      </c>
      <c r="B435" s="48"/>
      <c r="C435" s="685"/>
      <c r="D435" s="578"/>
      <c r="E435" s="578"/>
      <c r="F435" s="582"/>
      <c r="G435" s="707"/>
      <c r="H435" s="48"/>
      <c r="I435" s="685"/>
      <c r="J435" s="578"/>
      <c r="K435" s="578"/>
      <c r="L435" s="582"/>
      <c r="M435" s="707"/>
      <c r="N435" s="48"/>
      <c r="O435" s="685"/>
      <c r="P435" s="578"/>
      <c r="Q435" s="578"/>
      <c r="R435" s="582"/>
      <c r="S435" s="707"/>
      <c r="T435" s="48"/>
      <c r="U435" s="685"/>
      <c r="V435" s="578"/>
      <c r="W435" s="578"/>
      <c r="X435" s="582"/>
      <c r="Y435" s="707"/>
      <c r="Z435" s="48"/>
      <c r="AA435" s="685"/>
      <c r="AB435" s="578"/>
      <c r="AC435" s="578"/>
      <c r="AD435" s="582"/>
      <c r="AE435" s="707"/>
      <c r="AF435" s="48"/>
      <c r="AG435" s="1131">
        <f>+IF(ISERROR(AG426/AG376),0,AG426/AG376)</f>
        <v>0.39407444790954727</v>
      </c>
      <c r="AH435" s="1132">
        <f>+IF(ISERROR(AH426/AH376),0,AH426/AH376)</f>
        <v>0.42785772581155568</v>
      </c>
      <c r="AI435" s="1132">
        <f>+IF(ISERROR(AI426/AI376),0,AI426/AI376)</f>
        <v>0.43681963652328631</v>
      </c>
      <c r="AJ435" s="1132">
        <f>+IF(ISERROR(AJ426/AJ376),0,AJ426/AJ376)</f>
        <v>0.42136228464033298</v>
      </c>
      <c r="AK435" s="1117">
        <f>+IF(ISERROR(AK426/AK376),0,AK426/AK376)</f>
        <v>0.42091148976998344</v>
      </c>
      <c r="AL435" s="48"/>
      <c r="AM435" s="1131">
        <f>+IF(ISERROR(AM426/AM376),0,AM426/AM376)</f>
        <v>0.40771904376963697</v>
      </c>
      <c r="AN435" s="1132">
        <f>+IF(ISERROR(AN426/AN376),0,AN426/AN376)</f>
        <v>0.40288562326257521</v>
      </c>
      <c r="AO435" s="1132">
        <f>+IF(ISERROR(AO426/AO376),0,AO426/AO376)</f>
        <v>0.41660684352182914</v>
      </c>
      <c r="AP435" s="1132">
        <f>+IF(ISERROR(AP426/AP376),0,AP426/AP376)</f>
        <v>0.41415548766914062</v>
      </c>
      <c r="AQ435" s="1117">
        <f>+IF(ISERROR(AQ426/AQ376),0,AQ426/AQ376)</f>
        <v>0.41007388858812838</v>
      </c>
      <c r="AR435" s="48"/>
      <c r="AS435" s="1131">
        <f>+IF(ISERROR(AS426/AS376),0,AS426/AS376)</f>
        <v>0.38798659231465488</v>
      </c>
      <c r="AT435" s="1132">
        <f>+IF(ISERROR(AT426/AT376),0,AT426/AT376)</f>
        <v>0.39313983045352879</v>
      </c>
      <c r="AU435" s="1132">
        <f>+IF(ISERROR(AU426/AU376),0,AU426/AU376)</f>
        <v>0.38652096984422063</v>
      </c>
      <c r="AV435" s="1132">
        <f>+IF(ISERROR(AV426/AV376),0,AV426/AV376)</f>
        <v>0.44508276385540768</v>
      </c>
      <c r="AW435" s="1117">
        <f>+IF(ISERROR(AW426/AW376),0,AW426/AW376)</f>
        <v>0.40320976416112791</v>
      </c>
      <c r="AX435" s="48"/>
      <c r="AY435" s="1131">
        <f>+IF(ISERROR(AY426/AY376),0,AY426/AY376)</f>
        <v>0.39391496684394045</v>
      </c>
      <c r="AZ435" s="1132">
        <f>+IF(ISERROR(AZ426/AZ376),0,AZ426/AZ376)</f>
        <v>0.39869729892119227</v>
      </c>
      <c r="BA435" s="1132">
        <f>+IF(ISERROR(BA426/BA376),0,BA426/BA376)</f>
        <v>0.38662693751115124</v>
      </c>
      <c r="BB435" s="1132">
        <f>+IF(ISERROR(BB426/BB376),0,BB426/BB376)</f>
        <v>0.4158680421899541</v>
      </c>
      <c r="BC435" s="1117">
        <f>+IF(ISERROR(BC426/BC376),0,BC426/BC376)</f>
        <v>0.3980281022123725</v>
      </c>
      <c r="BD435" s="48"/>
      <c r="BE435" s="1131">
        <f>+IF(ISERROR(BE426/BE376),0,BE426/BE376)</f>
        <v>0.39021498231830942</v>
      </c>
      <c r="BF435" s="1132">
        <f>+IF(ISERROR(BF426/BF376),0,BF426/BF376)</f>
        <v>0.41367452188059545</v>
      </c>
      <c r="BG435" s="1132">
        <f>+IF(ISERROR(BG426/BG376),0,BG426/BG376)</f>
        <v>0.41799508801231483</v>
      </c>
      <c r="BH435" s="1132">
        <f>+IF(ISERROR(BH426/BH376),0,BH426/BH376)</f>
        <v>0.43052755012686716</v>
      </c>
      <c r="BI435" s="1117">
        <f>+IF(ISERROR(BI426/BI376),0,BI426/BI376)</f>
        <v>0.41343993614210556</v>
      </c>
      <c r="BJ435" s="48"/>
      <c r="BK435" s="1131">
        <f>+IF(ISERROR(BK426/BK376),0,BK426/BK376)</f>
        <v>0.3564427632191573</v>
      </c>
      <c r="BL435" s="1132">
        <f>+IF(ISERROR(BL426/BL376),0,BL426/BL376)</f>
        <v>0.37178518095876212</v>
      </c>
      <c r="BM435" s="1132">
        <f>+IF(ISERROR(BM426/BM376),0,BM426/BM376)</f>
        <v>0.37309714721423959</v>
      </c>
      <c r="BN435" s="1132">
        <f>+IF(ISERROR(BN426/BN376),0,BN426/BN376)</f>
        <v>0.3648957655084144</v>
      </c>
      <c r="BO435" s="1117">
        <f>+IF(ISERROR(BO426/BO376),0,BO426/BO376)</f>
        <v>0.36634505140781604</v>
      </c>
      <c r="BP435" s="48"/>
      <c r="BQ435" s="1131">
        <f>+IF(ISERROR(BQ426/BQ376),0,BQ426/BQ376)</f>
        <v>0.3189881829187044</v>
      </c>
      <c r="BR435" s="1132">
        <f>+IF(ISERROR(BR426/BR376),0,BR426/BR376)</f>
        <v>0.36169335260291408</v>
      </c>
      <c r="BS435" s="1132">
        <f>+IF(ISERROR(BS426/BS376),0,BS426/BS376)</f>
        <v>0.3640479148767955</v>
      </c>
      <c r="BT435" s="1132">
        <f>+IF(ISERROR(BT426/BT376),0,BT426/BT376)</f>
        <v>0.38130397864894922</v>
      </c>
      <c r="BU435" s="1117">
        <f>+IF(ISERROR(BU426/BU376),0,BU426/BU376)</f>
        <v>0.35588949525985603</v>
      </c>
      <c r="BV435" s="48"/>
      <c r="BW435" s="1131">
        <f>+IF(ISERROR(BW426/BW376),0,BW426/BW376)</f>
        <v>0.30239268612856712</v>
      </c>
      <c r="BX435" s="1132">
        <f>+IF(ISERROR(BX426/BX376),0,BX426/BX376)</f>
        <v>0.30645879023701494</v>
      </c>
      <c r="BY435" s="1132">
        <f>+IF(ISERROR(BY426/BY376),0,BY426/BY376)</f>
        <v>0.34324511771039812</v>
      </c>
      <c r="BZ435" s="1132">
        <f>+IF(ISERROR(BZ426/BZ376),0,BZ426/BZ376)</f>
        <v>0.39530851452819815</v>
      </c>
      <c r="CA435" s="1117">
        <f>+IF(ISERROR(CA426/CA376),0,CA426/CA376)</f>
        <v>0.34200584405965045</v>
      </c>
      <c r="CB435" s="48"/>
      <c r="CC435" s="1131">
        <f t="shared" ref="CC435" si="187">+IF(ISERROR(CC426/CC376),0,CC426/CC376)</f>
        <v>0.30006763931299468</v>
      </c>
      <c r="CD435" s="1132">
        <f>+IF(ISERROR(CD426/CD376),0,CD426/CD376)</f>
        <v>0.34631432642623083</v>
      </c>
      <c r="CE435" s="1132">
        <f t="shared" ref="CE435:CF435" si="188">+IF(ISERROR(CE426/CE376),0,CE426/CE376)</f>
        <v>0.35765860048669201</v>
      </c>
      <c r="CF435" s="1132">
        <f t="shared" si="188"/>
        <v>0.4041371143271158</v>
      </c>
      <c r="CG435" s="1117">
        <f>+IF(ISERROR(CG426/CG376),0,CG426/CG376)</f>
        <v>0.35975274649163741</v>
      </c>
      <c r="CH435" s="48"/>
      <c r="CI435" s="1131">
        <f t="shared" ref="CI435:CM443" si="189">+IF(ISERROR(CI426/CI376),0,CI426/CI376)</f>
        <v>0.28953492038767364</v>
      </c>
      <c r="CJ435" s="1132">
        <f t="shared" si="189"/>
        <v>0.33192333842601301</v>
      </c>
      <c r="CK435" s="1132">
        <f t="shared" si="189"/>
        <v>0.33815350999289856</v>
      </c>
      <c r="CL435" s="1132">
        <f t="shared" si="189"/>
        <v>0.38402771780956801</v>
      </c>
      <c r="CM435" s="1117">
        <f t="shared" si="189"/>
        <v>0.33970033991510329</v>
      </c>
      <c r="CN435" s="48"/>
      <c r="CO435" s="1131">
        <f t="shared" ref="CO435:CS443" si="190">+IF(ISERROR(CO426/CO376),0,CO426/CO376)</f>
        <v>0.31553492038767356</v>
      </c>
      <c r="CP435" s="1132">
        <f t="shared" si="190"/>
        <v>0.33792333842601296</v>
      </c>
      <c r="CQ435" s="1132">
        <f t="shared" si="190"/>
        <v>0.35415350999289857</v>
      </c>
      <c r="CR435" s="1132">
        <f t="shared" si="190"/>
        <v>0.39002771780956791</v>
      </c>
      <c r="CS435" s="1117">
        <f t="shared" si="190"/>
        <v>0.35252200814193058</v>
      </c>
      <c r="CT435" s="48"/>
      <c r="CU435" s="1131">
        <f t="shared" ref="CU435:CY443" si="191">+IF(ISERROR(CU426/CU376),0,CU426/CU376)</f>
        <v>0.33053492038767357</v>
      </c>
      <c r="CV435" s="1132">
        <f t="shared" si="191"/>
        <v>0.35292333842601298</v>
      </c>
      <c r="CW435" s="1132">
        <f t="shared" si="191"/>
        <v>0.36915350999289853</v>
      </c>
      <c r="CX435" s="1132">
        <f t="shared" si="191"/>
        <v>0.40502771780956803</v>
      </c>
      <c r="CY435" s="1117">
        <f t="shared" si="191"/>
        <v>0.36743787652907323</v>
      </c>
      <c r="CZ435" s="48"/>
      <c r="DD435" s="48"/>
      <c r="DE435" s="48"/>
      <c r="DF435" s="48"/>
      <c r="DG435" s="48"/>
      <c r="DH435" s="48"/>
      <c r="DI435" s="48"/>
      <c r="DJ435" s="48"/>
      <c r="DK435" s="48"/>
    </row>
    <row r="436" spans="1:115" x14ac:dyDescent="0.2">
      <c r="A436" s="2164" t="s">
        <v>726</v>
      </c>
      <c r="B436" s="48"/>
      <c r="C436" s="2163"/>
      <c r="D436" s="578"/>
      <c r="E436" s="578"/>
      <c r="F436" s="582"/>
      <c r="G436" s="2134"/>
      <c r="H436" s="48"/>
      <c r="I436" s="2163"/>
      <c r="J436" s="578"/>
      <c r="K436" s="578"/>
      <c r="L436" s="582"/>
      <c r="M436" s="2134"/>
      <c r="N436" s="48"/>
      <c r="O436" s="2163"/>
      <c r="P436" s="578"/>
      <c r="Q436" s="578"/>
      <c r="R436" s="582"/>
      <c r="S436" s="2134"/>
      <c r="T436" s="48"/>
      <c r="U436" s="2163"/>
      <c r="V436" s="578"/>
      <c r="W436" s="578"/>
      <c r="X436" s="582"/>
      <c r="Y436" s="2134"/>
      <c r="Z436" s="48"/>
      <c r="AA436" s="2163"/>
      <c r="AB436" s="578"/>
      <c r="AC436" s="578"/>
      <c r="AD436" s="582"/>
      <c r="AE436" s="2134"/>
      <c r="AF436" s="48"/>
      <c r="AG436" s="2133"/>
      <c r="AH436" s="1132"/>
      <c r="AI436" s="1132"/>
      <c r="AJ436" s="1132"/>
      <c r="AK436" s="2160"/>
      <c r="AL436" s="48"/>
      <c r="AM436" s="2133"/>
      <c r="AN436" s="1132"/>
      <c r="AO436" s="1132"/>
      <c r="AP436" s="1132"/>
      <c r="AQ436" s="2160"/>
      <c r="AR436" s="48"/>
      <c r="AS436" s="2133"/>
      <c r="AT436" s="1132"/>
      <c r="AU436" s="1132"/>
      <c r="AV436" s="1132"/>
      <c r="AW436" s="2160"/>
      <c r="AX436" s="48"/>
      <c r="AY436" s="2133"/>
      <c r="AZ436" s="1132"/>
      <c r="BA436" s="1132"/>
      <c r="BB436" s="1132"/>
      <c r="BC436" s="2160"/>
      <c r="BD436" s="48"/>
      <c r="BE436" s="2133"/>
      <c r="BF436" s="1132"/>
      <c r="BG436" s="1132"/>
      <c r="BH436" s="1132"/>
      <c r="BI436" s="2160"/>
      <c r="BJ436" s="48"/>
      <c r="BK436" s="2133"/>
      <c r="BL436" s="1132"/>
      <c r="BM436" s="1132"/>
      <c r="BN436" s="1132"/>
      <c r="BO436" s="2160"/>
      <c r="BP436" s="48"/>
      <c r="BQ436" s="2133"/>
      <c r="BR436" s="1132"/>
      <c r="BS436" s="1132"/>
      <c r="BT436" s="1132"/>
      <c r="BU436" s="2160"/>
      <c r="BV436" s="48"/>
      <c r="BW436" s="2133"/>
      <c r="BX436" s="1132"/>
      <c r="BY436" s="1132"/>
      <c r="BZ436" s="1132"/>
      <c r="CA436" s="2160"/>
      <c r="CB436" s="48"/>
      <c r="CC436" s="2133"/>
      <c r="CD436" s="1132"/>
      <c r="CE436" s="1132"/>
      <c r="CF436" s="1132"/>
      <c r="CG436" s="2160"/>
      <c r="CH436" s="48"/>
      <c r="CI436" s="1131">
        <f t="shared" si="189"/>
        <v>0</v>
      </c>
      <c r="CJ436" s="1132">
        <f t="shared" si="189"/>
        <v>0</v>
      </c>
      <c r="CK436" s="1132">
        <f t="shared" si="189"/>
        <v>-1.651282051282051</v>
      </c>
      <c r="CL436" s="1132">
        <f t="shared" si="189"/>
        <v>-0.45056382978723403</v>
      </c>
      <c r="CM436" s="1117">
        <f t="shared" si="189"/>
        <v>-2.7047009132420095</v>
      </c>
      <c r="CN436" s="48"/>
      <c r="CO436" s="1131">
        <f t="shared" si="190"/>
        <v>-0.44122681883024267</v>
      </c>
      <c r="CP436" s="1132">
        <f t="shared" si="190"/>
        <v>0.26883467821621143</v>
      </c>
      <c r="CQ436" s="1132">
        <f t="shared" si="190"/>
        <v>0.28506484978309699</v>
      </c>
      <c r="CR436" s="1132">
        <f t="shared" si="190"/>
        <v>0.32093905759976643</v>
      </c>
      <c r="CS436" s="1117">
        <f t="shared" si="190"/>
        <v>0.20379945758400045</v>
      </c>
      <c r="CT436" s="48"/>
      <c r="CU436" s="1131">
        <f t="shared" si="191"/>
        <v>0.26144626017787198</v>
      </c>
      <c r="CV436" s="1132">
        <f t="shared" si="191"/>
        <v>0.28383467821621144</v>
      </c>
      <c r="CW436" s="1132">
        <f t="shared" si="191"/>
        <v>0.30006484978309694</v>
      </c>
      <c r="CX436" s="1132">
        <f t="shared" si="191"/>
        <v>0.3359390575997665</v>
      </c>
      <c r="CY436" s="1117">
        <f t="shared" si="191"/>
        <v>0.29902931916938819</v>
      </c>
      <c r="CZ436" s="48"/>
      <c r="DD436" s="48"/>
      <c r="DE436" s="48"/>
      <c r="DF436" s="48"/>
      <c r="DG436" s="48"/>
      <c r="DH436" s="48"/>
      <c r="DI436" s="48"/>
      <c r="DJ436" s="48"/>
      <c r="DK436" s="48"/>
    </row>
    <row r="437" spans="1:115" x14ac:dyDescent="0.2">
      <c r="A437" s="1139" t="s">
        <v>465</v>
      </c>
      <c r="B437" s="48"/>
      <c r="C437" s="685"/>
      <c r="D437" s="578"/>
      <c r="E437" s="578"/>
      <c r="F437" s="582"/>
      <c r="G437" s="707"/>
      <c r="H437" s="48"/>
      <c r="I437" s="685"/>
      <c r="J437" s="578"/>
      <c r="K437" s="578"/>
      <c r="L437" s="582"/>
      <c r="M437" s="707"/>
      <c r="N437" s="48"/>
      <c r="O437" s="685"/>
      <c r="P437" s="578"/>
      <c r="Q437" s="578"/>
      <c r="R437" s="582"/>
      <c r="S437" s="707"/>
      <c r="T437" s="48"/>
      <c r="U437" s="685"/>
      <c r="V437" s="578"/>
      <c r="W437" s="578"/>
      <c r="X437" s="582"/>
      <c r="Y437" s="707"/>
      <c r="Z437" s="48"/>
      <c r="AA437" s="685"/>
      <c r="AB437" s="578"/>
      <c r="AC437" s="578"/>
      <c r="AD437" s="582"/>
      <c r="AE437" s="707"/>
      <c r="AF437" s="48"/>
      <c r="AG437" s="1131">
        <f t="shared" ref="AG437:AK443" si="192">+IF(ISERROR(AG428/AG378),0,AG428/AG378)</f>
        <v>0</v>
      </c>
      <c r="AH437" s="1132">
        <f t="shared" si="192"/>
        <v>0</v>
      </c>
      <c r="AI437" s="1132">
        <f t="shared" si="192"/>
        <v>0</v>
      </c>
      <c r="AJ437" s="1132">
        <f t="shared" si="192"/>
        <v>0</v>
      </c>
      <c r="AK437" s="1117">
        <f t="shared" si="192"/>
        <v>0</v>
      </c>
      <c r="AL437" s="48"/>
      <c r="AM437" s="1131">
        <f t="shared" ref="AM437:AQ443" si="193">+IF(ISERROR(AM428/AM378),0,AM428/AM378)</f>
        <v>0</v>
      </c>
      <c r="AN437" s="1132">
        <f t="shared" si="193"/>
        <v>0</v>
      </c>
      <c r="AO437" s="1132">
        <f t="shared" si="193"/>
        <v>0</v>
      </c>
      <c r="AP437" s="1132">
        <f t="shared" si="193"/>
        <v>0</v>
      </c>
      <c r="AQ437" s="1117">
        <f t="shared" si="193"/>
        <v>0</v>
      </c>
      <c r="AR437" s="48"/>
      <c r="AS437" s="1131">
        <f t="shared" ref="AS437:AW443" si="194">+IF(ISERROR(AS428/AS378),0,AS428/AS378)</f>
        <v>0</v>
      </c>
      <c r="AT437" s="1132">
        <f t="shared" si="194"/>
        <v>0</v>
      </c>
      <c r="AU437" s="1132">
        <f t="shared" si="194"/>
        <v>0.16652096984422063</v>
      </c>
      <c r="AV437" s="1132">
        <f t="shared" si="194"/>
        <v>0.22508276385540768</v>
      </c>
      <c r="AW437" s="1117">
        <f t="shared" si="194"/>
        <v>0.1963342467953704</v>
      </c>
      <c r="AX437" s="48"/>
      <c r="AY437" s="1131">
        <f t="shared" ref="AY437:BC443" si="195">+IF(ISERROR(AY428/AY378),0,AY428/AY378)</f>
        <v>0.21200354626910509</v>
      </c>
      <c r="AZ437" s="1132">
        <f t="shared" si="195"/>
        <v>0.21678587834635696</v>
      </c>
      <c r="BA437" s="1132">
        <f t="shared" si="195"/>
        <v>0.20471551693631584</v>
      </c>
      <c r="BB437" s="1132">
        <f t="shared" si="195"/>
        <v>0.23395662161511879</v>
      </c>
      <c r="BC437" s="1117">
        <f t="shared" si="195"/>
        <v>0.21745500639051055</v>
      </c>
      <c r="BD437" s="48"/>
      <c r="BE437" s="1131">
        <f t="shared" ref="BE437:BI443" si="196">+IF(ISERROR(BE428/BE378),0,BE428/BE378)</f>
        <v>0.21965588712763223</v>
      </c>
      <c r="BF437" s="1132">
        <f t="shared" si="196"/>
        <v>0.24311542668991823</v>
      </c>
      <c r="BG437" s="1132">
        <f t="shared" si="196"/>
        <v>0.24743599282163767</v>
      </c>
      <c r="BH437" s="1132">
        <f t="shared" si="196"/>
        <v>0.25996845493619009</v>
      </c>
      <c r="BI437" s="1117">
        <f t="shared" si="196"/>
        <v>0.24355670323916134</v>
      </c>
      <c r="BJ437" s="48"/>
      <c r="BK437" s="1131">
        <f t="shared" ref="BK437:BO443" si="197">+IF(ISERROR(BK428/BK378),0,BK428/BK378)</f>
        <v>0.22337368660769472</v>
      </c>
      <c r="BL437" s="1132">
        <f t="shared" si="197"/>
        <v>0.23871610434729948</v>
      </c>
      <c r="BM437" s="1132">
        <f t="shared" si="197"/>
        <v>0.24002807060277706</v>
      </c>
      <c r="BN437" s="1132">
        <f t="shared" si="197"/>
        <v>0.23182668889695185</v>
      </c>
      <c r="BO437" s="1117">
        <f t="shared" si="197"/>
        <v>0.23351220069698522</v>
      </c>
      <c r="BP437" s="48"/>
      <c r="BQ437" s="1131">
        <f t="shared" ref="BQ437:BU443" si="198">+IF(ISERROR(BQ428/BQ378),0,BQ428/BQ378)</f>
        <v>0.21989952270890309</v>
      </c>
      <c r="BR437" s="1132">
        <f t="shared" si="198"/>
        <v>0.26260469239311257</v>
      </c>
      <c r="BS437" s="1132">
        <f t="shared" si="198"/>
        <v>0.2649592546669941</v>
      </c>
      <c r="BT437" s="1132">
        <f t="shared" si="198"/>
        <v>0.28221531843914782</v>
      </c>
      <c r="BU437" s="1117">
        <f t="shared" si="198"/>
        <v>0.25834643858202466</v>
      </c>
      <c r="BV437" s="48"/>
      <c r="BW437" s="1131">
        <f t="shared" ref="BW437:CA443" si="199">+IF(ISERROR(BW428/BW378),0,BW428/BW378)</f>
        <v>0.21080402591876565</v>
      </c>
      <c r="BX437" s="1132">
        <f t="shared" si="199"/>
        <v>0.23237013002721355</v>
      </c>
      <c r="BY437" s="1132">
        <f t="shared" si="199"/>
        <v>0.27665645750059653</v>
      </c>
      <c r="BZ437" s="1132">
        <f t="shared" si="199"/>
        <v>0.33621985431839657</v>
      </c>
      <c r="CA437" s="1117">
        <f t="shared" si="199"/>
        <v>0.26800378261757968</v>
      </c>
      <c r="CB437" s="48"/>
      <c r="CC437" s="1131">
        <f t="shared" ref="CC437" si="200">+IF(ISERROR(CC428/CC378),0,CC428/CC378)</f>
        <v>0.24147897910319302</v>
      </c>
      <c r="CD437" s="1132">
        <f t="shared" ref="CD437:CD443" si="201">+IF(ISERROR(CD428/CD378),0,CD428/CD378)</f>
        <v>0.28822566621642914</v>
      </c>
      <c r="CE437" s="1132">
        <f t="shared" ref="CE437:CF437" si="202">+IF(ISERROR(CE428/CE378),0,CE428/CE378)</f>
        <v>0.30006994027689027</v>
      </c>
      <c r="CF437" s="1132">
        <f t="shared" si="202"/>
        <v>0.34704845411731389</v>
      </c>
      <c r="CG437" s="1117">
        <f t="shared" ref="CG437:CG443" si="203">+IF(ISERROR(CG428/CG378),0,CG428/CG378)</f>
        <v>0.29814834548766012</v>
      </c>
      <c r="CH437" s="48"/>
      <c r="CI437" s="1131">
        <f t="shared" si="189"/>
        <v>0.22044626017787208</v>
      </c>
      <c r="CJ437" s="1132">
        <f t="shared" si="189"/>
        <v>0.26283467821621137</v>
      </c>
      <c r="CK437" s="1132">
        <f t="shared" si="189"/>
        <v>0.26906484978309697</v>
      </c>
      <c r="CL437" s="1132">
        <f t="shared" si="189"/>
        <v>0.31493905759976648</v>
      </c>
      <c r="CM437" s="1117">
        <f t="shared" si="189"/>
        <v>0.26947425918741091</v>
      </c>
      <c r="CN437" s="48"/>
      <c r="CO437" s="1131">
        <f t="shared" si="190"/>
        <v>0.24644626017787202</v>
      </c>
      <c r="CP437" s="1132">
        <f t="shared" si="190"/>
        <v>0.26883467821621143</v>
      </c>
      <c r="CQ437" s="1132">
        <f t="shared" si="190"/>
        <v>0.28506484978309699</v>
      </c>
      <c r="CR437" s="1132">
        <f t="shared" si="190"/>
        <v>0.32093905759976638</v>
      </c>
      <c r="CS437" s="1117">
        <f t="shared" si="190"/>
        <v>0.28050300357543595</v>
      </c>
      <c r="CT437" s="48"/>
      <c r="CU437" s="1131">
        <f t="shared" si="191"/>
        <v>0.26144626017787204</v>
      </c>
      <c r="CV437" s="1132">
        <f t="shared" si="191"/>
        <v>0.28383467821621139</v>
      </c>
      <c r="CW437" s="1132">
        <f t="shared" si="191"/>
        <v>0.30006484978309705</v>
      </c>
      <c r="CX437" s="1132">
        <f t="shared" si="191"/>
        <v>0.3359390575997665</v>
      </c>
      <c r="CY437" s="1117">
        <f t="shared" si="191"/>
        <v>0.29550300357543602</v>
      </c>
      <c r="CZ437" s="48"/>
      <c r="DD437" s="48"/>
      <c r="DE437" s="48"/>
      <c r="DF437" s="48"/>
      <c r="DG437" s="48"/>
      <c r="DH437" s="48"/>
      <c r="DI437" s="48"/>
      <c r="DJ437" s="48"/>
      <c r="DK437" s="48"/>
    </row>
    <row r="438" spans="1:115" x14ac:dyDescent="0.2">
      <c r="A438" s="1139" t="s">
        <v>640</v>
      </c>
      <c r="B438" s="48"/>
      <c r="C438" s="685"/>
      <c r="D438" s="578"/>
      <c r="E438" s="578"/>
      <c r="F438" s="582"/>
      <c r="G438" s="707"/>
      <c r="H438" s="48"/>
      <c r="I438" s="685"/>
      <c r="J438" s="578"/>
      <c r="K438" s="578"/>
      <c r="L438" s="582"/>
      <c r="M438" s="707"/>
      <c r="N438" s="48"/>
      <c r="O438" s="685"/>
      <c r="P438" s="578"/>
      <c r="Q438" s="578"/>
      <c r="R438" s="582"/>
      <c r="S438" s="707"/>
      <c r="T438" s="48"/>
      <c r="U438" s="685"/>
      <c r="V438" s="578"/>
      <c r="W438" s="578"/>
      <c r="X438" s="582"/>
      <c r="Y438" s="707"/>
      <c r="Z438" s="48"/>
      <c r="AA438" s="685"/>
      <c r="AB438" s="578"/>
      <c r="AC438" s="578"/>
      <c r="AD438" s="582"/>
      <c r="AE438" s="707"/>
      <c r="AF438" s="48"/>
      <c r="AG438" s="1131">
        <f t="shared" si="192"/>
        <v>0</v>
      </c>
      <c r="AH438" s="1132">
        <f t="shared" si="192"/>
        <v>0</v>
      </c>
      <c r="AI438" s="1132">
        <f t="shared" si="192"/>
        <v>0</v>
      </c>
      <c r="AJ438" s="1132">
        <f t="shared" si="192"/>
        <v>0.35</v>
      </c>
      <c r="AK438" s="1117">
        <f t="shared" si="192"/>
        <v>0.35</v>
      </c>
      <c r="AL438" s="48"/>
      <c r="AM438" s="1131">
        <f t="shared" si="193"/>
        <v>0.3</v>
      </c>
      <c r="AN438" s="1132">
        <f t="shared" si="193"/>
        <v>0.3</v>
      </c>
      <c r="AO438" s="1132">
        <f t="shared" si="193"/>
        <v>0.29999999999999993</v>
      </c>
      <c r="AP438" s="1132">
        <f t="shared" si="193"/>
        <v>0.3</v>
      </c>
      <c r="AQ438" s="1117">
        <f t="shared" si="193"/>
        <v>0.30000000000000004</v>
      </c>
      <c r="AR438" s="48"/>
      <c r="AS438" s="1131">
        <f t="shared" si="194"/>
        <v>0.3</v>
      </c>
      <c r="AT438" s="1132">
        <f t="shared" si="194"/>
        <v>0.29999999999999993</v>
      </c>
      <c r="AU438" s="1132">
        <f t="shared" si="194"/>
        <v>0.3</v>
      </c>
      <c r="AV438" s="1132">
        <f t="shared" si="194"/>
        <v>0.3</v>
      </c>
      <c r="AW438" s="1117">
        <f t="shared" si="194"/>
        <v>0.3</v>
      </c>
      <c r="AX438" s="48"/>
      <c r="AY438" s="1131">
        <f t="shared" si="195"/>
        <v>0.29999999999999993</v>
      </c>
      <c r="AZ438" s="1132">
        <f t="shared" si="195"/>
        <v>0.3</v>
      </c>
      <c r="BA438" s="1132">
        <f t="shared" si="195"/>
        <v>0.3</v>
      </c>
      <c r="BB438" s="1132">
        <f t="shared" si="195"/>
        <v>0.3</v>
      </c>
      <c r="BC438" s="1117">
        <f t="shared" si="195"/>
        <v>0.29999999999999993</v>
      </c>
      <c r="BD438" s="48"/>
      <c r="BE438" s="1131">
        <f t="shared" si="196"/>
        <v>0.3</v>
      </c>
      <c r="BF438" s="1132">
        <f t="shared" si="196"/>
        <v>0.3</v>
      </c>
      <c r="BG438" s="1132">
        <f t="shared" si="196"/>
        <v>0.3</v>
      </c>
      <c r="BH438" s="1132">
        <f t="shared" si="196"/>
        <v>0.3</v>
      </c>
      <c r="BI438" s="1117">
        <f t="shared" si="196"/>
        <v>0.29999999999999988</v>
      </c>
      <c r="BJ438" s="48"/>
      <c r="BK438" s="1131">
        <f t="shared" si="197"/>
        <v>0.3</v>
      </c>
      <c r="BL438" s="1132">
        <f t="shared" si="197"/>
        <v>0.3</v>
      </c>
      <c r="BM438" s="1132">
        <f t="shared" si="197"/>
        <v>0.3</v>
      </c>
      <c r="BN438" s="1132">
        <f t="shared" si="197"/>
        <v>0.3</v>
      </c>
      <c r="BO438" s="1117">
        <f t="shared" si="197"/>
        <v>0.3</v>
      </c>
      <c r="BP438" s="48"/>
      <c r="BQ438" s="1131">
        <f t="shared" si="198"/>
        <v>0.29999999999999993</v>
      </c>
      <c r="BR438" s="1132">
        <f t="shared" si="198"/>
        <v>0.3</v>
      </c>
      <c r="BS438" s="1132">
        <f t="shared" si="198"/>
        <v>0.3</v>
      </c>
      <c r="BT438" s="1132">
        <f t="shared" si="198"/>
        <v>0.29999999999999993</v>
      </c>
      <c r="BU438" s="1117">
        <f t="shared" si="198"/>
        <v>0.3</v>
      </c>
      <c r="BV438" s="48"/>
      <c r="BW438" s="1131">
        <f t="shared" si="199"/>
        <v>0.3</v>
      </c>
      <c r="BX438" s="1132">
        <f t="shared" si="199"/>
        <v>0.3</v>
      </c>
      <c r="BY438" s="1132">
        <f t="shared" si="199"/>
        <v>0.3</v>
      </c>
      <c r="BZ438" s="1132">
        <f t="shared" si="199"/>
        <v>0.3</v>
      </c>
      <c r="CA438" s="1117">
        <f t="shared" si="199"/>
        <v>0.30000000000000004</v>
      </c>
      <c r="CB438" s="48"/>
      <c r="CC438" s="1131">
        <f t="shared" ref="CC438" si="204">+IF(ISERROR(CC429/CC379),0,CC429/CC379)</f>
        <v>0.29999999999999993</v>
      </c>
      <c r="CD438" s="1132">
        <f t="shared" si="201"/>
        <v>0.3</v>
      </c>
      <c r="CE438" s="1132">
        <f t="shared" ref="CE438:CF438" si="205">+IF(ISERROR(CE429/CE379),0,CE429/CE379)</f>
        <v>0.31999999999999995</v>
      </c>
      <c r="CF438" s="1132">
        <f t="shared" si="205"/>
        <v>0.31999999999999995</v>
      </c>
      <c r="CG438" s="1117">
        <f t="shared" si="203"/>
        <v>0.31292019601598881</v>
      </c>
      <c r="CH438" s="48"/>
      <c r="CI438" s="1131">
        <f t="shared" si="189"/>
        <v>0.29999999999999993</v>
      </c>
      <c r="CJ438" s="1132">
        <f t="shared" si="189"/>
        <v>0.3</v>
      </c>
      <c r="CK438" s="1132">
        <f t="shared" si="189"/>
        <v>0.32</v>
      </c>
      <c r="CL438" s="1132">
        <f t="shared" si="189"/>
        <v>0.31999999999999995</v>
      </c>
      <c r="CM438" s="1117">
        <f t="shared" si="189"/>
        <v>0.31281932634472265</v>
      </c>
      <c r="CN438" s="48"/>
      <c r="CO438" s="1131">
        <f t="shared" si="190"/>
        <v>0.3</v>
      </c>
      <c r="CP438" s="1132">
        <f t="shared" si="190"/>
        <v>0.3</v>
      </c>
      <c r="CQ438" s="1132">
        <f t="shared" si="190"/>
        <v>0.32</v>
      </c>
      <c r="CR438" s="1132">
        <f t="shared" si="190"/>
        <v>0.31999999999999995</v>
      </c>
      <c r="CS438" s="1117">
        <f t="shared" si="190"/>
        <v>0.3128193263447227</v>
      </c>
      <c r="CT438" s="48"/>
      <c r="CU438" s="1131">
        <f t="shared" si="191"/>
        <v>0.29999999999999993</v>
      </c>
      <c r="CV438" s="1132">
        <f t="shared" si="191"/>
        <v>0.3</v>
      </c>
      <c r="CW438" s="1132">
        <f t="shared" si="191"/>
        <v>0.32</v>
      </c>
      <c r="CX438" s="1132">
        <f t="shared" si="191"/>
        <v>0.31999999999999995</v>
      </c>
      <c r="CY438" s="1117">
        <f t="shared" si="191"/>
        <v>0.31281932634472281</v>
      </c>
      <c r="CZ438" s="48"/>
      <c r="DD438" s="48"/>
      <c r="DE438" s="48"/>
      <c r="DF438" s="48"/>
      <c r="DG438" s="48"/>
      <c r="DH438" s="48"/>
      <c r="DI438" s="48"/>
      <c r="DJ438" s="48"/>
      <c r="DK438" s="48"/>
    </row>
    <row r="439" spans="1:115" x14ac:dyDescent="0.2">
      <c r="A439" s="1139" t="s">
        <v>469</v>
      </c>
      <c r="B439" s="48"/>
      <c r="C439" s="685"/>
      <c r="D439" s="578"/>
      <c r="E439" s="578"/>
      <c r="F439" s="582"/>
      <c r="G439" s="707"/>
      <c r="H439" s="48"/>
      <c r="I439" s="685"/>
      <c r="J439" s="578"/>
      <c r="K439" s="578"/>
      <c r="L439" s="582"/>
      <c r="M439" s="707"/>
      <c r="N439" s="48"/>
      <c r="O439" s="685"/>
      <c r="P439" s="578"/>
      <c r="Q439" s="578"/>
      <c r="R439" s="582"/>
      <c r="S439" s="707"/>
      <c r="T439" s="48"/>
      <c r="U439" s="685"/>
      <c r="V439" s="578"/>
      <c r="W439" s="578"/>
      <c r="X439" s="582"/>
      <c r="Y439" s="707"/>
      <c r="Z439" s="48"/>
      <c r="AA439" s="685"/>
      <c r="AB439" s="578"/>
      <c r="AC439" s="578"/>
      <c r="AD439" s="582"/>
      <c r="AE439" s="707"/>
      <c r="AF439" s="48"/>
      <c r="AG439" s="1131">
        <f t="shared" si="192"/>
        <v>0.16435613805039237</v>
      </c>
      <c r="AH439" s="1132">
        <f t="shared" si="192"/>
        <v>0.20902655698038694</v>
      </c>
      <c r="AI439" s="1132">
        <f t="shared" si="192"/>
        <v>0.22730156423412967</v>
      </c>
      <c r="AJ439" s="1132">
        <f t="shared" si="192"/>
        <v>0.21990161048302964</v>
      </c>
      <c r="AK439" s="1117">
        <f t="shared" si="192"/>
        <v>0.20688001204215642</v>
      </c>
      <c r="AL439" s="48"/>
      <c r="AM439" s="1131">
        <f t="shared" si="193"/>
        <v>0.16836534224202249</v>
      </c>
      <c r="AN439" s="1132">
        <f t="shared" si="193"/>
        <v>0.1638014402796284</v>
      </c>
      <c r="AO439" s="1132">
        <f t="shared" si="193"/>
        <v>0.18515232513564489</v>
      </c>
      <c r="AP439" s="1132">
        <f t="shared" si="193"/>
        <v>0.1886313972790418</v>
      </c>
      <c r="AQ439" s="1117">
        <f t="shared" si="193"/>
        <v>0.17862444661293528</v>
      </c>
      <c r="AR439" s="48"/>
      <c r="AS439" s="1131">
        <f t="shared" si="194"/>
        <v>0.26798329800028819</v>
      </c>
      <c r="AT439" s="1132">
        <f t="shared" si="194"/>
        <v>0.27587681567754402</v>
      </c>
      <c r="AU439" s="1132">
        <f t="shared" si="194"/>
        <v>0.23596951864861226</v>
      </c>
      <c r="AV439" s="1132">
        <f t="shared" si="194"/>
        <v>0.31365065389933922</v>
      </c>
      <c r="AW439" s="1117">
        <f t="shared" si="194"/>
        <v>0.27332972054906834</v>
      </c>
      <c r="AX439" s="48"/>
      <c r="AY439" s="1131">
        <f t="shared" si="195"/>
        <v>0.23157829761574025</v>
      </c>
      <c r="AZ439" s="1132">
        <f t="shared" si="195"/>
        <v>0.24694314441657175</v>
      </c>
      <c r="BA439" s="1132">
        <f t="shared" si="195"/>
        <v>0.24155145029695363</v>
      </c>
      <c r="BB439" s="1132">
        <f t="shared" si="195"/>
        <v>0.27427701231579299</v>
      </c>
      <c r="BC439" s="1117">
        <f t="shared" si="195"/>
        <v>0.24997320783453997</v>
      </c>
      <c r="BD439" s="48"/>
      <c r="BE439" s="1131">
        <f t="shared" si="196"/>
        <v>0.24034514280666647</v>
      </c>
      <c r="BF439" s="1132">
        <f t="shared" si="196"/>
        <v>0.27105587913775331</v>
      </c>
      <c r="BG439" s="1132">
        <f t="shared" si="196"/>
        <v>0.28022971185427414</v>
      </c>
      <c r="BH439" s="1132">
        <f t="shared" si="196"/>
        <v>0.29485737677677581</v>
      </c>
      <c r="BI439" s="1117">
        <f t="shared" si="196"/>
        <v>0.2733000986143912</v>
      </c>
      <c r="BJ439" s="48"/>
      <c r="BK439" s="1131">
        <f t="shared" si="197"/>
        <v>0.26017614376006587</v>
      </c>
      <c r="BL439" s="1132">
        <f t="shared" si="197"/>
        <v>0.27967928521621643</v>
      </c>
      <c r="BM439" s="1132">
        <f t="shared" si="197"/>
        <v>0.28372327471211473</v>
      </c>
      <c r="BN439" s="1132">
        <f t="shared" si="197"/>
        <v>0.27742011587568066</v>
      </c>
      <c r="BO439" s="1117">
        <f t="shared" si="197"/>
        <v>0.27571370698753178</v>
      </c>
      <c r="BP439" s="48"/>
      <c r="BQ439" s="1131">
        <f t="shared" si="198"/>
        <v>0.26836122977372961</v>
      </c>
      <c r="BR439" s="1132">
        <f t="shared" si="198"/>
        <v>0.31401022910661419</v>
      </c>
      <c r="BS439" s="1132">
        <f t="shared" si="198"/>
        <v>0.31929509930111477</v>
      </c>
      <c r="BT439" s="1132">
        <f t="shared" si="198"/>
        <v>0.33377444659161171</v>
      </c>
      <c r="BU439" s="1117">
        <f t="shared" si="198"/>
        <v>0.31015471360720626</v>
      </c>
      <c r="BV439" s="48"/>
      <c r="BW439" s="1131">
        <f t="shared" si="199"/>
        <v>0.26353693323912564</v>
      </c>
      <c r="BX439" s="1132">
        <f t="shared" si="199"/>
        <v>0.27793696944030555</v>
      </c>
      <c r="BY439" s="1132">
        <f t="shared" si="199"/>
        <v>0.31553744706508802</v>
      </c>
      <c r="BZ439" s="1132">
        <f t="shared" si="199"/>
        <v>0.36422289363901456</v>
      </c>
      <c r="CA439" s="1117">
        <f t="shared" si="199"/>
        <v>0.30761816735498759</v>
      </c>
      <c r="CB439" s="48"/>
      <c r="CC439" s="1131">
        <f t="shared" ref="CC439" si="206">+IF(ISERROR(CC430/CC380),0,CC430/CC380)</f>
        <v>0.27656478913112015</v>
      </c>
      <c r="CD439" s="1132">
        <f t="shared" si="201"/>
        <v>0.32329141977930992</v>
      </c>
      <c r="CE439" s="1132">
        <f t="shared" ref="CE439:CF439" si="207">+IF(ISERROR(CE430/CE380),0,CE430/CE380)</f>
        <v>0.33514132699032573</v>
      </c>
      <c r="CF439" s="1132">
        <f t="shared" si="207"/>
        <v>0.38135076626773629</v>
      </c>
      <c r="CG439" s="1117">
        <f t="shared" si="203"/>
        <v>0.33203492641535481</v>
      </c>
      <c r="CH439" s="48"/>
      <c r="CI439" s="1131">
        <f t="shared" si="189"/>
        <v>0.26851541484057734</v>
      </c>
      <c r="CJ439" s="1132">
        <f t="shared" si="189"/>
        <v>0.31211075803553956</v>
      </c>
      <c r="CK439" s="1132">
        <f t="shared" si="189"/>
        <v>0.31868129973118348</v>
      </c>
      <c r="CL439" s="1132">
        <f t="shared" si="189"/>
        <v>0.36501211106999776</v>
      </c>
      <c r="CM439" s="1117">
        <f t="shared" si="189"/>
        <v>0.3181375823569898</v>
      </c>
      <c r="CN439" s="48"/>
      <c r="CO439" s="1131">
        <f t="shared" si="190"/>
        <v>0.29783385820631986</v>
      </c>
      <c r="CP439" s="1132">
        <f t="shared" si="190"/>
        <v>0.32105297375949066</v>
      </c>
      <c r="CQ439" s="1132">
        <f t="shared" si="190"/>
        <v>0.33748477511769448</v>
      </c>
      <c r="CR439" s="1132">
        <f t="shared" si="190"/>
        <v>0.3736524160749144</v>
      </c>
      <c r="CS439" s="1117">
        <f t="shared" si="190"/>
        <v>0.33399838158910111</v>
      </c>
      <c r="CT439" s="48"/>
      <c r="CU439" s="1131">
        <f t="shared" si="191"/>
        <v>0.31472362585013119</v>
      </c>
      <c r="CV439" s="1132">
        <f t="shared" si="191"/>
        <v>0.33774278558124932</v>
      </c>
      <c r="CW439" s="1132">
        <f t="shared" si="191"/>
        <v>0.35411041841818858</v>
      </c>
      <c r="CX439" s="1132">
        <f t="shared" si="191"/>
        <v>0.39019709742178976</v>
      </c>
      <c r="CY439" s="1117">
        <f t="shared" si="191"/>
        <v>0.35058218441265665</v>
      </c>
      <c r="CZ439" s="48"/>
      <c r="DD439" s="48"/>
      <c r="DE439" s="48"/>
      <c r="DF439" s="48"/>
      <c r="DG439" s="48"/>
      <c r="DH439" s="48"/>
      <c r="DI439" s="48"/>
      <c r="DJ439" s="48"/>
      <c r="DK439" s="48"/>
    </row>
    <row r="440" spans="1:115" x14ac:dyDescent="0.2">
      <c r="A440" s="1139" t="s">
        <v>466</v>
      </c>
      <c r="B440" s="48"/>
      <c r="C440" s="685"/>
      <c r="D440" s="578"/>
      <c r="E440" s="578"/>
      <c r="F440" s="582"/>
      <c r="G440" s="707"/>
      <c r="H440" s="48"/>
      <c r="I440" s="685"/>
      <c r="J440" s="578"/>
      <c r="K440" s="578"/>
      <c r="L440" s="582"/>
      <c r="M440" s="707"/>
      <c r="N440" s="48"/>
      <c r="O440" s="685"/>
      <c r="P440" s="578"/>
      <c r="Q440" s="578"/>
      <c r="R440" s="582"/>
      <c r="S440" s="707"/>
      <c r="T440" s="48"/>
      <c r="U440" s="685"/>
      <c r="V440" s="578"/>
      <c r="W440" s="578"/>
      <c r="X440" s="582"/>
      <c r="Y440" s="707"/>
      <c r="Z440" s="48"/>
      <c r="AA440" s="685"/>
      <c r="AB440" s="578"/>
      <c r="AC440" s="578"/>
      <c r="AD440" s="582"/>
      <c r="AE440" s="707"/>
      <c r="AF440" s="48"/>
      <c r="AG440" s="1131">
        <f t="shared" si="192"/>
        <v>0</v>
      </c>
      <c r="AH440" s="1132">
        <f t="shared" si="192"/>
        <v>0</v>
      </c>
      <c r="AI440" s="1132">
        <f t="shared" si="192"/>
        <v>0</v>
      </c>
      <c r="AJ440" s="1132">
        <f t="shared" si="192"/>
        <v>0</v>
      </c>
      <c r="AK440" s="1117">
        <f t="shared" si="192"/>
        <v>0</v>
      </c>
      <c r="AL440" s="48"/>
      <c r="AM440" s="1131">
        <f t="shared" si="193"/>
        <v>0</v>
      </c>
      <c r="AN440" s="1132">
        <f t="shared" si="193"/>
        <v>0</v>
      </c>
      <c r="AO440" s="1132">
        <f t="shared" si="193"/>
        <v>0</v>
      </c>
      <c r="AP440" s="1132">
        <f t="shared" si="193"/>
        <v>0</v>
      </c>
      <c r="AQ440" s="1117">
        <f t="shared" si="193"/>
        <v>0</v>
      </c>
      <c r="AR440" s="48"/>
      <c r="AS440" s="1131">
        <f t="shared" si="194"/>
        <v>0</v>
      </c>
      <c r="AT440" s="1132">
        <f t="shared" si="194"/>
        <v>0</v>
      </c>
      <c r="AU440" s="1132">
        <f t="shared" si="194"/>
        <v>0</v>
      </c>
      <c r="AV440" s="1132">
        <f t="shared" si="194"/>
        <v>0</v>
      </c>
      <c r="AW440" s="1117">
        <f t="shared" si="194"/>
        <v>0</v>
      </c>
      <c r="AX440" s="48"/>
      <c r="AY440" s="1131">
        <f t="shared" si="195"/>
        <v>0</v>
      </c>
      <c r="AZ440" s="1132">
        <f t="shared" si="195"/>
        <v>0</v>
      </c>
      <c r="BA440" s="1132">
        <f t="shared" si="195"/>
        <v>0</v>
      </c>
      <c r="BB440" s="1132">
        <f t="shared" si="195"/>
        <v>0</v>
      </c>
      <c r="BC440" s="1117">
        <f t="shared" si="195"/>
        <v>0</v>
      </c>
      <c r="BD440" s="48"/>
      <c r="BE440" s="1131">
        <f t="shared" si="196"/>
        <v>0</v>
      </c>
      <c r="BF440" s="1132">
        <f t="shared" si="196"/>
        <v>0</v>
      </c>
      <c r="BG440" s="1132">
        <f t="shared" si="196"/>
        <v>0</v>
      </c>
      <c r="BH440" s="1132">
        <f t="shared" si="196"/>
        <v>0</v>
      </c>
      <c r="BI440" s="1117">
        <f t="shared" si="196"/>
        <v>0</v>
      </c>
      <c r="BJ440" s="48"/>
      <c r="BK440" s="1131">
        <f t="shared" si="197"/>
        <v>0</v>
      </c>
      <c r="BL440" s="1132">
        <f t="shared" si="197"/>
        <v>0</v>
      </c>
      <c r="BM440" s="1132">
        <f t="shared" si="197"/>
        <v>0</v>
      </c>
      <c r="BN440" s="1132">
        <f t="shared" si="197"/>
        <v>0</v>
      </c>
      <c r="BO440" s="1117">
        <f t="shared" si="197"/>
        <v>0</v>
      </c>
      <c r="BP440" s="48"/>
      <c r="BQ440" s="1131">
        <f t="shared" si="198"/>
        <v>0</v>
      </c>
      <c r="BR440" s="1132">
        <f t="shared" si="198"/>
        <v>0</v>
      </c>
      <c r="BS440" s="1132">
        <f t="shared" si="198"/>
        <v>0</v>
      </c>
      <c r="BT440" s="1132">
        <f t="shared" si="198"/>
        <v>0</v>
      </c>
      <c r="BU440" s="1117">
        <f t="shared" si="198"/>
        <v>0</v>
      </c>
      <c r="BV440" s="48"/>
      <c r="BW440" s="1131">
        <f t="shared" si="199"/>
        <v>0</v>
      </c>
      <c r="BX440" s="1132">
        <f t="shared" si="199"/>
        <v>0</v>
      </c>
      <c r="BY440" s="1132">
        <f t="shared" si="199"/>
        <v>0</v>
      </c>
      <c r="BZ440" s="1132">
        <f t="shared" si="199"/>
        <v>0</v>
      </c>
      <c r="CA440" s="1117">
        <f t="shared" si="199"/>
        <v>0</v>
      </c>
      <c r="CB440" s="48"/>
      <c r="CC440" s="1131">
        <f t="shared" ref="CC440" si="208">+IF(ISERROR(CC431/CC381),0,CC431/CC381)</f>
        <v>0</v>
      </c>
      <c r="CD440" s="1132">
        <f t="shared" si="201"/>
        <v>0</v>
      </c>
      <c r="CE440" s="1132">
        <f t="shared" ref="CE440:CF440" si="209">+IF(ISERROR(CE431/CE381),0,CE431/CE381)</f>
        <v>0</v>
      </c>
      <c r="CF440" s="1132">
        <f t="shared" si="209"/>
        <v>0</v>
      </c>
      <c r="CG440" s="1117">
        <f t="shared" si="203"/>
        <v>0</v>
      </c>
      <c r="CH440" s="48"/>
      <c r="CI440" s="1131">
        <f t="shared" si="189"/>
        <v>5.1044626017787142E-2</v>
      </c>
      <c r="CJ440" s="1132">
        <f t="shared" si="189"/>
        <v>5.3283467821621085E-2</v>
      </c>
      <c r="CK440" s="1132">
        <f t="shared" si="189"/>
        <v>5.3906484978309605E-2</v>
      </c>
      <c r="CL440" s="1132">
        <f t="shared" si="189"/>
        <v>5.7493905759976614E-2</v>
      </c>
      <c r="CM440" s="1117">
        <f t="shared" si="189"/>
        <v>5.4209761110281612E-2</v>
      </c>
      <c r="CN440" s="48"/>
      <c r="CO440" s="1131">
        <f t="shared" si="190"/>
        <v>5.1644626017787201E-2</v>
      </c>
      <c r="CP440" s="1132">
        <f t="shared" si="190"/>
        <v>5.3883467821621268E-2</v>
      </c>
      <c r="CQ440" s="1132">
        <f t="shared" si="190"/>
        <v>5.4506484978309594E-2</v>
      </c>
      <c r="CR440" s="1132">
        <f t="shared" si="190"/>
        <v>5.8093905759976687E-2</v>
      </c>
      <c r="CS440" s="1117">
        <f t="shared" si="190"/>
        <v>5.4809761110281692E-2</v>
      </c>
      <c r="CT440" s="48"/>
      <c r="CU440" s="1131">
        <f t="shared" si="191"/>
        <v>5.2144626017787195E-2</v>
      </c>
      <c r="CV440" s="1132">
        <f t="shared" si="191"/>
        <v>5.4383467821621199E-2</v>
      </c>
      <c r="CW440" s="1132">
        <f t="shared" si="191"/>
        <v>5.5006484978309726E-2</v>
      </c>
      <c r="CX440" s="1132">
        <f t="shared" si="191"/>
        <v>5.8593905759976493E-2</v>
      </c>
      <c r="CY440" s="1117">
        <f t="shared" si="191"/>
        <v>5.5309761110281651E-2</v>
      </c>
      <c r="CZ440" s="48"/>
      <c r="DD440" s="48"/>
      <c r="DE440" s="48"/>
      <c r="DF440" s="48"/>
      <c r="DG440" s="48"/>
      <c r="DH440" s="48"/>
      <c r="DI440" s="48"/>
      <c r="DJ440" s="48"/>
      <c r="DK440" s="48"/>
    </row>
    <row r="441" spans="1:115" x14ac:dyDescent="0.2">
      <c r="A441" s="1139" t="s">
        <v>467</v>
      </c>
      <c r="B441" s="48"/>
      <c r="C441" s="685"/>
      <c r="D441" s="578"/>
      <c r="E441" s="578"/>
      <c r="F441" s="582"/>
      <c r="G441" s="707"/>
      <c r="H441" s="48"/>
      <c r="I441" s="685"/>
      <c r="J441" s="578"/>
      <c r="K441" s="578"/>
      <c r="L441" s="582"/>
      <c r="M441" s="707"/>
      <c r="N441" s="48"/>
      <c r="O441" s="685"/>
      <c r="P441" s="578"/>
      <c r="Q441" s="578"/>
      <c r="R441" s="582"/>
      <c r="S441" s="707"/>
      <c r="T441" s="48"/>
      <c r="U441" s="685"/>
      <c r="V441" s="578"/>
      <c r="W441" s="578"/>
      <c r="X441" s="582"/>
      <c r="Y441" s="707"/>
      <c r="Z441" s="48"/>
      <c r="AA441" s="685"/>
      <c r="AB441" s="578"/>
      <c r="AC441" s="578"/>
      <c r="AD441" s="582"/>
      <c r="AE441" s="707"/>
      <c r="AF441" s="48"/>
      <c r="AG441" s="1131">
        <f t="shared" si="192"/>
        <v>0</v>
      </c>
      <c r="AH441" s="1132">
        <f t="shared" si="192"/>
        <v>0</v>
      </c>
      <c r="AI441" s="1132">
        <f t="shared" si="192"/>
        <v>0</v>
      </c>
      <c r="AJ441" s="1132">
        <f t="shared" si="192"/>
        <v>0</v>
      </c>
      <c r="AK441" s="1117">
        <f t="shared" si="192"/>
        <v>0</v>
      </c>
      <c r="AL441" s="48"/>
      <c r="AM441" s="1131">
        <f t="shared" si="193"/>
        <v>0</v>
      </c>
      <c r="AN441" s="1132">
        <f t="shared" si="193"/>
        <v>0</v>
      </c>
      <c r="AO441" s="1132">
        <f t="shared" si="193"/>
        <v>0</v>
      </c>
      <c r="AP441" s="1132">
        <f t="shared" si="193"/>
        <v>0</v>
      </c>
      <c r="AQ441" s="1117">
        <f t="shared" si="193"/>
        <v>0</v>
      </c>
      <c r="AR441" s="48"/>
      <c r="AS441" s="1131">
        <f t="shared" si="194"/>
        <v>0</v>
      </c>
      <c r="AT441" s="1132">
        <f t="shared" si="194"/>
        <v>0</v>
      </c>
      <c r="AU441" s="1132">
        <f t="shared" si="194"/>
        <v>0</v>
      </c>
      <c r="AV441" s="1132">
        <f t="shared" si="194"/>
        <v>0</v>
      </c>
      <c r="AW441" s="1117">
        <f t="shared" si="194"/>
        <v>0</v>
      </c>
      <c r="AX441" s="48"/>
      <c r="AY441" s="1131">
        <f t="shared" si="195"/>
        <v>0.49208877883557905</v>
      </c>
      <c r="AZ441" s="1132">
        <f t="shared" si="195"/>
        <v>0.49244338618482941</v>
      </c>
      <c r="BA441" s="1132">
        <f t="shared" si="195"/>
        <v>0.49101521908448875</v>
      </c>
      <c r="BB441" s="1132">
        <f t="shared" si="195"/>
        <v>0.50737201759144912</v>
      </c>
      <c r="BC441" s="1117">
        <f t="shared" si="195"/>
        <v>0.49572985042408663</v>
      </c>
      <c r="BD441" s="48"/>
      <c r="BE441" s="1131">
        <f t="shared" si="196"/>
        <v>-0.2393584473080875</v>
      </c>
      <c r="BF441" s="1132">
        <f t="shared" si="196"/>
        <v>-0.1678858502911951</v>
      </c>
      <c r="BG441" s="1132">
        <f t="shared" si="196"/>
        <v>-0.10492306291151053</v>
      </c>
      <c r="BH441" s="1132">
        <f t="shared" si="196"/>
        <v>6.4293154357428295E-3</v>
      </c>
      <c r="BI441" s="1117">
        <f t="shared" si="196"/>
        <v>-0.11374515387203513</v>
      </c>
      <c r="BJ441" s="48"/>
      <c r="BK441" s="1131">
        <f t="shared" si="197"/>
        <v>-0.21355631194620953</v>
      </c>
      <c r="BL441" s="1132">
        <f t="shared" si="197"/>
        <v>-0.20586543511272828</v>
      </c>
      <c r="BM441" s="1132">
        <f t="shared" si="197"/>
        <v>-0.19910454461357821</v>
      </c>
      <c r="BN441" s="1132">
        <f t="shared" si="197"/>
        <v>-2.4932280505064183E-2</v>
      </c>
      <c r="BO441" s="1117">
        <f t="shared" si="197"/>
        <v>-0.14999005404124857</v>
      </c>
      <c r="BP441" s="48"/>
      <c r="BQ441" s="1131">
        <f t="shared" si="198"/>
        <v>-0.25969795560303943</v>
      </c>
      <c r="BR441" s="1132">
        <f t="shared" si="198"/>
        <v>-0.13131883528888538</v>
      </c>
      <c r="BS441" s="1132">
        <f t="shared" si="198"/>
        <v>-0.15272106000264493</v>
      </c>
      <c r="BT441" s="1132">
        <f t="shared" si="198"/>
        <v>1.232640295230733E-2</v>
      </c>
      <c r="BU441" s="1117">
        <f t="shared" si="198"/>
        <v>-0.11782431237438176</v>
      </c>
      <c r="BV441" s="48"/>
      <c r="BW441" s="1131">
        <f t="shared" si="199"/>
        <v>1.0787635577482911E-2</v>
      </c>
      <c r="BX441" s="1132">
        <f t="shared" si="199"/>
        <v>9.4287987958511538E-2</v>
      </c>
      <c r="BY441" s="1132">
        <f t="shared" si="199"/>
        <v>0.1310986847642433</v>
      </c>
      <c r="BZ441" s="1132">
        <f t="shared" si="199"/>
        <v>0.27183789831769839</v>
      </c>
      <c r="CA441" s="1117">
        <f t="shared" si="199"/>
        <v>0.13859930830677444</v>
      </c>
      <c r="CB441" s="48"/>
      <c r="CC441" s="1131">
        <f t="shared" ref="CC441" si="210">+IF(ISERROR(CC432/CC382),0,CC432/CC382)</f>
        <v>0.25728294073025637</v>
      </c>
      <c r="CD441" s="1132">
        <f t="shared" si="201"/>
        <v>0.30173828152964477</v>
      </c>
      <c r="CE441" s="1132">
        <f t="shared" ref="CE441:CF441" si="211">+IF(ISERROR(CE432/CE382),0,CE432/CE382)</f>
        <v>0.32279815836001818</v>
      </c>
      <c r="CF441" s="1132">
        <f t="shared" si="211"/>
        <v>0.38544771120023319</v>
      </c>
      <c r="CG441" s="1117">
        <f t="shared" si="203"/>
        <v>0.32267461558492716</v>
      </c>
      <c r="CH441" s="48"/>
      <c r="CI441" s="1131">
        <f t="shared" si="189"/>
        <v>0.27527705886903692</v>
      </c>
      <c r="CJ441" s="1132">
        <f t="shared" si="189"/>
        <v>0.31937081087014763</v>
      </c>
      <c r="CK441" s="1132">
        <f t="shared" si="189"/>
        <v>0.32901090287370399</v>
      </c>
      <c r="CL441" s="1132">
        <f t="shared" si="189"/>
        <v>0.3898749752014119</v>
      </c>
      <c r="CM441" s="1117">
        <f t="shared" si="189"/>
        <v>0.33265112729953411</v>
      </c>
      <c r="CN441" s="48"/>
      <c r="CO441" s="1131">
        <f t="shared" si="190"/>
        <v>0.34021937941202124</v>
      </c>
      <c r="CP441" s="1132">
        <f t="shared" si="190"/>
        <v>0.36295001019355588</v>
      </c>
      <c r="CQ441" s="1132">
        <f t="shared" si="190"/>
        <v>0.38237433189862541</v>
      </c>
      <c r="CR441" s="1132">
        <f t="shared" si="190"/>
        <v>0.42495978847770122</v>
      </c>
      <c r="CS441" s="1117">
        <f t="shared" si="190"/>
        <v>0.38078332705724133</v>
      </c>
      <c r="CT441" s="48"/>
      <c r="CU441" s="1131">
        <f t="shared" si="191"/>
        <v>0.36450034718363683</v>
      </c>
      <c r="CV441" s="1132">
        <f t="shared" si="191"/>
        <v>0.38673539366836751</v>
      </c>
      <c r="CW441" s="1132">
        <f t="shared" si="191"/>
        <v>0.40579371093071775</v>
      </c>
      <c r="CX441" s="1132">
        <f t="shared" si="191"/>
        <v>0.44620382882193882</v>
      </c>
      <c r="CY441" s="1117">
        <f t="shared" si="191"/>
        <v>0.40364783183518571</v>
      </c>
      <c r="CZ441" s="48"/>
      <c r="DD441" s="48"/>
      <c r="DE441" s="48"/>
      <c r="DF441" s="48"/>
      <c r="DG441" s="48"/>
      <c r="DH441" s="48"/>
      <c r="DI441" s="48"/>
      <c r="DJ441" s="48"/>
      <c r="DK441" s="48"/>
    </row>
    <row r="442" spans="1:115" x14ac:dyDescent="0.2">
      <c r="A442" s="1139" t="s">
        <v>468</v>
      </c>
      <c r="B442" s="48"/>
      <c r="C442" s="685"/>
      <c r="D442" s="578"/>
      <c r="E442" s="578"/>
      <c r="F442" s="582"/>
      <c r="G442" s="707"/>
      <c r="H442" s="48"/>
      <c r="I442" s="685"/>
      <c r="J442" s="578"/>
      <c r="K442" s="578"/>
      <c r="L442" s="582"/>
      <c r="M442" s="707"/>
      <c r="N442" s="48"/>
      <c r="O442" s="685"/>
      <c r="P442" s="578"/>
      <c r="Q442" s="578"/>
      <c r="R442" s="582"/>
      <c r="S442" s="707"/>
      <c r="T442" s="48"/>
      <c r="U442" s="685"/>
      <c r="V442" s="578"/>
      <c r="W442" s="578"/>
      <c r="X442" s="582"/>
      <c r="Y442" s="707"/>
      <c r="Z442" s="48"/>
      <c r="AA442" s="685"/>
      <c r="AB442" s="578"/>
      <c r="AC442" s="578"/>
      <c r="AD442" s="582"/>
      <c r="AE442" s="707"/>
      <c r="AF442" s="48"/>
      <c r="AG442" s="1131">
        <f t="shared" si="192"/>
        <v>0</v>
      </c>
      <c r="AH442" s="1132">
        <f t="shared" si="192"/>
        <v>0</v>
      </c>
      <c r="AI442" s="1132">
        <f t="shared" si="192"/>
        <v>0</v>
      </c>
      <c r="AJ442" s="1132">
        <f t="shared" si="192"/>
        <v>0</v>
      </c>
      <c r="AK442" s="1117">
        <f t="shared" si="192"/>
        <v>0</v>
      </c>
      <c r="AL442" s="48"/>
      <c r="AM442" s="1131">
        <f t="shared" si="193"/>
        <v>0</v>
      </c>
      <c r="AN442" s="1132">
        <f t="shared" si="193"/>
        <v>0</v>
      </c>
      <c r="AO442" s="1132">
        <f t="shared" si="193"/>
        <v>0</v>
      </c>
      <c r="AP442" s="1132">
        <f t="shared" si="193"/>
        <v>0</v>
      </c>
      <c r="AQ442" s="1117">
        <f t="shared" si="193"/>
        <v>0</v>
      </c>
      <c r="AR442" s="48"/>
      <c r="AS442" s="1131">
        <f t="shared" si="194"/>
        <v>0</v>
      </c>
      <c r="AT442" s="1132">
        <f t="shared" si="194"/>
        <v>0</v>
      </c>
      <c r="AU442" s="1132">
        <f t="shared" si="194"/>
        <v>0</v>
      </c>
      <c r="AV442" s="1132">
        <f t="shared" si="194"/>
        <v>0</v>
      </c>
      <c r="AW442" s="1117">
        <f t="shared" si="194"/>
        <v>0</v>
      </c>
      <c r="AX442" s="48"/>
      <c r="AY442" s="1131">
        <f t="shared" si="195"/>
        <v>0.32200354626910521</v>
      </c>
      <c r="AZ442" s="1132">
        <f t="shared" si="195"/>
        <v>0.32678587834635697</v>
      </c>
      <c r="BA442" s="1132">
        <f t="shared" si="195"/>
        <v>0.31471551693631594</v>
      </c>
      <c r="BB442" s="1132">
        <f t="shared" si="195"/>
        <v>0.34395662161511881</v>
      </c>
      <c r="BC442" s="1117">
        <f t="shared" si="195"/>
        <v>0.32545023659373723</v>
      </c>
      <c r="BD442" s="48"/>
      <c r="BE442" s="1131">
        <f t="shared" si="196"/>
        <v>0.31965588712763227</v>
      </c>
      <c r="BF442" s="1132">
        <f t="shared" si="196"/>
        <v>0.34311542668991823</v>
      </c>
      <c r="BG442" s="1132">
        <f t="shared" si="196"/>
        <v>0.34743599282163756</v>
      </c>
      <c r="BH442" s="1132">
        <f t="shared" si="196"/>
        <v>0.35996845493619001</v>
      </c>
      <c r="BI442" s="1117">
        <f t="shared" si="196"/>
        <v>0.34336411649006332</v>
      </c>
      <c r="BJ442" s="48"/>
      <c r="BK442" s="1131">
        <f t="shared" si="197"/>
        <v>0.31337368660769466</v>
      </c>
      <c r="BL442" s="1132">
        <f t="shared" si="197"/>
        <v>0.32871610434729942</v>
      </c>
      <c r="BM442" s="1132">
        <f t="shared" si="197"/>
        <v>0.33002807060277695</v>
      </c>
      <c r="BN442" s="1132">
        <f t="shared" si="197"/>
        <v>0.32182668889695182</v>
      </c>
      <c r="BO442" s="1117">
        <f t="shared" si="197"/>
        <v>0.32344445726321341</v>
      </c>
      <c r="BP442" s="48"/>
      <c r="BQ442" s="1131">
        <f t="shared" si="198"/>
        <v>0.30989952270890292</v>
      </c>
      <c r="BR442" s="1132">
        <f t="shared" si="198"/>
        <v>0.3526046923931126</v>
      </c>
      <c r="BS442" s="1132">
        <f t="shared" si="198"/>
        <v>0.35495925466699413</v>
      </c>
      <c r="BT442" s="1132">
        <f t="shared" si="198"/>
        <v>0.37221531843914779</v>
      </c>
      <c r="BU442" s="1117">
        <f t="shared" si="198"/>
        <v>0.34955756581968395</v>
      </c>
      <c r="BV442" s="48"/>
      <c r="BW442" s="1131">
        <f t="shared" si="199"/>
        <v>0.29330402591876575</v>
      </c>
      <c r="BX442" s="1132">
        <f t="shared" si="199"/>
        <v>0.30737013002721358</v>
      </c>
      <c r="BY442" s="1132">
        <f t="shared" si="199"/>
        <v>0.34415645750059676</v>
      </c>
      <c r="BZ442" s="1132">
        <f t="shared" si="199"/>
        <v>0.39621985431839668</v>
      </c>
      <c r="CA442" s="1117">
        <f t="shared" si="199"/>
        <v>0.34005259806694182</v>
      </c>
      <c r="CB442" s="48"/>
      <c r="CC442" s="1131">
        <f t="shared" ref="CC442" si="212">+IF(ISERROR(CC433/CC383),0,CC433/CC383)</f>
        <v>0.30097897910319327</v>
      </c>
      <c r="CD442" s="1132">
        <f t="shared" si="201"/>
        <v>0.34722566621642936</v>
      </c>
      <c r="CE442" s="1132">
        <f t="shared" ref="CE442:CF442" si="213">+IF(ISERROR(CE433/CE383),0,CE433/CE383)</f>
        <v>0.35856994027689065</v>
      </c>
      <c r="CF442" s="1132">
        <f t="shared" si="213"/>
        <v>0.40504845411731427</v>
      </c>
      <c r="CG442" s="1117">
        <f t="shared" si="203"/>
        <v>0.35423798332634399</v>
      </c>
      <c r="CH442" s="48"/>
      <c r="CI442" s="1131">
        <f t="shared" si="189"/>
        <v>0.29044626017787212</v>
      </c>
      <c r="CJ442" s="1132">
        <f t="shared" si="189"/>
        <v>0.33283467821621154</v>
      </c>
      <c r="CK442" s="1132">
        <f t="shared" si="189"/>
        <v>0.33906484978309698</v>
      </c>
      <c r="CL442" s="1132">
        <f t="shared" si="189"/>
        <v>0.38493905759976654</v>
      </c>
      <c r="CM442" s="1117">
        <f t="shared" si="189"/>
        <v>0.3400447061931377</v>
      </c>
      <c r="CN442" s="48"/>
      <c r="CO442" s="1131">
        <f t="shared" si="190"/>
        <v>0.31644626017787214</v>
      </c>
      <c r="CP442" s="1132">
        <f t="shared" si="190"/>
        <v>0.33883467821621138</v>
      </c>
      <c r="CQ442" s="1132">
        <f t="shared" si="190"/>
        <v>0.35506484978309699</v>
      </c>
      <c r="CR442" s="1132">
        <f t="shared" si="190"/>
        <v>0.39093905759976649</v>
      </c>
      <c r="CS442" s="1117">
        <f t="shared" si="190"/>
        <v>0.34851105500601481</v>
      </c>
      <c r="CT442" s="48"/>
      <c r="CU442" s="1131">
        <f t="shared" si="191"/>
        <v>0.33144626017787204</v>
      </c>
      <c r="CV442" s="1132">
        <f t="shared" si="191"/>
        <v>0.35383467821621145</v>
      </c>
      <c r="CW442" s="1132">
        <f t="shared" si="191"/>
        <v>0.37006484978309712</v>
      </c>
      <c r="CX442" s="1132">
        <f t="shared" si="191"/>
        <v>0.40593905759976651</v>
      </c>
      <c r="CY442" s="1117">
        <f t="shared" si="191"/>
        <v>0.36487497943769059</v>
      </c>
      <c r="CZ442" s="48"/>
      <c r="DD442" s="48"/>
      <c r="DE442" s="48"/>
      <c r="DF442" s="48"/>
      <c r="DG442" s="48"/>
      <c r="DH442" s="48"/>
      <c r="DI442" s="48"/>
      <c r="DJ442" s="48"/>
      <c r="DK442" s="48"/>
    </row>
    <row r="443" spans="1:115" x14ac:dyDescent="0.2">
      <c r="A443" s="1139" t="s">
        <v>550</v>
      </c>
      <c r="B443" s="48"/>
      <c r="C443" s="685"/>
      <c r="D443" s="578"/>
      <c r="E443" s="578"/>
      <c r="F443" s="582"/>
      <c r="G443" s="707"/>
      <c r="H443" s="48"/>
      <c r="I443" s="685"/>
      <c r="J443" s="578"/>
      <c r="K443" s="578"/>
      <c r="L443" s="582"/>
      <c r="M443" s="707"/>
      <c r="N443" s="48"/>
      <c r="O443" s="685"/>
      <c r="P443" s="578"/>
      <c r="Q443" s="578"/>
      <c r="R443" s="582"/>
      <c r="S443" s="707"/>
      <c r="T443" s="48"/>
      <c r="U443" s="685"/>
      <c r="V443" s="578"/>
      <c r="W443" s="578"/>
      <c r="X443" s="582"/>
      <c r="Y443" s="707"/>
      <c r="Z443" s="48"/>
      <c r="AA443" s="685"/>
      <c r="AB443" s="578"/>
      <c r="AC443" s="578"/>
      <c r="AD443" s="582"/>
      <c r="AE443" s="707"/>
      <c r="AF443" s="48"/>
      <c r="AG443" s="1131">
        <f t="shared" si="192"/>
        <v>0.22645099939380028</v>
      </c>
      <c r="AH443" s="1132">
        <f t="shared" si="192"/>
        <v>0.25638796836541033</v>
      </c>
      <c r="AI443" s="1132">
        <f t="shared" si="192"/>
        <v>0.2746130868091845</v>
      </c>
      <c r="AJ443" s="1132">
        <f t="shared" si="192"/>
        <v>0.24276423530365959</v>
      </c>
      <c r="AK443" s="1117">
        <f t="shared" si="192"/>
        <v>0.25065034867841324</v>
      </c>
      <c r="AL443" s="48"/>
      <c r="AM443" s="1131">
        <f t="shared" si="193"/>
        <v>0.23475738540162547</v>
      </c>
      <c r="AN443" s="1132">
        <f t="shared" si="193"/>
        <v>0.24024639472386797</v>
      </c>
      <c r="AO443" s="1132">
        <f t="shared" si="193"/>
        <v>0.25234622833111925</v>
      </c>
      <c r="AP443" s="1132">
        <f t="shared" si="193"/>
        <v>0.25648806873811592</v>
      </c>
      <c r="AQ443" s="1117">
        <f t="shared" si="193"/>
        <v>0.2464607100433748</v>
      </c>
      <c r="AR443" s="48"/>
      <c r="AS443" s="1131">
        <f t="shared" si="194"/>
        <v>0.23349945745934175</v>
      </c>
      <c r="AT443" s="1132">
        <f t="shared" si="194"/>
        <v>0.2435090342234548</v>
      </c>
      <c r="AU443" s="1132">
        <f t="shared" si="194"/>
        <v>0.23336556961968002</v>
      </c>
      <c r="AV443" s="1132">
        <f t="shared" si="194"/>
        <v>0.25401512302455032</v>
      </c>
      <c r="AW443" s="1117">
        <f t="shared" si="194"/>
        <v>0.24178738740390715</v>
      </c>
      <c r="AX443" s="48"/>
      <c r="AY443" s="1131">
        <f t="shared" si="195"/>
        <v>0.24035650685043877</v>
      </c>
      <c r="AZ443" s="1132">
        <f t="shared" si="195"/>
        <v>0.25606297536591593</v>
      </c>
      <c r="BA443" s="1132">
        <f t="shared" si="195"/>
        <v>0.25122640402106466</v>
      </c>
      <c r="BB443" s="1132">
        <f t="shared" si="195"/>
        <v>0.29299692530301175</v>
      </c>
      <c r="BC443" s="1117">
        <f t="shared" si="195"/>
        <v>0.26205669800788445</v>
      </c>
      <c r="BD443" s="48"/>
      <c r="BE443" s="1131">
        <f t="shared" si="196"/>
        <v>0.24795005840683562</v>
      </c>
      <c r="BF443" s="1132">
        <f t="shared" si="196"/>
        <v>0.25249872701061865</v>
      </c>
      <c r="BG443" s="1132">
        <f t="shared" si="196"/>
        <v>0.26084180872364526</v>
      </c>
      <c r="BH443" s="1132">
        <f t="shared" si="196"/>
        <v>0.28997853495904446</v>
      </c>
      <c r="BI443" s="1117">
        <f t="shared" si="196"/>
        <v>0.26376640762464509</v>
      </c>
      <c r="BJ443" s="48"/>
      <c r="BK443" s="1131">
        <f t="shared" si="197"/>
        <v>0.24417859062532893</v>
      </c>
      <c r="BL443" s="1132">
        <f t="shared" si="197"/>
        <v>0.25286843420117272</v>
      </c>
      <c r="BM443" s="1132">
        <f t="shared" si="197"/>
        <v>0.26309210139137873</v>
      </c>
      <c r="BN443" s="1132">
        <f t="shared" si="197"/>
        <v>0.23947626543264494</v>
      </c>
      <c r="BO443" s="1117">
        <f t="shared" si="197"/>
        <v>0.24980757532749687</v>
      </c>
      <c r="BP443" s="48"/>
      <c r="BQ443" s="1131">
        <f t="shared" si="198"/>
        <v>0.25501431233551647</v>
      </c>
      <c r="BR443" s="1132">
        <f t="shared" si="198"/>
        <v>0.26479014662884426</v>
      </c>
      <c r="BS443" s="1132">
        <f t="shared" si="198"/>
        <v>0.27023874053239672</v>
      </c>
      <c r="BT443" s="1132">
        <f t="shared" si="198"/>
        <v>0.28208447886503196</v>
      </c>
      <c r="BU443" s="1117">
        <f t="shared" si="198"/>
        <v>0.26844155182316776</v>
      </c>
      <c r="BV443" s="48"/>
      <c r="BW443" s="1131">
        <f t="shared" si="199"/>
        <v>0.17848838875573567</v>
      </c>
      <c r="BX443" s="1132">
        <f t="shared" si="199"/>
        <v>0.20203466309253332</v>
      </c>
      <c r="BY443" s="1132">
        <f t="shared" si="199"/>
        <v>0.26171742980634255</v>
      </c>
      <c r="BZ443" s="1132">
        <f t="shared" si="199"/>
        <v>0.30915938913526614</v>
      </c>
      <c r="CA443" s="1117">
        <f t="shared" si="199"/>
        <v>0.23966017988088781</v>
      </c>
      <c r="CB443" s="48"/>
      <c r="CC443" s="1131">
        <f t="shared" ref="CC443" si="214">+IF(ISERROR(CC434/CC384),0,CC434/CC384)</f>
        <v>0.18742040701113322</v>
      </c>
      <c r="CD443" s="1132">
        <f t="shared" si="201"/>
        <v>0.23526486880401115</v>
      </c>
      <c r="CE443" s="1132">
        <f t="shared" ref="CE443:CF443" si="215">+IF(ISERROR(CE434/CE384),0,CE434/CE384)</f>
        <v>0.25498049328640987</v>
      </c>
      <c r="CF443" s="1132">
        <f t="shared" si="215"/>
        <v>0.29111260098676395</v>
      </c>
      <c r="CG443" s="1117">
        <f t="shared" si="203"/>
        <v>0.2444775481749118</v>
      </c>
      <c r="CH443" s="48"/>
      <c r="CI443" s="1131">
        <f t="shared" si="189"/>
        <v>0.22115281407412135</v>
      </c>
      <c r="CJ443" s="1132">
        <f t="shared" si="189"/>
        <v>0.26259792085864053</v>
      </c>
      <c r="CK443" s="1132">
        <f t="shared" si="189"/>
        <v>0.2619204399279571</v>
      </c>
      <c r="CL443" s="1132">
        <f t="shared" si="189"/>
        <v>0.29309058352536188</v>
      </c>
      <c r="CM443" s="1117">
        <f t="shared" si="189"/>
        <v>0.26124286846539929</v>
      </c>
      <c r="CN443" s="48"/>
      <c r="CO443" s="1131">
        <f t="shared" si="190"/>
        <v>0.24204674839695697</v>
      </c>
      <c r="CP443" s="1132">
        <f t="shared" si="190"/>
        <v>0.26398796077633491</v>
      </c>
      <c r="CQ443" s="1132">
        <f t="shared" si="190"/>
        <v>0.27467677037107474</v>
      </c>
      <c r="CR443" s="1132">
        <f t="shared" si="190"/>
        <v>0.29665809390181103</v>
      </c>
      <c r="CS443" s="1117">
        <f t="shared" si="190"/>
        <v>0.27081427109844453</v>
      </c>
      <c r="CT443" s="48"/>
      <c r="CU443" s="1131">
        <f t="shared" si="191"/>
        <v>0.25444465692471863</v>
      </c>
      <c r="CV443" s="1132">
        <f t="shared" si="191"/>
        <v>0.27691254252972147</v>
      </c>
      <c r="CW443" s="1132">
        <f t="shared" si="191"/>
        <v>0.28690478694820865</v>
      </c>
      <c r="CX443" s="1132">
        <f t="shared" si="191"/>
        <v>0.30853855611439951</v>
      </c>
      <c r="CY443" s="1117">
        <f t="shared" si="191"/>
        <v>0.28317250794055976</v>
      </c>
      <c r="CZ443" s="48"/>
      <c r="DD443" s="48"/>
      <c r="DE443" s="48"/>
      <c r="DF443" s="48"/>
      <c r="DG443" s="48"/>
      <c r="DH443" s="48"/>
      <c r="DI443" s="48"/>
      <c r="DJ443" s="48"/>
      <c r="DK443" s="48"/>
    </row>
    <row r="444" spans="1:115" s="5" customFormat="1" x14ac:dyDescent="0.2">
      <c r="A444" s="1687" t="s">
        <v>626</v>
      </c>
      <c r="B444" s="1684"/>
      <c r="C444" s="1685"/>
      <c r="D444" s="1147"/>
      <c r="E444" s="1147"/>
      <c r="F444" s="1686"/>
      <c r="G444" s="1151"/>
      <c r="H444" s="1684"/>
      <c r="I444" s="1685"/>
      <c r="J444" s="1147"/>
      <c r="K444" s="1147"/>
      <c r="L444" s="1686"/>
      <c r="M444" s="1151"/>
      <c r="N444" s="1684"/>
      <c r="O444" s="1685"/>
      <c r="P444" s="1147"/>
      <c r="Q444" s="1147"/>
      <c r="R444" s="1686"/>
      <c r="S444" s="1151"/>
      <c r="T444" s="1684"/>
      <c r="U444" s="1685"/>
      <c r="V444" s="1147"/>
      <c r="W444" s="1147"/>
      <c r="X444" s="1686"/>
      <c r="Y444" s="1151"/>
      <c r="Z444" s="1684"/>
      <c r="AA444" s="1685"/>
      <c r="AB444" s="1147"/>
      <c r="AC444" s="1147"/>
      <c r="AD444" s="1686"/>
      <c r="AE444" s="1151"/>
      <c r="AF444" s="1684"/>
      <c r="AG444" s="1685"/>
      <c r="AH444" s="1147"/>
      <c r="AI444" s="1147"/>
      <c r="AJ444" s="1686"/>
      <c r="AK444" s="1151"/>
      <c r="AL444" s="1684"/>
      <c r="AM444" s="1685"/>
      <c r="AN444" s="1147"/>
      <c r="AO444" s="1147"/>
      <c r="AP444" s="1686"/>
      <c r="AQ444" s="1151"/>
      <c r="AR444" s="1684"/>
      <c r="AS444" s="1685"/>
      <c r="AT444" s="1147"/>
      <c r="AU444" s="1147"/>
      <c r="AV444" s="1686"/>
      <c r="AW444" s="1151"/>
      <c r="AX444" s="1684"/>
      <c r="AY444" s="1685"/>
      <c r="AZ444" s="1147"/>
      <c r="BA444" s="1147"/>
      <c r="BB444" s="1686"/>
      <c r="BC444" s="1151"/>
      <c r="BD444" s="1684"/>
      <c r="BE444" s="1685"/>
      <c r="BF444" s="1147"/>
      <c r="BG444" s="1147"/>
      <c r="BH444" s="1686"/>
      <c r="BI444" s="1151"/>
      <c r="BJ444" s="1684"/>
      <c r="BK444" s="1685"/>
      <c r="BL444" s="1147"/>
      <c r="BM444" s="1147"/>
      <c r="BN444" s="1686"/>
      <c r="BO444" s="1151"/>
      <c r="BP444" s="1684"/>
      <c r="BQ444" s="1685"/>
      <c r="BR444" s="1147"/>
      <c r="BS444" s="1147"/>
      <c r="BT444" s="1686"/>
      <c r="BU444" s="1151"/>
      <c r="BV444" s="1684"/>
      <c r="BW444" s="1685"/>
      <c r="BX444" s="1147"/>
      <c r="BY444" s="1147"/>
      <c r="BZ444" s="1686"/>
      <c r="CA444" s="1151"/>
      <c r="CB444" s="1684"/>
      <c r="CC444" s="1685"/>
      <c r="CD444" s="1147"/>
      <c r="CE444" s="1147"/>
      <c r="CF444" s="1147"/>
      <c r="CG444" s="1151"/>
      <c r="CH444" s="1684"/>
      <c r="CI444" s="1685"/>
      <c r="CJ444" s="1147"/>
      <c r="CK444" s="1147"/>
      <c r="CL444" s="1686"/>
      <c r="CM444" s="1151"/>
      <c r="CN444" s="1684"/>
      <c r="CO444" s="1685"/>
      <c r="CP444" s="1147"/>
      <c r="CQ444" s="1147"/>
      <c r="CR444" s="1686"/>
      <c r="CS444" s="1151"/>
      <c r="CT444" s="1684"/>
      <c r="CU444" s="1685"/>
      <c r="CV444" s="1147"/>
      <c r="CW444" s="1147"/>
      <c r="CX444" s="1686"/>
      <c r="CY444" s="1151"/>
      <c r="CZ444" s="48"/>
      <c r="DD444" s="48"/>
      <c r="DE444" s="48"/>
      <c r="DF444" s="48"/>
      <c r="DG444" s="48"/>
      <c r="DH444" s="48"/>
      <c r="DI444" s="48"/>
      <c r="DJ444" s="48"/>
      <c r="DK444" s="48"/>
    </row>
    <row r="445" spans="1:115" s="5" customFormat="1" x14ac:dyDescent="0.2">
      <c r="A445" s="205" t="s">
        <v>508</v>
      </c>
      <c r="B445" s="58"/>
      <c r="C445" s="685"/>
      <c r="D445" s="578"/>
      <c r="E445" s="578"/>
      <c r="F445" s="582"/>
      <c r="G445" s="707"/>
      <c r="H445" s="557"/>
      <c r="I445" s="704"/>
      <c r="J445" s="558"/>
      <c r="K445" s="558"/>
      <c r="L445" s="558"/>
      <c r="M445" s="629"/>
      <c r="N445" s="557"/>
      <c r="O445" s="704"/>
      <c r="P445" s="558"/>
      <c r="Q445" s="558"/>
      <c r="R445" s="558"/>
      <c r="S445" s="707"/>
      <c r="T445" s="557"/>
      <c r="U445" s="685"/>
      <c r="V445" s="578"/>
      <c r="W445" s="578"/>
      <c r="X445" s="582"/>
      <c r="Y445" s="707"/>
      <c r="Z445" s="557"/>
      <c r="AA445" s="685"/>
      <c r="AB445" s="578"/>
      <c r="AC445" s="578"/>
      <c r="AD445" s="582"/>
      <c r="AE445" s="707"/>
      <c r="AF445" s="557"/>
      <c r="AG445" s="1115">
        <f>+AG446+AG447+AG449</f>
        <v>0.45592555209045271</v>
      </c>
      <c r="AH445" s="1114">
        <f>+AH446+AH447+AH449</f>
        <v>0.42214227418844424</v>
      </c>
      <c r="AI445" s="1114">
        <f>+AI446+AI447+AI449</f>
        <v>0.41318036347671372</v>
      </c>
      <c r="AJ445" s="1114">
        <f>+AJ446+AJ447+AJ449</f>
        <v>0.42863771535966699</v>
      </c>
      <c r="AK445" s="1117">
        <f>+AK49/AK$43</f>
        <v>0.4290885102300166</v>
      </c>
      <c r="AL445" s="557"/>
      <c r="AM445" s="1115">
        <f>+AM446+AM447+AM449</f>
        <v>0.44228095623036295</v>
      </c>
      <c r="AN445" s="1114">
        <f>+AN446+AN447+AN449</f>
        <v>0.44711437673742477</v>
      </c>
      <c r="AO445" s="1114">
        <f>+AO446+AO447+AO449</f>
        <v>0.43339315647817084</v>
      </c>
      <c r="AP445" s="1114">
        <f>+AP446+AP447+AP449</f>
        <v>0.43584451233085936</v>
      </c>
      <c r="AQ445" s="1117">
        <f>+AQ49/AQ$43</f>
        <v>0.43992611141187166</v>
      </c>
      <c r="AR445" s="557"/>
      <c r="AS445" s="1115">
        <f>+AS446+AS447+AS449</f>
        <v>0.46201340768534516</v>
      </c>
      <c r="AT445" s="1114">
        <f>+AT446+AT447+AT449</f>
        <v>0.45686016954647124</v>
      </c>
      <c r="AU445" s="1114">
        <f>+AU446+AU447+AU449</f>
        <v>0.4634790301557794</v>
      </c>
      <c r="AV445" s="1114">
        <f>+AV446+AV447+AV449</f>
        <v>0.4049172361445923</v>
      </c>
      <c r="AW445" s="1117">
        <f>+AW49/AW$43</f>
        <v>0.44679023583887212</v>
      </c>
      <c r="AX445" s="557"/>
      <c r="AY445" s="1115">
        <f>+AY446+AY447+AY449</f>
        <v>0.43799645373089491</v>
      </c>
      <c r="AZ445" s="1114">
        <f>+AZ446+AZ447+AZ449</f>
        <v>0.43321412165364309</v>
      </c>
      <c r="BA445" s="1114">
        <f>+BA446+BA447+BA449</f>
        <v>0.44528448306368412</v>
      </c>
      <c r="BB445" s="1114">
        <f>+BB446+BB447+BB449</f>
        <v>0.41604337838488126</v>
      </c>
      <c r="BC445" s="1117">
        <f>+BC49/BC$43</f>
        <v>0.43388331836246286</v>
      </c>
      <c r="BD445" s="557"/>
      <c r="BE445" s="1115">
        <f>+BE446+BE447+BE449</f>
        <v>0.45034411287236775</v>
      </c>
      <c r="BF445" s="1114">
        <f>+BF446+BF447+BF449</f>
        <v>0.42688457331008178</v>
      </c>
      <c r="BG445" s="1114">
        <f>+BG446+BG447+BG449</f>
        <v>0.4225640071783624</v>
      </c>
      <c r="BH445" s="1114">
        <f>+BH446+BH447+BH449</f>
        <v>0.41003154506380995</v>
      </c>
      <c r="BI445" s="1117">
        <f>+BI49/BI$43</f>
        <v>0.42711915904857167</v>
      </c>
      <c r="BJ445" s="557"/>
      <c r="BK445" s="1115">
        <f>+BK446+BK447+BK449</f>
        <v>0.45662631339230531</v>
      </c>
      <c r="BL445" s="1114">
        <f>+BL446+BL447+BL449</f>
        <v>0.44128389565270054</v>
      </c>
      <c r="BM445" s="1114">
        <f>+BM446+BM447+BM449</f>
        <v>0.43997192939722302</v>
      </c>
      <c r="BN445" s="1114">
        <f>+BN446+BN447+BN449</f>
        <v>0.4481733111030482</v>
      </c>
      <c r="BO445" s="1117">
        <f>+BO49/BO$43</f>
        <v>0.44672402520364668</v>
      </c>
      <c r="BP445" s="557"/>
      <c r="BQ445" s="1115">
        <f>+BQ446+BQ447+BQ449</f>
        <v>0.46010047729109704</v>
      </c>
      <c r="BR445" s="1114">
        <f>+BR446+BR447+BR449</f>
        <v>0.41739530760688748</v>
      </c>
      <c r="BS445" s="1114">
        <f>+BS446+BS447+BS449</f>
        <v>0.415040745333006</v>
      </c>
      <c r="BT445" s="1114">
        <f>+BT446+BT447+BT449</f>
        <v>0.39778468156085223</v>
      </c>
      <c r="BU445" s="1117">
        <f>+BU49/BU$43</f>
        <v>0.42319916494994553</v>
      </c>
      <c r="BV445" s="557"/>
      <c r="BW445" s="1115">
        <f>+BW446+BW447+BW449</f>
        <v>0.47669597408123432</v>
      </c>
      <c r="BX445" s="1114">
        <f>+BX446+BX447+BX449</f>
        <v>0.46262986997278643</v>
      </c>
      <c r="BY445" s="1114">
        <f>+BY446+BY447+BY449</f>
        <v>0.42584354249940332</v>
      </c>
      <c r="BZ445" s="1114">
        <f>+BZ446+BZ447+BZ449</f>
        <v>0.37378014568160334</v>
      </c>
      <c r="CA445" s="1117">
        <f>+CA49/CA$43</f>
        <v>0.42913345401069319</v>
      </c>
      <c r="CB445" s="557"/>
      <c r="CC445" s="1115">
        <f>+CC446+CC447+CC449</f>
        <v>0.46902102089680681</v>
      </c>
      <c r="CD445" s="1114">
        <f>+CD446+CD447+CD449</f>
        <v>0.42277433378357065</v>
      </c>
      <c r="CE445" s="1114">
        <f>+CE446+CE447+CE449</f>
        <v>0.41143005972310942</v>
      </c>
      <c r="CF445" s="1114">
        <f>+CF446+CF447+CF449</f>
        <v>0.36495154588268569</v>
      </c>
      <c r="CG445" s="1117">
        <f>+CG49/CG$43</f>
        <v>0.40933591371816408</v>
      </c>
      <c r="CH445" s="557"/>
      <c r="CI445" s="1115">
        <f>+CI446+CI447+CI449</f>
        <v>0.4795537398221279</v>
      </c>
      <c r="CJ445" s="1114">
        <f>+CJ446+CJ447+CJ449</f>
        <v>0.43716532178378853</v>
      </c>
      <c r="CK445" s="1114">
        <f>+CK446+CK447+CK449</f>
        <v>0.43093515021690298</v>
      </c>
      <c r="CL445" s="1114">
        <f>+CL446+CL447+CL449</f>
        <v>0.38506094240023353</v>
      </c>
      <c r="CM445" s="1117">
        <f>+CM49/CM$43</f>
        <v>0.42938832029469826</v>
      </c>
      <c r="CN445" s="557"/>
      <c r="CO445" s="1115">
        <f>+CO446+CO447+CO449</f>
        <v>0.45355373982212788</v>
      </c>
      <c r="CP445" s="1114">
        <f>+CP446+CP447+CP449</f>
        <v>0.43116532178378852</v>
      </c>
      <c r="CQ445" s="1114">
        <f>+CQ446+CQ447+CQ449</f>
        <v>0.41493515021690297</v>
      </c>
      <c r="CR445" s="1114">
        <f>+CR446+CR447+CR449</f>
        <v>0.37906094240023352</v>
      </c>
      <c r="CS445" s="1117">
        <f>+CS49/CS$43</f>
        <v>0.41656665206787091</v>
      </c>
      <c r="CT445" s="557"/>
      <c r="CU445" s="1115">
        <f>+CU446+CU447+CU449</f>
        <v>0.43855373982212792</v>
      </c>
      <c r="CV445" s="1114">
        <f>+CV446+CV447+CV449</f>
        <v>0.41616532178378857</v>
      </c>
      <c r="CW445" s="1114">
        <f>+CW446+CW447+CW449</f>
        <v>0.39993515021690296</v>
      </c>
      <c r="CX445" s="1114">
        <f>+CX446+CX447+CX449</f>
        <v>0.36406094240023351</v>
      </c>
      <c r="CY445" s="1117">
        <f>+CY49/CY$43</f>
        <v>0.40165078368072832</v>
      </c>
      <c r="CZ445" s="48"/>
      <c r="DA445"/>
      <c r="DB445"/>
      <c r="DC445"/>
      <c r="DD445" s="48"/>
      <c r="DE445" s="48"/>
      <c r="DF445" s="48"/>
      <c r="DG445" s="48"/>
      <c r="DH445" s="48"/>
      <c r="DI445" s="48"/>
      <c r="DJ445" s="48"/>
      <c r="DK445" s="48"/>
    </row>
    <row r="446" spans="1:115" s="5" customFormat="1" x14ac:dyDescent="0.2">
      <c r="A446" s="205" t="s">
        <v>551</v>
      </c>
      <c r="B446" s="58"/>
      <c r="C446" s="685"/>
      <c r="D446" s="578"/>
      <c r="E446" s="578"/>
      <c r="F446" s="582"/>
      <c r="G446" s="707"/>
      <c r="H446" s="557"/>
      <c r="I446" s="704"/>
      <c r="J446" s="558"/>
      <c r="K446" s="558"/>
      <c r="L446" s="558"/>
      <c r="M446" s="629"/>
      <c r="N446" s="557"/>
      <c r="O446" s="704"/>
      <c r="P446" s="558"/>
      <c r="Q446" s="558"/>
      <c r="R446" s="558"/>
      <c r="S446" s="707"/>
      <c r="T446" s="557"/>
      <c r="U446" s="685"/>
      <c r="V446" s="578"/>
      <c r="W446" s="578"/>
      <c r="X446" s="582"/>
      <c r="Y446" s="707"/>
      <c r="Z446" s="557"/>
      <c r="AA446" s="685"/>
      <c r="AB446" s="578"/>
      <c r="AC446" s="578"/>
      <c r="AD446" s="582"/>
      <c r="AE446" s="707"/>
      <c r="AF446" s="557"/>
      <c r="AG446" s="1229">
        <f>+('P&amp;L'!AG13-AG$448*(AG454/SUM(AG$454,AG$455)))/(AG$366-AG$379)</f>
        <v>0.25391408254991332</v>
      </c>
      <c r="AH446" s="1110">
        <f>+('P&amp;L'!AH13-AH$448*(AH454/SUM(AH$454,AH$455)))/(AH$366-AH$379)</f>
        <v>0.24583603990739356</v>
      </c>
      <c r="AI446" s="1110">
        <f>+('P&amp;L'!AI13-AI$448*(AI454/SUM(AI$454,AI$455)))/(AI$366-AI$379)</f>
        <v>0.23384130725297411</v>
      </c>
      <c r="AJ446" s="1110">
        <f>+('P&amp;L'!AJ13-AJ$448*(AJ454/SUM(AJ$454,AJ$455)))/(AJ$366-AJ$379)</f>
        <v>0.23997813331071685</v>
      </c>
      <c r="AK446" s="1228">
        <f>+('P&amp;L'!AK13-AK$448*(AK454/SUM(AK$454,AK$455)))/(AK$366-AK$379)</f>
        <v>0.2428467404682389</v>
      </c>
      <c r="AL446" s="557"/>
      <c r="AM446" s="1229">
        <f>+('P&amp;L'!AM13-AM$448*(AM454/SUM(AM$454,AM$455)))/(AM$366-AM$379)</f>
        <v>0.24765852910204042</v>
      </c>
      <c r="AN446" s="1110">
        <f>+('P&amp;L'!AN13-AN$448*(AN454/SUM(AN$454,AN$455)))/(AN$366-AN$379)</f>
        <v>0.25880153546995099</v>
      </c>
      <c r="AO446" s="1110">
        <f>+('P&amp;L'!AO13-AO$448*(AO454/SUM(AO$454,AO$455)))/(AO$366-AO$379)</f>
        <v>0.24821275220037378</v>
      </c>
      <c r="AP446" s="1110">
        <f>+('P&amp;L'!AP13-AP$448*(AP454/SUM(AP$454,AP$455)))/(AP$366-AP$379)</f>
        <v>0.24839434298987761</v>
      </c>
      <c r="AQ446" s="1228">
        <f>+('P&amp;L'!AQ13-AQ$448*(AQ454/SUM(AQ$454,AQ$455)))/(AQ$366-AQ$379)</f>
        <v>0.25066665769595464</v>
      </c>
      <c r="AR446" s="557"/>
      <c r="AS446" s="1229">
        <f>+('P&amp;L'!AS13-AS$448*(AS454/SUM(AS$454,AS$455)))/(AS$366-AS$379)</f>
        <v>0.263948868502627</v>
      </c>
      <c r="AT446" s="1110">
        <f>+('P&amp;L'!AT13-AT$448*(AT454/SUM(AT$454,AT$455)))/(AT$366-AT$379)</f>
        <v>0.27621127762751474</v>
      </c>
      <c r="AU446" s="1110">
        <f>+('P&amp;L'!AU13-AU$448*(AU454/SUM(AU$454,AU$455)))/(AU$366-AU$379)</f>
        <v>0.283007087873416</v>
      </c>
      <c r="AV446" s="1110">
        <f>+('P&amp;L'!AV13-AV$448*(AV454/SUM(AV$454,AV$455)))/(AV$366-AV$379)</f>
        <v>0.25077080377832989</v>
      </c>
      <c r="AW446" s="1228">
        <f>+('P&amp;L'!AW13-AW$448*(AW454/SUM(AW$454,AW$455)))/(AW$366-AW$379)</f>
        <v>0.26784216253394011</v>
      </c>
      <c r="AX446" s="557"/>
      <c r="AY446" s="1229">
        <f>+('P&amp;L'!AY13-AY$448*(AY454/SUM(AY$454,AY$455)))/(AY$366-AY$379)</f>
        <v>0.28389143273072232</v>
      </c>
      <c r="AZ446" s="1110">
        <f>+('P&amp;L'!AZ13-AZ$448*(AZ454/SUM(AZ$454,AZ$455)))/(AZ$366-AZ$379)</f>
        <v>0.28387579914898747</v>
      </c>
      <c r="BA446" s="1110">
        <f>+('P&amp;L'!BA13-BA$448*(BA454/SUM(BA$454,BA$455)))/(BA$366-BA$379)</f>
        <v>0.28579748745182137</v>
      </c>
      <c r="BB446" s="1110">
        <f>+('P&amp;L'!BB13-BB$448*(BB454/SUM(BB$454,BB$455)))/(BB$366-BB$379)</f>
        <v>0.26878045495806679</v>
      </c>
      <c r="BC446" s="1228">
        <f>+('P&amp;L'!BC13-BC$448*(BC454/SUM(BC$454,BC$455)))/(BC$366-BC$379)</f>
        <v>0.28017750935850116</v>
      </c>
      <c r="BD446" s="557"/>
      <c r="BE446" s="1229">
        <f>+('P&amp;L'!BE13-BE$448*(BE454/SUM(BE$454,BE$455)))/(BE$366-BE$379)</f>
        <v>0.30182433437783407</v>
      </c>
      <c r="BF446" s="1110">
        <f>+('P&amp;L'!BF13-BF$448*(BF454/SUM(BF$454,BF$455)))/(BF$366-BF$379)</f>
        <v>0.29421367726497638</v>
      </c>
      <c r="BG446" s="1110">
        <f>+('P&amp;L'!BG13-BG$448*(BG454/SUM(BG$454,BG$455)))/(BG$366-BG$379)</f>
        <v>0.29100215642518384</v>
      </c>
      <c r="BH446" s="1110">
        <f>+('P&amp;L'!BH13-BH$448*(BH454/SUM(BH$454,BH$455)))/(BH$366-BH$379)</f>
        <v>0.2764740027001264</v>
      </c>
      <c r="BI446" s="1228">
        <f>+('P&amp;L'!BI13-BI$448*(BI454/SUM(BI$454,BI$455)))/(BI$366-BI$379)</f>
        <v>0.29024448213040732</v>
      </c>
      <c r="BJ446" s="557"/>
      <c r="BK446" s="1229">
        <f>+('P&amp;L'!BK13-BK$448*(BK454/SUM(BK$454,BK$455)))/(BK$366-BK$379)</f>
        <v>0.29422606661342071</v>
      </c>
      <c r="BL446" s="1110">
        <f>+('P&amp;L'!BL13-BL$448*(BL454/SUM(BL$454,BL$455)))/(BL$366-BL$379)</f>
        <v>0.28681483430540733</v>
      </c>
      <c r="BM446" s="1110">
        <f>+('P&amp;L'!BM13-BM$448*(BM454/SUM(BM$454,BM$455)))/(BM$366-BM$379)</f>
        <v>0.28118897186004255</v>
      </c>
      <c r="BN446" s="1110">
        <f>+('P&amp;L'!BN13-BN$448*(BN454/SUM(BN$454,BN$455)))/(BN$366-BN$379)</f>
        <v>0.28641699157492406</v>
      </c>
      <c r="BO446" s="1228">
        <f>+('P&amp;L'!BO13-BO$448*(BO454/SUM(BO$454,BO$455)))/(BO$366-BO$379)</f>
        <v>0.28705905522492819</v>
      </c>
      <c r="BP446" s="557"/>
      <c r="BQ446" s="1229">
        <f>+('P&amp;L'!BQ13-BQ$448*(BQ454/SUM(BQ$454,BQ$455)))/(BQ$366-BQ$379)</f>
        <v>0.30204389221324318</v>
      </c>
      <c r="BR446" s="1110">
        <f>+('P&amp;L'!BR13-BR$448*(BR454/SUM(BR$454,BR$455)))/(BR$366-BR$379)</f>
        <v>0.2869118193217895</v>
      </c>
      <c r="BS446" s="1110">
        <f>+('P&amp;L'!BS13-BS$448*(BS454/SUM(BS$454,BS$455)))/(BS$366-BS$379)</f>
        <v>0.29103407315784152</v>
      </c>
      <c r="BT446" s="1110">
        <f>+('P&amp;L'!BT13-BT$448*(BT454/SUM(BT$454,BT$455)))/(BT$366-BT$379)</f>
        <v>0.27624358342175193</v>
      </c>
      <c r="BU446" s="1228">
        <f>+('P&amp;L'!BU13-BU$448*(BU454/SUM(BU$454,BU$455)))/(BU$366-BU$379)</f>
        <v>0.28857988605124968</v>
      </c>
      <c r="BV446" s="557"/>
      <c r="BW446" s="1229">
        <f>+('P&amp;L'!BW13-BW$448*(BW454/SUM(BW$454,BW$455)))/(BW$366-BW$379)</f>
        <v>0.32065149313637265</v>
      </c>
      <c r="BX446" s="1110">
        <f>+('P&amp;L'!BX13-BX$448*(BX454/SUM(BX$454,BX$455)))/(BX$366-BX$379)</f>
        <v>0.30014986749219541</v>
      </c>
      <c r="BY446" s="1110">
        <f>+('P&amp;L'!BY13-BY$448*(BY454/SUM(BY$454,BY$455)))/(BY$366-BY$379)</f>
        <v>0.28691461783387961</v>
      </c>
      <c r="BZ446" s="1110">
        <f>+('P&amp;L'!BZ13-BZ$448*(BZ454/SUM(BZ$454,BZ$455)))/(BZ$366-BZ$379)</f>
        <v>0.26925963468416392</v>
      </c>
      <c r="CA446" s="1117">
        <f>+'P&amp;L'!CA$43</f>
        <v>0.28659211210439128</v>
      </c>
      <c r="CB446" s="557"/>
      <c r="CC446" s="1229">
        <f>+('P&amp;L'!CC13-CC$448*(CC454/SUM(CC$454,CC$455)))/(CC$366-CC$379)</f>
        <v>0.30505373982212791</v>
      </c>
      <c r="CD446" s="1110">
        <f>+('P&amp;L'!CD13-CD$448*(CD454/SUM(CD$454,CD$455)))/(CD$366-CD$379)</f>
        <v>0.27866532178378856</v>
      </c>
      <c r="CE446" s="1110">
        <f>+('P&amp;L'!CE13-CE$448*(CE454/SUM(CE$454,CE$455)))/(CE$366-CE$379)</f>
        <v>0.27343515021690296</v>
      </c>
      <c r="CF446" s="1110">
        <f>+('P&amp;L'!CF13-CF$448*(CF454/SUM(CF$454,CF$455)))/(CF$366-CF$379)</f>
        <v>0.23856094240023354</v>
      </c>
      <c r="CG446" s="1117">
        <f>+'P&amp;L'!CG$43</f>
        <v>0.26565193652359231</v>
      </c>
      <c r="CH446" s="557"/>
      <c r="CI446" s="1682">
        <f>+CC446-0.0075</f>
        <v>0.29755373982212791</v>
      </c>
      <c r="CJ446" s="1677">
        <f>+CD446-0.0025</f>
        <v>0.27616532178378855</v>
      </c>
      <c r="CK446" s="1677">
        <f>+CE446-0.0025</f>
        <v>0.27093515021690295</v>
      </c>
      <c r="CL446" s="1677">
        <f>+CF446-0.0025</f>
        <v>0.23606094240023354</v>
      </c>
      <c r="CM446" s="1117">
        <f>+'P&amp;L'!CM$43</f>
        <v>0.26222920973561648</v>
      </c>
      <c r="CN446" s="557"/>
      <c r="CO446" s="1682">
        <f>+CI446-0.005</f>
        <v>0.2925537398221279</v>
      </c>
      <c r="CP446" s="1677">
        <f>+CJ446-0.005</f>
        <v>0.27116532178378855</v>
      </c>
      <c r="CQ446" s="1677">
        <f>+CK446-0.005</f>
        <v>0.26593515021690295</v>
      </c>
      <c r="CR446" s="1677">
        <f>+CL446-0.005</f>
        <v>0.23106094240023353</v>
      </c>
      <c r="CS446" s="1117">
        <f>+'P&amp;L'!CS$43</f>
        <v>0.25761990774525495</v>
      </c>
      <c r="CT446" s="557"/>
      <c r="CU446" s="1682">
        <f t="shared" ref="CU446:CV446" si="216">+CO446-0.004</f>
        <v>0.2885537398221279</v>
      </c>
      <c r="CV446" s="1677">
        <f t="shared" si="216"/>
        <v>0.26716532178378855</v>
      </c>
      <c r="CW446" s="1677">
        <f t="shared" ref="CW446" si="217">+CQ446-0.004</f>
        <v>0.26193515021690295</v>
      </c>
      <c r="CX446" s="1677">
        <f t="shared" ref="CX446" si="218">+CR446-0.004</f>
        <v>0.22706094240023353</v>
      </c>
      <c r="CY446" s="1117">
        <f>+'P&amp;L'!CY$43</f>
        <v>0.25404553695087528</v>
      </c>
      <c r="CZ446" s="48"/>
      <c r="DA446"/>
      <c r="DB446"/>
      <c r="DC446"/>
      <c r="DD446" s="48"/>
      <c r="DE446" s="48"/>
      <c r="DF446" s="48"/>
      <c r="DG446" s="48"/>
      <c r="DH446" s="48"/>
      <c r="DI446" s="48"/>
      <c r="DJ446" s="48"/>
      <c r="DK446" s="48"/>
    </row>
    <row r="447" spans="1:115" s="5" customFormat="1" x14ac:dyDescent="0.2">
      <c r="A447" s="205" t="s">
        <v>552</v>
      </c>
      <c r="B447" s="58"/>
      <c r="C447" s="685"/>
      <c r="D447" s="578"/>
      <c r="E447" s="578"/>
      <c r="F447" s="582"/>
      <c r="G447" s="707"/>
      <c r="H447" s="557"/>
      <c r="I447" s="704"/>
      <c r="J447" s="558"/>
      <c r="K447" s="558"/>
      <c r="L447" s="558"/>
      <c r="M447" s="629"/>
      <c r="N447" s="557"/>
      <c r="O447" s="704"/>
      <c r="P447" s="558"/>
      <c r="Q447" s="558"/>
      <c r="R447" s="558"/>
      <c r="S447" s="707"/>
      <c r="T447" s="557"/>
      <c r="U447" s="704"/>
      <c r="V447" s="558"/>
      <c r="W447" s="558"/>
      <c r="X447" s="558"/>
      <c r="Y447" s="707"/>
      <c r="Z447" s="557"/>
      <c r="AA447" s="685"/>
      <c r="AB447" s="578"/>
      <c r="AC447" s="578"/>
      <c r="AD447" s="582"/>
      <c r="AE447" s="707"/>
      <c r="AF447" s="557"/>
      <c r="AG447" s="1229">
        <f>+('P&amp;L'!AG14-AG$448*(AG455/SUM(AG$454,AG$455)))/(AG$366-AG$379)</f>
        <v>8.5944607641230603E-2</v>
      </c>
      <c r="AH447" s="1110">
        <f>+('P&amp;L'!AH14-AH$448*(AH455/SUM(AH$454,AH$455)))/(AH$366-AH$379)</f>
        <v>7.2415429970519168E-2</v>
      </c>
      <c r="AI447" s="1110">
        <f>+('P&amp;L'!AI14-AI$448*(AI455/SUM(AI$454,AI$455)))/(AI$366-AI$379)</f>
        <v>7.6330880115844241E-2</v>
      </c>
      <c r="AJ447" s="1110">
        <f>+('P&amp;L'!AJ14-AJ$448*(AJ455/SUM(AJ$454,AJ$455)))/(AJ$366-AJ$379)</f>
        <v>8.2943803899875712E-2</v>
      </c>
      <c r="AK447" s="1228">
        <f>+('P&amp;L'!AK14-AK$448*(AK455/SUM(AK$454,AK$455)))/(AK$366-AK$379)</f>
        <v>7.9389876313832416E-2</v>
      </c>
      <c r="AL447" s="557"/>
      <c r="AM447" s="1229">
        <f>+('P&amp;L'!AM14-AM$448*(AM455/SUM(AM$454,AM$455)))/(AM$366-AM$379)</f>
        <v>7.5101614914859227E-2</v>
      </c>
      <c r="AN447" s="1110">
        <f>+('P&amp;L'!AN14-AN$448*(AN455/SUM(AN$454,AN$455)))/(AN$366-AN$379)</f>
        <v>7.631823107707951E-2</v>
      </c>
      <c r="AO447" s="1110">
        <f>+('P&amp;L'!AO14-AO$448*(AO455/SUM(AO$454,AO$455)))/(AO$366-AO$379)</f>
        <v>7.2245369263561676E-2</v>
      </c>
      <c r="AP447" s="1110">
        <f>+('P&amp;L'!AP14-AP$448*(AP455/SUM(AP$454,AP$455)))/(AP$366-AP$379)</f>
        <v>6.8442505862769523E-2</v>
      </c>
      <c r="AQ447" s="1228">
        <f>+('P&amp;L'!AQ14-AQ$448*(AQ455/SUM(AQ$454,AQ$455)))/(AQ$366-AQ$379)</f>
        <v>7.2916966879007838E-2</v>
      </c>
      <c r="AR447" s="557"/>
      <c r="AS447" s="1229">
        <f>+('P&amp;L'!AS14-AS$448*(AS455/SUM(AS$454,AS$455)))/(AS$366-AS$379)</f>
        <v>7.4449985609600269E-2</v>
      </c>
      <c r="AT447" s="1110">
        <f>+('P&amp;L'!AT14-AT$448*(AT455/SUM(AT$454,AT$455)))/(AT$366-AT$379)</f>
        <v>6.5444605247824611E-2</v>
      </c>
      <c r="AU447" s="1110">
        <f>+('P&amp;L'!AU14-AU$448*(AU455/SUM(AU$454,AU$455)))/(AU$366-AU$379)</f>
        <v>6.74650364201691E-2</v>
      </c>
      <c r="AV447" s="1110">
        <f>+('P&amp;L'!AV14-AV$448*(AV455/SUM(AV$454,AV$455)))/(AV$366-AV$379)</f>
        <v>5.6021320231820777E-2</v>
      </c>
      <c r="AW447" s="1228">
        <f>+('P&amp;L'!AW14-AW$448*(AW455/SUM(AW$454,AW$455)))/(AW$366-AW$379)</f>
        <v>6.5282017066006309E-2</v>
      </c>
      <c r="AX447" s="557"/>
      <c r="AY447" s="1229">
        <f>+('P&amp;L'!AY14-AY$448*(AY455/SUM(AY$454,AY$455)))/(AY$366-AY$379)</f>
        <v>6.3781578278204493E-2</v>
      </c>
      <c r="AZ447" s="1110">
        <f>+('P&amp;L'!AZ14-AZ$448*(AZ455/SUM(AZ$454,AZ$455)))/(AZ$366-AZ$379)</f>
        <v>5.5820351174882682E-2</v>
      </c>
      <c r="BA447" s="1110">
        <f>+('P&amp;L'!BA14-BA$448*(BA455/SUM(BA$454,BA$455)))/(BA$366-BA$379)</f>
        <v>6.3685990083000785E-2</v>
      </c>
      <c r="BB447" s="1110">
        <f>+('P&amp;L'!BB14-BB$448*(BB455/SUM(BB$454,BB$455)))/(BB$366-BB$379)</f>
        <v>5.9881907335865361E-2</v>
      </c>
      <c r="BC447" s="1228">
        <f>+('P&amp;L'!BC14-BC$448*(BC455/SUM(BC$454,BC$455)))/(BC$366-BC$379)</f>
        <v>6.0731536889668918E-2</v>
      </c>
      <c r="BD447" s="557"/>
      <c r="BE447" s="1229">
        <f>+('P&amp;L'!BE14-BE$448*(BE455/SUM(BE$454,BE$455)))/(BE$366-BE$379)</f>
        <v>5.7152442699764702E-2</v>
      </c>
      <c r="BF447" s="1110">
        <f>+('P&amp;L'!BF14-BF$448*(BF455/SUM(BF$454,BF$455)))/(BF$366-BF$379)</f>
        <v>4.8442648053004793E-2</v>
      </c>
      <c r="BG447" s="1110">
        <f>+('P&amp;L'!BG14-BG$448*(BG455/SUM(BG$454,BG$455)))/(BG$366-BG$379)</f>
        <v>5.7769097113638958E-2</v>
      </c>
      <c r="BH447" s="1110">
        <f>+('P&amp;L'!BH14-BH$448*(BH455/SUM(BH$454,BH$455)))/(BH$366-BH$379)</f>
        <v>4.4306803178113897E-2</v>
      </c>
      <c r="BI447" s="1228">
        <f>+('P&amp;L'!BI14-BI$448*(BI455/SUM(BI$454,BI$455)))/(BI$366-BI$379)</f>
        <v>5.1618133111011703E-2</v>
      </c>
      <c r="BJ447" s="557"/>
      <c r="BK447" s="1229">
        <f>+('P&amp;L'!BK14-BK$448*(BK455/SUM(BK$454,BK$455)))/(BK$366-BK$379)</f>
        <v>7.4998296186982824E-2</v>
      </c>
      <c r="BL447" s="1110">
        <f>+('P&amp;L'!BL14-BL$448*(BL455/SUM(BL$454,BL$455)))/(BL$366-BL$379)</f>
        <v>7.7265135879983252E-2</v>
      </c>
      <c r="BM447" s="1110">
        <f>+('P&amp;L'!BM14-BM$448*(BM455/SUM(BM$454,BM$455)))/(BM$366-BM$379)</f>
        <v>7.8334855995933539E-2</v>
      </c>
      <c r="BN447" s="1110">
        <f>+('P&amp;L'!BN14-BN$448*(BN455/SUM(BN$454,BN$455)))/(BN$366-BN$379)</f>
        <v>8.0015673882698854E-2</v>
      </c>
      <c r="BO447" s="1228">
        <f>+('P&amp;L'!BO14-BO$448*(BO455/SUM(BO$454,BO$455)))/(BO$366-BO$379)</f>
        <v>7.7731831241945201E-2</v>
      </c>
      <c r="BP447" s="557"/>
      <c r="BQ447" s="1229">
        <f>+('P&amp;L'!BQ14-BQ$448*(BQ455/SUM(BQ$454,BQ$455)))/(BQ$366-BQ$379)</f>
        <v>8.1013386444483776E-2</v>
      </c>
      <c r="BR447" s="1110">
        <f>+('P&amp;L'!BR14-BR$448*(BR455/SUM(BR$454,BR$455)))/(BR$366-BR$379)</f>
        <v>7.4996954575252586E-2</v>
      </c>
      <c r="BS447" s="1110">
        <f>+('P&amp;L'!BS14-BS$448*(BS455/SUM(BS$454,BS$455)))/(BS$366-BS$379)</f>
        <v>6.4798108966361317E-2</v>
      </c>
      <c r="BT447" s="1110">
        <f>+('P&amp;L'!BT14-BT$448*(BT455/SUM(BT$454,BT$455)))/(BT$366-BT$379)</f>
        <v>6.6477824049234885E-2</v>
      </c>
      <c r="BU447" s="1228">
        <f>+('P&amp;L'!BU14-BU$448*(BU455/SUM(BU$454,BU$455)))/(BU$366-BU$379)</f>
        <v>7.1611923419172177E-2</v>
      </c>
      <c r="BV447" s="557"/>
      <c r="BW447" s="1229">
        <f>+('P&amp;L'!BW14-BW$448*(BW455/SUM(BW$454,BW$455)))/(BW$366-BW$379)</f>
        <v>6.5708084272366837E-2</v>
      </c>
      <c r="BX447" s="1110">
        <f>+('P&amp;L'!BX14-BX$448*(BX455/SUM(BX$454,BX$455)))/(BX$366-BX$379)</f>
        <v>7.3856115454235732E-2</v>
      </c>
      <c r="BY447" s="1110">
        <f>+('P&amp;L'!BY14-BY$448*(BY455/SUM(BY$454,BY$455)))/(BY$366-BY$379)</f>
        <v>7.2978790682169545E-2</v>
      </c>
      <c r="BZ447" s="1110">
        <f>+('P&amp;L'!BZ14-BZ$448*(BZ455/SUM(BZ$454,BZ$455)))/(BZ$366-BZ$379)</f>
        <v>6.1144307396641069E-2</v>
      </c>
      <c r="CA447" s="1117">
        <f>+'P&amp;L'!CA$44</f>
        <v>6.6849976320219398E-2</v>
      </c>
      <c r="CB447" s="557"/>
      <c r="CC447" s="1229">
        <f>+('P&amp;L'!CC14-CC$448*(CC455/SUM(CC$454,CC$455)))/(CC$366-CC$379)</f>
        <v>7.7794683286745089E-2</v>
      </c>
      <c r="CD447" s="1110">
        <f>+('P&amp;L'!CD14-CD$448*(CD455/SUM(CD$454,CD$455)))/(CD$366-CD$379)</f>
        <v>7.0344339419901342E-2</v>
      </c>
      <c r="CE447" s="1110">
        <f>+('P&amp;L'!CE14-CE$448*(CE455/SUM(CE$454,CE$455)))/(CE$366-CE$379)</f>
        <v>7.2893593557993727E-2</v>
      </c>
      <c r="CF447" s="1110">
        <f>+('P&amp;L'!CF14-CF$448*(CF455/SUM(CF$454,CF$455)))/(CF$366-CF$379)</f>
        <v>6.5478999597943247E-2</v>
      </c>
      <c r="CG447" s="1117">
        <f>+'P&amp;L'!CG$44</f>
        <v>6.9623262940979619E-2</v>
      </c>
      <c r="CH447" s="557"/>
      <c r="CI447" s="1682">
        <v>7.1999999999999995E-2</v>
      </c>
      <c r="CJ447" s="1677">
        <f>+CI447-0.001</f>
        <v>7.0999999999999994E-2</v>
      </c>
      <c r="CK447" s="1677">
        <f>+CJ447-0.001</f>
        <v>6.9999999999999993E-2</v>
      </c>
      <c r="CL447" s="1677">
        <f>+CK447-0.001</f>
        <v>6.8999999999999992E-2</v>
      </c>
      <c r="CM447" s="1117">
        <f>+'P&amp;L'!CM$44</f>
        <v>6.8755692827723272E-2</v>
      </c>
      <c r="CN447" s="557"/>
      <c r="CO447" s="1682">
        <f>+CI447-0.001</f>
        <v>7.0999999999999994E-2</v>
      </c>
      <c r="CP447" s="1677">
        <f>+CJ447-0.001</f>
        <v>6.9999999999999993E-2</v>
      </c>
      <c r="CQ447" s="1677">
        <f>+CK447-0.001</f>
        <v>6.8999999999999992E-2</v>
      </c>
      <c r="CR447" s="1677">
        <f>+CL447-0.001</f>
        <v>6.7999999999999991E-2</v>
      </c>
      <c r="CS447" s="1117">
        <f>+'P&amp;L'!CS$44</f>
        <v>6.7836541341476361E-2</v>
      </c>
      <c r="CT447" s="557"/>
      <c r="CU447" s="1682">
        <f>+CO447-0.001</f>
        <v>6.9999999999999993E-2</v>
      </c>
      <c r="CV447" s="1677">
        <f>+CP447-0.001</f>
        <v>6.8999999999999992E-2</v>
      </c>
      <c r="CW447" s="1677">
        <f>+CQ447-0.001</f>
        <v>6.7999999999999991E-2</v>
      </c>
      <c r="CX447" s="1677">
        <f>+CR447-0.001</f>
        <v>6.699999999999999E-2</v>
      </c>
      <c r="CY447" s="1117">
        <f>+'P&amp;L'!CY$44</f>
        <v>6.6934691151471104E-2</v>
      </c>
      <c r="CZ447" s="48"/>
      <c r="DA447"/>
      <c r="DB447"/>
      <c r="DC447"/>
      <c r="DD447" s="48"/>
      <c r="DE447" s="48"/>
      <c r="DF447" s="48"/>
      <c r="DG447" s="48"/>
      <c r="DH447" s="48"/>
      <c r="DI447" s="48"/>
      <c r="DJ447" s="48"/>
      <c r="DK447" s="48"/>
    </row>
    <row r="448" spans="1:115" s="5" customFormat="1" x14ac:dyDescent="0.2">
      <c r="A448" s="354" t="s">
        <v>630</v>
      </c>
      <c r="B448" s="58"/>
      <c r="C448" s="578"/>
      <c r="D448" s="578"/>
      <c r="E448" s="578"/>
      <c r="F448" s="550"/>
      <c r="G448" s="707"/>
      <c r="H448" s="557"/>
      <c r="I448" s="704"/>
      <c r="J448" s="558"/>
      <c r="K448" s="558"/>
      <c r="L448" s="558"/>
      <c r="M448" s="629"/>
      <c r="N448" s="557"/>
      <c r="O448" s="704"/>
      <c r="P448" s="558"/>
      <c r="Q448" s="558"/>
      <c r="R448" s="558"/>
      <c r="S448" s="707"/>
      <c r="T448" s="557"/>
      <c r="U448" s="704"/>
      <c r="V448" s="558"/>
      <c r="W448" s="558"/>
      <c r="X448" s="558"/>
      <c r="Y448" s="707"/>
      <c r="Z448" s="557"/>
      <c r="AA448" s="685"/>
      <c r="AB448" s="578"/>
      <c r="AC448" s="578"/>
      <c r="AD448" s="582"/>
      <c r="AE448" s="707"/>
      <c r="AF448" s="557"/>
      <c r="AG448" s="1691">
        <f>+AG134</f>
        <v>0</v>
      </c>
      <c r="AH448" s="1692">
        <f>+AH134</f>
        <v>0</v>
      </c>
      <c r="AI448" s="1692">
        <f>+AI134</f>
        <v>0</v>
      </c>
      <c r="AJ448" s="1692">
        <f>+AJ134</f>
        <v>0.25</v>
      </c>
      <c r="AK448" s="580">
        <f>+SUM(AG448:AJ448)</f>
        <v>0.25</v>
      </c>
      <c r="AL448" s="557"/>
      <c r="AM448" s="1691">
        <f>+AM134</f>
        <v>0.24750000000000003</v>
      </c>
      <c r="AN448" s="1692">
        <f>+AN134</f>
        <v>0.24000000000000005</v>
      </c>
      <c r="AO448" s="1692">
        <f>+AO134</f>
        <v>0.27400000000000002</v>
      </c>
      <c r="AP448" s="1692">
        <f>+AP134</f>
        <v>0.28603200000000006</v>
      </c>
      <c r="AQ448" s="580">
        <f>+SUM(AM448:AP448)</f>
        <v>1.0475320000000001</v>
      </c>
      <c r="AR448" s="557"/>
      <c r="AS448" s="1691">
        <f>+AS134</f>
        <v>0.29749999999999999</v>
      </c>
      <c r="AT448" s="1692">
        <f>+AT134</f>
        <v>0.315</v>
      </c>
      <c r="AU448" s="1692">
        <f>+AU134</f>
        <v>0.33250000000000002</v>
      </c>
      <c r="AV448" s="1692">
        <f>+AV134</f>
        <v>0.36749999999999999</v>
      </c>
      <c r="AW448" s="580">
        <f>+SUM(AS448:AV448)</f>
        <v>1.3125</v>
      </c>
      <c r="AX448" s="557"/>
      <c r="AY448" s="1691">
        <f>+AY134</f>
        <v>0.36465000000000009</v>
      </c>
      <c r="AZ448" s="1692">
        <f>+AZ134</f>
        <v>0.40095000000000003</v>
      </c>
      <c r="BA448" s="1692">
        <f>+BA134</f>
        <v>0.42322500000000007</v>
      </c>
      <c r="BB448" s="1692">
        <f>+BB134</f>
        <v>0.46777500000000005</v>
      </c>
      <c r="BC448" s="580">
        <f>+SUM(AY448:BB448)</f>
        <v>1.6566000000000001</v>
      </c>
      <c r="BD448" s="557"/>
      <c r="BE448" s="1691">
        <f>+BE134</f>
        <v>0.39448500000000009</v>
      </c>
      <c r="BF448" s="1692">
        <f>+BF134</f>
        <v>0.35751375000000007</v>
      </c>
      <c r="BG448" s="1692">
        <f>+BG134</f>
        <v>0.41553000000000007</v>
      </c>
      <c r="BH448" s="1692">
        <f>+BH134</f>
        <v>0.37563750000000007</v>
      </c>
      <c r="BI448" s="580">
        <f>+SUM(BE448:BH448)</f>
        <v>1.5431662500000003</v>
      </c>
      <c r="BJ448" s="557"/>
      <c r="BK448" s="1691">
        <f>+BK134</f>
        <v>0.39436897500000007</v>
      </c>
      <c r="BL448" s="1692">
        <f>+BL134</f>
        <v>0.44188699500000006</v>
      </c>
      <c r="BM448" s="1692">
        <f>+BM134</f>
        <v>0.53811135000000021</v>
      </c>
      <c r="BN448" s="1692">
        <f>+BN134</f>
        <v>0.55534248000000008</v>
      </c>
      <c r="BO448" s="580">
        <f>+SUM(BK448:BN448)</f>
        <v>1.9297098000000004</v>
      </c>
      <c r="BP448" s="557"/>
      <c r="BQ448" s="1691">
        <f>+BQ134</f>
        <v>0.30810282910123737</v>
      </c>
      <c r="BR448" s="1692">
        <f>+BR134</f>
        <v>0.36916711980882844</v>
      </c>
      <c r="BS448" s="1692">
        <f>+BS134</f>
        <v>0.5574833586000002</v>
      </c>
      <c r="BT448" s="1692">
        <f>+BT134</f>
        <v>0.53146275336000004</v>
      </c>
      <c r="BU448" s="580">
        <f>+SUM(BQ448:BT448)</f>
        <v>1.7662160608700659</v>
      </c>
      <c r="BV448" s="557"/>
      <c r="BW448" s="1691">
        <f>+BW134</f>
        <v>0.30496892097548906</v>
      </c>
      <c r="BX448" s="1692">
        <f>+BX134</f>
        <v>0.3081870203322909</v>
      </c>
      <c r="BY448" s="1692">
        <f>+BY134</f>
        <v>0.55285123353642773</v>
      </c>
      <c r="BZ448" s="1692">
        <f>+BZ134</f>
        <v>0.52864226451541085</v>
      </c>
      <c r="CA448" s="580">
        <f>+SUM(BW448:BZ448)</f>
        <v>1.6946494393596185</v>
      </c>
      <c r="CB448" s="557"/>
      <c r="CC448" s="1691">
        <f>+CC134</f>
        <v>0.32273938913952649</v>
      </c>
      <c r="CD448" s="1692">
        <f>+CD134</f>
        <v>0.32588773334811921</v>
      </c>
      <c r="CE448" s="1692">
        <f>+CE134</f>
        <v>0.36021331981217425</v>
      </c>
      <c r="CF448" s="1692">
        <f>+CF134</f>
        <v>0.35000884871847376</v>
      </c>
      <c r="CG448" s="580">
        <f>+SUM(CC448:CF448)</f>
        <v>1.3588492910182937</v>
      </c>
      <c r="CH448" s="557"/>
      <c r="CI448" s="1691">
        <f>+CI134</f>
        <v>0.37115029751045542</v>
      </c>
      <c r="CJ448" s="1692">
        <f>+CJ134</f>
        <v>0.3731414546835965</v>
      </c>
      <c r="CK448" s="1692">
        <f>+CK134</f>
        <v>0.40523998478869605</v>
      </c>
      <c r="CL448" s="1692">
        <f>+CL134</f>
        <v>0.39200991056469064</v>
      </c>
      <c r="CM448" s="580">
        <f>+SUM(CI448:CL448)</f>
        <v>1.5415416475474386</v>
      </c>
      <c r="CN448" s="557"/>
      <c r="CO448" s="1691">
        <f>+CO134</f>
        <v>0.38970781238597818</v>
      </c>
      <c r="CP448" s="1692">
        <f>+CP134</f>
        <v>0.39179852741777638</v>
      </c>
      <c r="CQ448" s="1692">
        <f>+CQ134</f>
        <v>0.42550198402813089</v>
      </c>
      <c r="CR448" s="1692">
        <f>+CR134</f>
        <v>0.41161040609292515</v>
      </c>
      <c r="CS448" s="580">
        <f>+SUM(CO448:CR448)</f>
        <v>1.6186187299248105</v>
      </c>
      <c r="CT448" s="557"/>
      <c r="CU448" s="1691">
        <f>+CU134</f>
        <v>0.40919320300527712</v>
      </c>
      <c r="CV448" s="1692">
        <f>+CV134</f>
        <v>0.41138845378866523</v>
      </c>
      <c r="CW448" s="1692">
        <f>+CW134</f>
        <v>0.44677708322953746</v>
      </c>
      <c r="CX448" s="1692">
        <f>+CX134</f>
        <v>0.43219092639757145</v>
      </c>
      <c r="CY448" s="580">
        <f>+SUM(CU448:CX448)</f>
        <v>1.6995496664210512</v>
      </c>
      <c r="CZ448" s="48"/>
      <c r="DA448"/>
      <c r="DB448"/>
      <c r="DC448"/>
      <c r="DD448" s="48"/>
      <c r="DE448" s="48"/>
      <c r="DF448" s="48"/>
      <c r="DG448" s="48"/>
      <c r="DH448" s="48"/>
      <c r="DI448" s="48"/>
      <c r="DJ448" s="48"/>
      <c r="DK448" s="48"/>
    </row>
    <row r="449" spans="1:115" s="5" customFormat="1" x14ac:dyDescent="0.2">
      <c r="A449" s="205" t="s">
        <v>553</v>
      </c>
      <c r="B449" s="58"/>
      <c r="C449" s="558"/>
      <c r="D449" s="558"/>
      <c r="E449" s="558"/>
      <c r="F449" s="558"/>
      <c r="G449" s="629"/>
      <c r="H449" s="557"/>
      <c r="I449" s="704"/>
      <c r="J449" s="558"/>
      <c r="K449" s="558"/>
      <c r="L449" s="558"/>
      <c r="M449" s="629"/>
      <c r="N449" s="557"/>
      <c r="O449" s="704"/>
      <c r="P449" s="558"/>
      <c r="Q449" s="558"/>
      <c r="R449" s="558"/>
      <c r="S449" s="707"/>
      <c r="T449" s="557"/>
      <c r="U449" s="704"/>
      <c r="V449" s="558"/>
      <c r="W449" s="558"/>
      <c r="X449" s="558"/>
      <c r="Y449" s="707"/>
      <c r="Z449" s="557"/>
      <c r="AA449" s="685"/>
      <c r="AB449" s="578"/>
      <c r="AC449" s="578"/>
      <c r="AD449" s="582"/>
      <c r="AE449" s="707"/>
      <c r="AF449" s="557"/>
      <c r="AG449" s="1115">
        <f>+AG456-AG450-AG452</f>
        <v>0.11606686189930884</v>
      </c>
      <c r="AH449" s="1114">
        <f>+AH456-AH450-AH452</f>
        <v>0.10389080431053149</v>
      </c>
      <c r="AI449" s="1114">
        <f>+AI456-AI450-AI452</f>
        <v>0.10300817610789535</v>
      </c>
      <c r="AJ449" s="1114">
        <f>+AJ456-AJ450-AJ452</f>
        <v>0.10571577814907443</v>
      </c>
      <c r="AK449" s="1117">
        <f>+AK456-AK450-AK452</f>
        <v>0.10685019681628005</v>
      </c>
      <c r="AL449" s="557"/>
      <c r="AM449" s="1115">
        <f>+AM456-AM450-AM452</f>
        <v>0.11952081221346327</v>
      </c>
      <c r="AN449" s="1114">
        <f>+AN456-AN450-AN452</f>
        <v>0.11199461019039425</v>
      </c>
      <c r="AO449" s="1114">
        <f>+AO456-AO450-AO452</f>
        <v>0.11293503501423535</v>
      </c>
      <c r="AP449" s="1114">
        <f>+AP456-AP450-AP452</f>
        <v>0.11900766347821223</v>
      </c>
      <c r="AQ449" s="1117">
        <f>+AQ456-AQ450-AQ452</f>
        <v>0.11590620462355773</v>
      </c>
      <c r="AR449" s="557"/>
      <c r="AS449" s="1115">
        <f>+AS456-AS450-AS452</f>
        <v>0.1236145535731179</v>
      </c>
      <c r="AT449" s="1114">
        <f>+AT456-AT450-AT452</f>
        <v>0.11520428667113194</v>
      </c>
      <c r="AU449" s="1114">
        <f>+AU456-AU450-AU452</f>
        <v>0.11300690586219431</v>
      </c>
      <c r="AV449" s="1114">
        <f>+AV456-AV450-AV452</f>
        <v>9.8125112134441653E-2</v>
      </c>
      <c r="AW449" s="1117">
        <f>+AW456-AW450-AW452</f>
        <v>0.11167885021290928</v>
      </c>
      <c r="AX449" s="557"/>
      <c r="AY449" s="1115">
        <f>+AY456-AY450-AY452</f>
        <v>9.0323442721968142E-2</v>
      </c>
      <c r="AZ449" s="1114">
        <f>+AZ456-AZ450-AZ452</f>
        <v>9.3517971329772964E-2</v>
      </c>
      <c r="BA449" s="1114">
        <f>+BA456-BA450-BA452</f>
        <v>9.5801005528861963E-2</v>
      </c>
      <c r="BB449" s="1114">
        <f>+BB456-BB450-BB452</f>
        <v>8.7381016090949115E-2</v>
      </c>
      <c r="BC449" s="1117">
        <f>+BC456-BC450-BC452</f>
        <v>9.1621629219410999E-2</v>
      </c>
      <c r="BD449" s="557"/>
      <c r="BE449" s="1115">
        <f>+BE456-BE450-BE452</f>
        <v>9.1367335794768995E-2</v>
      </c>
      <c r="BF449" s="1114">
        <f>+BF456-BF450-BF452</f>
        <v>8.4228247992100602E-2</v>
      </c>
      <c r="BG449" s="1114">
        <f>+BG456-BG450-BG452</f>
        <v>7.3792753639539549E-2</v>
      </c>
      <c r="BH449" s="1114">
        <f>+BH456-BH450-BH452</f>
        <v>8.9250739185569639E-2</v>
      </c>
      <c r="BI449" s="1117">
        <f>+BI456-BI450-BI452</f>
        <v>8.4694579351310209E-2</v>
      </c>
      <c r="BJ449" s="557"/>
      <c r="BK449" s="1115">
        <f>+BK456-BK450-BK452</f>
        <v>8.7401950591901742E-2</v>
      </c>
      <c r="BL449" s="1114">
        <f>+BL456-BL450-BL452</f>
        <v>7.7203925467310003E-2</v>
      </c>
      <c r="BM449" s="1114">
        <f>+BM456-BM450-BM452</f>
        <v>8.044810154124693E-2</v>
      </c>
      <c r="BN449" s="1114">
        <f>+BN456-BN450-BN452</f>
        <v>8.1740645645425256E-2</v>
      </c>
      <c r="BO449" s="1117">
        <f>+BO456-BO450-BO452</f>
        <v>8.1635713291246678E-2</v>
      </c>
      <c r="BP449" s="557"/>
      <c r="BQ449" s="1115">
        <f>+BQ456-BQ450-BQ452</f>
        <v>7.7043198633370058E-2</v>
      </c>
      <c r="BR449" s="1114">
        <f>+BR456-BR450-BR452</f>
        <v>5.5486533709845381E-2</v>
      </c>
      <c r="BS449" s="1114">
        <f>+BS456-BS450-BS452</f>
        <v>5.920856320880314E-2</v>
      </c>
      <c r="BT449" s="1114">
        <f>+BT456-BT450-BT452</f>
        <v>5.5063274089865465E-2</v>
      </c>
      <c r="BU449" s="1117">
        <f>+BU456-BU450-BU452</f>
        <v>6.1311254567196952E-2</v>
      </c>
      <c r="BV449" s="1278"/>
      <c r="BW449" s="1115">
        <f>+BW456-BW450-BW452</f>
        <v>9.0336396672494851E-2</v>
      </c>
      <c r="BX449" s="1114">
        <f>+BX456-BX450-BX452</f>
        <v>8.862388702635525E-2</v>
      </c>
      <c r="BY449" s="1114">
        <f>+BY456-BY450-BY452</f>
        <v>6.5950133983354128E-2</v>
      </c>
      <c r="BZ449" s="1114">
        <f>+BZ456-BZ450-BZ452</f>
        <v>4.3376203600798337E-2</v>
      </c>
      <c r="CA449" s="1117">
        <f>+('P&amp;L'!CA12-Growth_Drivers!CA164-(CA135*CA115))/('P&amp;L'!CA9-Growth_Drivers!CA158-CA115)</f>
        <v>9.3863826332836464E-2</v>
      </c>
      <c r="CB449" s="1278"/>
      <c r="CC449" s="1115">
        <f>+CC456-CC450-CC452</f>
        <v>8.6172597787933805E-2</v>
      </c>
      <c r="CD449" s="1114">
        <f>+CD456-CD450-CD452</f>
        <v>7.3764672579880716E-2</v>
      </c>
      <c r="CE449" s="1114">
        <f>+CE456-CE450-CE452</f>
        <v>6.5101315948212723E-2</v>
      </c>
      <c r="CF449" s="1114">
        <f>+CF456-CF450-CF452</f>
        <v>6.0911603884508905E-2</v>
      </c>
      <c r="CG449" s="1117">
        <f>+('P&amp;L'!CG12-Growth_Drivers!CG164-(CG135*CG115))/('P&amp;L'!CG9-Growth_Drivers!CG158-CG115)</f>
        <v>8.521548912304322E-2</v>
      </c>
      <c r="CH449" s="1278"/>
      <c r="CI449" s="1682">
        <v>0.11</v>
      </c>
      <c r="CJ449" s="1677">
        <v>0.09</v>
      </c>
      <c r="CK449" s="1677">
        <v>0.09</v>
      </c>
      <c r="CL449" s="1677">
        <v>0.08</v>
      </c>
      <c r="CM449" s="1117">
        <f>+('P&amp;L'!CM12-Growth_Drivers!CM164-(CM135*CM115))/('P&amp;L'!CM9-Growth_Drivers!CM158-CM115)</f>
        <v>0.10785440978642244</v>
      </c>
      <c r="CN449" s="1278"/>
      <c r="CO449" s="1682">
        <v>0.09</v>
      </c>
      <c r="CP449" s="1677">
        <v>0.09</v>
      </c>
      <c r="CQ449" s="1677">
        <v>0.08</v>
      </c>
      <c r="CR449" s="1677">
        <v>0.08</v>
      </c>
      <c r="CS449" s="1117">
        <f>+('P&amp;L'!CS12-Growth_Drivers!CS164-(CS135*CS115))/('P&amp;L'!CS9-Growth_Drivers!CS158-CS115)</f>
        <v>9.7462150756386909E-2</v>
      </c>
      <c r="CT449" s="1278"/>
      <c r="CU449" s="1682">
        <f>+CO449-1%</f>
        <v>0.08</v>
      </c>
      <c r="CV449" s="1677">
        <f t="shared" ref="CV449:CX449" si="219">+CP449-1%</f>
        <v>0.08</v>
      </c>
      <c r="CW449" s="1677">
        <f t="shared" si="219"/>
        <v>7.0000000000000007E-2</v>
      </c>
      <c r="CX449" s="1677">
        <f t="shared" si="219"/>
        <v>7.0000000000000007E-2</v>
      </c>
      <c r="CY449" s="1117">
        <f>+('P&amp;L'!CY12-Growth_Drivers!CY164-(CY135*CY115))/('P&amp;L'!CY9-Growth_Drivers!CY158-CY115)</f>
        <v>8.6264075665032067E-2</v>
      </c>
      <c r="CZ449" s="48"/>
      <c r="DA449"/>
      <c r="DB449"/>
      <c r="DC449"/>
      <c r="DD449" s="48"/>
      <c r="DE449" s="48"/>
      <c r="DF449" s="48"/>
      <c r="DG449" s="48"/>
      <c r="DH449" s="48"/>
      <c r="DI449" s="48"/>
      <c r="DJ449" s="48"/>
      <c r="DK449" s="48"/>
    </row>
    <row r="450" spans="1:115" s="5" customFormat="1" x14ac:dyDescent="0.2">
      <c r="A450" s="1139" t="s">
        <v>631</v>
      </c>
      <c r="B450" s="58"/>
      <c r="C450" s="558"/>
      <c r="D450" s="558"/>
      <c r="E450" s="558"/>
      <c r="F450" s="558"/>
      <c r="G450" s="629"/>
      <c r="H450" s="557"/>
      <c r="I450" s="704"/>
      <c r="J450" s="558"/>
      <c r="K450" s="558"/>
      <c r="L450" s="558"/>
      <c r="M450" s="629"/>
      <c r="N450" s="557"/>
      <c r="O450" s="704"/>
      <c r="P450" s="558"/>
      <c r="Q450" s="558"/>
      <c r="R450" s="558"/>
      <c r="S450" s="707"/>
      <c r="T450" s="557"/>
      <c r="U450" s="704"/>
      <c r="V450" s="558"/>
      <c r="W450" s="558"/>
      <c r="X450" s="558"/>
      <c r="Y450" s="707"/>
      <c r="Z450" s="557"/>
      <c r="AA450" s="685"/>
      <c r="AB450" s="578"/>
      <c r="AC450" s="578"/>
      <c r="AD450" s="582"/>
      <c r="AE450" s="707"/>
      <c r="AF450" s="557"/>
      <c r="AG450" s="1115">
        <f>+AG451/'P&amp;L'!AG9</f>
        <v>0</v>
      </c>
      <c r="AH450" s="1114">
        <f>+AH451/'P&amp;L'!AH9</f>
        <v>0</v>
      </c>
      <c r="AI450" s="1114">
        <f>+AI451/'P&amp;L'!AI9</f>
        <v>0</v>
      </c>
      <c r="AJ450" s="1114">
        <f>+AJ451/'P&amp;L'!AJ9</f>
        <v>0</v>
      </c>
      <c r="AK450" s="1117">
        <f>+AK451/'P&amp;L'!AK9</f>
        <v>0</v>
      </c>
      <c r="AL450" s="557"/>
      <c r="AM450" s="1115">
        <f>+AM451/'P&amp;L'!AM9</f>
        <v>0</v>
      </c>
      <c r="AN450" s="1114">
        <f>+AN451/'P&amp;L'!AN9</f>
        <v>0</v>
      </c>
      <c r="AO450" s="1114">
        <f>+AO451/'P&amp;L'!AO9</f>
        <v>0</v>
      </c>
      <c r="AP450" s="1114">
        <f>+AP451/'P&amp;L'!AP9</f>
        <v>0</v>
      </c>
      <c r="AQ450" s="1117">
        <f>+AQ451/'P&amp;L'!AQ9</f>
        <v>0</v>
      </c>
      <c r="AR450" s="557"/>
      <c r="AS450" s="1115">
        <f>+AS451/'P&amp;L'!AS9</f>
        <v>0</v>
      </c>
      <c r="AT450" s="1114">
        <f>+AT451/'P&amp;L'!AT9</f>
        <v>0</v>
      </c>
      <c r="AU450" s="1114">
        <f>+AU451/'P&amp;L'!AU9</f>
        <v>0</v>
      </c>
      <c r="AV450" s="1114">
        <f>+AV451/'P&amp;L'!AV9</f>
        <v>0</v>
      </c>
      <c r="AW450" s="1117">
        <f>+AW451/'P&amp;L'!AW9</f>
        <v>0</v>
      </c>
      <c r="AX450" s="557"/>
      <c r="AY450" s="1115">
        <f>+AY451/'P&amp;L'!AY9</f>
        <v>6.2854459570097906E-3</v>
      </c>
      <c r="AZ450" s="1114">
        <f>+AZ451/'P&amp;L'!AZ9</f>
        <v>6.1555450904305954E-3</v>
      </c>
      <c r="BA450" s="1114">
        <f>+BA451/'P&amp;L'!BA9</f>
        <v>6.1021194608681965E-3</v>
      </c>
      <c r="BB450" s="1114">
        <f>+BB451/'P&amp;L'!BB9</f>
        <v>5.5685527800354313E-3</v>
      </c>
      <c r="BC450" s="1117">
        <f>+BC451/'P&amp;L'!BC9</f>
        <v>6.011129522226823E-3</v>
      </c>
      <c r="BD450" s="557"/>
      <c r="BE450" s="1115">
        <f>+BE451/'P&amp;L'!BE9</f>
        <v>5.1488578437267896E-3</v>
      </c>
      <c r="BF450" s="1114">
        <f>+BF451/'P&amp;L'!BF9</f>
        <v>6.2834898686632305E-3</v>
      </c>
      <c r="BG450" s="1114">
        <f>+BG451/'P&amp;L'!BG9</f>
        <v>1.6815656822118663E-2</v>
      </c>
      <c r="BH450" s="1114">
        <f>+BH451/'P&amp;L'!BH9</f>
        <v>1.7736587923935728E-2</v>
      </c>
      <c r="BI450" s="1117">
        <f>+BI451/'P&amp;L'!BI9</f>
        <v>1.1809205140845245E-2</v>
      </c>
      <c r="BJ450" s="557"/>
      <c r="BK450" s="1115">
        <f>+BK451/'P&amp;L'!BK9</f>
        <v>1.4484473268981193E-2</v>
      </c>
      <c r="BL450" s="1114">
        <f>+BL451/'P&amp;L'!BL9</f>
        <v>1.3090938934915596E-2</v>
      </c>
      <c r="BM450" s="1114">
        <f>+BM451/'P&amp;L'!BM9</f>
        <v>1.8914346752329742E-2</v>
      </c>
      <c r="BN450" s="1114">
        <f>+BN451/'P&amp;L'!BN9</f>
        <v>1.7813136123372743E-2</v>
      </c>
      <c r="BO450" s="1117">
        <f>+BO451/'P&amp;L'!BO9</f>
        <v>1.6141919219188436E-2</v>
      </c>
      <c r="BP450" s="557"/>
      <c r="BQ450" s="1115">
        <f>+BQ451/'P&amp;L'!BQ9</f>
        <v>1.7785224452436833E-2</v>
      </c>
      <c r="BR450" s="1114">
        <f>+BR451/'P&amp;L'!BR9</f>
        <v>1.831079675193965E-2</v>
      </c>
      <c r="BS450" s="1114">
        <f>+BS451/'P&amp;L'!BS9</f>
        <v>2.207296883108736E-2</v>
      </c>
      <c r="BT450" s="1114">
        <f>+BT451/'P&amp;L'!BT9</f>
        <v>2.2153368664797356E-2</v>
      </c>
      <c r="BU450" s="1117">
        <f>+BU451/'P&amp;L'!BU9</f>
        <v>2.0157097333999237E-2</v>
      </c>
      <c r="BV450" s="557"/>
      <c r="BW450" s="1115">
        <f>+BW451/'P&amp;L'!BW9</f>
        <v>1.9453501410145006E-2</v>
      </c>
      <c r="BX450" s="1114">
        <f>+BX451/'P&amp;L'!BX9</f>
        <v>1.938659106653615E-2</v>
      </c>
      <c r="BY450" s="1114">
        <f>+BY451/'P&amp;L'!BY9</f>
        <v>2.3224172525643905E-2</v>
      </c>
      <c r="BZ450" s="1114">
        <f>+BZ451/'P&amp;L'!BZ9</f>
        <v>2.4772894435207454E-2</v>
      </c>
      <c r="CA450" s="1117">
        <f>+CA451/'P&amp;L'!CA9</f>
        <v>2.184838408088538E-2</v>
      </c>
      <c r="CB450" s="557"/>
      <c r="CC450" s="1115">
        <f>+CC451/'P&amp;L'!CC9</f>
        <v>2.6799579205053655E-2</v>
      </c>
      <c r="CD450" s="1114">
        <f>+CD451/'P&amp;L'!CD9</f>
        <v>2.8599131244996429E-2</v>
      </c>
      <c r="CE450" s="1114">
        <f>+CE451/'P&amp;L'!CE9</f>
        <v>3.2124260341578732E-2</v>
      </c>
      <c r="CF450" s="1114">
        <f>+CF451/'P&amp;L'!CF9</f>
        <v>3.4638025566050522E-2</v>
      </c>
      <c r="CG450" s="1117">
        <f>+CG451/'P&amp;L'!CG9</f>
        <v>3.080274735157814E-2</v>
      </c>
      <c r="CH450" s="557"/>
      <c r="CI450" s="1115">
        <f>+CI451/'P&amp;L'!CI9</f>
        <v>2.6997458277931093E-2</v>
      </c>
      <c r="CJ450" s="1114">
        <f>+CJ451/'P&amp;L'!CJ9</f>
        <v>2.789933786579292E-2</v>
      </c>
      <c r="CK450" s="1114">
        <f>+CK451/'P&amp;L'!CK9</f>
        <v>3.1293730464390476E-2</v>
      </c>
      <c r="CL450" s="1114">
        <f>+CL451/'P&amp;L'!CL9</f>
        <v>3.3946706657951721E-2</v>
      </c>
      <c r="CM450" s="1117">
        <f>+CM451/'P&amp;L'!CM9</f>
        <v>3.0236433027885205E-2</v>
      </c>
      <c r="CN450" s="557"/>
      <c r="CO450" s="1115">
        <f>+CO451/'P&amp;L'!CO9</f>
        <v>2.8538396745559785E-2</v>
      </c>
      <c r="CP450" s="1114">
        <f>+CP451/'P&amp;L'!CP9</f>
        <v>3.0428860669067758E-2</v>
      </c>
      <c r="CQ450" s="1114">
        <f>+CQ451/'P&amp;L'!CQ9</f>
        <v>3.463604977718053E-2</v>
      </c>
      <c r="CR450" s="1114">
        <f>+CR451/'P&amp;L'!CR9</f>
        <v>3.6552080639653678E-2</v>
      </c>
      <c r="CS450" s="1117">
        <f>+CS451/'P&amp;L'!CS9</f>
        <v>3.2755625012805545E-2</v>
      </c>
      <c r="CT450" s="557"/>
      <c r="CU450" s="1115">
        <f>+CU451/'P&amp;L'!CU9</f>
        <v>3.0189863973123097E-2</v>
      </c>
      <c r="CV450" s="1114">
        <f>+CV451/'P&amp;L'!CV9</f>
        <v>3.236628346378656E-2</v>
      </c>
      <c r="CW450" s="1114">
        <f>+CW451/'P&amp;L'!CW9</f>
        <v>3.6918988805676053E-2</v>
      </c>
      <c r="CX450" s="1114">
        <f>+CX451/'P&amp;L'!CX9</f>
        <v>3.8973698211038792E-2</v>
      </c>
      <c r="CY450" s="1117">
        <f>+CY451/'P&amp;L'!CY9</f>
        <v>3.4838850769191798E-2</v>
      </c>
      <c r="CZ450" s="48"/>
      <c r="DA450"/>
      <c r="DB450"/>
      <c r="DC450"/>
      <c r="DD450" s="48"/>
      <c r="DE450" s="48"/>
      <c r="DF450" s="48"/>
      <c r="DG450" s="48"/>
      <c r="DH450" s="48"/>
      <c r="DI450" s="48"/>
      <c r="DJ450" s="48"/>
      <c r="DK450" s="48"/>
    </row>
    <row r="451" spans="1:115" x14ac:dyDescent="0.2">
      <c r="A451" s="432" t="s">
        <v>628</v>
      </c>
      <c r="B451" s="58"/>
      <c r="C451" s="558"/>
      <c r="D451" s="558"/>
      <c r="E451" s="558"/>
      <c r="F451" s="558"/>
      <c r="G451" s="629"/>
      <c r="H451" s="557"/>
      <c r="I451" s="704"/>
      <c r="J451" s="558"/>
      <c r="K451" s="558"/>
      <c r="L451" s="558"/>
      <c r="M451" s="629"/>
      <c r="N451" s="557"/>
      <c r="O451" s="704"/>
      <c r="P451" s="558"/>
      <c r="Q451" s="558"/>
      <c r="R451" s="558"/>
      <c r="S451" s="707"/>
      <c r="T451" s="557"/>
      <c r="U451" s="704"/>
      <c r="V451" s="558"/>
      <c r="W451" s="558"/>
      <c r="X451" s="558"/>
      <c r="Y451" s="707"/>
      <c r="Z451" s="557"/>
      <c r="AA451" s="685"/>
      <c r="AB451" s="578"/>
      <c r="AC451" s="578"/>
      <c r="AD451" s="582"/>
      <c r="AE451" s="707"/>
      <c r="AG451" s="1691">
        <f>+AG164</f>
        <v>0</v>
      </c>
      <c r="AH451" s="1692">
        <f>+AH164</f>
        <v>0</v>
      </c>
      <c r="AI451" s="1692">
        <f>+AI164</f>
        <v>0</v>
      </c>
      <c r="AJ451" s="1692">
        <f>+AJ164</f>
        <v>0</v>
      </c>
      <c r="AK451" s="580">
        <f>+SUM(AG451:AJ451)</f>
        <v>0</v>
      </c>
      <c r="AL451" s="557"/>
      <c r="AM451" s="1691">
        <f>+AM164</f>
        <v>0</v>
      </c>
      <c r="AN451" s="1692">
        <f>+AN164</f>
        <v>0</v>
      </c>
      <c r="AO451" s="1692">
        <f>+AO164</f>
        <v>0</v>
      </c>
      <c r="AP451" s="1692">
        <f>+AP164</f>
        <v>0</v>
      </c>
      <c r="AQ451" s="580">
        <f>+SUM(AM451:AP451)</f>
        <v>0</v>
      </c>
      <c r="AR451" s="557"/>
      <c r="AS451" s="1691">
        <f>+AS164</f>
        <v>0</v>
      </c>
      <c r="AT451" s="1692">
        <f>+AT164</f>
        <v>0</v>
      </c>
      <c r="AU451" s="1692">
        <f>+AU164</f>
        <v>0</v>
      </c>
      <c r="AV451" s="1692">
        <f>+AV164</f>
        <v>0</v>
      </c>
      <c r="AW451" s="580">
        <f>+SUM(AS451:AV451)</f>
        <v>0</v>
      </c>
      <c r="AX451" s="557"/>
      <c r="AY451" s="1691">
        <f>+AY164</f>
        <v>1.8631444614687562</v>
      </c>
      <c r="AZ451" s="1692">
        <f>+AZ164</f>
        <v>1.8910634738664547</v>
      </c>
      <c r="BA451" s="1692">
        <f>+BA164</f>
        <v>1.8568078286281224</v>
      </c>
      <c r="BB451" s="1692">
        <f>+BB164</f>
        <v>1.9296817319712376</v>
      </c>
      <c r="BC451" s="580">
        <f>+SUM(AY451:BB451)</f>
        <v>7.5406974959345714</v>
      </c>
      <c r="BD451" s="557"/>
      <c r="BE451" s="1691">
        <f>+BE164</f>
        <v>1.5630696687672039</v>
      </c>
      <c r="BF451" s="1692">
        <f>+BF164</f>
        <v>1.9881715963234698</v>
      </c>
      <c r="BG451" s="1692">
        <f>+BG164</f>
        <v>5.4450946512270662</v>
      </c>
      <c r="BH451" s="1692">
        <f>+BH164</f>
        <v>6.4310207324002358</v>
      </c>
      <c r="BI451" s="580">
        <f>+SUM(BE451:BH451)</f>
        <v>15.427356648717975</v>
      </c>
      <c r="BJ451" s="557"/>
      <c r="BK451" s="1691">
        <f>+BK164</f>
        <v>4.596980734796368</v>
      </c>
      <c r="BL451" s="1692">
        <f>+BL164</f>
        <v>4.3362033399846371</v>
      </c>
      <c r="BM451" s="1692">
        <f>+BM164</f>
        <v>6.3695386692743066</v>
      </c>
      <c r="BN451" s="1692">
        <f>+BN164</f>
        <v>6.4271576446741188</v>
      </c>
      <c r="BO451" s="580">
        <f>+SUM(BK451:BN451)</f>
        <v>21.729880388729431</v>
      </c>
      <c r="BP451" s="557"/>
      <c r="BQ451" s="1691">
        <f>+BQ164</f>
        <v>5.3129623154520029</v>
      </c>
      <c r="BR451" s="1692">
        <f>+BR164</f>
        <v>5.8494938871876334</v>
      </c>
      <c r="BS451" s="1692">
        <f>+BS164</f>
        <v>6.9432951484756709</v>
      </c>
      <c r="BT451" s="1692">
        <f>+BT164</f>
        <v>7.7204489796818789</v>
      </c>
      <c r="BU451" s="580">
        <f>+SUM(BQ451:BT451)</f>
        <v>25.826200330797185</v>
      </c>
      <c r="BV451" s="557"/>
      <c r="BW451" s="1691">
        <f>+BW164</f>
        <v>5.8045162972576572</v>
      </c>
      <c r="BX451" s="1692">
        <f>+BX164</f>
        <v>6.4831086917424869</v>
      </c>
      <c r="BY451" s="1692">
        <f>+BY164</f>
        <v>7.865678871847706</v>
      </c>
      <c r="BZ451" s="1692">
        <f>+BZ164</f>
        <v>9.07963740392006</v>
      </c>
      <c r="CA451" s="580">
        <f>+SUM(BW451:BZ451)</f>
        <v>29.232941264767909</v>
      </c>
      <c r="CB451" s="557"/>
      <c r="CC451" s="1691">
        <f>+CC164</f>
        <v>8.2624710663932728</v>
      </c>
      <c r="CD451" s="1692">
        <f>+CD164</f>
        <v>9.9984278780382212</v>
      </c>
      <c r="CE451" s="1692">
        <f>+CE164</f>
        <v>11.706080468471288</v>
      </c>
      <c r="CF451" s="1692">
        <f>+CF164</f>
        <v>13.755210246611021</v>
      </c>
      <c r="CG451" s="580">
        <f>+SUM(CC451:CF451)</f>
        <v>43.722189659513802</v>
      </c>
      <c r="CH451" s="557"/>
      <c r="CI451" s="1691">
        <f>+CI164</f>
        <v>9.2384483781464866</v>
      </c>
      <c r="CJ451" s="1692">
        <f>+CJ164</f>
        <v>10.880958085225382</v>
      </c>
      <c r="CK451" s="1692">
        <f>+CK164</f>
        <v>12.610710823657485</v>
      </c>
      <c r="CL451" s="1692">
        <f>+CL164</f>
        <v>14.582137722570241</v>
      </c>
      <c r="CM451" s="580">
        <f>+SUM(CI451:CL451)</f>
        <v>47.312255009599596</v>
      </c>
      <c r="CN451" s="557"/>
      <c r="CO451" s="1691">
        <f>+CO164</f>
        <v>10.84256754309436</v>
      </c>
      <c r="CP451" s="1692">
        <f>+CP164</f>
        <v>12.764040769776267</v>
      </c>
      <c r="CQ451" s="1692">
        <f>+CQ164</f>
        <v>14.791244571193985</v>
      </c>
      <c r="CR451" s="1692">
        <f>+CR164</f>
        <v>17.091805734643739</v>
      </c>
      <c r="CS451" s="580">
        <f>+SUM(CO451:CR451)</f>
        <v>55.489658618708347</v>
      </c>
      <c r="CT451" s="557"/>
      <c r="CU451" s="1691">
        <f>+CU164</f>
        <v>12.69914686028574</v>
      </c>
      <c r="CV451" s="1692">
        <f>+CV164</f>
        <v>14.943679037491469</v>
      </c>
      <c r="CW451" s="1692">
        <f>+CW164</f>
        <v>17.315236384477942</v>
      </c>
      <c r="CX451" s="1692">
        <f>+CX164</f>
        <v>19.997136429433585</v>
      </c>
      <c r="CY451" s="580">
        <f>+SUM(CU451:CX451)</f>
        <v>64.955198711688737</v>
      </c>
    </row>
    <row r="452" spans="1:115" x14ac:dyDescent="0.2">
      <c r="A452" s="1139" t="s">
        <v>632</v>
      </c>
      <c r="B452" s="58"/>
      <c r="C452" s="558"/>
      <c r="D452" s="558"/>
      <c r="E452" s="558"/>
      <c r="F452" s="558"/>
      <c r="G452" s="629"/>
      <c r="H452" s="557"/>
      <c r="I452" s="704"/>
      <c r="J452" s="558"/>
      <c r="K452" s="558"/>
      <c r="L452" s="558"/>
      <c r="M452" s="629"/>
      <c r="N452" s="557"/>
      <c r="O452" s="704"/>
      <c r="P452" s="558"/>
      <c r="Q452" s="558"/>
      <c r="R452" s="558"/>
      <c r="S452" s="707"/>
      <c r="T452" s="557"/>
      <c r="U452" s="704"/>
      <c r="V452" s="558"/>
      <c r="W452" s="558"/>
      <c r="X452" s="558"/>
      <c r="Y452" s="707"/>
      <c r="Z452" s="557"/>
      <c r="AA452" s="685"/>
      <c r="AB452" s="578"/>
      <c r="AC452" s="578"/>
      <c r="AD452" s="582"/>
      <c r="AE452" s="707"/>
      <c r="AF452" s="557"/>
      <c r="AG452" s="1115">
        <f>+AG453/'P&amp;L'!AG9</f>
        <v>0</v>
      </c>
      <c r="AH452" s="1114">
        <f>+AH453/'P&amp;L'!AH9</f>
        <v>0</v>
      </c>
      <c r="AI452" s="1114">
        <f>+AI453/'P&amp;L'!AI9</f>
        <v>0</v>
      </c>
      <c r="AJ452" s="1114">
        <f>+AJ453/'P&amp;L'!AJ9</f>
        <v>0</v>
      </c>
      <c r="AK452" s="1117">
        <f>+AK453/'P&amp;L'!AK9</f>
        <v>0</v>
      </c>
      <c r="AL452" s="557"/>
      <c r="AM452" s="1115">
        <f>+AM453/'P&amp;L'!AM9</f>
        <v>0</v>
      </c>
      <c r="AN452" s="1114">
        <f>+AN453/'P&amp;L'!AN9</f>
        <v>0</v>
      </c>
      <c r="AO452" s="1114">
        <f>+AO453/'P&amp;L'!AO9</f>
        <v>0</v>
      </c>
      <c r="AP452" s="1114">
        <f>+AP453/'P&amp;L'!AP9</f>
        <v>0</v>
      </c>
      <c r="AQ452" s="1117">
        <f>+AQ453/'P&amp;L'!AQ9</f>
        <v>0</v>
      </c>
      <c r="AR452" s="557"/>
      <c r="AS452" s="1115">
        <f>+AS453/'P&amp;L'!AS9</f>
        <v>0</v>
      </c>
      <c r="AT452" s="1114">
        <f>+AT453/'P&amp;L'!AT9</f>
        <v>0</v>
      </c>
      <c r="AU452" s="1114">
        <f>+AU453/'P&amp;L'!AU9</f>
        <v>0</v>
      </c>
      <c r="AV452" s="1114">
        <f>+AV453/'P&amp;L'!AV9</f>
        <v>0</v>
      </c>
      <c r="AW452" s="1117">
        <f>+AW453/'P&amp;L'!AW9</f>
        <v>0</v>
      </c>
      <c r="AX452" s="557"/>
      <c r="AY452" s="1115">
        <f>+AY453/'P&amp;L'!AY9</f>
        <v>0</v>
      </c>
      <c r="AZ452" s="1114">
        <f>+AZ453/'P&amp;L'!AZ9</f>
        <v>0</v>
      </c>
      <c r="BA452" s="1114">
        <f>+BA453/'P&amp;L'!BA9</f>
        <v>0</v>
      </c>
      <c r="BB452" s="1114">
        <f>+BB453/'P&amp;L'!BB9</f>
        <v>0</v>
      </c>
      <c r="BC452" s="1117">
        <f>+BC453/'P&amp;L'!BC9</f>
        <v>0</v>
      </c>
      <c r="BD452" s="557"/>
      <c r="BE452" s="1115">
        <f>+BE453/'P&amp;L'!BE9</f>
        <v>1.6470340211347405E-2</v>
      </c>
      <c r="BF452" s="1114">
        <f>+BF453/'P&amp;L'!BF9</f>
        <v>1.5802181965285766E-2</v>
      </c>
      <c r="BG452" s="1114">
        <f>+BG453/'P&amp;L'!BG9</f>
        <v>1.5441106077310531E-2</v>
      </c>
      <c r="BH452" s="1114">
        <f>+BH453/'P&amp;L'!BH9</f>
        <v>1.3789869961526263E-2</v>
      </c>
      <c r="BI452" s="1117">
        <f>+BI453/'P&amp;L'!BI9</f>
        <v>1.5309434285784271E-2</v>
      </c>
      <c r="BJ452" s="557"/>
      <c r="BK452" s="1115">
        <f>+BK453/'P&amp;L'!BK9</f>
        <v>2.5206933166967576E-2</v>
      </c>
      <c r="BL452" s="1114">
        <f>+BL453/'P&amp;L'!BL9</f>
        <v>2.4151891244033729E-2</v>
      </c>
      <c r="BM452" s="1114">
        <f>+BM453/'P&amp;L'!BM9</f>
        <v>2.3756002102406186E-2</v>
      </c>
      <c r="BN452" s="1114">
        <f>+BN453/'P&amp;L'!BN9</f>
        <v>2.2172334469665475E-2</v>
      </c>
      <c r="BO452" s="1117">
        <f>+BO453/'P&amp;L'!BO9</f>
        <v>2.3771019709889565E-2</v>
      </c>
      <c r="BP452" s="557"/>
      <c r="BQ452" s="1115">
        <f>+BQ453/'P&amp;L'!BQ9</f>
        <v>3.3475156412668343E-2</v>
      </c>
      <c r="BR452" s="1114">
        <f>+BR453/'P&amp;L'!BR9</f>
        <v>3.1303215466292694E-2</v>
      </c>
      <c r="BS452" s="1114">
        <f>+BS453/'P&amp;L'!BS9</f>
        <v>3.1790336373549173E-2</v>
      </c>
      <c r="BT452" s="1114">
        <f>+BT453/'P&amp;L'!BT9</f>
        <v>2.8694404591104734E-2</v>
      </c>
      <c r="BU452" s="1117">
        <f>+BU453/'P&amp;L'!BU9</f>
        <v>3.1219609661220411E-2</v>
      </c>
      <c r="BV452" s="557"/>
      <c r="BW452" s="1115">
        <f>+BW453/'P&amp;L'!BW9</f>
        <v>2.3460096052336121E-2</v>
      </c>
      <c r="BX452" s="1114">
        <f>+BX453/'P&amp;L'!BX9</f>
        <v>1.7941939882540101E-2</v>
      </c>
      <c r="BY452" s="1114">
        <f>+BY453/'P&amp;L'!BY9</f>
        <v>1.7715576420567786E-2</v>
      </c>
      <c r="BZ452" s="1114">
        <f>+BZ453/'P&amp;L'!BZ9</f>
        <v>1.3642006466311066E-2</v>
      </c>
      <c r="CA452" s="1117">
        <f>+CA453/'P&amp;L'!CA9</f>
        <v>1.7937340385697661E-2</v>
      </c>
      <c r="CB452" s="557"/>
      <c r="CC452" s="1115">
        <f>+CC453/'P&amp;L'!CC9</f>
        <v>9.7305923335906513E-3</v>
      </c>
      <c r="CD452" s="1114">
        <f>+CD453/'P&amp;L'!CD9</f>
        <v>8.5810884252558589E-3</v>
      </c>
      <c r="CE452" s="1114">
        <f>+CE453/'P&amp;L'!CE9</f>
        <v>8.2327113062568603E-3</v>
      </c>
      <c r="CF452" s="1114">
        <f>+CF453/'P&amp;L'!CF9</f>
        <v>7.5545247826185498E-3</v>
      </c>
      <c r="CG452" s="1117">
        <f>+CG453/'P&amp;L'!CG9</f>
        <v>8.454127551649435E-3</v>
      </c>
      <c r="CH452" s="557"/>
      <c r="CI452" s="1115">
        <f>+CI453/'P&amp;L'!CI9</f>
        <v>8.7668807053552875E-3</v>
      </c>
      <c r="CJ452" s="1114">
        <f>+CJ453/'P&amp;L'!CJ9</f>
        <v>7.6921547663185473E-3</v>
      </c>
      <c r="CK452" s="1114">
        <f>+CK453/'P&amp;L'!CK9</f>
        <v>7.4445598432922484E-3</v>
      </c>
      <c r="CL452" s="1114">
        <f>+CL453/'P&amp;L'!CL9</f>
        <v>6.9838950853019976E-3</v>
      </c>
      <c r="CM452" s="1117">
        <f>+CM453/'P&amp;L'!CM9</f>
        <v>7.6689896996244055E-3</v>
      </c>
      <c r="CN452" s="557"/>
      <c r="CO452" s="1115">
        <f>+CO453/'P&amp;L'!CO9</f>
        <v>5.2641399985994854E-3</v>
      </c>
      <c r="CP452" s="1114">
        <f>+CP453/'P&amp;L'!CP9</f>
        <v>4.7679040231710457E-3</v>
      </c>
      <c r="CQ452" s="1114">
        <f>+CQ453/'P&amp;L'!CQ9</f>
        <v>4.6833178385319099E-3</v>
      </c>
      <c r="CR452" s="1114">
        <f>+CR453/'P&amp;L'!CR9</f>
        <v>4.2771467458895228E-3</v>
      </c>
      <c r="CS452" s="1117">
        <f>+CS453/'P&amp;L'!CS9</f>
        <v>4.7224114659464821E-3</v>
      </c>
      <c r="CT452" s="557"/>
      <c r="CU452" s="1115">
        <f>+CU453/'P&amp;L'!CU9</f>
        <v>4.754628685732642E-3</v>
      </c>
      <c r="CV452" s="1114">
        <f>+CV453/'P&amp;L'!CV9</f>
        <v>4.3317690888012746E-3</v>
      </c>
      <c r="CW452" s="1114">
        <f>+CW453/'P&amp;L'!CW9</f>
        <v>4.2643355234551336E-3</v>
      </c>
      <c r="CX452" s="1114">
        <f>+CX453/'P&amp;L'!CX9</f>
        <v>3.8979279206870633E-3</v>
      </c>
      <c r="CY452" s="1117">
        <f>+CY453/'P&amp;L'!CY9</f>
        <v>4.2908160036677729E-3</v>
      </c>
    </row>
    <row r="453" spans="1:115" s="5" customFormat="1" x14ac:dyDescent="0.2">
      <c r="A453" s="432" t="s">
        <v>629</v>
      </c>
      <c r="B453" s="58"/>
      <c r="C453" s="558"/>
      <c r="D453" s="558"/>
      <c r="E453" s="558"/>
      <c r="F453" s="558"/>
      <c r="G453" s="629"/>
      <c r="H453" s="557"/>
      <c r="I453" s="704"/>
      <c r="J453" s="558"/>
      <c r="K453" s="558"/>
      <c r="L453" s="558"/>
      <c r="M453" s="629"/>
      <c r="N453" s="557"/>
      <c r="O453" s="704"/>
      <c r="P453" s="558"/>
      <c r="Q453" s="558"/>
      <c r="R453" s="558"/>
      <c r="S453" s="707"/>
      <c r="T453" s="557"/>
      <c r="U453" s="704"/>
      <c r="V453" s="558"/>
      <c r="W453" s="558"/>
      <c r="X453" s="558"/>
      <c r="Y453" s="707"/>
      <c r="Z453" s="557"/>
      <c r="AA453" s="685"/>
      <c r="AB453" s="578"/>
      <c r="AC453" s="578"/>
      <c r="AD453" s="582"/>
      <c r="AE453" s="707"/>
      <c r="AF453" s="23"/>
      <c r="AG453" s="1691">
        <f>+AG275</f>
        <v>0</v>
      </c>
      <c r="AH453" s="1692">
        <f>+AH275</f>
        <v>0</v>
      </c>
      <c r="AI453" s="1692">
        <f>+AI275</f>
        <v>0</v>
      </c>
      <c r="AJ453" s="1692">
        <f>+AJ275</f>
        <v>0</v>
      </c>
      <c r="AK453" s="580">
        <f>+SUM(AG453:AJ453)</f>
        <v>0</v>
      </c>
      <c r="AL453" s="557"/>
      <c r="AM453" s="1691">
        <f>+AM275</f>
        <v>0</v>
      </c>
      <c r="AN453" s="1692">
        <f>+AN275</f>
        <v>0</v>
      </c>
      <c r="AO453" s="1692">
        <f>+AO275</f>
        <v>0</v>
      </c>
      <c r="AP453" s="1692">
        <f>+AP275</f>
        <v>0</v>
      </c>
      <c r="AQ453" s="580">
        <f>+SUM(AM453:AP453)</f>
        <v>0</v>
      </c>
      <c r="AR453" s="557"/>
      <c r="AS453" s="1691">
        <f>+AS275</f>
        <v>0</v>
      </c>
      <c r="AT453" s="1692">
        <f>+AT275</f>
        <v>0</v>
      </c>
      <c r="AU453" s="1692">
        <f>+AU275</f>
        <v>0</v>
      </c>
      <c r="AV453" s="1692">
        <f>+AV275</f>
        <v>0</v>
      </c>
      <c r="AW453" s="580">
        <f>+SUM(AS453:AV453)</f>
        <v>0</v>
      </c>
      <c r="AX453" s="557"/>
      <c r="AY453" s="1691">
        <f>+AY275</f>
        <v>0</v>
      </c>
      <c r="AZ453" s="1692">
        <f>+AZ275</f>
        <v>0</v>
      </c>
      <c r="BA453" s="1692">
        <f>+BA275</f>
        <v>0</v>
      </c>
      <c r="BB453" s="1692">
        <f>+BB275</f>
        <v>0</v>
      </c>
      <c r="BC453" s="580">
        <f>+SUM(AY453:BB453)</f>
        <v>0</v>
      </c>
      <c r="BD453" s="557"/>
      <c r="BE453" s="1691">
        <f>+BE275</f>
        <v>5</v>
      </c>
      <c r="BF453" s="1692">
        <f>+BF275</f>
        <v>5</v>
      </c>
      <c r="BG453" s="1692">
        <f>+BG275</f>
        <v>5</v>
      </c>
      <c r="BH453" s="1692">
        <f>+BH275</f>
        <v>5</v>
      </c>
      <c r="BI453" s="580">
        <f>+SUM(BE453:BH453)</f>
        <v>20</v>
      </c>
      <c r="BJ453" s="557"/>
      <c r="BK453" s="1691">
        <f>+BK275</f>
        <v>8</v>
      </c>
      <c r="BL453" s="1692">
        <f>+BL275</f>
        <v>8</v>
      </c>
      <c r="BM453" s="1692">
        <f>+BM275</f>
        <v>8</v>
      </c>
      <c r="BN453" s="1692">
        <f>+BN275</f>
        <v>8</v>
      </c>
      <c r="BO453" s="580">
        <f>+SUM(BK453:BN453)</f>
        <v>32</v>
      </c>
      <c r="BP453" s="557"/>
      <c r="BQ453" s="1691">
        <f>+BQ275</f>
        <v>10</v>
      </c>
      <c r="BR453" s="1692">
        <f>+BR275</f>
        <v>10</v>
      </c>
      <c r="BS453" s="1692">
        <f>+BS275</f>
        <v>10</v>
      </c>
      <c r="BT453" s="1692">
        <f>+BT275</f>
        <v>10</v>
      </c>
      <c r="BU453" s="580">
        <f>+SUM(BQ453:BT453)</f>
        <v>40</v>
      </c>
      <c r="BV453" s="557"/>
      <c r="BW453" s="1691">
        <f>+BW275</f>
        <v>7</v>
      </c>
      <c r="BX453" s="1692">
        <f>+BX275</f>
        <v>6</v>
      </c>
      <c r="BY453" s="1692">
        <f>+BY275</f>
        <v>6</v>
      </c>
      <c r="BZ453" s="1692">
        <f>+BZ275</f>
        <v>5</v>
      </c>
      <c r="CA453" s="580">
        <f>+SUM(BW453:BZ453)</f>
        <v>24</v>
      </c>
      <c r="CB453" s="557"/>
      <c r="CC453" s="1691">
        <f>+CC275</f>
        <v>3</v>
      </c>
      <c r="CD453" s="1692">
        <f>+CD275</f>
        <v>3</v>
      </c>
      <c r="CE453" s="1692">
        <f>+CE275</f>
        <v>3</v>
      </c>
      <c r="CF453" s="1692">
        <f>+CF275</f>
        <v>3</v>
      </c>
      <c r="CG453" s="580">
        <f>+SUM(CC453:CF453)</f>
        <v>12</v>
      </c>
      <c r="CH453" s="557"/>
      <c r="CI453" s="1691">
        <f>+CI275</f>
        <v>3</v>
      </c>
      <c r="CJ453" s="1692">
        <f>+CJ275</f>
        <v>3</v>
      </c>
      <c r="CK453" s="1692">
        <f>+CK275</f>
        <v>3</v>
      </c>
      <c r="CL453" s="1692">
        <f>+CL275</f>
        <v>3</v>
      </c>
      <c r="CM453" s="580">
        <f>+SUM(CI453:CL453)</f>
        <v>12</v>
      </c>
      <c r="CN453" s="557"/>
      <c r="CO453" s="1691">
        <f>+CO275</f>
        <v>2</v>
      </c>
      <c r="CP453" s="1692">
        <f>+CP275</f>
        <v>2</v>
      </c>
      <c r="CQ453" s="1692">
        <f>+CQ275</f>
        <v>2</v>
      </c>
      <c r="CR453" s="1692">
        <f>+CR275</f>
        <v>2</v>
      </c>
      <c r="CS453" s="580">
        <f>+SUM(CO453:CR453)</f>
        <v>8</v>
      </c>
      <c r="CT453" s="557"/>
      <c r="CU453" s="1691">
        <f>+CU275</f>
        <v>2</v>
      </c>
      <c r="CV453" s="1692">
        <f>+CV275</f>
        <v>2</v>
      </c>
      <c r="CW453" s="1692">
        <f>+CW275</f>
        <v>2</v>
      </c>
      <c r="CX453" s="1692">
        <f>+CX275</f>
        <v>2</v>
      </c>
      <c r="CY453" s="580">
        <f>+SUM(CU453:CX453)</f>
        <v>8</v>
      </c>
      <c r="CZ453" s="48"/>
      <c r="DA453"/>
      <c r="DB453"/>
      <c r="DC453"/>
      <c r="DD453" s="48"/>
      <c r="DE453" s="48"/>
      <c r="DF453" s="48"/>
      <c r="DG453" s="48"/>
      <c r="DH453" s="48"/>
      <c r="DI453" s="48"/>
      <c r="DJ453" s="48"/>
      <c r="DK453" s="48"/>
    </row>
    <row r="454" spans="1:115" s="5" customFormat="1" x14ac:dyDescent="0.2">
      <c r="A454" s="205" t="s">
        <v>554</v>
      </c>
      <c r="B454" s="58"/>
      <c r="C454" s="558"/>
      <c r="D454" s="558"/>
      <c r="E454" s="558"/>
      <c r="F454" s="558"/>
      <c r="G454" s="629"/>
      <c r="H454" s="557"/>
      <c r="I454" s="704"/>
      <c r="J454" s="558"/>
      <c r="K454" s="558"/>
      <c r="L454" s="558"/>
      <c r="M454" s="629"/>
      <c r="N454" s="557"/>
      <c r="O454" s="704"/>
      <c r="P454" s="558"/>
      <c r="Q454" s="558"/>
      <c r="R454" s="558"/>
      <c r="S454" s="707"/>
      <c r="T454" s="557"/>
      <c r="U454" s="704"/>
      <c r="V454" s="558"/>
      <c r="W454" s="558"/>
      <c r="X454" s="558"/>
      <c r="Y454" s="707"/>
      <c r="Z454" s="557"/>
      <c r="AA454" s="685"/>
      <c r="AB454" s="578"/>
      <c r="AC454" s="578"/>
      <c r="AD454" s="582"/>
      <c r="AE454" s="707"/>
      <c r="AF454" s="557"/>
      <c r="AG454" s="1109">
        <f>+'P&amp;L'!AG$43</f>
        <v>0.25391408254991332</v>
      </c>
      <c r="AH454" s="1110">
        <f>+'P&amp;L'!AH$43</f>
        <v>0.24583603990739356</v>
      </c>
      <c r="AI454" s="1110">
        <f>+'P&amp;L'!AI$43</f>
        <v>0.23384130725297411</v>
      </c>
      <c r="AJ454" s="1110">
        <f>+'P&amp;L'!AJ$43</f>
        <v>0.23854543945038856</v>
      </c>
      <c r="AK454" s="1228">
        <f>+'P&amp;L'!AK$43</f>
        <v>0.24243210457257444</v>
      </c>
      <c r="AL454" s="557"/>
      <c r="AM454" s="1109">
        <f>+'P&amp;L'!AM$43</f>
        <v>0.24373969224251416</v>
      </c>
      <c r="AN454" s="1110">
        <f>+'P&amp;L'!AN$43</f>
        <v>0.25219056174300958</v>
      </c>
      <c r="AO454" s="1110">
        <f>+'P&amp;L'!AO$43</f>
        <v>0.24402789473492348</v>
      </c>
      <c r="AP454" s="1110">
        <f>+'P&amp;L'!AP$43</f>
        <v>0.24421043799295172</v>
      </c>
      <c r="AQ454" s="1228">
        <f>+'P&amp;L'!AQ$43</f>
        <v>0.24597790572459308</v>
      </c>
      <c r="AR454" s="557"/>
      <c r="AS454" s="1109">
        <f>+'P&amp;L'!AS$43</f>
        <v>0.2588840746977466</v>
      </c>
      <c r="AT454" s="1110">
        <f>+'P&amp;L'!AT$43</f>
        <v>0.270946958823717</v>
      </c>
      <c r="AU454" s="1110">
        <f>+'P&amp;L'!AU$43</f>
        <v>0.27742181144746181</v>
      </c>
      <c r="AV454" s="1110">
        <f>+'P&amp;L'!AV$43</f>
        <v>0.24615752646372818</v>
      </c>
      <c r="AW454" s="1228">
        <f>+'P&amp;L'!AW$43</f>
        <v>0.26273373644044395</v>
      </c>
      <c r="AX454" s="557"/>
      <c r="AY454" s="1109">
        <f>+'P&amp;L'!AY$43</f>
        <v>0.27791122116442096</v>
      </c>
      <c r="AZ454" s="1110">
        <f>+'P&amp;L'!AZ$43</f>
        <v>0.27755661381517061</v>
      </c>
      <c r="BA454" s="1110">
        <f>+'P&amp;L'!BA$43</f>
        <v>0.27898478091551127</v>
      </c>
      <c r="BB454" s="1110">
        <f>+'P&amp;L'!BB$43</f>
        <v>0.26262798240855095</v>
      </c>
      <c r="BC454" s="1228">
        <f>+'P&amp;L'!BC$43</f>
        <v>0.27386293341496237</v>
      </c>
      <c r="BD454" s="557"/>
      <c r="BE454" s="1109">
        <f>+'P&amp;L'!BE$43</f>
        <v>0.2950727330223733</v>
      </c>
      <c r="BF454" s="1110">
        <f>+'P&amp;L'!BF$43</f>
        <v>0.28853520094054591</v>
      </c>
      <c r="BG454" s="1110">
        <f>+'P&amp;L'!BG$43</f>
        <v>0.28460429077455679</v>
      </c>
      <c r="BH454" s="1110">
        <f>+'P&amp;L'!BH$43</f>
        <v>0.27163837445012895</v>
      </c>
      <c r="BI454" s="1228">
        <f>+'P&amp;L'!BI$43</f>
        <v>0.28439034770787153</v>
      </c>
      <c r="BJ454" s="557"/>
      <c r="BK454" s="1109">
        <f>+'P&amp;L'!BK$43</f>
        <v>0.28790413803316606</v>
      </c>
      <c r="BL454" s="1110">
        <f>+'P&amp;L'!BL$43</f>
        <v>0.28021326119968482</v>
      </c>
      <c r="BM454" s="1110">
        <f>+'P&amp;L'!BM$43</f>
        <v>0.2734523707005348</v>
      </c>
      <c r="BN454" s="1110">
        <f>+'P&amp;L'!BN$43</f>
        <v>0.27880324824699981</v>
      </c>
      <c r="BO454" s="1228">
        <f>+'P&amp;L'!BO$43</f>
        <v>0.27995724187829685</v>
      </c>
      <c r="BP454" s="557"/>
      <c r="BQ454" s="1109">
        <f>+'P&amp;L'!BQ$43</f>
        <v>0.29662670848829542</v>
      </c>
      <c r="BR454" s="1110">
        <f>+'P&amp;L'!BR$43</f>
        <v>0.28119678453370728</v>
      </c>
      <c r="BS454" s="1110">
        <f>+'P&amp;L'!BS$43</f>
        <v>0.28216784661798511</v>
      </c>
      <c r="BT454" s="1110">
        <f>+'P&amp;L'!BT$43</f>
        <v>0.26904734576757533</v>
      </c>
      <c r="BU454" s="1117">
        <f>+SUMPRODUCT(BQ454:BT454,BQ$366:BT$366)/BU$366</f>
        <v>0.28172809905357754</v>
      </c>
      <c r="BV454" s="557"/>
      <c r="BW454" s="1109">
        <f>+'P&amp;L'!BW$43</f>
        <v>0.31494508661802606</v>
      </c>
      <c r="BX454" s="1110">
        <f>+'P&amp;L'!BX$43</f>
        <v>0.29535722402306142</v>
      </c>
      <c r="BY454" s="1110">
        <f>+'P&amp;L'!BY$43</f>
        <v>0.27884907805187709</v>
      </c>
      <c r="BZ454" s="1110">
        <f>+'P&amp;L'!BZ$43</f>
        <v>0.26266773983784203</v>
      </c>
      <c r="CA454" s="1117">
        <f>+SUMPRODUCT(BW454:BZ454,BW$366:BZ$366)/CA$366</f>
        <v>0.28659211210439128</v>
      </c>
      <c r="CB454" s="557"/>
      <c r="CC454" s="1109">
        <f>+'P&amp;L'!CC$43</f>
        <v>0.29950114496636454</v>
      </c>
      <c r="CD454" s="1110">
        <f>+'P&amp;L'!CD$43</f>
        <v>0.27421440135466785</v>
      </c>
      <c r="CE454" s="1110">
        <f>+'P&amp;L'!CE$43</f>
        <v>0.26520581778265645</v>
      </c>
      <c r="CF454" s="1110">
        <f>+'P&amp;L'!CF$43</f>
        <v>0.23224371904218699</v>
      </c>
      <c r="CG454" s="1117">
        <f>+SUMPRODUCT(CC454:CF454,CC$366:CF$366)/CG$366</f>
        <v>0.26565193652359231</v>
      </c>
      <c r="CH454" s="557"/>
      <c r="CI454" s="1115">
        <f t="shared" ref="CI454:CL455" si="220">+(CI446*(CI$366-CI$379)+CI$448*(CI446/SUM($AG$446,$AG$447)))/(CI$366)</f>
        <v>0.29204874379235363</v>
      </c>
      <c r="CJ454" s="1114">
        <f t="shared" si="220"/>
        <v>0.27165832400464107</v>
      </c>
      <c r="CK454" s="1114">
        <f t="shared" si="220"/>
        <v>0.26265497627140105</v>
      </c>
      <c r="CL454" s="1114">
        <f t="shared" si="220"/>
        <v>0.22951395233494845</v>
      </c>
      <c r="CM454" s="1117">
        <f>+SUMPRODUCT(CI454:CL454,CI$366:CL$366)/CM$366</f>
        <v>0.26222920973561648</v>
      </c>
      <c r="CN454" s="557"/>
      <c r="CO454" s="1115">
        <f t="shared" ref="CO454:CR455" si="221">+(CO446*(CO$366-CO$379)+CO$448*(CO446/SUM($AG$446,$AG$447)))/(CO$366)</f>
        <v>0.28743503432714246</v>
      </c>
      <c r="CP454" s="1114">
        <f t="shared" si="221"/>
        <v>0.26684503677010502</v>
      </c>
      <c r="CQ454" s="1114">
        <f t="shared" si="221"/>
        <v>0.25788238536414898</v>
      </c>
      <c r="CR454" s="1114">
        <f t="shared" si="221"/>
        <v>0.22487962438016085</v>
      </c>
      <c r="CS454" s="1117">
        <f>+SUMPRODUCT(CO454:CR454,CO$366:CR$366)/CS$366</f>
        <v>0.25761990774525495</v>
      </c>
      <c r="CT454" s="557"/>
      <c r="CU454" s="1115">
        <f t="shared" ref="CU454:CX455" si="222">+(CU446*(CU$366-CU$379)+CU$448*(CU446/SUM($AG$446,$AG$447)))/(CU$366)</f>
        <v>0.28376567886450238</v>
      </c>
      <c r="CV454" s="1114">
        <f t="shared" si="222"/>
        <v>0.26310476649581083</v>
      </c>
      <c r="CW454" s="1114">
        <f t="shared" si="222"/>
        <v>0.25435199247735801</v>
      </c>
      <c r="CX454" s="1114">
        <f t="shared" si="222"/>
        <v>0.22124840264955692</v>
      </c>
      <c r="CY454" s="1117">
        <f>+SUMPRODUCT(CU454:CX454,CU$366:CX$366)/CY$366</f>
        <v>0.25404553695087528</v>
      </c>
      <c r="CZ454" s="48"/>
      <c r="DA454"/>
      <c r="DB454"/>
      <c r="DC454"/>
      <c r="DD454" s="48"/>
      <c r="DE454" s="48"/>
      <c r="DF454" s="48"/>
      <c r="DG454" s="48"/>
      <c r="DH454" s="48"/>
      <c r="DI454" s="48"/>
      <c r="DJ454" s="48"/>
      <c r="DK454" s="48"/>
    </row>
    <row r="455" spans="1:115" s="5" customFormat="1" x14ac:dyDescent="0.2">
      <c r="A455" s="205" t="s">
        <v>555</v>
      </c>
      <c r="B455" s="58"/>
      <c r="C455" s="558"/>
      <c r="D455" s="558"/>
      <c r="E455" s="558"/>
      <c r="F455" s="558"/>
      <c r="G455" s="629"/>
      <c r="H455" s="557"/>
      <c r="I455" s="704"/>
      <c r="J455" s="558"/>
      <c r="K455" s="558"/>
      <c r="L455" s="558"/>
      <c r="M455" s="629"/>
      <c r="N455" s="557"/>
      <c r="O455" s="704"/>
      <c r="P455" s="558"/>
      <c r="Q455" s="558"/>
      <c r="R455" s="558"/>
      <c r="S455" s="707"/>
      <c r="T455" s="557"/>
      <c r="U455" s="704"/>
      <c r="V455" s="558"/>
      <c r="W455" s="558"/>
      <c r="X455" s="558"/>
      <c r="Y455" s="707"/>
      <c r="Z455" s="557"/>
      <c r="AA455" s="685"/>
      <c r="AB455" s="578"/>
      <c r="AC455" s="578"/>
      <c r="AD455" s="582"/>
      <c r="AE455" s="707"/>
      <c r="AF455" s="557"/>
      <c r="AG455" s="1109">
        <f>+'P&amp;L'!AG$44</f>
        <v>8.5944607641230603E-2</v>
      </c>
      <c r="AH455" s="1110">
        <f>+'P&amp;L'!AH$44</f>
        <v>7.2415429970519168E-2</v>
      </c>
      <c r="AI455" s="1110">
        <f>+'P&amp;L'!AI$44</f>
        <v>7.6330880115844241E-2</v>
      </c>
      <c r="AJ455" s="1110">
        <f>+'P&amp;L'!AJ$44</f>
        <v>8.2448620955662355E-2</v>
      </c>
      <c r="AK455" s="1228">
        <f>+'P&amp;L'!AK$44</f>
        <v>7.9254326244646359E-2</v>
      </c>
      <c r="AL455" s="557"/>
      <c r="AM455" s="1109">
        <f>+'P&amp;L'!AM$44</f>
        <v>7.3913240834606833E-2</v>
      </c>
      <c r="AN455" s="1110">
        <f>+'P&amp;L'!AN$44</f>
        <v>7.4368714743565323E-2</v>
      </c>
      <c r="AO455" s="1110">
        <f>+'P&amp;L'!AO$44</f>
        <v>7.1027315113536535E-2</v>
      </c>
      <c r="AP455" s="1110">
        <f>+'P&amp;L'!AP$44</f>
        <v>6.7289673882642495E-2</v>
      </c>
      <c r="AQ455" s="1228">
        <f>+'P&amp;L'!AQ$44</f>
        <v>7.1553045664506529E-2</v>
      </c>
      <c r="AR455" s="557"/>
      <c r="AS455" s="1109">
        <f>+'P&amp;L'!AS$44</f>
        <v>7.3021398974514207E-2</v>
      </c>
      <c r="AT455" s="1110">
        <f>+'P&amp;L'!AT$44</f>
        <v>6.4197294605867955E-2</v>
      </c>
      <c r="AU455" s="1110">
        <f>+'P&amp;L'!AU$44</f>
        <v>6.6133582567457647E-2</v>
      </c>
      <c r="AV455" s="1110">
        <f>+'P&amp;L'!AV$44</f>
        <v>5.4990730219484467E-2</v>
      </c>
      <c r="AW455" s="1228">
        <f>+'P&amp;L'!AW$44</f>
        <v>6.4036924223785138E-2</v>
      </c>
      <c r="AX455" s="557"/>
      <c r="AY455" s="1109">
        <f>+'P&amp;L'!AY$44</f>
        <v>6.2438010673971561E-2</v>
      </c>
      <c r="AZ455" s="1110">
        <f>+'P&amp;L'!AZ$44</f>
        <v>5.457776851891033E-2</v>
      </c>
      <c r="BA455" s="1110">
        <f>+'P&amp;L'!BA$44</f>
        <v>6.2167873304654439E-2</v>
      </c>
      <c r="BB455" s="1110">
        <f>+'P&amp;L'!BB$44</f>
        <v>5.8511190885690297E-2</v>
      </c>
      <c r="BC455" s="1228">
        <f>+'P&amp;L'!BC$44</f>
        <v>5.9362783549203817E-2</v>
      </c>
      <c r="BD455" s="557"/>
      <c r="BE455" s="1109">
        <f>+'P&amp;L'!BE$44</f>
        <v>5.5873982132974946E-2</v>
      </c>
      <c r="BF455" s="1110">
        <f>+'P&amp;L'!BF$44</f>
        <v>4.7507679860435144E-2</v>
      </c>
      <c r="BG455" s="1110">
        <f>+'P&amp;L'!BG$44</f>
        <v>5.6499007136879241E-2</v>
      </c>
      <c r="BH455" s="1110">
        <f>+'P&amp;L'!BH$44</f>
        <v>4.3531861494546104E-2</v>
      </c>
      <c r="BI455" s="1228">
        <f>+'P&amp;L'!BI$44</f>
        <v>5.0577012578231217E-2</v>
      </c>
      <c r="BJ455" s="557"/>
      <c r="BK455" s="1109">
        <f>+'P&amp;L'!BK$44</f>
        <v>7.338683504898022E-2</v>
      </c>
      <c r="BL455" s="1110">
        <f>+'P&amp;L'!BL$44</f>
        <v>7.5486736083227424E-2</v>
      </c>
      <c r="BM455" s="1110">
        <f>+'P&amp;L'!BM$44</f>
        <v>7.6179559741891043E-2</v>
      </c>
      <c r="BN455" s="1110">
        <f>+'P&amp;L'!BN$44</f>
        <v>7.7888639450126113E-2</v>
      </c>
      <c r="BO455" s="1228">
        <f>+'P&amp;L'!BO$44</f>
        <v>7.5808753232301546E-2</v>
      </c>
      <c r="BP455" s="557"/>
      <c r="BQ455" s="1109">
        <f>+'P&amp;L'!BQ$44</f>
        <v>7.9560404245988856E-2</v>
      </c>
      <c r="BR455" s="1110">
        <f>+'P&amp;L'!BR$44</f>
        <v>7.3503080236401883E-2</v>
      </c>
      <c r="BS455" s="1110">
        <f>+'P&amp;L'!BS$44</f>
        <v>6.2824062741407866E-2</v>
      </c>
      <c r="BT455" s="1110">
        <f>+'P&amp;L'!BT$44</f>
        <v>6.4746054519368726E-2</v>
      </c>
      <c r="BU455" s="1117">
        <f>+SUMPRODUCT(BQ455:BT455,BQ$366:BT$366)/BU$366</f>
        <v>6.9911632894853928E-2</v>
      </c>
      <c r="BV455" s="557"/>
      <c r="BW455" s="1109">
        <f>+'P&amp;L'!BW$44</f>
        <v>6.4538724239976669E-2</v>
      </c>
      <c r="BX455" s="1110">
        <f>+'P&amp;L'!BX$44</f>
        <v>7.2676817817542427E-2</v>
      </c>
      <c r="BY455" s="1110">
        <f>+'P&amp;L'!BY$44</f>
        <v>7.0927262795813212E-2</v>
      </c>
      <c r="BZ455" s="1110">
        <f>+'P&amp;L'!BZ$44</f>
        <v>5.9647399606200746E-2</v>
      </c>
      <c r="CA455" s="1117">
        <f>+SUMPRODUCT(BW455:BZ455,BW$366:BZ$366)/CA$366</f>
        <v>6.6849976320219398E-2</v>
      </c>
      <c r="CB455" s="557"/>
      <c r="CC455" s="1109">
        <f>+'P&amp;L'!CC$44</f>
        <v>7.6378662757130872E-2</v>
      </c>
      <c r="CD455" s="1110">
        <f>+'P&amp;L'!CD$44</f>
        <v>6.9220779963730605E-2</v>
      </c>
      <c r="CE455" s="1110">
        <f>+'P&amp;L'!CE$44</f>
        <v>7.0699780461031841E-2</v>
      </c>
      <c r="CF455" s="1110">
        <f>+'P&amp;L'!CF$44</f>
        <v>6.374508011573532E-2</v>
      </c>
      <c r="CG455" s="1117">
        <f>+SUMPRODUCT(CC455:CF455,CC$366:CF$366)/CG$366</f>
        <v>6.9623262940979619E-2</v>
      </c>
      <c r="CH455" s="557"/>
      <c r="CI455" s="1115">
        <f t="shared" si="220"/>
        <v>7.0667939060753568E-2</v>
      </c>
      <c r="CJ455" s="1114">
        <f t="shared" si="220"/>
        <v>6.9841285211870302E-2</v>
      </c>
      <c r="CK455" s="1114">
        <f t="shared" si="220"/>
        <v>6.7860697751025975E-2</v>
      </c>
      <c r="CL455" s="1114">
        <f t="shared" si="220"/>
        <v>6.7086331817913541E-2</v>
      </c>
      <c r="CM455" s="1117">
        <f>+SUMPRODUCT(CI455:CL455,CI$366:CL$366)/CM$366</f>
        <v>6.8755692827723272E-2</v>
      </c>
      <c r="CN455" s="557"/>
      <c r="CO455" s="1115">
        <f t="shared" si="221"/>
        <v>6.9757739038424416E-2</v>
      </c>
      <c r="CP455" s="1114">
        <f t="shared" si="221"/>
        <v>6.888473957890906E-2</v>
      </c>
      <c r="CQ455" s="1114">
        <f t="shared" si="221"/>
        <v>6.6910615522668471E-2</v>
      </c>
      <c r="CR455" s="1114">
        <f t="shared" si="221"/>
        <v>6.6180871154602722E-2</v>
      </c>
      <c r="CS455" s="1117">
        <f>+SUMPRODUCT(CO455:CR455,CO$366:CR$366)/CS$366</f>
        <v>6.7836541341476361E-2</v>
      </c>
      <c r="CT455" s="557"/>
      <c r="CU455" s="1115">
        <f t="shared" si="222"/>
        <v>6.883846846954611E-2</v>
      </c>
      <c r="CV455" s="1114">
        <f t="shared" si="222"/>
        <v>6.7951292357107604E-2</v>
      </c>
      <c r="CW455" s="1114">
        <f t="shared" si="222"/>
        <v>6.6031364916613697E-2</v>
      </c>
      <c r="CX455" s="1114">
        <f t="shared" si="222"/>
        <v>6.5284865027077699E-2</v>
      </c>
      <c r="CY455" s="1117">
        <f>+SUMPRODUCT(CU455:CX455,CU$366:CX$366)/CY$366</f>
        <v>6.6934691151471104E-2</v>
      </c>
      <c r="CZ455" s="48"/>
      <c r="DA455"/>
      <c r="DB455"/>
      <c r="DC455"/>
      <c r="DD455" s="48"/>
      <c r="DE455" s="48"/>
      <c r="DF455" s="48"/>
      <c r="DG455" s="48"/>
      <c r="DH455" s="48"/>
      <c r="DI455" s="48"/>
      <c r="DJ455" s="48"/>
      <c r="DK455" s="48"/>
    </row>
    <row r="456" spans="1:115" s="5" customFormat="1" x14ac:dyDescent="0.2">
      <c r="A456" s="355" t="s">
        <v>556</v>
      </c>
      <c r="B456" s="172"/>
      <c r="C456" s="604"/>
      <c r="D456" s="604"/>
      <c r="E456" s="604"/>
      <c r="F456" s="604"/>
      <c r="G456" s="626"/>
      <c r="H456" s="605"/>
      <c r="I456" s="682"/>
      <c r="J456" s="604"/>
      <c r="K456" s="604"/>
      <c r="L456" s="604"/>
      <c r="M456" s="626"/>
      <c r="N456" s="605"/>
      <c r="O456" s="682"/>
      <c r="P456" s="604"/>
      <c r="Q456" s="604"/>
      <c r="R456" s="604"/>
      <c r="S456" s="609"/>
      <c r="T456" s="605"/>
      <c r="U456" s="682"/>
      <c r="V456" s="604"/>
      <c r="W456" s="604"/>
      <c r="X456" s="604"/>
      <c r="Y456" s="609"/>
      <c r="Z456" s="605"/>
      <c r="AA456" s="1653"/>
      <c r="AB456" s="1654"/>
      <c r="AC456" s="1654"/>
      <c r="AD456" s="1655"/>
      <c r="AE456" s="609"/>
      <c r="AF456" s="605"/>
      <c r="AG456" s="1694">
        <f>+'P&amp;L'!AG$42</f>
        <v>0.11606686189930884</v>
      </c>
      <c r="AH456" s="1695">
        <f>+'P&amp;L'!AH$42</f>
        <v>0.10389080431053149</v>
      </c>
      <c r="AI456" s="1695">
        <f>+'P&amp;L'!AI$42</f>
        <v>0.10300817610789535</v>
      </c>
      <c r="AJ456" s="1695">
        <f>+'P&amp;L'!AJ$42</f>
        <v>0.10571577814907443</v>
      </c>
      <c r="AK456" s="1696">
        <f>+'P&amp;L'!AK$42</f>
        <v>0.10685019681628005</v>
      </c>
      <c r="AL456" s="605"/>
      <c r="AM456" s="1694">
        <f>+'P&amp;L'!AM$42</f>
        <v>0.11952081221346327</v>
      </c>
      <c r="AN456" s="1695">
        <f>+'P&amp;L'!AN$42</f>
        <v>0.11199461019039425</v>
      </c>
      <c r="AO456" s="1695">
        <f>+'P&amp;L'!AO$42</f>
        <v>0.11293503501423535</v>
      </c>
      <c r="AP456" s="1695">
        <f>+'P&amp;L'!AP$42</f>
        <v>0.11900766347821223</v>
      </c>
      <c r="AQ456" s="1696">
        <f>+'P&amp;L'!AQ$42</f>
        <v>0.11590620462355773</v>
      </c>
      <c r="AR456" s="605"/>
      <c r="AS456" s="1694">
        <f>+'P&amp;L'!AS$42</f>
        <v>0.1236145535731179</v>
      </c>
      <c r="AT456" s="1695">
        <f>+'P&amp;L'!AT$42</f>
        <v>0.11520428667113194</v>
      </c>
      <c r="AU456" s="1695">
        <f>+'P&amp;L'!AU$42</f>
        <v>0.11300690586219431</v>
      </c>
      <c r="AV456" s="1695">
        <f>+'P&amp;L'!AV$42</f>
        <v>9.8125112134441653E-2</v>
      </c>
      <c r="AW456" s="1696">
        <f>+'P&amp;L'!AW$42</f>
        <v>0.11167885021290928</v>
      </c>
      <c r="AX456" s="605"/>
      <c r="AY456" s="1694">
        <f>+'P&amp;L'!AY$42</f>
        <v>9.6608888678977933E-2</v>
      </c>
      <c r="AZ456" s="1695">
        <f>+'P&amp;L'!AZ$42</f>
        <v>9.9673516420203556E-2</v>
      </c>
      <c r="BA456" s="1695">
        <f>+'P&amp;L'!BA$42</f>
        <v>0.10190312498973016</v>
      </c>
      <c r="BB456" s="1695">
        <f>+'P&amp;L'!BB$42</f>
        <v>9.2949568870984545E-2</v>
      </c>
      <c r="BC456" s="1696">
        <f>+'P&amp;L'!BC$42</f>
        <v>9.7632758741637821E-2</v>
      </c>
      <c r="BD456" s="605"/>
      <c r="BE456" s="1694">
        <f>+'P&amp;L'!BE$42</f>
        <v>0.11298653384984318</v>
      </c>
      <c r="BF456" s="1695">
        <f>+'P&amp;L'!BF$42</f>
        <v>0.1063139198260496</v>
      </c>
      <c r="BG456" s="1695">
        <f>+'P&amp;L'!BG$42</f>
        <v>0.10604951653896874</v>
      </c>
      <c r="BH456" s="1695">
        <f>+'P&amp;L'!BH$42</f>
        <v>0.12077719707103163</v>
      </c>
      <c r="BI456" s="1696">
        <f>+'P&amp;L'!BI$42</f>
        <v>0.11181321877793972</v>
      </c>
      <c r="BJ456" s="605"/>
      <c r="BK456" s="1694">
        <f>+'P&amp;L'!BK$42</f>
        <v>0.12709335702785052</v>
      </c>
      <c r="BL456" s="1695">
        <f>+'P&amp;L'!BL$42</f>
        <v>0.11444675564625933</v>
      </c>
      <c r="BM456" s="1695">
        <f>+'P&amp;L'!BM$42</f>
        <v>0.12311845039598285</v>
      </c>
      <c r="BN456" s="1695">
        <f>+'P&amp;L'!BN$42</f>
        <v>0.12172611623846347</v>
      </c>
      <c r="BO456" s="1696">
        <f>+'P&amp;L'!BO$42</f>
        <v>0.12154865222032468</v>
      </c>
      <c r="BP456" s="605"/>
      <c r="BQ456" s="1694">
        <f>+'P&amp;L'!BQ$42</f>
        <v>0.12830357949847523</v>
      </c>
      <c r="BR456" s="1695">
        <f>+'P&amp;L'!BR$42</f>
        <v>0.10510054592807773</v>
      </c>
      <c r="BS456" s="1695">
        <f>+'P&amp;L'!BS$42</f>
        <v>0.11307186841343968</v>
      </c>
      <c r="BT456" s="1695">
        <f>+'P&amp;L'!BT$42</f>
        <v>0.10591104734576756</v>
      </c>
      <c r="BU456" s="1697">
        <f>+SUMPRODUCT(BQ456:BT456,BQ$366:BT$366)/BU$366</f>
        <v>0.1126879615624166</v>
      </c>
      <c r="BV456" s="605"/>
      <c r="BW456" s="1694">
        <f>+'P&amp;L'!BW$42</f>
        <v>0.13324999413497599</v>
      </c>
      <c r="BX456" s="1695">
        <f>+'P&amp;L'!BX$42</f>
        <v>0.1259524179754315</v>
      </c>
      <c r="BY456" s="1695">
        <f>+'P&amp;L'!BY$42</f>
        <v>0.10688988292956582</v>
      </c>
      <c r="BZ456" s="1695">
        <f>+'P&amp;L'!BZ$42</f>
        <v>8.1791104502316858E-2</v>
      </c>
      <c r="CA456" s="1697">
        <f>+SUMPRODUCT(BW456:BZ456,BW$366:BZ$366)/CA$366</f>
        <v>0.11065744587718949</v>
      </c>
      <c r="CB456" s="605"/>
      <c r="CC456" s="1694">
        <f>+'P&amp;L'!CC$42</f>
        <v>0.12270276932657811</v>
      </c>
      <c r="CD456" s="1695">
        <f>+'P&amp;L'!CD$42</f>
        <v>0.110944892250133</v>
      </c>
      <c r="CE456" s="1695">
        <f>+'P&amp;L'!CE$42</f>
        <v>0.10545828759604831</v>
      </c>
      <c r="CF456" s="1695">
        <f>+'P&amp;L'!CF$42</f>
        <v>0.10310415423317797</v>
      </c>
      <c r="CG456" s="1697">
        <f>+SUMPRODUCT(CC456:CF456,CC$366:CF$366)/CG$366</f>
        <v>0.10989661306514963</v>
      </c>
      <c r="CH456" s="605"/>
      <c r="CI456" s="1447">
        <f>+CI450+CI449+CI452</f>
        <v>0.14576433898328636</v>
      </c>
      <c r="CJ456" s="1087">
        <f>+CJ450+CJ449+CJ452</f>
        <v>0.12559149263211147</v>
      </c>
      <c r="CK456" s="1087">
        <f>+CK450+CK449+CK452</f>
        <v>0.12873829030768272</v>
      </c>
      <c r="CL456" s="1087">
        <f>+CL450+CL449+CL452</f>
        <v>0.12093060174325372</v>
      </c>
      <c r="CM456" s="1697">
        <f>+SUMPRODUCT(CI456:CL456,CI$366:CL$366)/CM$366</f>
        <v>0.12953402356362206</v>
      </c>
      <c r="CN456" s="605"/>
      <c r="CO456" s="1447">
        <f>+CO450+CO449+CO452</f>
        <v>0.12380253674415927</v>
      </c>
      <c r="CP456" s="1087">
        <f>+CP450+CP449+CP452</f>
        <v>0.12519676469223881</v>
      </c>
      <c r="CQ456" s="1087">
        <f>+CQ450+CQ449+CQ452</f>
        <v>0.11931936761571243</v>
      </c>
      <c r="CR456" s="1087">
        <f>+CR450+CR449+CR452</f>
        <v>0.12082922738554321</v>
      </c>
      <c r="CS456" s="1697">
        <f>+SUMPRODUCT(CO456:CR456,CO$366:CR$366)/CS$366</f>
        <v>0.12219690989204174</v>
      </c>
      <c r="CT456" s="605"/>
      <c r="CU456" s="1447">
        <f>+CU450+CU449+CU452</f>
        <v>0.11494449265885574</v>
      </c>
      <c r="CV456" s="1087">
        <f>+CV450+CV449+CV452</f>
        <v>0.11669805255258783</v>
      </c>
      <c r="CW456" s="1087">
        <f>+CW450+CW449+CW452</f>
        <v>0.11118332432913119</v>
      </c>
      <c r="CX456" s="1087">
        <f>+CX450+CX449+CX452</f>
        <v>0.11287162613172587</v>
      </c>
      <c r="CY456" s="1697">
        <f>+SUMPRODUCT(CU456:CX456,CU$366:CX$366)/CY$366</f>
        <v>0.11386215716896313</v>
      </c>
      <c r="CZ456" s="48"/>
      <c r="DA456"/>
      <c r="DB456"/>
      <c r="DC456"/>
      <c r="DD456" s="48"/>
      <c r="DE456" s="48"/>
      <c r="DF456" s="48"/>
      <c r="DG456" s="48"/>
      <c r="DH456" s="48"/>
      <c r="DI456" s="48"/>
      <c r="DJ456" s="48"/>
      <c r="DK456" s="48"/>
    </row>
    <row r="458" spans="1:115" x14ac:dyDescent="0.2">
      <c r="CI458">
        <v>38.228781440519981</v>
      </c>
      <c r="CJ458">
        <v>43.283169207495938</v>
      </c>
      <c r="CK458">
        <v>44.26431247076858</v>
      </c>
      <c r="CL458">
        <v>48.925418692302102</v>
      </c>
      <c r="CO458">
        <v>38.228781440519981</v>
      </c>
      <c r="CP458">
        <v>43.283169207495938</v>
      </c>
      <c r="CQ458">
        <v>44.26431247076858</v>
      </c>
      <c r="CR458">
        <v>48.925418692302102</v>
      </c>
      <c r="CU458">
        <v>38.228781440519981</v>
      </c>
      <c r="CV458">
        <v>43.283169207495938</v>
      </c>
      <c r="CW458">
        <v>44.26431247076858</v>
      </c>
      <c r="CX458">
        <v>48.925418692302102</v>
      </c>
    </row>
    <row r="459" spans="1:115" x14ac:dyDescent="0.2">
      <c r="CI459">
        <f>+CI458-2</f>
        <v>36.228781440519981</v>
      </c>
      <c r="CJ459">
        <f>+CJ458-2</f>
        <v>41.283169207495938</v>
      </c>
      <c r="CK459">
        <f>+CK458-2</f>
        <v>42.26431247076858</v>
      </c>
      <c r="CL459">
        <f>+CL458-2</f>
        <v>46.925418692302102</v>
      </c>
      <c r="CO459">
        <f>+CO458-2</f>
        <v>36.228781440519981</v>
      </c>
      <c r="CP459">
        <f>+CP458-2</f>
        <v>41.283169207495938</v>
      </c>
      <c r="CQ459">
        <f>+CQ458-2</f>
        <v>42.26431247076858</v>
      </c>
      <c r="CR459">
        <f>+CR458-2</f>
        <v>46.925418692302102</v>
      </c>
      <c r="CU459">
        <f>+CU458-2</f>
        <v>36.228781440519981</v>
      </c>
      <c r="CV459">
        <f>+CV458-2</f>
        <v>41.283169207495938</v>
      </c>
      <c r="CW459">
        <f>+CW458-2</f>
        <v>42.26431247076858</v>
      </c>
      <c r="CX459">
        <f>+CX458-2</f>
        <v>46.925418692302102</v>
      </c>
    </row>
    <row r="460" spans="1:115" x14ac:dyDescent="0.2">
      <c r="CI460">
        <f>+(CI459-CI451)/RevBuild!CI17</f>
        <v>7.8873676718545019E-2</v>
      </c>
      <c r="CJ460">
        <f>+(CJ459-CJ451)/RevBuild!CJ17</f>
        <v>7.7952837730265415E-2</v>
      </c>
      <c r="CK460">
        <f>+(CK459-CK451)/RevBuild!CK17</f>
        <v>7.3586004010356046E-2</v>
      </c>
      <c r="CL460">
        <f>+(CL459-CL451)/RevBuild!CL17</f>
        <v>7.5294027002350661E-2</v>
      </c>
      <c r="CO460" t="e">
        <f>+(CO459-CO451)/RevBuild!DA17</f>
        <v>#DIV/0!</v>
      </c>
      <c r="CP460" t="e">
        <f>+(CP459-CP451)/RevBuild!DB17</f>
        <v>#DIV/0!</v>
      </c>
      <c r="CQ460" t="e">
        <f>+(CQ459-CQ451)/RevBuild!DC17</f>
        <v>#DIV/0!</v>
      </c>
      <c r="CR460" t="e">
        <f>+(CR459-CR451)/RevBuild!DD17</f>
        <v>#DIV/0!</v>
      </c>
      <c r="CU460" t="e">
        <f>+(CU459-CU451)/RevBuild!DG17</f>
        <v>#DIV/0!</v>
      </c>
      <c r="CV460" t="e">
        <f>+(CV459-CV451)/RevBuild!DH17</f>
        <v>#DIV/0!</v>
      </c>
      <c r="CW460" t="e">
        <f>+(CW459-CW451)/RevBuild!DI17</f>
        <v>#DIV/0!</v>
      </c>
      <c r="CX460" t="e">
        <f>+(CX459-CX451)/RevBuild!DJ17</f>
        <v>#DIV/0!</v>
      </c>
    </row>
    <row r="463" spans="1:115" x14ac:dyDescent="0.2">
      <c r="BX463" s="1693"/>
    </row>
  </sheetData>
  <pageMargins left="0.7" right="0.7" top="0.75" bottom="0.75" header="0.3" footer="0.3"/>
  <pageSetup orientation="portrait" r:id="rId1"/>
  <ignoredErrors>
    <ignoredError sqref="CO98:CS98 BW276:CY277 CA268 BW451:CC451 CG451:CM451 CG348:CY348 CO218:CS227 CG218:CM228 CA224 CA225:CF228 CB224:CF224 CA218 BO224:BZ227 BO218:BU218 CG42 BU42:CA42 CM133:CM136 CC98:CF98 CM42:CM48 CG98:CH98 BC98:CA99 CJ98:CM98" formula="1"/>
    <ignoredError sqref="CG242:CG244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  <pageSetUpPr fitToPage="1"/>
  </sheetPr>
  <dimension ref="A1:DI217"/>
  <sheetViews>
    <sheetView workbookViewId="0">
      <pane xSplit="2" ySplit="7" topLeftCell="C8" activePane="bottomRight" state="frozen"/>
      <selection activeCell="BC8" sqref="BC8"/>
      <selection pane="topRight" activeCell="BC8" sqref="BC8"/>
      <selection pane="bottomLeft" activeCell="BC8" sqref="BC8"/>
      <selection pane="bottomRight" sqref="A1:XFD1048576"/>
    </sheetView>
  </sheetViews>
  <sheetFormatPr defaultColWidth="9.7109375" defaultRowHeight="12.75" outlineLevelRow="1" outlineLevelCol="1" x14ac:dyDescent="0.2"/>
  <cols>
    <col min="1" max="1" width="36.7109375" style="5" customWidth="1"/>
    <col min="2" max="2" width="0.85546875" style="5" customWidth="1"/>
    <col min="3" max="7" width="7.85546875" style="5" hidden="1" customWidth="1" outlineLevel="1"/>
    <col min="8" max="8" width="0.85546875" style="5" hidden="1" customWidth="1" outlineLevel="1"/>
    <col min="9" max="13" width="7.85546875" style="5" hidden="1" customWidth="1" outlineLevel="1"/>
    <col min="14" max="14" width="0.85546875" style="5" hidden="1" customWidth="1" outlineLevel="1"/>
    <col min="15" max="19" width="7.85546875" style="5" hidden="1" customWidth="1" outlineLevel="1"/>
    <col min="20" max="20" width="0.85546875" style="5" hidden="1" customWidth="1" outlineLevel="1"/>
    <col min="21" max="25" width="7.85546875" style="5" hidden="1" customWidth="1" outlineLevel="1"/>
    <col min="26" max="26" width="0.85546875" style="5" hidden="1" customWidth="1" outlineLevel="1"/>
    <col min="27" max="31" width="7.85546875" style="5" hidden="1" customWidth="1" outlineLevel="1"/>
    <col min="32" max="32" width="0.85546875" style="5" hidden="1" customWidth="1" outlineLevel="1"/>
    <col min="33" max="37" width="7.85546875" style="5" hidden="1" customWidth="1" outlineLevel="1"/>
    <col min="38" max="38" width="0.85546875" style="5" hidden="1" customWidth="1" outlineLevel="1"/>
    <col min="39" max="42" width="7.85546875" style="5" hidden="1" customWidth="1" outlineLevel="1"/>
    <col min="43" max="43" width="7.85546875" style="5" hidden="1" customWidth="1" outlineLevel="1" collapsed="1"/>
    <col min="44" max="44" width="0.85546875" style="5" hidden="1" customWidth="1" outlineLevel="1"/>
    <col min="45" max="48" width="7.85546875" style="5" hidden="1" customWidth="1" outlineLevel="1"/>
    <col min="49" max="49" width="7.85546875" style="5" hidden="1" customWidth="1" outlineLevel="1" collapsed="1"/>
    <col min="50" max="50" width="0.85546875" style="5" hidden="1" customWidth="1" outlineLevel="1"/>
    <col min="51" max="54" width="7.85546875" style="5" hidden="1" customWidth="1" outlineLevel="1"/>
    <col min="55" max="55" width="7.85546875" style="5" customWidth="1" collapsed="1"/>
    <col min="56" max="56" width="0.85546875" style="5" customWidth="1"/>
    <col min="57" max="60" width="7.85546875" style="5" hidden="1" customWidth="1" outlineLevel="1"/>
    <col min="61" max="61" width="7.85546875" style="5" customWidth="1" collapsed="1"/>
    <col min="62" max="62" width="0.85546875" style="5" customWidth="1"/>
    <col min="63" max="66" width="7.85546875" style="5" hidden="1" customWidth="1" outlineLevel="1"/>
    <col min="67" max="67" width="7.85546875" style="5" customWidth="1" collapsed="1"/>
    <col min="68" max="68" width="0.85546875" style="5" customWidth="1"/>
    <col min="69" max="72" width="7.85546875" style="5" hidden="1" customWidth="1" outlineLevel="1"/>
    <col min="73" max="73" width="7.85546875" style="5" customWidth="1" collapsed="1"/>
    <col min="74" max="74" width="0.85546875" style="5" customWidth="1"/>
    <col min="75" max="78" width="7.85546875" style="5" hidden="1" customWidth="1" outlineLevel="1"/>
    <col min="79" max="79" width="7.85546875" style="5" customWidth="1" collapsed="1"/>
    <col min="80" max="80" width="0.85546875" style="5" customWidth="1"/>
    <col min="81" max="84" width="7.85546875" style="5" customWidth="1" outlineLevel="1"/>
    <col min="85" max="85" width="7.85546875" style="5" customWidth="1"/>
    <col min="86" max="86" width="0.85546875" style="5" customWidth="1"/>
    <col min="87" max="90" width="7.85546875" style="5" customWidth="1" outlineLevel="1"/>
    <col min="91" max="91" width="7.85546875" style="5" customWidth="1"/>
    <col min="92" max="92" width="0.85546875" style="5" customWidth="1"/>
    <col min="93" max="96" width="7.85546875" style="5" hidden="1" customWidth="1" outlineLevel="1"/>
    <col min="97" max="97" width="7.85546875" style="5" customWidth="1" collapsed="1"/>
    <col min="98" max="98" width="0.85546875" style="5" customWidth="1"/>
    <col min="99" max="102" width="7.85546875" style="5" hidden="1" customWidth="1" outlineLevel="1"/>
    <col min="103" max="103" width="7.85546875" style="5" customWidth="1" collapsed="1"/>
    <col min="104" max="106" width="8.7109375" style="5" customWidth="1"/>
    <col min="107" max="107" width="31.140625" hidden="1" customWidth="1" outlineLevel="1"/>
    <col min="108" max="112" width="9.7109375" hidden="1" customWidth="1" outlineLevel="1"/>
    <col min="113" max="113" width="9.7109375" style="5" customWidth="1" collapsed="1"/>
    <col min="114" max="16384" width="9.7109375" style="5"/>
  </cols>
  <sheetData>
    <row r="1" spans="1:106" ht="11.25" customHeight="1" x14ac:dyDescent="0.2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</row>
    <row r="2" spans="1:106" ht="11.25" customHeight="1" x14ac:dyDescent="0.2">
      <c r="A2" s="339" t="s">
        <v>309</v>
      </c>
      <c r="B2" s="39"/>
      <c r="C2" s="48"/>
      <c r="D2" s="48"/>
      <c r="E2" s="48"/>
      <c r="F2" s="48"/>
      <c r="G2" s="48"/>
      <c r="H2" s="39"/>
      <c r="I2" s="48"/>
      <c r="J2" s="48"/>
      <c r="K2" s="48"/>
      <c r="L2" s="48"/>
      <c r="M2" s="48"/>
      <c r="N2" s="39"/>
      <c r="O2" s="48"/>
      <c r="P2" s="48"/>
      <c r="Q2" s="48"/>
      <c r="R2" s="48"/>
      <c r="S2" s="48"/>
      <c r="T2" s="39"/>
      <c r="U2" s="48"/>
      <c r="V2" s="48"/>
      <c r="W2" s="48"/>
      <c r="X2" s="48"/>
      <c r="Y2" s="48"/>
      <c r="Z2" s="39"/>
      <c r="AA2" s="48"/>
      <c r="AB2" s="48"/>
      <c r="AC2" s="48"/>
      <c r="AD2" s="48"/>
      <c r="AE2" s="48"/>
      <c r="AF2" s="39"/>
      <c r="AG2" s="48"/>
      <c r="AH2" s="48"/>
      <c r="AI2" s="48"/>
      <c r="AJ2" s="48"/>
      <c r="AK2" s="48"/>
      <c r="AL2" s="39"/>
      <c r="AM2" s="48"/>
      <c r="AN2" s="48"/>
      <c r="AO2" s="48"/>
      <c r="AP2" s="48"/>
      <c r="AQ2" s="48"/>
      <c r="AR2" s="39"/>
      <c r="AS2" s="48"/>
      <c r="AT2" s="48"/>
      <c r="AU2" s="48"/>
      <c r="AV2" s="48"/>
      <c r="AW2" s="48"/>
      <c r="AX2" s="39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39"/>
      <c r="BK2" s="48"/>
      <c r="BL2" s="48"/>
      <c r="BM2" s="48"/>
      <c r="BN2" s="48"/>
      <c r="BO2" s="48"/>
      <c r="BP2" s="39"/>
      <c r="BQ2" s="48"/>
      <c r="BR2" s="48"/>
      <c r="BS2" s="48"/>
      <c r="BT2" s="48"/>
      <c r="BU2" s="48"/>
      <c r="BV2" s="39"/>
      <c r="BW2" s="48"/>
      <c r="BX2" s="48"/>
      <c r="BY2" s="48"/>
      <c r="BZ2" s="48"/>
      <c r="CA2" s="48"/>
      <c r="CB2" s="39"/>
      <c r="CC2" s="48"/>
      <c r="CD2" s="48"/>
      <c r="CE2" s="48"/>
      <c r="CF2" s="48"/>
      <c r="CG2" s="48"/>
      <c r="CH2" s="39"/>
      <c r="CI2" s="48"/>
      <c r="CJ2" s="48"/>
      <c r="CK2" s="48"/>
      <c r="CL2" s="48"/>
      <c r="CM2" s="1000"/>
      <c r="CN2" s="39"/>
      <c r="CO2" s="48"/>
      <c r="CP2" s="48"/>
      <c r="CQ2" s="48"/>
      <c r="CR2" s="48"/>
      <c r="CS2" s="1000"/>
      <c r="CT2" s="39"/>
      <c r="CU2" s="48"/>
      <c r="CV2" s="48"/>
      <c r="CW2" s="48"/>
      <c r="CX2" s="48"/>
      <c r="CY2" s="1000"/>
      <c r="CZ2" s="48"/>
      <c r="DA2" s="48"/>
      <c r="DB2" s="48"/>
    </row>
    <row r="3" spans="1:106" ht="11.25" customHeight="1" x14ac:dyDescent="0.2">
      <c r="A3" s="340" t="s">
        <v>20</v>
      </c>
      <c r="B3" s="234"/>
      <c r="C3" s="39"/>
      <c r="D3" s="39"/>
      <c r="E3" s="39"/>
      <c r="F3" s="39"/>
      <c r="G3" s="39"/>
      <c r="H3" s="234"/>
      <c r="I3" s="39"/>
      <c r="J3" s="39"/>
      <c r="K3" s="39"/>
      <c r="L3" s="39"/>
      <c r="M3" s="39"/>
      <c r="N3" s="234"/>
      <c r="O3" s="39"/>
      <c r="P3" s="39"/>
      <c r="Q3" s="39"/>
      <c r="R3" s="39"/>
      <c r="S3" s="39"/>
      <c r="T3" s="234"/>
      <c r="U3" s="39"/>
      <c r="V3" s="39"/>
      <c r="W3" s="39"/>
      <c r="X3" s="39"/>
      <c r="Y3" s="39"/>
      <c r="Z3" s="234"/>
      <c r="AA3" s="39"/>
      <c r="AB3" s="39"/>
      <c r="AC3" s="39"/>
      <c r="AD3" s="39"/>
      <c r="AE3" s="39"/>
      <c r="AF3" s="234"/>
      <c r="AG3" s="39"/>
      <c r="AH3" s="39"/>
      <c r="AI3" s="39"/>
      <c r="AJ3" s="39"/>
      <c r="AK3" s="39"/>
      <c r="AL3" s="234"/>
      <c r="AM3" s="39"/>
      <c r="AN3" s="39"/>
      <c r="AO3" s="39"/>
      <c r="AP3" s="39"/>
      <c r="AQ3" s="39"/>
      <c r="AR3" s="234"/>
      <c r="AS3" s="39"/>
      <c r="AT3" s="39"/>
      <c r="AU3" s="39"/>
      <c r="AV3" s="39"/>
      <c r="AW3" s="39"/>
      <c r="AX3" s="234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234"/>
      <c r="BK3" s="39"/>
      <c r="BL3" s="39"/>
      <c r="BM3" s="39"/>
      <c r="BN3" s="39"/>
      <c r="BO3" s="240"/>
      <c r="BP3" s="234"/>
      <c r="BQ3" s="39"/>
      <c r="BR3" s="39"/>
      <c r="BS3" s="39"/>
      <c r="BT3" s="39"/>
      <c r="BU3" s="240"/>
      <c r="BV3" s="234"/>
      <c r="BW3" s="39"/>
      <c r="BX3" s="39"/>
      <c r="BY3" s="39"/>
      <c r="BZ3" s="39"/>
      <c r="CA3" s="240"/>
      <c r="CB3" s="234"/>
      <c r="CC3" s="39"/>
      <c r="CD3" s="39"/>
      <c r="CE3" s="39"/>
      <c r="CF3" s="39"/>
      <c r="CG3" s="240"/>
      <c r="CH3" s="234"/>
      <c r="CI3" s="39"/>
      <c r="CJ3" s="39"/>
      <c r="CK3" s="39"/>
      <c r="CL3" s="39"/>
      <c r="CM3" s="240"/>
      <c r="CN3" s="234"/>
      <c r="CO3" s="39"/>
      <c r="CP3" s="39"/>
      <c r="CQ3" s="39"/>
      <c r="CR3" s="39"/>
      <c r="CS3" s="240"/>
      <c r="CT3" s="234"/>
      <c r="CU3" s="39"/>
      <c r="CV3" s="39"/>
      <c r="CW3" s="39"/>
      <c r="CX3" s="39"/>
      <c r="CY3" s="240"/>
      <c r="CZ3" s="39"/>
      <c r="DA3" s="39"/>
      <c r="DB3" s="39"/>
    </row>
    <row r="4" spans="1:106" ht="11.25" customHeight="1" x14ac:dyDescent="0.2">
      <c r="A4" s="341" t="s">
        <v>6</v>
      </c>
      <c r="B4" s="242"/>
      <c r="C4" s="40"/>
      <c r="D4" s="40"/>
      <c r="E4" s="40"/>
      <c r="F4" s="40"/>
      <c r="G4" s="40"/>
      <c r="H4" s="242"/>
      <c r="I4" s="40"/>
      <c r="J4" s="40"/>
      <c r="K4" s="40"/>
      <c r="L4" s="40"/>
      <c r="M4" s="40"/>
      <c r="N4" s="242"/>
      <c r="O4" s="40"/>
      <c r="P4" s="40"/>
      <c r="Q4" s="40"/>
      <c r="R4" s="40"/>
      <c r="S4" s="40"/>
      <c r="T4" s="242"/>
      <c r="U4" s="40"/>
      <c r="V4" s="40"/>
      <c r="W4" s="40"/>
      <c r="X4" s="40"/>
      <c r="Y4" s="40"/>
      <c r="Z4" s="242"/>
      <c r="AA4" s="40"/>
      <c r="AB4" s="40"/>
      <c r="AC4" s="40"/>
      <c r="AD4" s="40"/>
      <c r="AE4" s="40"/>
      <c r="AF4" s="242"/>
      <c r="AG4" s="40"/>
      <c r="AH4" s="40"/>
      <c r="AI4" s="40"/>
      <c r="AJ4" s="40"/>
      <c r="AK4" s="40"/>
      <c r="AL4" s="242"/>
      <c r="AM4" s="40"/>
      <c r="AN4" s="40"/>
      <c r="AO4" s="40"/>
      <c r="AP4" s="40"/>
      <c r="AQ4" s="40"/>
      <c r="AR4" s="242"/>
      <c r="AS4" s="40"/>
      <c r="AT4" s="40"/>
      <c r="AU4" s="40"/>
      <c r="AV4" s="40"/>
      <c r="AW4" s="40"/>
      <c r="AX4" s="242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242"/>
      <c r="BK4" s="40"/>
      <c r="BL4" s="40"/>
      <c r="BM4" s="40"/>
      <c r="BN4" s="40"/>
      <c r="BO4" s="48"/>
      <c r="BP4" s="242"/>
      <c r="BQ4" s="40"/>
      <c r="BR4" s="40"/>
      <c r="BS4" s="40"/>
      <c r="BT4" s="40"/>
      <c r="BU4" s="48"/>
      <c r="BV4" s="242"/>
      <c r="BW4" s="40"/>
      <c r="BX4" s="40"/>
      <c r="BY4" s="40"/>
      <c r="BZ4" s="40"/>
      <c r="CA4" s="48"/>
      <c r="CB4" s="242"/>
      <c r="CC4" s="40"/>
      <c r="CD4" s="40"/>
      <c r="CE4" s="40"/>
      <c r="CF4" s="40"/>
      <c r="CG4" s="48"/>
      <c r="CH4" s="242"/>
      <c r="CI4" s="40"/>
      <c r="CJ4" s="40"/>
      <c r="CK4" s="40"/>
      <c r="CL4" s="40"/>
      <c r="CM4" s="48"/>
      <c r="CN4" s="242"/>
      <c r="CO4" s="40"/>
      <c r="CP4" s="40"/>
      <c r="CQ4" s="40"/>
      <c r="CR4" s="40"/>
      <c r="CS4" s="48"/>
      <c r="CT4" s="242"/>
      <c r="CU4" s="40"/>
      <c r="CV4" s="40"/>
      <c r="CW4" s="40"/>
      <c r="CX4" s="40"/>
      <c r="CY4" s="48"/>
      <c r="CZ4" s="48"/>
      <c r="DA4" s="48"/>
      <c r="DB4" s="48"/>
    </row>
    <row r="5" spans="1:106" ht="11.25" customHeight="1" x14ac:dyDescent="0.2">
      <c r="A5" s="342" t="s">
        <v>7</v>
      </c>
      <c r="B5" s="247"/>
      <c r="C5" s="48"/>
      <c r="D5" s="48"/>
      <c r="E5" s="48"/>
      <c r="F5" s="48"/>
      <c r="G5" s="48"/>
      <c r="H5" s="247"/>
      <c r="I5" s="48"/>
      <c r="J5" s="48"/>
      <c r="K5" s="48"/>
      <c r="L5" s="48"/>
      <c r="M5" s="48"/>
      <c r="N5" s="247"/>
      <c r="O5" s="48"/>
      <c r="P5" s="48"/>
      <c r="Q5" s="48"/>
      <c r="R5" s="48"/>
      <c r="S5" s="48"/>
      <c r="T5" s="247"/>
      <c r="U5" s="48"/>
      <c r="V5" s="48"/>
      <c r="W5" s="48"/>
      <c r="X5" s="48"/>
      <c r="Y5" s="48"/>
      <c r="Z5" s="247"/>
      <c r="AA5" s="48"/>
      <c r="AB5" s="48"/>
      <c r="AC5" s="48"/>
      <c r="AD5" s="48"/>
      <c r="AE5" s="48"/>
      <c r="AF5" s="247"/>
      <c r="AG5" s="48"/>
      <c r="AH5" s="48"/>
      <c r="AI5" s="48"/>
      <c r="AJ5" s="48"/>
      <c r="AK5" s="479"/>
      <c r="AL5" s="247"/>
      <c r="AM5" s="48"/>
      <c r="AN5" s="48"/>
      <c r="AO5" s="48"/>
      <c r="AP5" s="48"/>
      <c r="AQ5" s="28"/>
      <c r="AR5" s="247"/>
      <c r="AS5" s="48"/>
      <c r="AT5" s="48"/>
      <c r="AU5" s="48"/>
      <c r="AV5" s="48"/>
      <c r="AW5" s="48"/>
      <c r="AX5" s="247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247"/>
      <c r="BK5" s="48"/>
      <c r="BL5" s="48"/>
      <c r="BM5" s="48"/>
      <c r="BN5" s="48"/>
      <c r="BO5" s="48"/>
      <c r="BP5" s="247"/>
      <c r="BQ5" s="48"/>
      <c r="BR5" s="48"/>
      <c r="BS5" s="48"/>
      <c r="BT5" s="48"/>
      <c r="BU5" s="48"/>
      <c r="BV5" s="247"/>
      <c r="BW5" s="48"/>
      <c r="BX5" s="48"/>
      <c r="BY5" s="48"/>
      <c r="BZ5" s="48"/>
      <c r="CA5" s="48"/>
      <c r="CB5" s="247"/>
      <c r="CC5" s="48"/>
      <c r="CD5" s="48"/>
      <c r="CE5" s="48"/>
      <c r="CF5" s="48"/>
      <c r="CG5" s="48"/>
      <c r="CH5" s="247"/>
      <c r="CI5" s="48"/>
      <c r="CJ5" s="48"/>
      <c r="CK5" s="48"/>
      <c r="CL5" s="48"/>
      <c r="CM5" s="48"/>
      <c r="CN5" s="247"/>
      <c r="CO5" s="48"/>
      <c r="CP5" s="48"/>
      <c r="CQ5" s="48"/>
      <c r="CR5" s="48"/>
      <c r="CS5" s="48"/>
      <c r="CT5" s="247"/>
      <c r="CU5" s="48"/>
      <c r="CV5" s="48"/>
      <c r="CW5" s="48"/>
      <c r="CX5" s="48"/>
      <c r="CY5" s="48"/>
      <c r="CZ5" s="48"/>
      <c r="DA5" s="48"/>
      <c r="DB5" s="48"/>
    </row>
    <row r="6" spans="1:106" ht="11.25" customHeight="1" x14ac:dyDescent="0.2">
      <c r="A6" s="247"/>
      <c r="B6" s="247"/>
      <c r="C6" s="343" t="s">
        <v>95</v>
      </c>
      <c r="D6" s="344"/>
      <c r="E6" s="344"/>
      <c r="F6" s="344"/>
      <c r="G6" s="345">
        <v>2004</v>
      </c>
      <c r="H6" s="346"/>
      <c r="I6" s="343" t="s">
        <v>94</v>
      </c>
      <c r="J6" s="344"/>
      <c r="K6" s="344"/>
      <c r="L6" s="344"/>
      <c r="M6" s="345">
        <f>G6+1</f>
        <v>2005</v>
      </c>
      <c r="N6" s="347"/>
      <c r="O6" s="343" t="s">
        <v>93</v>
      </c>
      <c r="P6" s="344"/>
      <c r="Q6" s="344"/>
      <c r="R6" s="344"/>
      <c r="S6" s="345">
        <f>M6+1</f>
        <v>2006</v>
      </c>
      <c r="T6" s="251"/>
      <c r="U6" s="343">
        <v>2007</v>
      </c>
      <c r="V6" s="344"/>
      <c r="W6" s="344"/>
      <c r="X6" s="344"/>
      <c r="Y6" s="345">
        <f>S6+1</f>
        <v>2007</v>
      </c>
      <c r="Z6" s="346"/>
      <c r="AA6" s="343">
        <f>U6+1</f>
        <v>2008</v>
      </c>
      <c r="AB6" s="344"/>
      <c r="AC6" s="344"/>
      <c r="AD6" s="344"/>
      <c r="AE6" s="345">
        <f>Y6+1</f>
        <v>2008</v>
      </c>
      <c r="AF6" s="347"/>
      <c r="AG6" s="343">
        <f>AA6+1</f>
        <v>2009</v>
      </c>
      <c r="AH6" s="344"/>
      <c r="AI6" s="344"/>
      <c r="AJ6" s="344"/>
      <c r="AK6" s="345">
        <f>AE6+1</f>
        <v>2009</v>
      </c>
      <c r="AL6" s="347"/>
      <c r="AM6" s="343">
        <f>AG6+1</f>
        <v>2010</v>
      </c>
      <c r="AN6" s="344"/>
      <c r="AO6" s="344"/>
      <c r="AP6" s="344"/>
      <c r="AQ6" s="345">
        <f>AK6+1</f>
        <v>2010</v>
      </c>
      <c r="AR6" s="347"/>
      <c r="AS6" s="343">
        <f>AM6+1</f>
        <v>2011</v>
      </c>
      <c r="AT6" s="344"/>
      <c r="AU6" s="344"/>
      <c r="AV6" s="344"/>
      <c r="AW6" s="345">
        <f>AQ6+1</f>
        <v>2011</v>
      </c>
      <c r="AX6" s="347"/>
      <c r="AY6" s="343">
        <f>AS6+1</f>
        <v>2012</v>
      </c>
      <c r="AZ6" s="344"/>
      <c r="BA6" s="344"/>
      <c r="BB6" s="344"/>
      <c r="BC6" s="345">
        <f>AW6+1</f>
        <v>2012</v>
      </c>
      <c r="BD6" s="347"/>
      <c r="BE6" s="343">
        <f>AY6+1</f>
        <v>2013</v>
      </c>
      <c r="BF6" s="344"/>
      <c r="BG6" s="344"/>
      <c r="BH6" s="344"/>
      <c r="BI6" s="345">
        <f>BC6+1</f>
        <v>2013</v>
      </c>
      <c r="BJ6" s="347"/>
      <c r="BK6" s="343">
        <f>BE6+1</f>
        <v>2014</v>
      </c>
      <c r="BL6" s="344"/>
      <c r="BM6" s="344"/>
      <c r="BN6" s="344"/>
      <c r="BO6" s="345">
        <f>BI6+1</f>
        <v>2014</v>
      </c>
      <c r="BP6" s="347"/>
      <c r="BQ6" s="343">
        <f>BK6+1</f>
        <v>2015</v>
      </c>
      <c r="BR6" s="344"/>
      <c r="BS6" s="344"/>
      <c r="BT6" s="344"/>
      <c r="BU6" s="345">
        <f>BO6+1</f>
        <v>2015</v>
      </c>
      <c r="BV6" s="347"/>
      <c r="BW6" s="343">
        <f>BQ6+1</f>
        <v>2016</v>
      </c>
      <c r="BX6" s="344"/>
      <c r="BY6" s="344"/>
      <c r="BZ6" s="344"/>
      <c r="CA6" s="345">
        <f>BU6+1</f>
        <v>2016</v>
      </c>
      <c r="CB6" s="347"/>
      <c r="CC6" s="343">
        <f>BW6+1</f>
        <v>2017</v>
      </c>
      <c r="CD6" s="344"/>
      <c r="CE6" s="344"/>
      <c r="CF6" s="344"/>
      <c r="CG6" s="345">
        <f>CA6+1</f>
        <v>2017</v>
      </c>
      <c r="CH6" s="347"/>
      <c r="CI6" s="348">
        <f>CC6+1</f>
        <v>2018</v>
      </c>
      <c r="CJ6" s="344"/>
      <c r="CK6" s="344"/>
      <c r="CL6" s="344"/>
      <c r="CM6" s="349">
        <f>CG6+1</f>
        <v>2018</v>
      </c>
      <c r="CN6" s="347"/>
      <c r="CO6" s="348">
        <f>CI6+1</f>
        <v>2019</v>
      </c>
      <c r="CP6" s="344"/>
      <c r="CQ6" s="344"/>
      <c r="CR6" s="344"/>
      <c r="CS6" s="349">
        <f>CM6+1</f>
        <v>2019</v>
      </c>
      <c r="CT6" s="347"/>
      <c r="CU6" s="348">
        <f>CO6+1</f>
        <v>2020</v>
      </c>
      <c r="CV6" s="344"/>
      <c r="CW6" s="344"/>
      <c r="CX6" s="344"/>
      <c r="CY6" s="349">
        <f>CS6+1</f>
        <v>2020</v>
      </c>
      <c r="CZ6" s="253"/>
      <c r="DA6" s="253"/>
      <c r="DB6" s="253"/>
    </row>
    <row r="7" spans="1:106" ht="11.25" customHeight="1" thickBot="1" x14ac:dyDescent="0.25">
      <c r="A7" s="39"/>
      <c r="B7" s="480"/>
      <c r="C7" s="357">
        <v>38077</v>
      </c>
      <c r="D7" s="358">
        <f>C7+FLOOR(365/4,1)</f>
        <v>38168</v>
      </c>
      <c r="E7" s="358">
        <f>D7+FLOOR(365/4,1)</f>
        <v>38259</v>
      </c>
      <c r="F7" s="358">
        <f>E7+FLOOR(365/4,1)</f>
        <v>38350</v>
      </c>
      <c r="G7" s="359"/>
      <c r="H7" s="365"/>
      <c r="I7" s="357">
        <f>F7+FLOOR(365/4,1)</f>
        <v>38441</v>
      </c>
      <c r="J7" s="358">
        <f>I7+FLOOR(365/4,1)</f>
        <v>38532</v>
      </c>
      <c r="K7" s="358">
        <f>J7+FLOOR(365/4,1)</f>
        <v>38623</v>
      </c>
      <c r="L7" s="358">
        <f>K7+FLOOR(365/4,1)</f>
        <v>38714</v>
      </c>
      <c r="M7" s="359"/>
      <c r="N7" s="364"/>
      <c r="O7" s="357">
        <f>L7+FLOOR(365/4,1)</f>
        <v>38805</v>
      </c>
      <c r="P7" s="358">
        <f>O7+FLOOR(365/4,1)</f>
        <v>38896</v>
      </c>
      <c r="Q7" s="358">
        <f>P7+FLOOR(365/4,1)</f>
        <v>38987</v>
      </c>
      <c r="R7" s="358">
        <f>Q7+FLOOR(365/4,1)</f>
        <v>39078</v>
      </c>
      <c r="S7" s="359"/>
      <c r="T7" s="337"/>
      <c r="U7" s="357">
        <f>R7+FLOOR(365/4,1)</f>
        <v>39169</v>
      </c>
      <c r="V7" s="358">
        <f>U7+FLOOR(365/4,1)</f>
        <v>39260</v>
      </c>
      <c r="W7" s="358">
        <f>V7+FLOOR(365/4,1)</f>
        <v>39351</v>
      </c>
      <c r="X7" s="358">
        <f>W7+FLOOR(365/4,1)</f>
        <v>39442</v>
      </c>
      <c r="Y7" s="359"/>
      <c r="Z7" s="365"/>
      <c r="AA7" s="357">
        <f>X7+FLOOR(365/4,1)</f>
        <v>39533</v>
      </c>
      <c r="AB7" s="358">
        <f>AA7+FLOOR(365/4,1)</f>
        <v>39624</v>
      </c>
      <c r="AC7" s="358">
        <f>AB7+FLOOR(365/4,1)</f>
        <v>39715</v>
      </c>
      <c r="AD7" s="358">
        <f>AC7+FLOOR(365/4,1)</f>
        <v>39806</v>
      </c>
      <c r="AE7" s="359"/>
      <c r="AF7" s="359"/>
      <c r="AG7" s="357">
        <f>AD7+FLOOR(365/4,1)</f>
        <v>39897</v>
      </c>
      <c r="AH7" s="358">
        <f>AG7+FLOOR(365/4,1)</f>
        <v>39988</v>
      </c>
      <c r="AI7" s="358">
        <f>AH7+FLOOR(365/4,1)</f>
        <v>40079</v>
      </c>
      <c r="AJ7" s="358">
        <f>AI7+FLOOR(365/4,1)</f>
        <v>40170</v>
      </c>
      <c r="AK7" s="359"/>
      <c r="AL7" s="359"/>
      <c r="AM7" s="357">
        <f>AJ7+FLOOR(365/4,1)</f>
        <v>40261</v>
      </c>
      <c r="AN7" s="358">
        <f>AM7+FLOOR(365/4,1)</f>
        <v>40352</v>
      </c>
      <c r="AO7" s="358">
        <f>AN7+FLOOR(365/4,1)</f>
        <v>40443</v>
      </c>
      <c r="AP7" s="358">
        <f>AO7+FLOOR(365/4,1)</f>
        <v>40534</v>
      </c>
      <c r="AQ7" s="359"/>
      <c r="AR7" s="359"/>
      <c r="AS7" s="357">
        <f>AP7+FLOOR(365/4,1)</f>
        <v>40625</v>
      </c>
      <c r="AT7" s="358">
        <f>AS7+FLOOR(365/4,1)</f>
        <v>40716</v>
      </c>
      <c r="AU7" s="358">
        <f>AT7+FLOOR(365/4,1)</f>
        <v>40807</v>
      </c>
      <c r="AV7" s="358">
        <f>AU7+FLOOR(365/4,1)</f>
        <v>40898</v>
      </c>
      <c r="AW7" s="359"/>
      <c r="AX7" s="359"/>
      <c r="AY7" s="357">
        <f>AV7+FLOOR(365/4,1)</f>
        <v>40989</v>
      </c>
      <c r="AZ7" s="358">
        <f>AY7+FLOOR(365/4,1)</f>
        <v>41080</v>
      </c>
      <c r="BA7" s="358">
        <f>AZ7+FLOOR(365/4,1)</f>
        <v>41171</v>
      </c>
      <c r="BB7" s="358">
        <f>BA7+FLOOR(365/4,1)</f>
        <v>41262</v>
      </c>
      <c r="BC7" s="359"/>
      <c r="BD7" s="364"/>
      <c r="BE7" s="357">
        <f>BB7+FLOOR(365/4,1)</f>
        <v>41353</v>
      </c>
      <c r="BF7" s="358">
        <f>BE7+FLOOR(365/4,1)</f>
        <v>41444</v>
      </c>
      <c r="BG7" s="358">
        <f>BF7+FLOOR(365/4,1)</f>
        <v>41535</v>
      </c>
      <c r="BH7" s="358">
        <f>BG7+FLOOR(365/4,1)</f>
        <v>41626</v>
      </c>
      <c r="BI7" s="359"/>
      <c r="BJ7" s="359"/>
      <c r="BK7" s="1099">
        <f>BH7+FLOOR(365/4,1)</f>
        <v>41717</v>
      </c>
      <c r="BL7" s="1100">
        <f>BK7+FLOOR(365/4,1)</f>
        <v>41808</v>
      </c>
      <c r="BM7" s="1100">
        <f>BL7+FLOOR(365/4,1)</f>
        <v>41899</v>
      </c>
      <c r="BN7" s="1100">
        <f>BM7+FLOOR(365/4,1)</f>
        <v>41990</v>
      </c>
      <c r="BO7" s="359"/>
      <c r="BP7" s="364"/>
      <c r="BQ7" s="1099">
        <f>BN7+FLOOR(365/4,1)</f>
        <v>42081</v>
      </c>
      <c r="BR7" s="1100">
        <f>BQ7+FLOOR(365/4,1)</f>
        <v>42172</v>
      </c>
      <c r="BS7" s="1100">
        <f>BR7+FLOOR(365/4,1)</f>
        <v>42263</v>
      </c>
      <c r="BT7" s="1100">
        <f>BS7+FLOOR(365/4,1)</f>
        <v>42354</v>
      </c>
      <c r="BU7" s="359"/>
      <c r="BV7" s="364"/>
      <c r="BW7" s="1099">
        <f>BT7+FLOOR(365/4,1)</f>
        <v>42445</v>
      </c>
      <c r="BX7" s="1100">
        <f>BW7+FLOOR(365/4,1)</f>
        <v>42536</v>
      </c>
      <c r="BY7" s="1100">
        <f>BX7+FLOOR(365/4,1)</f>
        <v>42627</v>
      </c>
      <c r="BZ7" s="1100">
        <f>BY7+FLOOR(365/4,1)</f>
        <v>42718</v>
      </c>
      <c r="CA7" s="359"/>
      <c r="CB7" s="364"/>
      <c r="CC7" s="1099">
        <f>BZ7+FLOOR(365/4,1)</f>
        <v>42809</v>
      </c>
      <c r="CD7" s="1100">
        <f>CC7+FLOOR(365/4,1)</f>
        <v>42900</v>
      </c>
      <c r="CE7" s="1100">
        <f>CD7+FLOOR(365/4,1)</f>
        <v>42991</v>
      </c>
      <c r="CF7" s="1100">
        <f>CE7+FLOOR(365/4,1)</f>
        <v>43082</v>
      </c>
      <c r="CG7" s="359"/>
      <c r="CH7" s="364"/>
      <c r="CI7" s="362">
        <f>CF7+FLOOR(365/4,1)</f>
        <v>43173</v>
      </c>
      <c r="CJ7" s="360">
        <f>CI7+FLOOR(365/4,1)</f>
        <v>43264</v>
      </c>
      <c r="CK7" s="360">
        <f>CJ7+FLOOR(365/4,1)</f>
        <v>43355</v>
      </c>
      <c r="CL7" s="361">
        <f>CK7+FLOOR(365/4,1)</f>
        <v>43446</v>
      </c>
      <c r="CM7" s="359"/>
      <c r="CN7" s="364"/>
      <c r="CO7" s="362">
        <f>CL7+FLOOR(365/4,1)</f>
        <v>43537</v>
      </c>
      <c r="CP7" s="360">
        <f>CO7+FLOOR(365/4,1)</f>
        <v>43628</v>
      </c>
      <c r="CQ7" s="360">
        <f>CP7+FLOOR(365/4,1)</f>
        <v>43719</v>
      </c>
      <c r="CR7" s="361">
        <f>CQ7+FLOOR(365/4,1)</f>
        <v>43810</v>
      </c>
      <c r="CS7" s="359"/>
      <c r="CT7" s="364"/>
      <c r="CU7" s="362">
        <f>CR7+FLOOR(365/4,1)</f>
        <v>43901</v>
      </c>
      <c r="CV7" s="360">
        <f>CU7+FLOOR(365/4,1)</f>
        <v>43992</v>
      </c>
      <c r="CW7" s="360">
        <f>CV7+FLOOR(365/4,1)</f>
        <v>44083</v>
      </c>
      <c r="CX7" s="361">
        <f>CW7+FLOOR(365/4,1)</f>
        <v>44174</v>
      </c>
      <c r="CY7" s="359"/>
      <c r="CZ7" s="185"/>
      <c r="DA7" s="185"/>
      <c r="DB7" s="185"/>
    </row>
    <row r="8" spans="1:106" ht="11.25" customHeight="1" x14ac:dyDescent="0.2">
      <c r="A8" s="218" t="s">
        <v>21</v>
      </c>
      <c r="B8" s="48"/>
      <c r="C8" s="59"/>
      <c r="D8" s="39"/>
      <c r="E8" s="39"/>
      <c r="F8" s="39"/>
      <c r="G8" s="6"/>
      <c r="H8" s="28"/>
      <c r="I8" s="19"/>
      <c r="J8" s="20"/>
      <c r="K8" s="20"/>
      <c r="L8" s="20"/>
      <c r="M8" s="6"/>
      <c r="N8" s="28"/>
      <c r="O8" s="19"/>
      <c r="P8" s="20"/>
      <c r="Q8" s="20"/>
      <c r="R8" s="20"/>
      <c r="S8" s="6"/>
      <c r="T8" s="28"/>
      <c r="U8" s="19"/>
      <c r="V8" s="20"/>
      <c r="W8" s="20"/>
      <c r="X8" s="20"/>
      <c r="Y8" s="6"/>
      <c r="Z8" s="28"/>
      <c r="AA8" s="19"/>
      <c r="AB8" s="20"/>
      <c r="AC8" s="20"/>
      <c r="AD8" s="20"/>
      <c r="AE8" s="6"/>
      <c r="AF8" s="28"/>
      <c r="AG8" s="19"/>
      <c r="AH8" s="20"/>
      <c r="AI8" s="20"/>
      <c r="AJ8" s="20"/>
      <c r="AK8" s="6"/>
      <c r="AL8" s="28"/>
      <c r="AM8" s="19"/>
      <c r="AN8" s="20"/>
      <c r="AO8" s="20"/>
      <c r="AP8" s="20"/>
      <c r="AQ8" s="6"/>
      <c r="AR8" s="28"/>
      <c r="AS8" s="19"/>
      <c r="AT8" s="20"/>
      <c r="AU8" s="20"/>
      <c r="AV8" s="20"/>
      <c r="AW8" s="6"/>
      <c r="AX8" s="28"/>
      <c r="AY8" s="19"/>
      <c r="AZ8" s="28"/>
      <c r="BA8" s="28"/>
      <c r="BB8" s="28"/>
      <c r="BC8" s="6"/>
      <c r="BD8" s="28"/>
      <c r="BE8" s="19"/>
      <c r="BF8" s="28"/>
      <c r="BG8" s="28"/>
      <c r="BH8" s="28"/>
      <c r="BI8" s="6"/>
      <c r="BJ8" s="28"/>
      <c r="BK8" s="19"/>
      <c r="BL8" s="28"/>
      <c r="BM8" s="28"/>
      <c r="BN8" s="28"/>
      <c r="BO8" s="6"/>
      <c r="BP8" s="28"/>
      <c r="BQ8" s="19"/>
      <c r="BR8" s="28"/>
      <c r="BS8" s="28"/>
      <c r="BT8" s="28"/>
      <c r="BU8" s="6"/>
      <c r="BV8" s="28"/>
      <c r="BW8" s="19"/>
      <c r="BX8" s="28"/>
      <c r="BY8" s="28"/>
      <c r="BZ8" s="28"/>
      <c r="CA8" s="6"/>
      <c r="CB8" s="28"/>
      <c r="CC8" s="19"/>
      <c r="CD8" s="28"/>
      <c r="CE8" s="28"/>
      <c r="CF8" s="28"/>
      <c r="CG8" s="6"/>
      <c r="CH8" s="28"/>
      <c r="CI8" s="19"/>
      <c r="CJ8" s="28"/>
      <c r="CK8" s="28"/>
      <c r="CL8" s="28"/>
      <c r="CM8" s="6"/>
      <c r="CN8" s="28"/>
      <c r="CO8" s="19"/>
      <c r="CP8" s="28"/>
      <c r="CQ8" s="28"/>
      <c r="CR8" s="28"/>
      <c r="CS8" s="6"/>
      <c r="CT8" s="28"/>
      <c r="CU8" s="19"/>
      <c r="CV8" s="28"/>
      <c r="CW8" s="28"/>
      <c r="CX8" s="28"/>
      <c r="CY8" s="6"/>
      <c r="CZ8" s="20"/>
      <c r="DA8" s="20"/>
      <c r="DB8" s="20"/>
    </row>
    <row r="9" spans="1:106" ht="11.25" customHeight="1" x14ac:dyDescent="0.2">
      <c r="A9" s="203" t="s">
        <v>22</v>
      </c>
      <c r="B9" s="48"/>
      <c r="C9" s="59"/>
      <c r="D9" s="39"/>
      <c r="E9" s="39"/>
      <c r="F9" s="39"/>
      <c r="G9" s="6"/>
      <c r="H9" s="28"/>
      <c r="I9" s="481"/>
      <c r="J9" s="259"/>
      <c r="K9" s="259"/>
      <c r="L9" s="259"/>
      <c r="M9" s="482"/>
      <c r="N9" s="28"/>
      <c r="O9" s="481"/>
      <c r="P9" s="259"/>
      <c r="Q9" s="259"/>
      <c r="R9" s="259"/>
      <c r="S9" s="482"/>
      <c r="T9" s="28"/>
      <c r="U9" s="481"/>
      <c r="V9" s="259"/>
      <c r="W9" s="259"/>
      <c r="X9" s="259"/>
      <c r="Y9" s="482"/>
      <c r="Z9" s="28"/>
      <c r="AA9" s="481"/>
      <c r="AB9" s="259"/>
      <c r="AC9" s="259"/>
      <c r="AD9" s="259"/>
      <c r="AE9" s="482"/>
      <c r="AF9" s="28"/>
      <c r="AG9" s="481"/>
      <c r="AH9" s="259"/>
      <c r="AI9" s="259"/>
      <c r="AJ9" s="259"/>
      <c r="AK9" s="482"/>
      <c r="AL9" s="28"/>
      <c r="AM9" s="481"/>
      <c r="AN9" s="259"/>
      <c r="AO9" s="259"/>
      <c r="AP9" s="259"/>
      <c r="AQ9" s="482"/>
      <c r="AR9" s="28"/>
      <c r="AS9" s="481"/>
      <c r="AT9" s="259"/>
      <c r="AU9" s="259"/>
      <c r="AV9" s="259"/>
      <c r="AW9" s="482"/>
      <c r="AX9" s="28"/>
      <c r="AY9" s="481"/>
      <c r="AZ9" s="259"/>
      <c r="BA9" s="259"/>
      <c r="BB9" s="259"/>
      <c r="BC9" s="482"/>
      <c r="BD9" s="28"/>
      <c r="BE9" s="19"/>
      <c r="BF9" s="20"/>
      <c r="BG9" s="20"/>
      <c r="BH9" s="20"/>
      <c r="BI9" s="6"/>
      <c r="BJ9" s="28"/>
      <c r="BK9" s="19"/>
      <c r="BL9" s="20"/>
      <c r="BM9" s="20"/>
      <c r="BN9" s="20"/>
      <c r="BO9" s="6"/>
      <c r="BP9" s="28"/>
      <c r="BQ9" s="19"/>
      <c r="BR9" s="20"/>
      <c r="BS9" s="20"/>
      <c r="BT9" s="20"/>
      <c r="BU9" s="6"/>
      <c r="BV9" s="28"/>
      <c r="BW9" s="19"/>
      <c r="BX9" s="20"/>
      <c r="BY9" s="20"/>
      <c r="BZ9" s="20"/>
      <c r="CA9" s="6"/>
      <c r="CB9" s="28"/>
      <c r="CC9" s="19"/>
      <c r="CD9" s="20"/>
      <c r="CE9" s="20"/>
      <c r="CF9" s="20"/>
      <c r="CG9" s="6"/>
      <c r="CH9" s="28"/>
      <c r="CI9" s="19"/>
      <c r="CJ9" s="20"/>
      <c r="CK9" s="20"/>
      <c r="CL9" s="20"/>
      <c r="CM9" s="6"/>
      <c r="CN9" s="28"/>
      <c r="CO9" s="19"/>
      <c r="CP9" s="20"/>
      <c r="CQ9" s="20"/>
      <c r="CR9" s="20"/>
      <c r="CS9" s="6"/>
      <c r="CT9" s="28"/>
      <c r="CU9" s="19"/>
      <c r="CV9" s="20"/>
      <c r="CW9" s="20"/>
      <c r="CX9" s="20"/>
      <c r="CY9" s="6"/>
      <c r="CZ9" s="20"/>
      <c r="DA9" s="20"/>
      <c r="DB9" s="20"/>
    </row>
    <row r="10" spans="1:106" ht="11.25" customHeight="1" x14ac:dyDescent="0.2">
      <c r="A10" s="354" t="s">
        <v>23</v>
      </c>
      <c r="B10" s="48"/>
      <c r="C10" s="59"/>
      <c r="D10" s="39"/>
      <c r="E10" s="39"/>
      <c r="F10" s="39"/>
      <c r="G10" s="863">
        <f>CFS!G56</f>
        <v>196.375</v>
      </c>
      <c r="H10" s="28"/>
      <c r="I10" s="847">
        <f>CFS!I56</f>
        <v>210.31399999999999</v>
      </c>
      <c r="J10" s="848">
        <f>CFS!J56</f>
        <v>156.995</v>
      </c>
      <c r="K10" s="848">
        <f>CFS!K56</f>
        <v>171.19200000000001</v>
      </c>
      <c r="L10" s="848">
        <f>CFS!L56</f>
        <v>191.70000000000002</v>
      </c>
      <c r="M10" s="863">
        <f>CFS!M56</f>
        <v>191.70000000000002</v>
      </c>
      <c r="N10" s="28"/>
      <c r="O10" s="847">
        <f>CFS!O56</f>
        <v>197.738</v>
      </c>
      <c r="P10" s="848">
        <f>CFS!P56</f>
        <v>473.45699999999999</v>
      </c>
      <c r="Q10" s="848">
        <f>CFS!Q56</f>
        <v>491.98399999999998</v>
      </c>
      <c r="R10" s="848">
        <f>CFS!R56</f>
        <v>430.35699999999997</v>
      </c>
      <c r="S10" s="863">
        <f>CFS!S56</f>
        <v>430.35699999999997</v>
      </c>
      <c r="T10" s="28"/>
      <c r="U10" s="847">
        <f>CFS!U56</f>
        <v>386.06999999999994</v>
      </c>
      <c r="V10" s="848">
        <f>CFS!V56</f>
        <v>380.37099999999992</v>
      </c>
      <c r="W10" s="848">
        <f>CFS!W56</f>
        <v>308.685</v>
      </c>
      <c r="X10" s="848">
        <f>CFS!X56</f>
        <v>347.32000000000005</v>
      </c>
      <c r="Y10" s="863">
        <f>CFS!Y56</f>
        <v>347.31999999999994</v>
      </c>
      <c r="Z10" s="28"/>
      <c r="AA10" s="847">
        <f>CFS!AA56</f>
        <v>351.56099999999992</v>
      </c>
      <c r="AB10" s="848">
        <f>CFS!AB56</f>
        <v>380.66699999999992</v>
      </c>
      <c r="AC10" s="848">
        <f>CFS!AC56</f>
        <v>326.03399999999988</v>
      </c>
      <c r="AD10" s="848">
        <f>CFS!AD56</f>
        <v>333.31299999999987</v>
      </c>
      <c r="AE10" s="863">
        <f>CFS!AE56</f>
        <v>333.31299999999993</v>
      </c>
      <c r="AF10" s="28"/>
      <c r="AG10" s="847">
        <f>CFS!AG56</f>
        <v>337.03599999999994</v>
      </c>
      <c r="AH10" s="848">
        <f>CFS!AH56</f>
        <v>390.31099999999998</v>
      </c>
      <c r="AI10" s="848">
        <f>CFS!AI56</f>
        <v>861.27299999999991</v>
      </c>
      <c r="AJ10" s="848">
        <f>CFS!AJ56</f>
        <v>825.5569999999999</v>
      </c>
      <c r="AK10" s="863">
        <f>CFS!AK56</f>
        <v>825.5569999999999</v>
      </c>
      <c r="AL10" s="28"/>
      <c r="AM10" s="847">
        <f>CFS!AM56</f>
        <v>794.77</v>
      </c>
      <c r="AN10" s="848">
        <f>CFS!AN56</f>
        <v>844.20899999999995</v>
      </c>
      <c r="AO10" s="848">
        <f>CFS!AO56</f>
        <v>807.75199999999995</v>
      </c>
      <c r="AP10" s="848">
        <f>CFS!AP56</f>
        <v>828.40699999999993</v>
      </c>
      <c r="AQ10" s="863">
        <f>CFS!AQ56</f>
        <v>828.40699999999993</v>
      </c>
      <c r="AR10" s="28"/>
      <c r="AS10" s="847">
        <f>CFS!AS56</f>
        <v>776.5809999999999</v>
      </c>
      <c r="AT10" s="848">
        <f>CFS!AT56</f>
        <v>787.8649999999999</v>
      </c>
      <c r="AU10" s="848">
        <f>CFS!AU56</f>
        <v>393.8499999999998</v>
      </c>
      <c r="AV10" s="848">
        <f>CFS!AV56</f>
        <v>221.13299999999975</v>
      </c>
      <c r="AW10" s="863">
        <f>CFS!AW56</f>
        <v>221.13299999999992</v>
      </c>
      <c r="AX10" s="28"/>
      <c r="AY10" s="847">
        <f>CFS!AY56</f>
        <v>219.85499999999993</v>
      </c>
      <c r="AZ10" s="848">
        <f>CFS!AZ56</f>
        <v>214.00799999999992</v>
      </c>
      <c r="BA10" s="848">
        <f>CFS!BA56</f>
        <v>258.22899999999993</v>
      </c>
      <c r="BB10" s="848">
        <f>CFS!BB56</f>
        <v>394.03699999999992</v>
      </c>
      <c r="BC10" s="6">
        <f t="shared" ref="BC10:BC16" si="0">BB10</f>
        <v>394.03699999999992</v>
      </c>
      <c r="BD10" s="28"/>
      <c r="BE10" s="847">
        <f>CFS!BE56</f>
        <v>372.75699999999983</v>
      </c>
      <c r="BF10" s="848">
        <f>CFS!BF56</f>
        <v>299.81899999999985</v>
      </c>
      <c r="BG10" s="848">
        <f>CFS!BG56</f>
        <v>279.98799999999983</v>
      </c>
      <c r="BH10" s="848">
        <f>CFS!BH56</f>
        <v>330.30299999999983</v>
      </c>
      <c r="BI10" s="6">
        <f>BH10</f>
        <v>330.30299999999983</v>
      </c>
      <c r="BJ10" s="28"/>
      <c r="BK10" s="847">
        <f>CFS!BK56</f>
        <v>564.27199999999993</v>
      </c>
      <c r="BL10" s="848">
        <f>CFS!BL56</f>
        <v>418.93399999999986</v>
      </c>
      <c r="BM10" s="848">
        <f>CFS!BM56</f>
        <v>484.20999999999981</v>
      </c>
      <c r="BN10" s="848">
        <f>CFS!BN56</f>
        <v>392.66699999999986</v>
      </c>
      <c r="BO10" s="863">
        <f>CFS!BO56</f>
        <v>392.66699999999975</v>
      </c>
      <c r="BP10" s="28"/>
      <c r="BQ10" s="847">
        <f>CFS!BQ56</f>
        <v>287.81099999999981</v>
      </c>
      <c r="BR10" s="848">
        <f>CFS!BR56</f>
        <v>234.32999999999981</v>
      </c>
      <c r="BS10" s="848">
        <f>CFS!BS56</f>
        <v>330.95099999999979</v>
      </c>
      <c r="BT10" s="848">
        <f>CFS!BT56</f>
        <v>290.01099999999985</v>
      </c>
      <c r="BU10" s="863">
        <f>CFS!BU56</f>
        <v>290.01099999999974</v>
      </c>
      <c r="BV10" s="28"/>
      <c r="BW10" s="847">
        <f>CFS!BW56</f>
        <v>355.78499999999974</v>
      </c>
      <c r="BX10" s="848">
        <f>CFS!BX56</f>
        <v>328.15699999999975</v>
      </c>
      <c r="BY10" s="848">
        <f>CFS!BY56</f>
        <v>354.64599999999967</v>
      </c>
      <c r="BZ10" s="848">
        <f>CFS!BZ56</f>
        <v>439.17999999999972</v>
      </c>
      <c r="CA10" s="863">
        <f>CFS!CA56</f>
        <v>439.17999999999978</v>
      </c>
      <c r="CB10" s="28"/>
      <c r="CC10" s="847">
        <f>CFS!CC56</f>
        <v>245.44599999999977</v>
      </c>
      <c r="CD10" s="848">
        <f>CFS!CD56</f>
        <v>542.84099999999978</v>
      </c>
      <c r="CE10" s="848">
        <f>CFS!CE56</f>
        <v>671.75099999999975</v>
      </c>
      <c r="CF10" s="848">
        <f>CFS!CF56</f>
        <v>657.71399999999994</v>
      </c>
      <c r="CG10" s="863">
        <f>CFS!CG56</f>
        <v>657.71399999999994</v>
      </c>
      <c r="CH10" s="28"/>
      <c r="CI10" s="847">
        <f>CFS!CI56</f>
        <v>653.10851546742424</v>
      </c>
      <c r="CJ10" s="848">
        <f>CFS!CJ56</f>
        <v>632.4377082250877</v>
      </c>
      <c r="CK10" s="848">
        <f>CFS!CK56</f>
        <v>578.40583830112939</v>
      </c>
      <c r="CL10" s="848">
        <f>CFS!CL56</f>
        <v>615.41544111346411</v>
      </c>
      <c r="CM10" s="863">
        <f>CFS!CM56</f>
        <v>615.41544111346411</v>
      </c>
      <c r="CN10" s="28"/>
      <c r="CO10" s="847">
        <f>CFS!CO56</f>
        <v>668.09187402808436</v>
      </c>
      <c r="CP10" s="848">
        <f>CFS!CP56</f>
        <v>673.00104294696462</v>
      </c>
      <c r="CQ10" s="848">
        <f>CFS!CQ56</f>
        <v>621.09621669596527</v>
      </c>
      <c r="CR10" s="848">
        <f>CFS!CR56</f>
        <v>665.71756513920764</v>
      </c>
      <c r="CS10" s="863">
        <f>CFS!CS56</f>
        <v>665.71756513920764</v>
      </c>
      <c r="CT10" s="28"/>
      <c r="CU10" s="847">
        <f>CFS!CU56</f>
        <v>753.34752713910893</v>
      </c>
      <c r="CV10" s="848">
        <f>CFS!CV56</f>
        <v>788.6013188684251</v>
      </c>
      <c r="CW10" s="848">
        <f>CFS!CW56</f>
        <v>750.20261024725744</v>
      </c>
      <c r="CX10" s="848">
        <f>CFS!CX56</f>
        <v>824.23982824323991</v>
      </c>
      <c r="CY10" s="863">
        <f>CFS!CY56</f>
        <v>824.23982824323991</v>
      </c>
      <c r="CZ10" s="20"/>
      <c r="DA10" s="20"/>
      <c r="DB10" s="20"/>
    </row>
    <row r="11" spans="1:106" ht="11.25" customHeight="1" x14ac:dyDescent="0.2">
      <c r="A11" s="354" t="s">
        <v>24</v>
      </c>
      <c r="B11" s="48"/>
      <c r="C11" s="59"/>
      <c r="D11" s="39"/>
      <c r="E11" s="39"/>
      <c r="F11" s="39"/>
      <c r="G11" s="331">
        <v>30.152999999999999</v>
      </c>
      <c r="H11" s="28"/>
      <c r="I11" s="53">
        <v>34.744</v>
      </c>
      <c r="J11" s="51">
        <v>51.759</v>
      </c>
      <c r="K11" s="51">
        <v>40.006999999999998</v>
      </c>
      <c r="L11" s="51">
        <v>15</v>
      </c>
      <c r="M11" s="6">
        <f t="shared" ref="M11:M16" si="1">L11</f>
        <v>15</v>
      </c>
      <c r="N11" s="28"/>
      <c r="O11" s="53">
        <v>15</v>
      </c>
      <c r="P11" s="51">
        <f>10+0.5</f>
        <v>10.5</v>
      </c>
      <c r="Q11" s="51">
        <v>0</v>
      </c>
      <c r="R11" s="51">
        <v>52.781999999999996</v>
      </c>
      <c r="S11" s="6">
        <f t="shared" ref="S11:S16" si="2">R11</f>
        <v>52.781999999999996</v>
      </c>
      <c r="T11" s="28"/>
      <c r="U11" s="53">
        <v>98.805000000000007</v>
      </c>
      <c r="V11" s="51">
        <v>99.3</v>
      </c>
      <c r="W11" s="51">
        <v>0</v>
      </c>
      <c r="X11" s="51">
        <v>2.3130000000000002</v>
      </c>
      <c r="Y11" s="6">
        <f t="shared" ref="Y11:Y16" si="3">X11</f>
        <v>2.3130000000000002</v>
      </c>
      <c r="Z11" s="28"/>
      <c r="AA11" s="53">
        <v>0</v>
      </c>
      <c r="AB11" s="51">
        <v>0</v>
      </c>
      <c r="AC11" s="51">
        <v>0</v>
      </c>
      <c r="AD11" s="51">
        <v>0</v>
      </c>
      <c r="AE11" s="6">
        <f t="shared" ref="AE11:AE16" si="4">AD11</f>
        <v>0</v>
      </c>
      <c r="AF11" s="28"/>
      <c r="AG11" s="53">
        <v>0</v>
      </c>
      <c r="AH11" s="51">
        <v>0</v>
      </c>
      <c r="AI11" s="51">
        <v>0</v>
      </c>
      <c r="AJ11" s="51">
        <v>40</v>
      </c>
      <c r="AK11" s="6">
        <f t="shared" ref="AK11:AK16" si="5">AJ11</f>
        <v>40</v>
      </c>
      <c r="AL11" s="28"/>
      <c r="AM11" s="53">
        <v>94</v>
      </c>
      <c r="AN11" s="51">
        <v>74</v>
      </c>
      <c r="AO11" s="51">
        <v>79.552000000000007</v>
      </c>
      <c r="AP11" s="51">
        <v>106.077</v>
      </c>
      <c r="AQ11" s="6">
        <f t="shared" ref="AQ11:AQ16" si="6">AP11</f>
        <v>106.077</v>
      </c>
      <c r="AR11" s="28"/>
      <c r="AS11" s="53">
        <v>162.346</v>
      </c>
      <c r="AT11" s="51">
        <v>165.624</v>
      </c>
      <c r="AU11" s="51">
        <v>92.497</v>
      </c>
      <c r="AV11" s="51">
        <v>54.576999999999998</v>
      </c>
      <c r="AW11" s="6">
        <f t="shared" ref="AW11:AW16" si="7">AV11</f>
        <v>54.576999999999998</v>
      </c>
      <c r="AX11" s="28"/>
      <c r="AY11" s="53">
        <v>55.503</v>
      </c>
      <c r="AZ11" s="122">
        <v>52.319000000000003</v>
      </c>
      <c r="BA11" s="122">
        <v>53.084000000000003</v>
      </c>
      <c r="BB11" s="122">
        <v>90.450999999999993</v>
      </c>
      <c r="BC11" s="6">
        <f t="shared" si="0"/>
        <v>90.450999999999993</v>
      </c>
      <c r="BD11" s="28"/>
      <c r="BE11" s="53">
        <v>87.784000000000006</v>
      </c>
      <c r="BF11" s="122">
        <v>73.379000000000005</v>
      </c>
      <c r="BG11" s="122">
        <v>75.763000000000005</v>
      </c>
      <c r="BH11" s="122">
        <v>49.923000000000002</v>
      </c>
      <c r="BI11" s="6">
        <f t="shared" ref="BI11:BI16" si="8">BH11</f>
        <v>49.923000000000002</v>
      </c>
      <c r="BJ11" s="28"/>
      <c r="BK11" s="53">
        <v>113.70099999999999</v>
      </c>
      <c r="BL11" s="122">
        <v>235.834</v>
      </c>
      <c r="BM11" s="122">
        <v>207.81399999999999</v>
      </c>
      <c r="BN11" s="122">
        <v>184.036</v>
      </c>
      <c r="BO11" s="6">
        <f t="shared" ref="BO11:BO16" si="9">BN11</f>
        <v>184.036</v>
      </c>
      <c r="BP11" s="28"/>
      <c r="BQ11" s="53">
        <f>8.687+104.479</f>
        <v>113.166</v>
      </c>
      <c r="BR11" s="122">
        <f>133.217+3.956</f>
        <v>137.173</v>
      </c>
      <c r="BS11" s="122">
        <f>98.578+2.582</f>
        <v>101.16</v>
      </c>
      <c r="BT11" s="122">
        <v>130.81700000000001</v>
      </c>
      <c r="BU11" s="6">
        <f t="shared" ref="BU11:BU16" si="10">BT11</f>
        <v>130.81700000000001</v>
      </c>
      <c r="BV11" s="28"/>
      <c r="BW11" s="53">
        <v>91.474000000000004</v>
      </c>
      <c r="BX11" s="122">
        <v>78.281999999999996</v>
      </c>
      <c r="BY11" s="122">
        <v>109.693</v>
      </c>
      <c r="BZ11" s="122">
        <v>92.998999999999995</v>
      </c>
      <c r="CA11" s="6">
        <f t="shared" ref="CA11:CA16" si="11">BZ11</f>
        <v>92.998999999999995</v>
      </c>
      <c r="CB11" s="28"/>
      <c r="CC11" s="53">
        <v>27.943000000000001</v>
      </c>
      <c r="CD11" s="122">
        <v>66.006</v>
      </c>
      <c r="CE11" s="122">
        <v>303.19499999999999</v>
      </c>
      <c r="CF11" s="122">
        <v>359.19799999999998</v>
      </c>
      <c r="CG11" s="6">
        <f t="shared" ref="CG11:CG16" si="12">CF11</f>
        <v>359.19799999999998</v>
      </c>
      <c r="CH11" s="28"/>
      <c r="CI11" s="19">
        <f>CG11-CFS!CI36-CFS!CI37</f>
        <v>359.19799999999998</v>
      </c>
      <c r="CJ11" s="28">
        <f>CI11-CFS!CJ36-CFS!CJ37</f>
        <v>359.19799999999998</v>
      </c>
      <c r="CK11" s="28">
        <f>CJ11-CFS!CK36-CFS!CK37</f>
        <v>359.19799999999998</v>
      </c>
      <c r="CL11" s="28">
        <f>CK11-CFS!CL36-CFS!CL37</f>
        <v>359.19799999999998</v>
      </c>
      <c r="CM11" s="6">
        <f t="shared" ref="CM11:CM16" si="13">CL11</f>
        <v>359.19799999999998</v>
      </c>
      <c r="CN11" s="28"/>
      <c r="CO11" s="19">
        <f>CM11-CFS!CO36-CFS!CO37</f>
        <v>359.19799999999998</v>
      </c>
      <c r="CP11" s="28">
        <f>CO11-CFS!CP36-CFS!CP37</f>
        <v>359.19799999999998</v>
      </c>
      <c r="CQ11" s="28">
        <f>CP11-CFS!CQ36-CFS!CQ37</f>
        <v>359.19799999999998</v>
      </c>
      <c r="CR11" s="28">
        <f>CQ11-CFS!CR36-CFS!CR37</f>
        <v>359.19799999999998</v>
      </c>
      <c r="CS11" s="6">
        <f t="shared" ref="CS11:CS16" si="14">CR11</f>
        <v>359.19799999999998</v>
      </c>
      <c r="CT11" s="28"/>
      <c r="CU11" s="19">
        <f>CS11-CFS!CU36-CFS!CU37</f>
        <v>359.19799999999998</v>
      </c>
      <c r="CV11" s="28">
        <f>CU11-CFS!CV36-CFS!CV37</f>
        <v>359.19799999999998</v>
      </c>
      <c r="CW11" s="28">
        <f>CV11-CFS!CW36-CFS!CW37</f>
        <v>359.19799999999998</v>
      </c>
      <c r="CX11" s="28">
        <f>CW11-CFS!CX36-CFS!CX37</f>
        <v>359.19799999999998</v>
      </c>
      <c r="CY11" s="6">
        <f t="shared" ref="CY11:CY16" si="15">CX11</f>
        <v>359.19799999999998</v>
      </c>
      <c r="CZ11" s="20"/>
      <c r="DA11" s="20"/>
      <c r="DB11" s="20"/>
    </row>
    <row r="12" spans="1:106" ht="11.25" customHeight="1" x14ac:dyDescent="0.2">
      <c r="A12" s="354" t="s">
        <v>25</v>
      </c>
      <c r="B12" s="48"/>
      <c r="C12" s="59"/>
      <c r="D12" s="39"/>
      <c r="E12" s="39"/>
      <c r="F12" s="39"/>
      <c r="G12" s="331">
        <v>66.097999999999999</v>
      </c>
      <c r="H12" s="28"/>
      <c r="I12" s="53">
        <v>63.978999999999999</v>
      </c>
      <c r="J12" s="51">
        <v>66.593000000000004</v>
      </c>
      <c r="K12" s="51">
        <v>63.37</v>
      </c>
      <c r="L12" s="51">
        <v>63.537999999999997</v>
      </c>
      <c r="M12" s="6">
        <f t="shared" si="1"/>
        <v>63.537999999999997</v>
      </c>
      <c r="N12" s="28"/>
      <c r="O12" s="53">
        <v>70.739999999999995</v>
      </c>
      <c r="P12" s="51">
        <v>74.724999999999994</v>
      </c>
      <c r="Q12" s="51">
        <v>77.801000000000002</v>
      </c>
      <c r="R12" s="51">
        <v>80.429000000000002</v>
      </c>
      <c r="S12" s="6">
        <f t="shared" si="2"/>
        <v>80.429000000000002</v>
      </c>
      <c r="T12" s="28"/>
      <c r="U12" s="53">
        <v>85.98</v>
      </c>
      <c r="V12" s="51">
        <v>91.730999999999995</v>
      </c>
      <c r="W12" s="51">
        <v>128.893</v>
      </c>
      <c r="X12" s="51">
        <v>136.70699999999999</v>
      </c>
      <c r="Y12" s="6">
        <f t="shared" si="3"/>
        <v>136.70699999999999</v>
      </c>
      <c r="Z12" s="28"/>
      <c r="AA12" s="53">
        <v>152.459</v>
      </c>
      <c r="AB12" s="51">
        <v>148.67500000000001</v>
      </c>
      <c r="AC12" s="51">
        <v>151.82</v>
      </c>
      <c r="AD12" s="51">
        <v>158.44</v>
      </c>
      <c r="AE12" s="6">
        <f t="shared" si="4"/>
        <v>158.44</v>
      </c>
      <c r="AF12" s="28"/>
      <c r="AG12" s="53">
        <v>159.50899999999999</v>
      </c>
      <c r="AH12" s="51">
        <v>167.08199999999999</v>
      </c>
      <c r="AI12" s="51">
        <v>181.69200000000001</v>
      </c>
      <c r="AJ12" s="51">
        <v>193.73699999999999</v>
      </c>
      <c r="AK12" s="6">
        <f t="shared" si="5"/>
        <v>193.73699999999999</v>
      </c>
      <c r="AL12" s="28"/>
      <c r="AM12" s="53">
        <v>190.22</v>
      </c>
      <c r="AN12" s="51">
        <v>189.958</v>
      </c>
      <c r="AO12" s="51">
        <v>214.91800000000001</v>
      </c>
      <c r="AP12" s="51">
        <v>197.41800000000001</v>
      </c>
      <c r="AQ12" s="6">
        <f t="shared" si="6"/>
        <v>197.41800000000001</v>
      </c>
      <c r="AR12" s="28"/>
      <c r="AS12" s="53">
        <v>202.215</v>
      </c>
      <c r="AT12" s="51">
        <v>208.28899999999999</v>
      </c>
      <c r="AU12" s="51">
        <v>211.08799999999999</v>
      </c>
      <c r="AV12" s="51">
        <v>230.77</v>
      </c>
      <c r="AW12" s="6">
        <f t="shared" si="7"/>
        <v>230.77</v>
      </c>
      <c r="AX12" s="28"/>
      <c r="AY12" s="53">
        <v>231.94300000000001</v>
      </c>
      <c r="AZ12" s="122">
        <v>217.57400000000001</v>
      </c>
      <c r="BA12" s="122">
        <v>220.98400000000001</v>
      </c>
      <c r="BB12" s="122">
        <v>250.72900000000001</v>
      </c>
      <c r="BC12" s="6">
        <f t="shared" si="0"/>
        <v>250.72900000000001</v>
      </c>
      <c r="BD12" s="28"/>
      <c r="BE12" s="53">
        <v>244.358</v>
      </c>
      <c r="BF12" s="122">
        <v>247.96799999999999</v>
      </c>
      <c r="BG12" s="122">
        <v>236.42699999999999</v>
      </c>
      <c r="BH12" s="122">
        <v>259.70999999999998</v>
      </c>
      <c r="BI12" s="6">
        <f t="shared" si="8"/>
        <v>259.70999999999998</v>
      </c>
      <c r="BJ12" s="28"/>
      <c r="BK12" s="53">
        <v>244.828</v>
      </c>
      <c r="BL12" s="122">
        <v>248.25399999999999</v>
      </c>
      <c r="BM12" s="122">
        <v>257.10300000000001</v>
      </c>
      <c r="BN12" s="122">
        <v>265.23099999999999</v>
      </c>
      <c r="BO12" s="6">
        <f t="shared" si="9"/>
        <v>265.23099999999999</v>
      </c>
      <c r="BP12" s="28"/>
      <c r="BQ12" s="53">
        <v>231.68899999999999</v>
      </c>
      <c r="BR12" s="122">
        <v>245.74</v>
      </c>
      <c r="BS12" s="122">
        <f>244.554</f>
        <v>244.554</v>
      </c>
      <c r="BT12" s="122">
        <v>273.85300000000001</v>
      </c>
      <c r="BU12" s="6">
        <f t="shared" si="10"/>
        <v>273.85300000000001</v>
      </c>
      <c r="BV12" s="28"/>
      <c r="BW12" s="53">
        <v>257.08999999999997</v>
      </c>
      <c r="BX12" s="122">
        <v>254.78</v>
      </c>
      <c r="BY12" s="122">
        <v>260.03899999999999</v>
      </c>
      <c r="BZ12" s="122">
        <v>278.24400000000003</v>
      </c>
      <c r="CA12" s="6">
        <f t="shared" si="11"/>
        <v>278.24400000000003</v>
      </c>
      <c r="CB12" s="28"/>
      <c r="CC12" s="53">
        <v>250.86500000000001</v>
      </c>
      <c r="CD12" s="122">
        <v>278.392</v>
      </c>
      <c r="CE12" s="122">
        <v>294.971</v>
      </c>
      <c r="CF12" s="122">
        <v>329.13799999999998</v>
      </c>
      <c r="CG12" s="6">
        <f t="shared" si="12"/>
        <v>329.13799999999998</v>
      </c>
      <c r="CH12" s="28"/>
      <c r="CI12" s="19">
        <f>'P&amp;L'!CI9*BS!CI77/(365/4)</f>
        <v>270.9414786102559</v>
      </c>
      <c r="CJ12" s="28">
        <f>'P&amp;L'!CJ9*BS!CJ77/(365/4)</f>
        <v>302.01588693959053</v>
      </c>
      <c r="CK12" s="28">
        <f>'P&amp;L'!CK9*BS!CK77/(365/4)</f>
        <v>321.78321147455983</v>
      </c>
      <c r="CL12" s="28">
        <f>'P&amp;L'!CL9*BS!CL77/(365/4)</f>
        <v>374.86073247667719</v>
      </c>
      <c r="CM12" s="6">
        <f t="shared" si="13"/>
        <v>374.86073247667719</v>
      </c>
      <c r="CN12" s="28"/>
      <c r="CO12" s="19">
        <f>'P&amp;L'!CO9*BS!CO77/(365/4)</f>
        <v>292.48945976178499</v>
      </c>
      <c r="CP12" s="28">
        <f>'P&amp;L'!CP9*BS!CP77/(365/4)</f>
        <v>315.63827747626033</v>
      </c>
      <c r="CQ12" s="28">
        <f>'P&amp;L'!CQ9*BS!CQ77/(365/4)</f>
        <v>336.3224881047131</v>
      </c>
      <c r="CR12" s="28">
        <f>'P&amp;L'!CR9*BS!CR77/(365/4)</f>
        <v>402.93392900647785</v>
      </c>
      <c r="CS12" s="6">
        <f t="shared" si="14"/>
        <v>402.93392900647785</v>
      </c>
      <c r="CT12" s="28"/>
      <c r="CU12" s="19">
        <f>'P&amp;L'!CU9*BS!CU77/(365/4)</f>
        <v>314.61338975872354</v>
      </c>
      <c r="CV12" s="28">
        <f>'P&amp;L'!CV9*BS!CV77/(365/4)</f>
        <v>337.29807998879556</v>
      </c>
      <c r="CW12" s="28">
        <f>'P&amp;L'!CW9*BS!CW77/(365/4)</f>
        <v>364.22727322417802</v>
      </c>
      <c r="CX12" s="28">
        <f>'P&amp;L'!CX9*BS!CX77/(365/4)</f>
        <v>436.5113387575027</v>
      </c>
      <c r="CY12" s="6">
        <f t="shared" si="15"/>
        <v>436.5113387575027</v>
      </c>
      <c r="CZ12" s="20"/>
      <c r="DA12" s="20"/>
      <c r="DB12" s="20"/>
    </row>
    <row r="13" spans="1:106" ht="11.25" customHeight="1" x14ac:dyDescent="0.2">
      <c r="A13" s="354" t="s">
        <v>26</v>
      </c>
      <c r="B13" s="48"/>
      <c r="C13" s="59"/>
      <c r="D13" s="39"/>
      <c r="E13" s="39"/>
      <c r="F13" s="39"/>
      <c r="G13" s="331">
        <v>3.5510000000000002</v>
      </c>
      <c r="H13" s="28"/>
      <c r="I13" s="53">
        <v>3.5489999999999999</v>
      </c>
      <c r="J13" s="51">
        <v>3.6059999999999999</v>
      </c>
      <c r="K13" s="51">
        <v>1.2629999999999999</v>
      </c>
      <c r="L13" s="51">
        <v>4.1609999999999996</v>
      </c>
      <c r="M13" s="6">
        <f t="shared" si="1"/>
        <v>4.1609999999999996</v>
      </c>
      <c r="N13" s="28"/>
      <c r="O13" s="53">
        <v>4.2960000000000003</v>
      </c>
      <c r="P13" s="51">
        <v>4.3449999999999998</v>
      </c>
      <c r="Q13" s="51">
        <v>4.3209999999999997</v>
      </c>
      <c r="R13" s="51">
        <v>2.9009999999999998</v>
      </c>
      <c r="S13" s="6">
        <f t="shared" si="2"/>
        <v>2.9009999999999998</v>
      </c>
      <c r="T13" s="28"/>
      <c r="U13" s="53">
        <v>5.7119999999999997</v>
      </c>
      <c r="V13" s="51">
        <v>2.839</v>
      </c>
      <c r="W13" s="51">
        <v>7.7469999999999999</v>
      </c>
      <c r="X13" s="51">
        <v>10.696</v>
      </c>
      <c r="Y13" s="6">
        <f t="shared" si="3"/>
        <v>10.696</v>
      </c>
      <c r="Z13" s="28"/>
      <c r="AA13" s="53">
        <v>11.343</v>
      </c>
      <c r="AB13" s="51">
        <v>17.805</v>
      </c>
      <c r="AC13" s="51">
        <v>30.094999999999999</v>
      </c>
      <c r="AD13" s="51">
        <v>14.441000000000001</v>
      </c>
      <c r="AE13" s="6">
        <f t="shared" si="4"/>
        <v>14.441000000000001</v>
      </c>
      <c r="AF13" s="28"/>
      <c r="AG13" s="53">
        <v>9.7520000000000007</v>
      </c>
      <c r="AH13" s="51">
        <v>15.436</v>
      </c>
      <c r="AI13" s="51">
        <v>27.843</v>
      </c>
      <c r="AJ13" s="51">
        <v>12.907</v>
      </c>
      <c r="AK13" s="6">
        <f t="shared" si="5"/>
        <v>12.907</v>
      </c>
      <c r="AL13" s="28"/>
      <c r="AM13" s="53">
        <v>12.706</v>
      </c>
      <c r="AN13" s="51">
        <v>14.714</v>
      </c>
      <c r="AO13" s="51">
        <v>8.3230000000000004</v>
      </c>
      <c r="AP13" s="51">
        <v>10.92</v>
      </c>
      <c r="AQ13" s="6">
        <f t="shared" si="6"/>
        <v>10.92</v>
      </c>
      <c r="AR13" s="28"/>
      <c r="AS13" s="53">
        <v>12.647</v>
      </c>
      <c r="AT13" s="51">
        <v>11.207000000000001</v>
      </c>
      <c r="AU13" s="51">
        <v>14.010999999999999</v>
      </c>
      <c r="AV13" s="51">
        <v>19.009</v>
      </c>
      <c r="AW13" s="6">
        <f t="shared" si="7"/>
        <v>19.009</v>
      </c>
      <c r="AX13" s="28"/>
      <c r="AY13" s="53">
        <v>18.050999999999998</v>
      </c>
      <c r="AZ13" s="122">
        <v>30.434000000000001</v>
      </c>
      <c r="BA13" s="122">
        <v>42.898000000000003</v>
      </c>
      <c r="BB13" s="122">
        <v>39.15</v>
      </c>
      <c r="BC13" s="6">
        <f t="shared" si="0"/>
        <v>39.15</v>
      </c>
      <c r="BD13" s="28"/>
      <c r="BE13" s="53">
        <v>40.286000000000001</v>
      </c>
      <c r="BF13" s="122">
        <v>41.966000000000001</v>
      </c>
      <c r="BG13" s="122">
        <v>39.494</v>
      </c>
      <c r="BH13" s="122">
        <v>46.874000000000002</v>
      </c>
      <c r="BI13" s="6">
        <f t="shared" si="8"/>
        <v>46.874000000000002</v>
      </c>
      <c r="BJ13" s="28"/>
      <c r="BK13" s="53">
        <v>51.19</v>
      </c>
      <c r="BL13" s="122">
        <v>49.527000000000001</v>
      </c>
      <c r="BM13" s="122">
        <v>50.805999999999997</v>
      </c>
      <c r="BN13" s="122">
        <v>29.312000000000001</v>
      </c>
      <c r="BO13" s="6">
        <f t="shared" si="9"/>
        <v>29.312000000000001</v>
      </c>
      <c r="BP13" s="28"/>
      <c r="BQ13" s="53">
        <v>28.763000000000002</v>
      </c>
      <c r="BR13" s="122">
        <v>47.688000000000002</v>
      </c>
      <c r="BS13" s="122">
        <v>55.338999999999999</v>
      </c>
      <c r="BT13" s="122">
        <v>26.94</v>
      </c>
      <c r="BU13" s="6">
        <f t="shared" si="10"/>
        <v>26.94</v>
      </c>
      <c r="BV13" s="28"/>
      <c r="BW13" s="53">
        <v>27.881</v>
      </c>
      <c r="BX13" s="122">
        <v>27.353000000000002</v>
      </c>
      <c r="BY13" s="122">
        <v>26.443000000000001</v>
      </c>
      <c r="BZ13" s="122">
        <v>23.795000000000002</v>
      </c>
      <c r="CA13" s="6">
        <f t="shared" si="11"/>
        <v>23.795000000000002</v>
      </c>
      <c r="CB13" s="28"/>
      <c r="CC13" s="53">
        <v>25.408000000000001</v>
      </c>
      <c r="CD13" s="122">
        <v>31.489000000000001</v>
      </c>
      <c r="CE13" s="122">
        <v>34.795999999999999</v>
      </c>
      <c r="CF13" s="122">
        <v>39.509</v>
      </c>
      <c r="CG13" s="6">
        <f t="shared" si="12"/>
        <v>39.509</v>
      </c>
      <c r="CH13" s="28"/>
      <c r="CI13" s="19">
        <f>CG13</f>
        <v>39.509</v>
      </c>
      <c r="CJ13" s="28">
        <f>CI13</f>
        <v>39.509</v>
      </c>
      <c r="CK13" s="28">
        <f>CJ13</f>
        <v>39.509</v>
      </c>
      <c r="CL13" s="28">
        <f>CK13</f>
        <v>39.509</v>
      </c>
      <c r="CM13" s="6">
        <f t="shared" si="13"/>
        <v>39.509</v>
      </c>
      <c r="CN13" s="28"/>
      <c r="CO13" s="19">
        <f>CM13</f>
        <v>39.509</v>
      </c>
      <c r="CP13" s="28">
        <f>CO13</f>
        <v>39.509</v>
      </c>
      <c r="CQ13" s="28">
        <f>CP13</f>
        <v>39.509</v>
      </c>
      <c r="CR13" s="28">
        <f>CQ13</f>
        <v>39.509</v>
      </c>
      <c r="CS13" s="6">
        <f t="shared" si="14"/>
        <v>39.509</v>
      </c>
      <c r="CT13" s="28"/>
      <c r="CU13" s="19">
        <f>CS13</f>
        <v>39.509</v>
      </c>
      <c r="CV13" s="28">
        <f>CU13</f>
        <v>39.509</v>
      </c>
      <c r="CW13" s="28">
        <f>CV13</f>
        <v>39.509</v>
      </c>
      <c r="CX13" s="28">
        <f>CW13</f>
        <v>39.509</v>
      </c>
      <c r="CY13" s="6">
        <f t="shared" si="15"/>
        <v>39.509</v>
      </c>
      <c r="CZ13" s="20"/>
      <c r="DA13" s="20"/>
      <c r="DB13" s="20"/>
    </row>
    <row r="14" spans="1:106" ht="11.25" customHeight="1" x14ac:dyDescent="0.2">
      <c r="A14" s="354" t="s">
        <v>27</v>
      </c>
      <c r="B14" s="48"/>
      <c r="C14" s="59"/>
      <c r="D14" s="39"/>
      <c r="E14" s="39"/>
      <c r="F14" s="39"/>
      <c r="G14" s="331">
        <v>60.164000000000001</v>
      </c>
      <c r="H14" s="28"/>
      <c r="I14" s="53">
        <v>54.540999999999997</v>
      </c>
      <c r="J14" s="51">
        <v>49.311</v>
      </c>
      <c r="K14" s="51">
        <v>50.298000000000002</v>
      </c>
      <c r="L14" s="51">
        <v>53.652999999999999</v>
      </c>
      <c r="M14" s="6">
        <f t="shared" si="1"/>
        <v>53.652999999999999</v>
      </c>
      <c r="N14" s="28"/>
      <c r="O14" s="53">
        <v>54.527000000000001</v>
      </c>
      <c r="P14" s="51">
        <v>58.183999999999997</v>
      </c>
      <c r="Q14" s="51">
        <v>59.314999999999998</v>
      </c>
      <c r="R14" s="51">
        <v>64.084999999999994</v>
      </c>
      <c r="S14" s="6">
        <f t="shared" si="2"/>
        <v>64.084999999999994</v>
      </c>
      <c r="T14" s="28"/>
      <c r="U14" s="53">
        <v>66.335999999999999</v>
      </c>
      <c r="V14" s="51">
        <v>67.236999999999995</v>
      </c>
      <c r="W14" s="51">
        <v>86.947000000000003</v>
      </c>
      <c r="X14" s="51">
        <v>88.346000000000004</v>
      </c>
      <c r="Y14" s="6">
        <f t="shared" si="3"/>
        <v>88.346000000000004</v>
      </c>
      <c r="Z14" s="28"/>
      <c r="AA14" s="53">
        <v>99.094999999999999</v>
      </c>
      <c r="AB14" s="51">
        <v>107.768</v>
      </c>
      <c r="AC14" s="51">
        <v>113.733</v>
      </c>
      <c r="AD14" s="51">
        <v>108.563</v>
      </c>
      <c r="AE14" s="6">
        <f t="shared" si="4"/>
        <v>108.563</v>
      </c>
      <c r="AF14" s="28"/>
      <c r="AG14" s="53">
        <v>110.089</v>
      </c>
      <c r="AH14" s="51">
        <v>120.11</v>
      </c>
      <c r="AI14" s="51">
        <v>133.61799999999999</v>
      </c>
      <c r="AJ14" s="51">
        <v>130.851</v>
      </c>
      <c r="AK14" s="6">
        <f t="shared" si="5"/>
        <v>130.851</v>
      </c>
      <c r="AL14" s="28"/>
      <c r="AM14" s="53">
        <v>125.11799999999999</v>
      </c>
      <c r="AN14" s="51">
        <v>117.80800000000001</v>
      </c>
      <c r="AO14" s="51">
        <v>131.245</v>
      </c>
      <c r="AP14" s="51">
        <v>126.633</v>
      </c>
      <c r="AQ14" s="6">
        <f t="shared" si="6"/>
        <v>126.633</v>
      </c>
      <c r="AR14" s="28"/>
      <c r="AS14" s="53">
        <v>132.75200000000001</v>
      </c>
      <c r="AT14" s="51">
        <v>139.36500000000001</v>
      </c>
      <c r="AU14" s="51">
        <v>145.53100000000001</v>
      </c>
      <c r="AV14" s="51">
        <v>132.23599999999999</v>
      </c>
      <c r="AW14" s="6">
        <f t="shared" si="7"/>
        <v>132.23599999999999</v>
      </c>
      <c r="AX14" s="28"/>
      <c r="AY14" s="53">
        <v>134.358</v>
      </c>
      <c r="AZ14" s="122">
        <v>139.589</v>
      </c>
      <c r="BA14" s="122">
        <v>143.173</v>
      </c>
      <c r="BB14" s="122">
        <v>135.29300000000001</v>
      </c>
      <c r="BC14" s="6">
        <f t="shared" si="0"/>
        <v>135.29300000000001</v>
      </c>
      <c r="BD14" s="28"/>
      <c r="BE14" s="53">
        <v>130.64500000000001</v>
      </c>
      <c r="BF14" s="122">
        <v>132.64599999999999</v>
      </c>
      <c r="BG14" s="122">
        <v>143.15700000000001</v>
      </c>
      <c r="BH14" s="122">
        <v>128.09700000000001</v>
      </c>
      <c r="BI14" s="6">
        <f t="shared" si="8"/>
        <v>128.09700000000001</v>
      </c>
      <c r="BJ14" s="28"/>
      <c r="BK14" s="53">
        <v>133.41200000000001</v>
      </c>
      <c r="BL14" s="122">
        <v>135.779</v>
      </c>
      <c r="BM14" s="122">
        <v>131.52500000000001</v>
      </c>
      <c r="BN14" s="122">
        <v>132.27600000000001</v>
      </c>
      <c r="BO14" s="6">
        <f t="shared" si="9"/>
        <v>132.27600000000001</v>
      </c>
      <c r="BP14" s="28"/>
      <c r="BQ14" s="53">
        <v>136.09</v>
      </c>
      <c r="BR14" s="122">
        <v>138.43799999999999</v>
      </c>
      <c r="BS14" s="122">
        <v>134.07400000000001</v>
      </c>
      <c r="BT14" s="122">
        <v>136.58600000000001</v>
      </c>
      <c r="BU14" s="6">
        <f t="shared" si="10"/>
        <v>136.58600000000001</v>
      </c>
      <c r="BV14" s="28"/>
      <c r="BW14" s="53">
        <v>148.59299999999999</v>
      </c>
      <c r="BX14" s="122">
        <v>140.09</v>
      </c>
      <c r="BY14" s="122">
        <v>144.71</v>
      </c>
      <c r="BZ14" s="122">
        <v>136.55199999999999</v>
      </c>
      <c r="CA14" s="6">
        <f t="shared" si="11"/>
        <v>136.55199999999999</v>
      </c>
      <c r="CB14" s="28"/>
      <c r="CC14" s="53">
        <v>144.03299999999999</v>
      </c>
      <c r="CD14" s="122">
        <v>155.667</v>
      </c>
      <c r="CE14" s="122">
        <v>161.94800000000001</v>
      </c>
      <c r="CF14" s="122">
        <v>155.92699999999999</v>
      </c>
      <c r="CG14" s="6">
        <f t="shared" si="12"/>
        <v>155.92699999999999</v>
      </c>
      <c r="CH14" s="28"/>
      <c r="CI14" s="19">
        <f>'P&amp;L'!CI10*BS!CI78/(365/4)</f>
        <v>147.51089085496764</v>
      </c>
      <c r="CJ14" s="28">
        <f>'P&amp;L'!CJ10*BS!CJ78/(365/4)</f>
        <v>160.35985798213551</v>
      </c>
      <c r="CK14" s="28">
        <f>'P&amp;L'!CK10*BS!CK78/(365/4)</f>
        <v>177.8409174886842</v>
      </c>
      <c r="CL14" s="28">
        <f>'P&amp;L'!CL10*BS!CL78/(365/4)</f>
        <v>171.15391214339181</v>
      </c>
      <c r="CM14" s="6">
        <f t="shared" si="13"/>
        <v>171.15391214339181</v>
      </c>
      <c r="CN14" s="28"/>
      <c r="CO14" s="19">
        <f>'P&amp;L'!CO10*BS!CO78/(365/4)</f>
        <v>157.60906620598601</v>
      </c>
      <c r="CP14" s="28">
        <f>'P&amp;L'!CP10*BS!CP78/(365/4)</f>
        <v>165.5735414048996</v>
      </c>
      <c r="CQ14" s="28">
        <f>'P&amp;L'!CQ10*BS!CQ78/(365/4)</f>
        <v>184.85637736607427</v>
      </c>
      <c r="CR14" s="28">
        <f>'P&amp;L'!CR10*BS!CR78/(365/4)</f>
        <v>184.85249646046157</v>
      </c>
      <c r="CS14" s="6">
        <f t="shared" si="14"/>
        <v>184.85249646046157</v>
      </c>
      <c r="CT14" s="28"/>
      <c r="CU14" s="19">
        <f>'P&amp;L'!CU10*BS!CU78/(365/4)</f>
        <v>166.90613122641903</v>
      </c>
      <c r="CV14" s="28">
        <f>'P&amp;L'!CV10*BS!CV78/(365/4)</f>
        <v>173.82518043969426</v>
      </c>
      <c r="CW14" s="28">
        <f>'P&amp;L'!CW10*BS!CW78/(365/4)</f>
        <v>199.88679725935555</v>
      </c>
      <c r="CX14" s="28">
        <f>'P&amp;L'!CX10*BS!CX78/(365/4)</f>
        <v>202.48529635945408</v>
      </c>
      <c r="CY14" s="6">
        <f t="shared" si="15"/>
        <v>202.48529635945408</v>
      </c>
      <c r="CZ14" s="20"/>
      <c r="DA14" s="20"/>
      <c r="DB14" s="20"/>
    </row>
    <row r="15" spans="1:106" ht="11.25" customHeight="1" x14ac:dyDescent="0.2">
      <c r="A15" s="354" t="s">
        <v>28</v>
      </c>
      <c r="B15" s="48"/>
      <c r="C15" s="59"/>
      <c r="D15" s="39"/>
      <c r="E15" s="39"/>
      <c r="F15" s="39"/>
      <c r="G15" s="331">
        <f>14.328+4.63</f>
        <v>18.957999999999998</v>
      </c>
      <c r="H15" s="28"/>
      <c r="I15" s="53">
        <f>13.269+4.641</f>
        <v>17.91</v>
      </c>
      <c r="J15" s="51">
        <f>20.123+3.578</f>
        <v>23.701000000000001</v>
      </c>
      <c r="K15" s="51">
        <f>21.438+3.472</f>
        <v>24.91</v>
      </c>
      <c r="L15" s="51">
        <f>26.305+4.283</f>
        <v>30.588000000000001</v>
      </c>
      <c r="M15" s="6">
        <f t="shared" si="1"/>
        <v>30.588000000000001</v>
      </c>
      <c r="N15" s="28"/>
      <c r="O15" s="53">
        <f>25.974+4.553</f>
        <v>30.527000000000001</v>
      </c>
      <c r="P15" s="51">
        <f>40.762+3.295</f>
        <v>44.057000000000002</v>
      </c>
      <c r="Q15" s="51">
        <f>34.624+3.693</f>
        <v>38.317</v>
      </c>
      <c r="R15" s="51">
        <f>29.763+4.247</f>
        <v>34.010000000000005</v>
      </c>
      <c r="S15" s="6">
        <f t="shared" si="2"/>
        <v>34.010000000000005</v>
      </c>
      <c r="T15" s="28"/>
      <c r="U15" s="53">
        <f>34.197+5.817</f>
        <v>40.014000000000003</v>
      </c>
      <c r="V15" s="51">
        <f>35.045+3.475</f>
        <v>38.520000000000003</v>
      </c>
      <c r="W15" s="51">
        <f>36.741+4.174</f>
        <v>40.914999999999999</v>
      </c>
      <c r="X15" s="51">
        <f>33.693+5.139</f>
        <v>38.832000000000001</v>
      </c>
      <c r="Y15" s="6">
        <f t="shared" si="3"/>
        <v>38.832000000000001</v>
      </c>
      <c r="Z15" s="28"/>
      <c r="AA15" s="53">
        <f>37.063+5.609</f>
        <v>42.672000000000004</v>
      </c>
      <c r="AB15" s="51">
        <f>38.277+3.482</f>
        <v>41.759</v>
      </c>
      <c r="AC15" s="51">
        <f>38.746+3.271</f>
        <v>42.017000000000003</v>
      </c>
      <c r="AD15" s="51">
        <v>61.423999999999999</v>
      </c>
      <c r="AE15" s="6">
        <f t="shared" si="4"/>
        <v>61.423999999999999</v>
      </c>
      <c r="AF15" s="28"/>
      <c r="AG15" s="53">
        <v>67.191999999999993</v>
      </c>
      <c r="AH15" s="51">
        <v>63.167000000000002</v>
      </c>
      <c r="AI15" s="51">
        <v>135.19200000000001</v>
      </c>
      <c r="AJ15" s="51">
        <v>96.893000000000001</v>
      </c>
      <c r="AK15" s="6">
        <f t="shared" si="5"/>
        <v>96.893000000000001</v>
      </c>
      <c r="AL15" s="28"/>
      <c r="AM15" s="53">
        <v>86.819000000000003</v>
      </c>
      <c r="AN15" s="51">
        <v>80.456000000000003</v>
      </c>
      <c r="AO15" s="51">
        <v>74.863</v>
      </c>
      <c r="AP15" s="51">
        <v>64.402000000000001</v>
      </c>
      <c r="AQ15" s="6">
        <f t="shared" si="6"/>
        <v>64.402000000000001</v>
      </c>
      <c r="AR15" s="28"/>
      <c r="AS15" s="53">
        <v>76.623999999999995</v>
      </c>
      <c r="AT15" s="51">
        <v>70.626999999999995</v>
      </c>
      <c r="AU15" s="51">
        <v>90.013999999999996</v>
      </c>
      <c r="AV15" s="51">
        <v>59.055</v>
      </c>
      <c r="AW15" s="6">
        <f t="shared" si="7"/>
        <v>59.055</v>
      </c>
      <c r="AX15" s="28"/>
      <c r="AY15" s="53">
        <v>64.712000000000003</v>
      </c>
      <c r="AZ15" s="122">
        <v>60.8</v>
      </c>
      <c r="BA15" s="122">
        <v>55.720999999999997</v>
      </c>
      <c r="BB15" s="122">
        <v>55.363</v>
      </c>
      <c r="BC15" s="6">
        <f t="shared" si="0"/>
        <v>55.363</v>
      </c>
      <c r="BD15" s="28"/>
      <c r="BE15" s="53">
        <v>81.805999999999997</v>
      </c>
      <c r="BF15" s="122">
        <v>76.668999999999997</v>
      </c>
      <c r="BG15" s="122">
        <v>67.855000000000004</v>
      </c>
      <c r="BH15" s="122">
        <v>66.290000000000006</v>
      </c>
      <c r="BI15" s="6">
        <f t="shared" si="8"/>
        <v>66.290000000000006</v>
      </c>
      <c r="BJ15" s="28"/>
      <c r="BK15" s="53">
        <v>73.063000000000002</v>
      </c>
      <c r="BL15" s="122">
        <v>79.671000000000006</v>
      </c>
      <c r="BM15" s="122">
        <v>103.971</v>
      </c>
      <c r="BN15" s="122">
        <v>113.771</v>
      </c>
      <c r="BO15" s="6">
        <f t="shared" si="9"/>
        <v>113.771</v>
      </c>
      <c r="BP15" s="28"/>
      <c r="BQ15" s="53">
        <v>128.381</v>
      </c>
      <c r="BR15" s="122">
        <v>92.99</v>
      </c>
      <c r="BS15" s="122">
        <v>79.054000000000002</v>
      </c>
      <c r="BT15" s="122">
        <v>70.338999999999999</v>
      </c>
      <c r="BU15" s="6">
        <f t="shared" si="10"/>
        <v>70.338999999999999</v>
      </c>
      <c r="BV15" s="28"/>
      <c r="BW15" s="53">
        <v>82.183999999999997</v>
      </c>
      <c r="BX15" s="122">
        <v>71.903000000000006</v>
      </c>
      <c r="BY15" s="122">
        <v>67.528999999999996</v>
      </c>
      <c r="BZ15" s="122">
        <v>66.799000000000007</v>
      </c>
      <c r="CA15" s="6">
        <f t="shared" si="11"/>
        <v>66.799000000000007</v>
      </c>
      <c r="CB15" s="28"/>
      <c r="CC15" s="53">
        <v>69.506</v>
      </c>
      <c r="CD15" s="122">
        <v>84.858999999999995</v>
      </c>
      <c r="CE15" s="122">
        <v>104.04</v>
      </c>
      <c r="CF15" s="122">
        <v>106.48699999999999</v>
      </c>
      <c r="CG15" s="6">
        <f t="shared" si="12"/>
        <v>106.48699999999999</v>
      </c>
      <c r="CH15" s="28"/>
      <c r="CI15" s="19">
        <f>'P&amp;L'!CI9*4*BS!CI89</f>
        <v>77.146544303427092</v>
      </c>
      <c r="CJ15" s="28">
        <f>'P&amp;L'!CJ9*4*BS!CJ89</f>
        <v>94.665617736562254</v>
      </c>
      <c r="CK15" s="28">
        <f>'P&amp;L'!CK9*4*BS!CK89</f>
        <v>115.054657673915</v>
      </c>
      <c r="CL15" s="28">
        <f>'P&amp;L'!CL9*4*BS!CL89</f>
        <v>68.729554802475079</v>
      </c>
      <c r="CM15" s="6">
        <f t="shared" si="13"/>
        <v>68.729554802475079</v>
      </c>
      <c r="CN15" s="28"/>
      <c r="CO15" s="19">
        <f>'P&amp;L'!CO9*4*BS!CO89</f>
        <v>85.653060255298357</v>
      </c>
      <c r="CP15" s="28">
        <f>'P&amp;L'!CP9*4*BS!CP89</f>
        <v>101.81728758800057</v>
      </c>
      <c r="CQ15" s="28">
        <f>'P&amp;L'!CQ9*4*BS!CQ89</f>
        <v>121.92656486047403</v>
      </c>
      <c r="CR15" s="28">
        <f>'P&amp;L'!CR9*4*BS!CR89</f>
        <v>74.816231242832714</v>
      </c>
      <c r="CS15" s="6">
        <f t="shared" si="14"/>
        <v>74.816231242832714</v>
      </c>
      <c r="CT15" s="28"/>
      <c r="CU15" s="19">
        <f>'P&amp;L'!CU9*4*BS!CU89</f>
        <v>94.831737722309683</v>
      </c>
      <c r="CV15" s="28">
        <f>'P&amp;L'!CV9*4*BS!CV89</f>
        <v>112.06854409073101</v>
      </c>
      <c r="CW15" s="28">
        <f>'P&amp;L'!CW9*4*BS!CW89</f>
        <v>133.90617437609887</v>
      </c>
      <c r="CX15" s="28">
        <f>'P&amp;L'!CX9*4*BS!CX89</f>
        <v>82.094899267299851</v>
      </c>
      <c r="CY15" s="6">
        <f t="shared" si="15"/>
        <v>82.094899267299851</v>
      </c>
      <c r="CZ15" s="20"/>
      <c r="DA15" s="20"/>
      <c r="DB15" s="20"/>
    </row>
    <row r="16" spans="1:106" ht="11.25" customHeight="1" x14ac:dyDescent="0.2">
      <c r="A16" s="354" t="s">
        <v>29</v>
      </c>
      <c r="B16" s="39"/>
      <c r="C16" s="59"/>
      <c r="D16" s="39"/>
      <c r="E16" s="39"/>
      <c r="F16" s="39"/>
      <c r="G16" s="331">
        <v>11.785</v>
      </c>
      <c r="H16" s="20"/>
      <c r="I16" s="53">
        <v>8.3260000000000005</v>
      </c>
      <c r="J16" s="51">
        <v>9.452</v>
      </c>
      <c r="K16" s="51">
        <v>11.917999999999999</v>
      </c>
      <c r="L16" s="51">
        <v>11.617000000000001</v>
      </c>
      <c r="M16" s="6">
        <f t="shared" si="1"/>
        <v>11.617000000000001</v>
      </c>
      <c r="N16" s="20"/>
      <c r="O16" s="53">
        <v>9.9009999999999998</v>
      </c>
      <c r="P16" s="51">
        <v>11.792</v>
      </c>
      <c r="Q16" s="51">
        <v>16.343</v>
      </c>
      <c r="R16" s="51">
        <v>18.626999999999999</v>
      </c>
      <c r="S16" s="6">
        <f t="shared" si="2"/>
        <v>18.626999999999999</v>
      </c>
      <c r="T16" s="20"/>
      <c r="U16" s="53">
        <v>19.942</v>
      </c>
      <c r="V16" s="51">
        <v>23.215</v>
      </c>
      <c r="W16" s="51">
        <v>48.210999999999999</v>
      </c>
      <c r="X16" s="51">
        <v>23.731999999999999</v>
      </c>
      <c r="Y16" s="6">
        <f t="shared" si="3"/>
        <v>23.731999999999999</v>
      </c>
      <c r="Z16" s="20"/>
      <c r="AA16" s="53">
        <v>38.531999999999996</v>
      </c>
      <c r="AB16" s="51">
        <v>38.697000000000003</v>
      </c>
      <c r="AC16" s="51">
        <v>44.356999999999999</v>
      </c>
      <c r="AD16" s="51">
        <v>27.373999999999999</v>
      </c>
      <c r="AE16" s="6">
        <f t="shared" si="4"/>
        <v>27.373999999999999</v>
      </c>
      <c r="AF16" s="20"/>
      <c r="AG16" s="53">
        <v>21.678999999999998</v>
      </c>
      <c r="AH16" s="51">
        <v>29.146000000000001</v>
      </c>
      <c r="AI16" s="51">
        <v>32.542999999999999</v>
      </c>
      <c r="AJ16" s="51">
        <v>33.524999999999999</v>
      </c>
      <c r="AK16" s="6">
        <f t="shared" si="5"/>
        <v>33.524999999999999</v>
      </c>
      <c r="AL16" s="20"/>
      <c r="AM16" s="53">
        <v>27.978000000000002</v>
      </c>
      <c r="AN16" s="51">
        <v>31.605</v>
      </c>
      <c r="AO16" s="51">
        <v>34.908999999999999</v>
      </c>
      <c r="AP16" s="51">
        <v>30.731000000000002</v>
      </c>
      <c r="AQ16" s="6">
        <f t="shared" si="6"/>
        <v>30.731000000000002</v>
      </c>
      <c r="AR16" s="20"/>
      <c r="AS16" s="53">
        <v>25.094000000000001</v>
      </c>
      <c r="AT16" s="51">
        <v>24.960999999999999</v>
      </c>
      <c r="AU16" s="51">
        <v>26.716999999999999</v>
      </c>
      <c r="AV16" s="51">
        <v>31.652000000000001</v>
      </c>
      <c r="AW16" s="6">
        <f t="shared" si="7"/>
        <v>31.652000000000001</v>
      </c>
      <c r="AX16" s="20"/>
      <c r="AY16" s="53">
        <v>34.771000000000001</v>
      </c>
      <c r="AZ16" s="51">
        <v>29.207999999999998</v>
      </c>
      <c r="BA16" s="51">
        <v>29.297999999999998</v>
      </c>
      <c r="BB16" s="51">
        <v>27.597999999999999</v>
      </c>
      <c r="BC16" s="6">
        <f t="shared" si="0"/>
        <v>27.597999999999999</v>
      </c>
      <c r="BD16" s="20"/>
      <c r="BE16" s="53">
        <v>25.981999999999999</v>
      </c>
      <c r="BF16" s="51">
        <v>29.375</v>
      </c>
      <c r="BG16" s="122">
        <v>31.047000000000001</v>
      </c>
      <c r="BH16" s="51">
        <v>39.692</v>
      </c>
      <c r="BI16" s="6">
        <f t="shared" si="8"/>
        <v>39.692</v>
      </c>
      <c r="BJ16" s="20"/>
      <c r="BK16" s="53">
        <v>35.639000000000003</v>
      </c>
      <c r="BL16" s="51">
        <v>32.860999999999997</v>
      </c>
      <c r="BM16" s="51">
        <v>31.834</v>
      </c>
      <c r="BN16" s="51">
        <v>31.457000000000001</v>
      </c>
      <c r="BO16" s="6">
        <f t="shared" si="9"/>
        <v>31.457000000000001</v>
      </c>
      <c r="BP16" s="20"/>
      <c r="BQ16" s="53">
        <v>31.68</v>
      </c>
      <c r="BR16" s="51">
        <v>31.702999999999999</v>
      </c>
      <c r="BS16" s="51">
        <v>31.553999999999998</v>
      </c>
      <c r="BT16" s="51">
        <v>33.067999999999998</v>
      </c>
      <c r="BU16" s="6">
        <f t="shared" si="10"/>
        <v>33.067999999999998</v>
      </c>
      <c r="BV16" s="20"/>
      <c r="BW16" s="53">
        <v>0</v>
      </c>
      <c r="BX16" s="51">
        <v>0</v>
      </c>
      <c r="BY16" s="51">
        <v>0</v>
      </c>
      <c r="BZ16" s="51">
        <v>0</v>
      </c>
      <c r="CA16" s="6">
        <f t="shared" si="11"/>
        <v>0</v>
      </c>
      <c r="CB16" s="20"/>
      <c r="CC16" s="53">
        <v>0</v>
      </c>
      <c r="CD16" s="51">
        <v>0</v>
      </c>
      <c r="CE16" s="51">
        <v>0</v>
      </c>
      <c r="CF16" s="51">
        <v>0</v>
      </c>
      <c r="CG16" s="6">
        <f t="shared" si="12"/>
        <v>0</v>
      </c>
      <c r="CH16" s="20"/>
      <c r="CI16" s="19">
        <f>'P&amp;L'!CI9*4*BS!CI90*(CG16/(CG16+CG23))</f>
        <v>0</v>
      </c>
      <c r="CJ16" s="20">
        <f>'P&amp;L'!CJ9*4*BS!CJ90*(CI16/(CI16+CI23))</f>
        <v>0</v>
      </c>
      <c r="CK16" s="20">
        <f>'P&amp;L'!CK9*4*BS!CK90*(CJ16/(CJ16+CJ23))</f>
        <v>0</v>
      </c>
      <c r="CL16" s="20">
        <f>'P&amp;L'!CL9*4*BS!CL90*(CK16/(CK16+CK23))</f>
        <v>0</v>
      </c>
      <c r="CM16" s="6">
        <f t="shared" si="13"/>
        <v>0</v>
      </c>
      <c r="CN16" s="20"/>
      <c r="CO16" s="19">
        <f>'P&amp;L'!CO9*4*BS!CO90*(CM16/(CM16+CM23))</f>
        <v>0</v>
      </c>
      <c r="CP16" s="20">
        <f>'P&amp;L'!CP9*4*BS!CP90*(CO16/(CO16+CO23))</f>
        <v>0</v>
      </c>
      <c r="CQ16" s="20">
        <f>'P&amp;L'!CQ9*4*BS!CQ90*(CP16/(CP16+CP23))</f>
        <v>0</v>
      </c>
      <c r="CR16" s="20">
        <f>'P&amp;L'!CR9*4*BS!CR90*(CQ16/(CQ16+CQ23))</f>
        <v>0</v>
      </c>
      <c r="CS16" s="6">
        <f t="shared" si="14"/>
        <v>0</v>
      </c>
      <c r="CT16" s="20"/>
      <c r="CU16" s="19">
        <f>'P&amp;L'!CU9*4*BS!CU90*(CS16/(CS16+CS23))</f>
        <v>0</v>
      </c>
      <c r="CV16" s="20">
        <f>'P&amp;L'!CV9*4*BS!CV90*(CU16/(CU16+CU23))</f>
        <v>0</v>
      </c>
      <c r="CW16" s="20">
        <f>'P&amp;L'!CW9*4*BS!CW90*(CV16/(CV16+CV23))</f>
        <v>0</v>
      </c>
      <c r="CX16" s="20">
        <f>'P&amp;L'!CX9*4*BS!CX90*(CW16/(CW16+CW23))</f>
        <v>0</v>
      </c>
      <c r="CY16" s="6">
        <f t="shared" si="15"/>
        <v>0</v>
      </c>
      <c r="CZ16" s="20"/>
      <c r="DA16" s="20"/>
      <c r="DB16" s="20"/>
    </row>
    <row r="17" spans="1:106" ht="11.25" customHeight="1" x14ac:dyDescent="0.2">
      <c r="A17" s="542" t="s">
        <v>30</v>
      </c>
      <c r="B17" s="536"/>
      <c r="C17" s="536"/>
      <c r="D17" s="537"/>
      <c r="E17" s="537"/>
      <c r="F17" s="537"/>
      <c r="G17" s="538">
        <f>SUM(G10:G16)</f>
        <v>387.084</v>
      </c>
      <c r="H17" s="539"/>
      <c r="I17" s="540">
        <f t="shared" ref="I17:S17" si="16">SUM(I10:I16)</f>
        <v>393.363</v>
      </c>
      <c r="J17" s="539">
        <f t="shared" si="16"/>
        <v>361.41700000000003</v>
      </c>
      <c r="K17" s="539">
        <f t="shared" si="16"/>
        <v>362.95800000000003</v>
      </c>
      <c r="L17" s="539">
        <f t="shared" si="16"/>
        <v>370.25700000000006</v>
      </c>
      <c r="M17" s="538">
        <f t="shared" si="16"/>
        <v>370.25700000000006</v>
      </c>
      <c r="N17" s="539">
        <f t="shared" si="16"/>
        <v>0</v>
      </c>
      <c r="O17" s="540">
        <f t="shared" si="16"/>
        <v>382.72899999999998</v>
      </c>
      <c r="P17" s="539">
        <f t="shared" si="16"/>
        <v>677.06000000000006</v>
      </c>
      <c r="Q17" s="539">
        <f t="shared" si="16"/>
        <v>688.08100000000002</v>
      </c>
      <c r="R17" s="539">
        <f t="shared" si="16"/>
        <v>683.19099999999992</v>
      </c>
      <c r="S17" s="538">
        <f t="shared" si="16"/>
        <v>683.19099999999992</v>
      </c>
      <c r="T17" s="539"/>
      <c r="U17" s="540">
        <f>SUM(U10:U16)</f>
        <v>702.85899999999992</v>
      </c>
      <c r="V17" s="539">
        <f>SUM(V10:V16)</f>
        <v>703.21299999999997</v>
      </c>
      <c r="W17" s="539">
        <f>SUM(W10:W16)</f>
        <v>621.39799999999991</v>
      </c>
      <c r="X17" s="539">
        <f>SUM(X10:X16)</f>
        <v>647.94600000000003</v>
      </c>
      <c r="Y17" s="538">
        <f>SUM(Y10:Y16)</f>
        <v>647.94599999999991</v>
      </c>
      <c r="Z17" s="539"/>
      <c r="AA17" s="540">
        <f>SUM(AA10:AA16)</f>
        <v>695.66200000000003</v>
      </c>
      <c r="AB17" s="539">
        <f>SUM(AB10:AB16)</f>
        <v>735.37099999999987</v>
      </c>
      <c r="AC17" s="539">
        <f>SUM(AC10:AC16)</f>
        <v>708.05599999999981</v>
      </c>
      <c r="AD17" s="539">
        <f>SUM(AD10:AD16)</f>
        <v>703.55499999999984</v>
      </c>
      <c r="AE17" s="538">
        <f>SUM(AE10:AE16)</f>
        <v>703.55499999999995</v>
      </c>
      <c r="AF17" s="539"/>
      <c r="AG17" s="540">
        <f t="shared" ref="AG17:AQ17" si="17">SUM(AG10:AG16)</f>
        <v>705.25699999999995</v>
      </c>
      <c r="AH17" s="539">
        <f t="shared" si="17"/>
        <v>785.25200000000007</v>
      </c>
      <c r="AI17" s="539">
        <f t="shared" si="17"/>
        <v>1372.1609999999998</v>
      </c>
      <c r="AJ17" s="539">
        <f t="shared" si="17"/>
        <v>1333.4699999999998</v>
      </c>
      <c r="AK17" s="538">
        <f t="shared" si="17"/>
        <v>1333.4699999999998</v>
      </c>
      <c r="AL17" s="539">
        <f t="shared" si="17"/>
        <v>0</v>
      </c>
      <c r="AM17" s="540">
        <f t="shared" si="17"/>
        <v>1331.6109999999999</v>
      </c>
      <c r="AN17" s="539">
        <f t="shared" si="17"/>
        <v>1352.7499999999998</v>
      </c>
      <c r="AO17" s="539">
        <f t="shared" si="17"/>
        <v>1351.5620000000001</v>
      </c>
      <c r="AP17" s="539">
        <f t="shared" si="17"/>
        <v>1364.5880000000002</v>
      </c>
      <c r="AQ17" s="538">
        <f t="shared" si="17"/>
        <v>1364.5880000000002</v>
      </c>
      <c r="AR17" s="541"/>
      <c r="AS17" s="540">
        <f t="shared" ref="AS17:BC17" si="18">SUM(AS10:AS16)</f>
        <v>1388.2589999999998</v>
      </c>
      <c r="AT17" s="539">
        <f t="shared" si="18"/>
        <v>1407.9379999999999</v>
      </c>
      <c r="AU17" s="539">
        <f t="shared" si="18"/>
        <v>973.70799999999986</v>
      </c>
      <c r="AV17" s="539">
        <f t="shared" si="18"/>
        <v>748.43199999999979</v>
      </c>
      <c r="AW17" s="538">
        <f t="shared" si="18"/>
        <v>748.4319999999999</v>
      </c>
      <c r="AX17" s="539"/>
      <c r="AY17" s="540">
        <f t="shared" si="18"/>
        <v>759.19299999999998</v>
      </c>
      <c r="AZ17" s="539">
        <f t="shared" si="18"/>
        <v>743.9319999999999</v>
      </c>
      <c r="BA17" s="539">
        <f t="shared" si="18"/>
        <v>803.38699999999994</v>
      </c>
      <c r="BB17" s="539">
        <f t="shared" si="18"/>
        <v>992.62099999999987</v>
      </c>
      <c r="BC17" s="538">
        <f t="shared" si="18"/>
        <v>992.62099999999987</v>
      </c>
      <c r="BD17" s="539"/>
      <c r="BE17" s="540">
        <f>SUM(BE10:BE16)</f>
        <v>983.61799999999994</v>
      </c>
      <c r="BF17" s="539">
        <f>SUM(BF10:BF16)</f>
        <v>901.82199999999978</v>
      </c>
      <c r="BG17" s="539">
        <f>SUM(BG10:BG16)</f>
        <v>873.73099999999999</v>
      </c>
      <c r="BH17" s="539">
        <f>SUM(BH10:BH16)</f>
        <v>920.88899999999978</v>
      </c>
      <c r="BI17" s="538">
        <f>SUM(BI10:BI16)</f>
        <v>920.88899999999978</v>
      </c>
      <c r="BJ17" s="539"/>
      <c r="BK17" s="540">
        <f>SUM(BK10:BK16)</f>
        <v>1216.105</v>
      </c>
      <c r="BL17" s="539">
        <f>SUM(BL10:BL16)</f>
        <v>1200.8600000000001</v>
      </c>
      <c r="BM17" s="539">
        <f>SUM(BM10:BM16)</f>
        <v>1267.2629999999999</v>
      </c>
      <c r="BN17" s="539">
        <f>SUM(BN10:BN16)</f>
        <v>1148.75</v>
      </c>
      <c r="BO17" s="538">
        <f>SUM(BO10:BO16)</f>
        <v>1148.7499999999998</v>
      </c>
      <c r="BP17" s="539"/>
      <c r="BQ17" s="540">
        <f>SUM(BQ10:BQ16)</f>
        <v>957.57999999999981</v>
      </c>
      <c r="BR17" s="539">
        <f>SUM(BR10:BR16)</f>
        <v>928.06199999999978</v>
      </c>
      <c r="BS17" s="539">
        <f>SUM(BS10:BS16)</f>
        <v>976.68599999999969</v>
      </c>
      <c r="BT17" s="539">
        <f>SUM(BT10:BT16)</f>
        <v>961.61399999999981</v>
      </c>
      <c r="BU17" s="538">
        <f>SUM(BU10:BU16)</f>
        <v>961.61399999999981</v>
      </c>
      <c r="BV17" s="539"/>
      <c r="BW17" s="540">
        <f>SUM(BW10:BW16)</f>
        <v>963.00699999999961</v>
      </c>
      <c r="BX17" s="539">
        <f>SUM(BX10:BX16)</f>
        <v>900.56499999999971</v>
      </c>
      <c r="BY17" s="539">
        <f>SUM(BY10:BY16)</f>
        <v>963.05999999999972</v>
      </c>
      <c r="BZ17" s="539">
        <f>SUM(BZ10:BZ16)</f>
        <v>1037.5689999999997</v>
      </c>
      <c r="CA17" s="538">
        <f>SUM(CA10:CA16)</f>
        <v>1037.5689999999997</v>
      </c>
      <c r="CB17" s="539"/>
      <c r="CC17" s="540">
        <f>SUM(CC10:CC16)</f>
        <v>763.20099999999979</v>
      </c>
      <c r="CD17" s="539">
        <f>SUM(CD10:CD16)</f>
        <v>1159.2539999999997</v>
      </c>
      <c r="CE17" s="539">
        <f>SUM(CE10:CE16)</f>
        <v>1570.7009999999998</v>
      </c>
      <c r="CF17" s="539">
        <f>SUM(CF10:CF16)</f>
        <v>1647.973</v>
      </c>
      <c r="CG17" s="538">
        <f>SUM(CG10:CG16)</f>
        <v>1647.973</v>
      </c>
      <c r="CH17" s="539"/>
      <c r="CI17" s="540">
        <f>SUM(CI10:CI16)</f>
        <v>1547.414429236075</v>
      </c>
      <c r="CJ17" s="539">
        <f>SUM(CJ10:CJ16)</f>
        <v>1588.186070883376</v>
      </c>
      <c r="CK17" s="539">
        <f>SUM(CK10:CK16)</f>
        <v>1591.7916249382886</v>
      </c>
      <c r="CL17" s="539">
        <f>SUM(CL10:CL16)</f>
        <v>1628.8666405360082</v>
      </c>
      <c r="CM17" s="538">
        <f>SUM(CM10:CM16)</f>
        <v>1628.8666405360082</v>
      </c>
      <c r="CN17" s="539"/>
      <c r="CO17" s="540">
        <f>SUM(CO10:CO16)</f>
        <v>1602.5504602511537</v>
      </c>
      <c r="CP17" s="539">
        <f>SUM(CP10:CP16)</f>
        <v>1654.7371494161252</v>
      </c>
      <c r="CQ17" s="539">
        <f>SUM(CQ10:CQ16)</f>
        <v>1662.9086470272264</v>
      </c>
      <c r="CR17" s="539">
        <f>SUM(CR10:CR16)</f>
        <v>1727.0272218489795</v>
      </c>
      <c r="CS17" s="538">
        <f>SUM(CS10:CS16)</f>
        <v>1727.0272218489795</v>
      </c>
      <c r="CT17" s="539"/>
      <c r="CU17" s="540">
        <f>SUM(CU10:CU16)</f>
        <v>1728.4057858465612</v>
      </c>
      <c r="CV17" s="539">
        <f>SUM(CV10:CV16)</f>
        <v>1810.5001233876458</v>
      </c>
      <c r="CW17" s="539">
        <f>SUM(CW10:CW16)</f>
        <v>1846.9298551068896</v>
      </c>
      <c r="CX17" s="539">
        <f>SUM(CX10:CX16)</f>
        <v>1944.0383626274966</v>
      </c>
      <c r="CY17" s="538">
        <f>SUM(CY10:CY16)</f>
        <v>1944.0383626274966</v>
      </c>
      <c r="CZ17" s="332"/>
      <c r="DA17" s="332"/>
      <c r="DB17" s="332"/>
    </row>
    <row r="18" spans="1:106" ht="11.25" customHeight="1" x14ac:dyDescent="0.2">
      <c r="A18" s="58"/>
      <c r="B18" s="48"/>
      <c r="C18" s="59"/>
      <c r="D18" s="39"/>
      <c r="E18" s="39"/>
      <c r="F18" s="39"/>
      <c r="G18" s="6"/>
      <c r="H18" s="28"/>
      <c r="I18" s="19"/>
      <c r="J18" s="20"/>
      <c r="K18" s="20"/>
      <c r="L18" s="20"/>
      <c r="M18" s="6"/>
      <c r="N18" s="28"/>
      <c r="O18" s="19"/>
      <c r="P18" s="20"/>
      <c r="Q18" s="20"/>
      <c r="R18" s="20"/>
      <c r="S18" s="6"/>
      <c r="T18" s="28"/>
      <c r="U18" s="19"/>
      <c r="V18" s="20"/>
      <c r="W18" s="20"/>
      <c r="X18" s="20"/>
      <c r="Y18" s="6"/>
      <c r="Z18" s="28"/>
      <c r="AA18" s="19"/>
      <c r="AB18" s="20"/>
      <c r="AC18" s="20"/>
      <c r="AD18" s="20"/>
      <c r="AE18" s="6"/>
      <c r="AF18" s="28"/>
      <c r="AG18" s="19"/>
      <c r="AH18" s="20"/>
      <c r="AI18" s="20"/>
      <c r="AJ18" s="20"/>
      <c r="AK18" s="6"/>
      <c r="AL18" s="28"/>
      <c r="AM18" s="19"/>
      <c r="AN18" s="20"/>
      <c r="AO18" s="20"/>
      <c r="AP18" s="20"/>
      <c r="AQ18" s="6"/>
      <c r="AR18" s="28"/>
      <c r="AS18" s="19"/>
      <c r="AT18" s="20"/>
      <c r="AU18" s="20"/>
      <c r="AV18" s="20"/>
      <c r="AW18" s="6"/>
      <c r="AX18" s="28"/>
      <c r="AY18" s="19"/>
      <c r="AZ18" s="28"/>
      <c r="BA18" s="28"/>
      <c r="BB18" s="28"/>
      <c r="BC18" s="6"/>
      <c r="BD18" s="28"/>
      <c r="BE18" s="19"/>
      <c r="BF18" s="28"/>
      <c r="BG18" s="28"/>
      <c r="BH18" s="28"/>
      <c r="BI18" s="6"/>
      <c r="BJ18" s="28"/>
      <c r="BK18" s="19"/>
      <c r="BL18" s="28"/>
      <c r="BM18" s="28"/>
      <c r="BN18" s="28"/>
      <c r="BO18" s="6"/>
      <c r="BP18" s="28"/>
      <c r="BQ18" s="19"/>
      <c r="BR18" s="28"/>
      <c r="BS18" s="28"/>
      <c r="BT18" s="28"/>
      <c r="BU18" s="6"/>
      <c r="BV18" s="28"/>
      <c r="BW18" s="19"/>
      <c r="BX18" s="28"/>
      <c r="BY18" s="28"/>
      <c r="BZ18" s="28"/>
      <c r="CA18" s="6"/>
      <c r="CB18" s="28"/>
      <c r="CC18" s="19"/>
      <c r="CD18" s="28"/>
      <c r="CE18" s="28"/>
      <c r="CF18" s="28"/>
      <c r="CG18" s="6"/>
      <c r="CH18" s="28"/>
      <c r="CI18" s="19"/>
      <c r="CJ18" s="28"/>
      <c r="CK18" s="28"/>
      <c r="CL18" s="28"/>
      <c r="CM18" s="6"/>
      <c r="CN18" s="28"/>
      <c r="CO18" s="19"/>
      <c r="CP18" s="28"/>
      <c r="CQ18" s="28"/>
      <c r="CR18" s="28"/>
      <c r="CS18" s="6"/>
      <c r="CT18" s="28"/>
      <c r="CU18" s="19"/>
      <c r="CV18" s="28"/>
      <c r="CW18" s="28"/>
      <c r="CX18" s="28"/>
      <c r="CY18" s="6"/>
      <c r="CZ18" s="20"/>
      <c r="DA18" s="20"/>
      <c r="DB18" s="20"/>
    </row>
    <row r="19" spans="1:106" ht="11.25" customHeight="1" x14ac:dyDescent="0.2">
      <c r="A19" s="203" t="s">
        <v>31</v>
      </c>
      <c r="B19" s="48"/>
      <c r="C19" s="59"/>
      <c r="D19" s="39"/>
      <c r="E19" s="39"/>
      <c r="F19" s="39"/>
      <c r="G19" s="6"/>
      <c r="H19" s="28"/>
      <c r="I19" s="19"/>
      <c r="J19" s="20"/>
      <c r="K19" s="20"/>
      <c r="L19" s="20"/>
      <c r="M19" s="6"/>
      <c r="N19" s="28"/>
      <c r="O19" s="19"/>
      <c r="P19" s="20"/>
      <c r="Q19" s="20"/>
      <c r="R19" s="20"/>
      <c r="S19" s="6"/>
      <c r="T19" s="28"/>
      <c r="U19" s="19"/>
      <c r="V19" s="20"/>
      <c r="W19" s="20"/>
      <c r="X19" s="20"/>
      <c r="Y19" s="6"/>
      <c r="Z19" s="28"/>
      <c r="AA19" s="19"/>
      <c r="AB19" s="20"/>
      <c r="AC19" s="20"/>
      <c r="AD19" s="20"/>
      <c r="AE19" s="6"/>
      <c r="AF19" s="28"/>
      <c r="AG19" s="19"/>
      <c r="AH19" s="20"/>
      <c r="AI19" s="20"/>
      <c r="AJ19" s="20"/>
      <c r="AK19" s="6"/>
      <c r="AL19" s="28"/>
      <c r="AM19" s="19"/>
      <c r="AN19" s="20"/>
      <c r="AO19" s="20"/>
      <c r="AP19" s="20"/>
      <c r="AQ19" s="6"/>
      <c r="AR19" s="28"/>
      <c r="AS19" s="19"/>
      <c r="AT19" s="20"/>
      <c r="AU19" s="20"/>
      <c r="AV19" s="20"/>
      <c r="AW19" s="6"/>
      <c r="AX19" s="28"/>
      <c r="AY19" s="19"/>
      <c r="AZ19" s="28"/>
      <c r="BA19" s="28"/>
      <c r="BB19" s="28"/>
      <c r="BC19" s="6"/>
      <c r="BD19" s="28"/>
      <c r="BE19" s="19"/>
      <c r="BF19" s="28"/>
      <c r="BG19" s="28"/>
      <c r="BH19" s="28"/>
      <c r="BI19" s="6"/>
      <c r="BJ19" s="28"/>
      <c r="BK19" s="19"/>
      <c r="BL19" s="28"/>
      <c r="BM19" s="28"/>
      <c r="BN19" s="28"/>
      <c r="BO19" s="6"/>
      <c r="BP19" s="28"/>
      <c r="BQ19" s="19"/>
      <c r="BR19" s="28"/>
      <c r="BS19" s="28"/>
      <c r="BT19" s="28"/>
      <c r="BU19" s="6"/>
      <c r="BV19" s="28"/>
      <c r="BW19" s="19"/>
      <c r="BX19" s="28"/>
      <c r="BY19" s="28"/>
      <c r="BZ19" s="28"/>
      <c r="CA19" s="6"/>
      <c r="CB19" s="28"/>
      <c r="CC19" s="19"/>
      <c r="CD19" s="28"/>
      <c r="CE19" s="28"/>
      <c r="CF19" s="28"/>
      <c r="CG19" s="6"/>
      <c r="CH19" s="28"/>
      <c r="CI19" s="19"/>
      <c r="CJ19" s="28"/>
      <c r="CK19" s="28"/>
      <c r="CL19" s="28"/>
      <c r="CM19" s="6"/>
      <c r="CN19" s="28"/>
      <c r="CO19" s="19"/>
      <c r="CP19" s="28"/>
      <c r="CQ19" s="28"/>
      <c r="CR19" s="28"/>
      <c r="CS19" s="6"/>
      <c r="CT19" s="28"/>
      <c r="CU19" s="19"/>
      <c r="CV19" s="28"/>
      <c r="CW19" s="28"/>
      <c r="CX19" s="28"/>
      <c r="CY19" s="6"/>
      <c r="CZ19" s="20"/>
      <c r="DA19" s="20"/>
      <c r="DB19" s="20"/>
    </row>
    <row r="20" spans="1:106" ht="11.25" customHeight="1" x14ac:dyDescent="0.2">
      <c r="A20" s="354" t="s">
        <v>32</v>
      </c>
      <c r="B20" s="48"/>
      <c r="C20" s="59"/>
      <c r="D20" s="39"/>
      <c r="E20" s="39"/>
      <c r="F20" s="39"/>
      <c r="G20" s="331">
        <v>217.108</v>
      </c>
      <c r="H20" s="28"/>
      <c r="I20" s="53">
        <v>209.01599999999999</v>
      </c>
      <c r="J20" s="51">
        <v>197.922</v>
      </c>
      <c r="K20" s="51">
        <v>194.83799999999999</v>
      </c>
      <c r="L20" s="51">
        <v>195.19900000000001</v>
      </c>
      <c r="M20" s="6">
        <f>L20</f>
        <v>195.19900000000001</v>
      </c>
      <c r="N20" s="28"/>
      <c r="O20" s="53">
        <v>200.21100000000001</v>
      </c>
      <c r="P20" s="51">
        <v>208.98</v>
      </c>
      <c r="Q20" s="51">
        <v>210.40600000000001</v>
      </c>
      <c r="R20" s="51">
        <v>221.27699999999999</v>
      </c>
      <c r="S20" s="6">
        <f>R20</f>
        <v>221.27699999999999</v>
      </c>
      <c r="T20" s="28"/>
      <c r="U20" s="53">
        <v>224.124</v>
      </c>
      <c r="V20" s="51">
        <v>228.00899999999999</v>
      </c>
      <c r="W20" s="51">
        <v>276.709</v>
      </c>
      <c r="X20" s="51">
        <v>283.49099999999999</v>
      </c>
      <c r="Y20" s="6">
        <f>X20</f>
        <v>283.49099999999999</v>
      </c>
      <c r="Z20" s="28"/>
      <c r="AA20" s="53">
        <v>299.59699999999998</v>
      </c>
      <c r="AB20" s="51">
        <v>301.04000000000002</v>
      </c>
      <c r="AC20" s="51">
        <v>284.21600000000001</v>
      </c>
      <c r="AD20" s="51">
        <v>289.67200000000003</v>
      </c>
      <c r="AE20" s="6">
        <f>AD20</f>
        <v>289.67200000000003</v>
      </c>
      <c r="AF20" s="28"/>
      <c r="AG20" s="53">
        <v>281.44</v>
      </c>
      <c r="AH20" s="51">
        <v>296.00200000000001</v>
      </c>
      <c r="AI20" s="51">
        <v>310.21499999999997</v>
      </c>
      <c r="AJ20" s="51">
        <v>317.46699999999998</v>
      </c>
      <c r="AK20" s="6">
        <f>AJ20</f>
        <v>317.46699999999998</v>
      </c>
      <c r="AL20" s="28"/>
      <c r="AM20" s="53">
        <v>312.42399999999998</v>
      </c>
      <c r="AN20" s="51">
        <v>303.38099999999997</v>
      </c>
      <c r="AO20" s="51">
        <v>336.74599999999998</v>
      </c>
      <c r="AP20" s="51">
        <v>345.66399999999999</v>
      </c>
      <c r="AQ20" s="6">
        <f>AP20</f>
        <v>345.66399999999999</v>
      </c>
      <c r="AR20" s="28"/>
      <c r="AS20" s="53">
        <v>369.95499999999998</v>
      </c>
      <c r="AT20" s="51">
        <v>385.267</v>
      </c>
      <c r="AU20" s="51">
        <v>373.62</v>
      </c>
      <c r="AV20" s="51">
        <v>371.79199999999997</v>
      </c>
      <c r="AW20" s="6">
        <f>AV20</f>
        <v>371.79199999999997</v>
      </c>
      <c r="AX20" s="28"/>
      <c r="AY20" s="53">
        <v>386.39600000000002</v>
      </c>
      <c r="AZ20" s="122">
        <v>383.815</v>
      </c>
      <c r="BA20" s="122">
        <v>407.53</v>
      </c>
      <c r="BB20" s="122">
        <v>418.93200000000002</v>
      </c>
      <c r="BC20" s="6">
        <f>BB20</f>
        <v>418.93200000000002</v>
      </c>
      <c r="BD20" s="28"/>
      <c r="BE20" s="53">
        <v>415.99599999999998</v>
      </c>
      <c r="BF20" s="122">
        <v>412.41899999999998</v>
      </c>
      <c r="BG20" s="122">
        <v>428.536</v>
      </c>
      <c r="BH20" s="122">
        <v>445.04399999999998</v>
      </c>
      <c r="BI20" s="6">
        <f>BH20</f>
        <v>445.04399999999998</v>
      </c>
      <c r="BJ20" s="28"/>
      <c r="BK20" s="53">
        <v>450.61399999999998</v>
      </c>
      <c r="BL20" s="122">
        <v>460.85700000000003</v>
      </c>
      <c r="BM20" s="122">
        <v>441.55799999999999</v>
      </c>
      <c r="BN20" s="122">
        <v>428.09300000000002</v>
      </c>
      <c r="BO20" s="6">
        <f>BN20</f>
        <v>428.09300000000002</v>
      </c>
      <c r="BP20" s="28"/>
      <c r="BQ20" s="53">
        <v>409.69799999999998</v>
      </c>
      <c r="BR20" s="122">
        <v>444.87200000000001</v>
      </c>
      <c r="BS20" s="122">
        <v>441.90699999999998</v>
      </c>
      <c r="BT20" s="122">
        <v>442.94400000000002</v>
      </c>
      <c r="BU20" s="6">
        <f>BT20</f>
        <v>442.94400000000002</v>
      </c>
      <c r="BV20" s="28"/>
      <c r="BW20" s="53">
        <v>459.63099999999997</v>
      </c>
      <c r="BX20" s="122">
        <v>460.33699999999999</v>
      </c>
      <c r="BY20" s="122">
        <v>460.50900000000001</v>
      </c>
      <c r="BZ20" s="122">
        <v>436.65499999999997</v>
      </c>
      <c r="CA20" s="6">
        <f>BZ20</f>
        <v>436.65499999999997</v>
      </c>
      <c r="CB20" s="28"/>
      <c r="CC20" s="53">
        <v>441.84899999999999</v>
      </c>
      <c r="CD20" s="122">
        <v>465.54700000000003</v>
      </c>
      <c r="CE20" s="122">
        <v>484.39800000000002</v>
      </c>
      <c r="CF20" s="122">
        <v>494.32100000000003</v>
      </c>
      <c r="CG20" s="6">
        <f>CF20</f>
        <v>494.32100000000003</v>
      </c>
      <c r="CH20" s="28"/>
      <c r="CI20" s="19">
        <f>CI118</f>
        <v>496.70925919824617</v>
      </c>
      <c r="CJ20" s="28">
        <f>CJ118</f>
        <v>501.78816687058293</v>
      </c>
      <c r="CK20" s="28">
        <f>CK118</f>
        <v>507.23487243025932</v>
      </c>
      <c r="CL20" s="28">
        <f>CL118</f>
        <v>513.91820536738226</v>
      </c>
      <c r="CM20" s="6">
        <f>CL20</f>
        <v>513.91820536738226</v>
      </c>
      <c r="CN20" s="28"/>
      <c r="CO20" s="19">
        <f>CO118</f>
        <v>516.85202260673088</v>
      </c>
      <c r="CP20" s="28">
        <f>CP118</f>
        <v>521.89305891395247</v>
      </c>
      <c r="CQ20" s="28">
        <f>CQ118</f>
        <v>526.91531373645466</v>
      </c>
      <c r="CR20" s="28">
        <f>CR118</f>
        <v>534.0530991908829</v>
      </c>
      <c r="CS20" s="6">
        <f>CR20</f>
        <v>534.0530991908829</v>
      </c>
      <c r="CT20" s="28"/>
      <c r="CU20" s="19">
        <f>CU118</f>
        <v>537.5686790213241</v>
      </c>
      <c r="CV20" s="28">
        <f>CV118</f>
        <v>543.24065623812942</v>
      </c>
      <c r="CW20" s="28">
        <f>CW118</f>
        <v>548.82450309279864</v>
      </c>
      <c r="CX20" s="28">
        <f>CX118</f>
        <v>556.70239535324083</v>
      </c>
      <c r="CY20" s="6">
        <f>CX20</f>
        <v>556.70239535324083</v>
      </c>
      <c r="CZ20" s="20"/>
      <c r="DA20" s="20"/>
      <c r="DB20" s="20"/>
    </row>
    <row r="21" spans="1:106" ht="11.25" customHeight="1" x14ac:dyDescent="0.2">
      <c r="A21" s="354" t="s">
        <v>33</v>
      </c>
      <c r="B21" s="48"/>
      <c r="C21" s="59"/>
      <c r="D21" s="39"/>
      <c r="E21" s="39"/>
      <c r="F21" s="39"/>
      <c r="G21" s="331">
        <v>56.262999999999998</v>
      </c>
      <c r="H21" s="28"/>
      <c r="I21" s="53">
        <v>54.164999999999999</v>
      </c>
      <c r="J21" s="51">
        <v>81.531999999999996</v>
      </c>
      <c r="K21" s="51">
        <v>83.188000000000002</v>
      </c>
      <c r="L21" s="51">
        <v>93.914000000000001</v>
      </c>
      <c r="M21" s="6">
        <f>L21</f>
        <v>93.914000000000001</v>
      </c>
      <c r="N21" s="28"/>
      <c r="O21" s="53">
        <v>100.74299999999999</v>
      </c>
      <c r="P21" s="51">
        <v>132.68799999999999</v>
      </c>
      <c r="Q21" s="51">
        <v>140.411</v>
      </c>
      <c r="R21" s="51">
        <v>160.14099999999999</v>
      </c>
      <c r="S21" s="6">
        <f>R21</f>
        <v>160.14099999999999</v>
      </c>
      <c r="T21" s="28"/>
      <c r="U21" s="53">
        <v>153.38300000000001</v>
      </c>
      <c r="V21" s="51">
        <v>159.01300000000001</v>
      </c>
      <c r="W21" s="51">
        <v>1113.4970000000001</v>
      </c>
      <c r="X21" s="51">
        <v>1107.8820000000001</v>
      </c>
      <c r="Y21" s="6">
        <f>X21</f>
        <v>1107.8820000000001</v>
      </c>
      <c r="Z21" s="28"/>
      <c r="AA21" s="53">
        <v>1113.354</v>
      </c>
      <c r="AB21" s="51">
        <v>1116.518</v>
      </c>
      <c r="AC21" s="51">
        <v>1134.327</v>
      </c>
      <c r="AD21" s="51">
        <v>1152.105</v>
      </c>
      <c r="AE21" s="6">
        <f>AD21</f>
        <v>1152.105</v>
      </c>
      <c r="AF21" s="28"/>
      <c r="AG21" s="53">
        <v>1148.924</v>
      </c>
      <c r="AH21" s="51">
        <v>1169.617</v>
      </c>
      <c r="AI21" s="51">
        <v>1273.7539999999999</v>
      </c>
      <c r="AJ21" s="51">
        <v>1337.0640000000001</v>
      </c>
      <c r="AK21" s="6">
        <f>AJ21</f>
        <v>1337.0640000000001</v>
      </c>
      <c r="AL21" s="28"/>
      <c r="AM21" s="53">
        <v>1328.16</v>
      </c>
      <c r="AN21" s="51">
        <v>1316.9549999999999</v>
      </c>
      <c r="AO21" s="51">
        <v>1348.4390000000001</v>
      </c>
      <c r="AP21" s="51">
        <v>1352.2809999999999</v>
      </c>
      <c r="AQ21" s="6">
        <f>AP21</f>
        <v>1352.2809999999999</v>
      </c>
      <c r="AR21" s="28"/>
      <c r="AS21" s="53">
        <v>1364.183</v>
      </c>
      <c r="AT21" s="51">
        <v>1370.749</v>
      </c>
      <c r="AU21" s="51">
        <v>1658.598</v>
      </c>
      <c r="AV21" s="51">
        <v>1733.722</v>
      </c>
      <c r="AW21" s="6">
        <f>AV21</f>
        <v>1733.722</v>
      </c>
      <c r="AX21" s="28"/>
      <c r="AY21" s="53">
        <v>1743.0219999999999</v>
      </c>
      <c r="AZ21" s="122">
        <v>1752.23</v>
      </c>
      <c r="BA21" s="122">
        <v>1758.627</v>
      </c>
      <c r="BB21" s="122">
        <v>1759.8979999999999</v>
      </c>
      <c r="BC21" s="6">
        <f>BB21</f>
        <v>1759.8979999999999</v>
      </c>
      <c r="BD21" s="28"/>
      <c r="BE21" s="53">
        <v>1756.2339999999999</v>
      </c>
      <c r="BF21" s="122">
        <v>1791.789</v>
      </c>
      <c r="BG21" s="122">
        <v>1865.8219999999999</v>
      </c>
      <c r="BH21" s="122">
        <v>1855.691</v>
      </c>
      <c r="BI21" s="6">
        <f>BH21</f>
        <v>1855.691</v>
      </c>
      <c r="BJ21" s="28"/>
      <c r="BK21" s="53">
        <v>1864.0219999999999</v>
      </c>
      <c r="BL21" s="122">
        <v>1882.4680000000001</v>
      </c>
      <c r="BM21" s="122">
        <v>1833.473</v>
      </c>
      <c r="BN21" s="122">
        <v>1887.963</v>
      </c>
      <c r="BO21" s="6">
        <f>BN21</f>
        <v>1887.963</v>
      </c>
      <c r="BP21" s="28"/>
      <c r="BQ21" s="53">
        <v>1862.3710000000001</v>
      </c>
      <c r="BR21" s="122">
        <v>1872.067</v>
      </c>
      <c r="BS21" s="122">
        <v>1846.471</v>
      </c>
      <c r="BT21" s="122">
        <v>1875.6980000000001</v>
      </c>
      <c r="BU21" s="6">
        <f>BT21</f>
        <v>1875.6980000000001</v>
      </c>
      <c r="BV21" s="28"/>
      <c r="BW21" s="53">
        <v>1898.934</v>
      </c>
      <c r="BX21" s="122">
        <v>1971.884</v>
      </c>
      <c r="BY21" s="122">
        <v>1962.5139999999999</v>
      </c>
      <c r="BZ21" s="122">
        <v>1925.518</v>
      </c>
      <c r="CA21" s="6">
        <f>BZ21</f>
        <v>1925.518</v>
      </c>
      <c r="CB21" s="28"/>
      <c r="CC21" s="53">
        <v>1969.46</v>
      </c>
      <c r="CD21" s="122">
        <v>1995.807</v>
      </c>
      <c r="CE21" s="122">
        <v>2009.856</v>
      </c>
      <c r="CF21" s="122">
        <v>2012.904</v>
      </c>
      <c r="CG21" s="6">
        <f>CF21</f>
        <v>2012.904</v>
      </c>
      <c r="CH21" s="28"/>
      <c r="CI21" s="19">
        <f>CI133</f>
        <v>2012.904</v>
      </c>
      <c r="CJ21" s="28">
        <f>CJ133</f>
        <v>2012.904</v>
      </c>
      <c r="CK21" s="28">
        <f>CK133</f>
        <v>2012.904</v>
      </c>
      <c r="CL21" s="28">
        <f>CL133</f>
        <v>2012.904</v>
      </c>
      <c r="CM21" s="6">
        <f>CL21</f>
        <v>2012.904</v>
      </c>
      <c r="CN21" s="28"/>
      <c r="CO21" s="19">
        <f>CO133</f>
        <v>2012.904</v>
      </c>
      <c r="CP21" s="28">
        <f>CP133</f>
        <v>2012.904</v>
      </c>
      <c r="CQ21" s="28">
        <f>CQ133</f>
        <v>2012.904</v>
      </c>
      <c r="CR21" s="28">
        <f>CR133</f>
        <v>2012.904</v>
      </c>
      <c r="CS21" s="6">
        <f>CR21</f>
        <v>2012.904</v>
      </c>
      <c r="CT21" s="28"/>
      <c r="CU21" s="19">
        <f>CU133</f>
        <v>2012.904</v>
      </c>
      <c r="CV21" s="28">
        <f>CV133</f>
        <v>2012.904</v>
      </c>
      <c r="CW21" s="28">
        <f>CW133</f>
        <v>2012.904</v>
      </c>
      <c r="CX21" s="28">
        <f>CX133</f>
        <v>2012.904</v>
      </c>
      <c r="CY21" s="6">
        <f>CX21</f>
        <v>2012.904</v>
      </c>
      <c r="CZ21" s="20"/>
      <c r="DA21" s="20"/>
      <c r="DB21" s="20"/>
    </row>
    <row r="22" spans="1:106" ht="11.25" customHeight="1" x14ac:dyDescent="0.2">
      <c r="A22" s="354" t="s">
        <v>34</v>
      </c>
      <c r="B22" s="48"/>
      <c r="C22" s="59"/>
      <c r="D22" s="39"/>
      <c r="E22" s="39"/>
      <c r="F22" s="39"/>
      <c r="G22" s="331">
        <v>34.758000000000003</v>
      </c>
      <c r="H22" s="28"/>
      <c r="I22" s="53">
        <v>32.908999999999999</v>
      </c>
      <c r="J22" s="51">
        <v>62.238999999999997</v>
      </c>
      <c r="K22" s="51">
        <v>65.367000000000004</v>
      </c>
      <c r="L22" s="51">
        <v>74.566000000000003</v>
      </c>
      <c r="M22" s="6">
        <f>L22</f>
        <v>74.566000000000003</v>
      </c>
      <c r="N22" s="28"/>
      <c r="O22" s="53">
        <v>84.414000000000001</v>
      </c>
      <c r="P22" s="51">
        <v>107.94799999999999</v>
      </c>
      <c r="Q22" s="51">
        <v>106.539</v>
      </c>
      <c r="R22" s="51">
        <v>118.492</v>
      </c>
      <c r="S22" s="6">
        <f>R22</f>
        <v>118.492</v>
      </c>
      <c r="T22" s="28"/>
      <c r="U22" s="53">
        <v>131.38800000000001</v>
      </c>
      <c r="V22" s="51">
        <v>132.821</v>
      </c>
      <c r="W22" s="51">
        <v>648.86</v>
      </c>
      <c r="X22" s="51">
        <v>639.10699999999997</v>
      </c>
      <c r="Y22" s="6">
        <f>X22</f>
        <v>639.10699999999997</v>
      </c>
      <c r="Z22" s="28"/>
      <c r="AA22" s="53">
        <v>631.07799999999997</v>
      </c>
      <c r="AB22" s="51">
        <v>618.90800000000002</v>
      </c>
      <c r="AC22" s="51">
        <v>633.173</v>
      </c>
      <c r="AD22" s="51">
        <v>640.30899999999997</v>
      </c>
      <c r="AE22" s="6">
        <f>AD22</f>
        <v>640.30899999999997</v>
      </c>
      <c r="AF22" s="28"/>
      <c r="AG22" s="53">
        <v>620.005</v>
      </c>
      <c r="AH22" s="51">
        <v>619.38</v>
      </c>
      <c r="AI22" s="51">
        <v>693.77700000000004</v>
      </c>
      <c r="AJ22" s="51">
        <v>752.29600000000005</v>
      </c>
      <c r="AK22" s="6">
        <f>AJ22</f>
        <v>752.29600000000005</v>
      </c>
      <c r="AL22" s="28"/>
      <c r="AM22" s="53">
        <v>745.8</v>
      </c>
      <c r="AN22" s="51">
        <v>713.66399999999999</v>
      </c>
      <c r="AO22" s="51">
        <v>777.428</v>
      </c>
      <c r="AP22" s="51">
        <v>753.327</v>
      </c>
      <c r="AQ22" s="6">
        <f>AP22</f>
        <v>753.327</v>
      </c>
      <c r="AR22" s="28"/>
      <c r="AS22" s="53">
        <v>752.54100000000005</v>
      </c>
      <c r="AT22" s="51">
        <v>741.39</v>
      </c>
      <c r="AU22" s="51">
        <v>854.19899999999996</v>
      </c>
      <c r="AV22" s="51">
        <v>819.48699999999997</v>
      </c>
      <c r="AW22" s="6">
        <f>AV22</f>
        <v>819.48699999999997</v>
      </c>
      <c r="AX22" s="28"/>
      <c r="AY22" s="53">
        <v>824.05899999999997</v>
      </c>
      <c r="AZ22" s="122">
        <v>906.76300000000003</v>
      </c>
      <c r="BA22" s="122">
        <v>886.899</v>
      </c>
      <c r="BB22" s="122">
        <v>853.87199999999996</v>
      </c>
      <c r="BC22" s="6">
        <f>BB22</f>
        <v>853.87199999999996</v>
      </c>
      <c r="BD22" s="28"/>
      <c r="BE22" s="53">
        <v>810.35900000000004</v>
      </c>
      <c r="BF22" s="122">
        <v>798.226</v>
      </c>
      <c r="BG22" s="122">
        <v>809.75900000000001</v>
      </c>
      <c r="BH22" s="122">
        <v>790.40499999999997</v>
      </c>
      <c r="BI22" s="6">
        <f>BH22</f>
        <v>790.40499999999997</v>
      </c>
      <c r="BJ22" s="28"/>
      <c r="BK22" s="53">
        <v>761.41099999999994</v>
      </c>
      <c r="BL22" s="122">
        <v>768.05399999999997</v>
      </c>
      <c r="BM22" s="122">
        <v>704.71</v>
      </c>
      <c r="BN22" s="122">
        <v>726.91399999999999</v>
      </c>
      <c r="BO22" s="6">
        <f>BN22</f>
        <v>726.91399999999999</v>
      </c>
      <c r="BP22" s="28"/>
      <c r="BQ22" s="53">
        <v>670.88099999999997</v>
      </c>
      <c r="BR22" s="122">
        <v>661.43700000000001</v>
      </c>
      <c r="BS22" s="122">
        <v>635.35699999999997</v>
      </c>
      <c r="BT22" s="122">
        <v>636.42100000000005</v>
      </c>
      <c r="BU22" s="6">
        <f>BT22</f>
        <v>636.42100000000005</v>
      </c>
      <c r="BV22" s="28"/>
      <c r="BW22" s="53">
        <v>614.11300000000006</v>
      </c>
      <c r="BX22" s="122">
        <v>593.67399999999998</v>
      </c>
      <c r="BY22" s="122">
        <v>623.27200000000005</v>
      </c>
      <c r="BZ22" s="122">
        <v>557.15899999999999</v>
      </c>
      <c r="CA22" s="6">
        <f>BZ22</f>
        <v>557.15899999999999</v>
      </c>
      <c r="CB22" s="28"/>
      <c r="CC22" s="53">
        <v>559.16099999999994</v>
      </c>
      <c r="CD22" s="122">
        <v>546.84100000000001</v>
      </c>
      <c r="CE22" s="122">
        <v>524.67200000000003</v>
      </c>
      <c r="CF22" s="122">
        <v>499.31799999999998</v>
      </c>
      <c r="CG22" s="6">
        <f>CF22</f>
        <v>499.31799999999998</v>
      </c>
      <c r="CH22" s="28"/>
      <c r="CI22" s="19">
        <f>CI128</f>
        <v>466.81799999999998</v>
      </c>
      <c r="CJ22" s="28">
        <f>CJ128</f>
        <v>434.31799999999998</v>
      </c>
      <c r="CK22" s="28">
        <f>CK128</f>
        <v>401.81799999999998</v>
      </c>
      <c r="CL22" s="28">
        <f>CL128</f>
        <v>369.31799999999998</v>
      </c>
      <c r="CM22" s="6">
        <f>CL22</f>
        <v>369.31799999999998</v>
      </c>
      <c r="CN22" s="28"/>
      <c r="CO22" s="19">
        <f>CO128</f>
        <v>336.81799999999998</v>
      </c>
      <c r="CP22" s="28">
        <f>CP128</f>
        <v>304.31799999999998</v>
      </c>
      <c r="CQ22" s="28">
        <f>CQ128</f>
        <v>271.81799999999998</v>
      </c>
      <c r="CR22" s="28">
        <f>CR128</f>
        <v>239.31799999999998</v>
      </c>
      <c r="CS22" s="6">
        <f>CR22</f>
        <v>239.31799999999998</v>
      </c>
      <c r="CT22" s="28"/>
      <c r="CU22" s="19">
        <f>CU128</f>
        <v>206.81799999999998</v>
      </c>
      <c r="CV22" s="28">
        <f>CV128</f>
        <v>174.31799999999998</v>
      </c>
      <c r="CW22" s="28">
        <f>CW128</f>
        <v>141.81799999999998</v>
      </c>
      <c r="CX22" s="28">
        <f>CX128</f>
        <v>109.31799999999998</v>
      </c>
      <c r="CY22" s="6">
        <f>CX22</f>
        <v>109.31799999999998</v>
      </c>
      <c r="CZ22" s="20"/>
      <c r="DA22" s="20"/>
      <c r="DB22" s="20"/>
    </row>
    <row r="23" spans="1:106" ht="11.25" customHeight="1" x14ac:dyDescent="0.2">
      <c r="A23" s="354" t="s">
        <v>29</v>
      </c>
      <c r="B23" s="48"/>
      <c r="C23" s="59"/>
      <c r="D23" s="39"/>
      <c r="E23" s="39"/>
      <c r="F23" s="39"/>
      <c r="G23" s="331">
        <v>3.1139999999999999</v>
      </c>
      <c r="H23" s="28"/>
      <c r="I23" s="53">
        <v>3.5</v>
      </c>
      <c r="J23" s="51">
        <v>8.1259999999999994</v>
      </c>
      <c r="K23" s="51">
        <v>7.6289999999999996</v>
      </c>
      <c r="L23" s="51">
        <v>6.3460000000000001</v>
      </c>
      <c r="M23" s="6">
        <f>L23</f>
        <v>6.3460000000000001</v>
      </c>
      <c r="N23" s="28"/>
      <c r="O23" s="53">
        <v>6.4029999999999996</v>
      </c>
      <c r="P23" s="51">
        <v>4.4349999999999996</v>
      </c>
      <c r="Q23" s="51">
        <v>4.2629999999999999</v>
      </c>
      <c r="R23" s="51">
        <v>2.4089999999999998</v>
      </c>
      <c r="S23" s="6">
        <f>R23</f>
        <v>2.4089999999999998</v>
      </c>
      <c r="T23" s="28"/>
      <c r="U23" s="53">
        <v>10.66</v>
      </c>
      <c r="V23" s="51">
        <v>11.077999999999999</v>
      </c>
      <c r="W23" s="51">
        <v>7.5339999999999998</v>
      </c>
      <c r="X23" s="51">
        <v>72.128</v>
      </c>
      <c r="Y23" s="6">
        <f>X23</f>
        <v>72.128</v>
      </c>
      <c r="Z23" s="28"/>
      <c r="AA23" s="53">
        <v>75.091999999999999</v>
      </c>
      <c r="AB23" s="51">
        <v>69.835999999999999</v>
      </c>
      <c r="AC23" s="51">
        <v>77.825999999999993</v>
      </c>
      <c r="AD23" s="51">
        <v>73.766000000000005</v>
      </c>
      <c r="AE23" s="6">
        <f>AD23</f>
        <v>73.766000000000005</v>
      </c>
      <c r="AF23" s="28"/>
      <c r="AG23" s="53">
        <v>50.097000000000001</v>
      </c>
      <c r="AH23" s="51">
        <v>76.328000000000003</v>
      </c>
      <c r="AI23" s="51">
        <v>78.016000000000005</v>
      </c>
      <c r="AJ23" s="51">
        <v>26.387</v>
      </c>
      <c r="AK23" s="6">
        <f>AJ23</f>
        <v>26.387</v>
      </c>
      <c r="AL23" s="28"/>
      <c r="AM23" s="53">
        <v>28.141999999999999</v>
      </c>
      <c r="AN23" s="51">
        <v>29.202000000000002</v>
      </c>
      <c r="AO23" s="51">
        <v>29.632000000000001</v>
      </c>
      <c r="AP23" s="51">
        <v>37.182000000000002</v>
      </c>
      <c r="AQ23" s="6">
        <f>AP23</f>
        <v>37.182000000000002</v>
      </c>
      <c r="AR23" s="28"/>
      <c r="AS23" s="53">
        <v>31.045000000000002</v>
      </c>
      <c r="AT23" s="51">
        <v>25.855</v>
      </c>
      <c r="AU23" s="51">
        <v>20.91</v>
      </c>
      <c r="AV23" s="51">
        <v>26.866</v>
      </c>
      <c r="AW23" s="6">
        <f>AV23</f>
        <v>26.866</v>
      </c>
      <c r="AX23" s="28"/>
      <c r="AY23" s="53">
        <v>25.84</v>
      </c>
      <c r="AZ23" s="122">
        <v>40.643000000000001</v>
      </c>
      <c r="BA23" s="122">
        <v>46.765000000000001</v>
      </c>
      <c r="BB23" s="122">
        <v>2.323</v>
      </c>
      <c r="BC23" s="6">
        <f>BB23</f>
        <v>2.323</v>
      </c>
      <c r="BD23" s="28"/>
      <c r="BE23" s="53">
        <v>4.2009999999999996</v>
      </c>
      <c r="BF23" s="122">
        <v>4.5350000000000001</v>
      </c>
      <c r="BG23" s="122">
        <v>6.415</v>
      </c>
      <c r="BH23" s="122">
        <v>5.0810000000000004</v>
      </c>
      <c r="BI23" s="6">
        <f>BH23</f>
        <v>5.0810000000000004</v>
      </c>
      <c r="BJ23" s="28"/>
      <c r="BK23" s="53">
        <v>5.0780000000000003</v>
      </c>
      <c r="BL23" s="122">
        <v>5.5279999999999996</v>
      </c>
      <c r="BM23" s="122">
        <v>6.0250000000000004</v>
      </c>
      <c r="BN23" s="122">
        <v>4.298</v>
      </c>
      <c r="BO23" s="6">
        <f>BN23</f>
        <v>4.298</v>
      </c>
      <c r="BP23" s="28"/>
      <c r="BQ23" s="53">
        <v>7.883</v>
      </c>
      <c r="BR23" s="122">
        <v>8.1419999999999995</v>
      </c>
      <c r="BS23" s="122">
        <v>7.032</v>
      </c>
      <c r="BT23" s="122">
        <v>2.036</v>
      </c>
      <c r="BU23" s="6">
        <f>BT23</f>
        <v>2.036</v>
      </c>
      <c r="BV23" s="28"/>
      <c r="BW23" s="53">
        <v>4.7270000000000003</v>
      </c>
      <c r="BX23" s="122">
        <v>5.9459999999999997</v>
      </c>
      <c r="BY23" s="122">
        <v>7.6710000000000003</v>
      </c>
      <c r="BZ23" s="122">
        <v>68.384</v>
      </c>
      <c r="CA23" s="6">
        <f>BZ23</f>
        <v>68.384</v>
      </c>
      <c r="CB23" s="28"/>
      <c r="CC23" s="53">
        <v>63.542999999999999</v>
      </c>
      <c r="CD23" s="122">
        <v>66.078000000000003</v>
      </c>
      <c r="CE23" s="122">
        <v>70.143000000000001</v>
      </c>
      <c r="CF23" s="122">
        <v>39.353000000000002</v>
      </c>
      <c r="CG23" s="6">
        <f>CF23</f>
        <v>39.353000000000002</v>
      </c>
      <c r="CH23" s="28"/>
      <c r="CI23" s="306">
        <f>'P&amp;L'!CI9*4*BS!CI90-CI16</f>
        <v>68.439393686911629</v>
      </c>
      <c r="CJ23" s="28">
        <f>'P&amp;L'!CJ9*4*BS!CJ90-CJ16</f>
        <v>78.00155070035845</v>
      </c>
      <c r="CK23" s="28">
        <f>'P&amp;L'!CK9*4*BS!CK90-CK16</f>
        <v>80.595765583188438</v>
      </c>
      <c r="CL23" s="28">
        <f>'P&amp;L'!CL9*4*BS!CL90-CL16</f>
        <v>85.911943503093852</v>
      </c>
      <c r="CM23" s="6">
        <f>CL23</f>
        <v>85.911943503093852</v>
      </c>
      <c r="CN23" s="28"/>
      <c r="CO23" s="306">
        <f>'P&amp;L'!CO9*4*BS!CO90-CO16</f>
        <v>75.985821066008739</v>
      </c>
      <c r="CP23" s="28">
        <f>'P&amp;L'!CP9*4*BS!CP90-CP16</f>
        <v>83.894306189067819</v>
      </c>
      <c r="CQ23" s="28">
        <f>'P&amp;L'!CQ9*4*BS!CQ90-CQ16</f>
        <v>85.409535246360505</v>
      </c>
      <c r="CR23" s="28">
        <f>'P&amp;L'!CR9*4*BS!CR90-CR16</f>
        <v>93.520289053540893</v>
      </c>
      <c r="CS23" s="6">
        <f>CR23</f>
        <v>93.520289053540893</v>
      </c>
      <c r="CT23" s="28"/>
      <c r="CU23" s="306">
        <f>'P&amp;L'!CU9*4*BS!CU90-CU16</f>
        <v>84.128546399489011</v>
      </c>
      <c r="CV23" s="28">
        <f>'P&amp;L'!CV9*4*BS!CV90-CV16</f>
        <v>92.341025525599193</v>
      </c>
      <c r="CW23" s="28">
        <f>'P&amp;L'!CW9*4*BS!CW90-CW16</f>
        <v>93.801249409170367</v>
      </c>
      <c r="CX23" s="28">
        <f>'P&amp;L'!CX9*4*BS!CX90-CX16</f>
        <v>102.6186240841248</v>
      </c>
      <c r="CY23" s="6">
        <f>CX23</f>
        <v>102.6186240841248</v>
      </c>
      <c r="CZ23" s="20"/>
      <c r="DA23" s="20"/>
      <c r="DB23" s="20"/>
    </row>
    <row r="24" spans="1:106" ht="11.25" customHeight="1" x14ac:dyDescent="0.2">
      <c r="A24" s="354" t="s">
        <v>35</v>
      </c>
      <c r="B24" s="39"/>
      <c r="C24" s="59"/>
      <c r="D24" s="39"/>
      <c r="E24" s="39"/>
      <c r="F24" s="39"/>
      <c r="G24" s="331">
        <v>16.271999999999998</v>
      </c>
      <c r="H24" s="20"/>
      <c r="I24" s="53">
        <v>18.138000000000002</v>
      </c>
      <c r="J24" s="51">
        <v>21.803000000000001</v>
      </c>
      <c r="K24" s="51">
        <v>26.05</v>
      </c>
      <c r="L24" s="51">
        <v>25.015999999999998</v>
      </c>
      <c r="M24" s="6">
        <f>L24</f>
        <v>25.015999999999998</v>
      </c>
      <c r="N24" s="20"/>
      <c r="O24" s="53">
        <v>25.408000000000001</v>
      </c>
      <c r="P24" s="51">
        <v>18.52</v>
      </c>
      <c r="Q24" s="51">
        <v>23.571999999999999</v>
      </c>
      <c r="R24" s="51">
        <v>26.501999999999999</v>
      </c>
      <c r="S24" s="6">
        <f>R24</f>
        <v>26.501999999999999</v>
      </c>
      <c r="T24" s="20"/>
      <c r="U24" s="53">
        <v>27.251000000000001</v>
      </c>
      <c r="V24" s="51">
        <v>27.541</v>
      </c>
      <c r="W24" s="51">
        <v>27.789000000000001</v>
      </c>
      <c r="X24" s="51">
        <v>24.62</v>
      </c>
      <c r="Y24" s="6">
        <f>X24</f>
        <v>24.62</v>
      </c>
      <c r="Z24" s="20"/>
      <c r="AA24" s="53">
        <v>27.463000000000001</v>
      </c>
      <c r="AB24" s="51">
        <v>31.859000000000002</v>
      </c>
      <c r="AC24" s="51">
        <v>35.277999999999999</v>
      </c>
      <c r="AD24" s="51">
        <v>25.916</v>
      </c>
      <c r="AE24" s="6">
        <f>AD24</f>
        <v>25.916</v>
      </c>
      <c r="AF24" s="20"/>
      <c r="AG24" s="53">
        <v>26.65</v>
      </c>
      <c r="AH24" s="51">
        <v>23.948</v>
      </c>
      <c r="AI24" s="51">
        <v>26.728000000000002</v>
      </c>
      <c r="AJ24" s="51">
        <v>29.78</v>
      </c>
      <c r="AK24" s="6">
        <f>AJ24</f>
        <v>29.78</v>
      </c>
      <c r="AL24" s="20"/>
      <c r="AM24" s="53">
        <v>34.061999999999998</v>
      </c>
      <c r="AN24" s="51">
        <v>51.832999999999998</v>
      </c>
      <c r="AO24" s="51">
        <v>46.716999999999999</v>
      </c>
      <c r="AP24" s="51">
        <v>60.953000000000003</v>
      </c>
      <c r="AQ24" s="6">
        <f>AP24</f>
        <v>60.953000000000003</v>
      </c>
      <c r="AR24" s="20"/>
      <c r="AS24" s="53">
        <v>52.072000000000003</v>
      </c>
      <c r="AT24" s="51">
        <v>67.144999999999996</v>
      </c>
      <c r="AU24" s="51">
        <v>67.406999999999996</v>
      </c>
      <c r="AV24" s="51">
        <v>56.154000000000003</v>
      </c>
      <c r="AW24" s="6">
        <f>AV24</f>
        <v>56.154000000000003</v>
      </c>
      <c r="AX24" s="20"/>
      <c r="AY24" s="53">
        <v>59.595999999999997</v>
      </c>
      <c r="AZ24" s="51">
        <v>49.405999999999999</v>
      </c>
      <c r="BA24" s="51">
        <v>53.246000000000002</v>
      </c>
      <c r="BB24" s="51">
        <v>59.984999999999999</v>
      </c>
      <c r="BC24" s="6">
        <f>BB24</f>
        <v>59.984999999999999</v>
      </c>
      <c r="BD24" s="20"/>
      <c r="BE24" s="53">
        <v>63.165999999999997</v>
      </c>
      <c r="BF24" s="51">
        <v>67.488</v>
      </c>
      <c r="BG24" s="122">
        <v>70.822999999999993</v>
      </c>
      <c r="BH24" s="51">
        <v>71.281999999999996</v>
      </c>
      <c r="BI24" s="6">
        <f>BH24</f>
        <v>71.281999999999996</v>
      </c>
      <c r="BJ24" s="20"/>
      <c r="BK24" s="53">
        <v>189.28200000000001</v>
      </c>
      <c r="BL24" s="51">
        <v>245.82900000000001</v>
      </c>
      <c r="BM24" s="51">
        <v>208.21100000000001</v>
      </c>
      <c r="BN24" s="51">
        <v>258.35399999999998</v>
      </c>
      <c r="BO24" s="6">
        <f>BN24</f>
        <v>258.35399999999998</v>
      </c>
      <c r="BP24" s="20"/>
      <c r="BQ24" s="53">
        <v>261.78500000000003</v>
      </c>
      <c r="BR24" s="51">
        <v>216.58799999999999</v>
      </c>
      <c r="BS24" s="51">
        <v>251.97800000000001</v>
      </c>
      <c r="BT24" s="51">
        <v>270.96499999999997</v>
      </c>
      <c r="BU24" s="6">
        <f>BT24</f>
        <v>270.96499999999997</v>
      </c>
      <c r="BV24" s="20"/>
      <c r="BW24" s="53">
        <v>179.15</v>
      </c>
      <c r="BX24" s="51">
        <v>186.11</v>
      </c>
      <c r="BY24" s="51">
        <v>311.11799999999999</v>
      </c>
      <c r="BZ24" s="51">
        <v>282.90899999999999</v>
      </c>
      <c r="CA24" s="6">
        <f>BZ24</f>
        <v>282.90899999999999</v>
      </c>
      <c r="CB24" s="20"/>
      <c r="CC24" s="53">
        <v>270.52699999999999</v>
      </c>
      <c r="CD24" s="51">
        <v>322.59500000000003</v>
      </c>
      <c r="CE24" s="51">
        <v>436.774</v>
      </c>
      <c r="CF24" s="51">
        <v>344.64699999999999</v>
      </c>
      <c r="CG24" s="6">
        <f>CF24</f>
        <v>344.64699999999999</v>
      </c>
      <c r="CH24" s="20"/>
      <c r="CI24" s="19">
        <f>CG24-CFS!CI35-CFS!CI46-CFS!CI39</f>
        <v>344.64699999999999</v>
      </c>
      <c r="CJ24" s="20">
        <f>CI24-CFS!CJ35-CFS!CJ46-CFS!CJ39</f>
        <v>344.64699999999999</v>
      </c>
      <c r="CK24" s="20">
        <f>CJ24-CFS!CK35-CFS!CK46-CFS!CK39</f>
        <v>344.64699999999999</v>
      </c>
      <c r="CL24" s="20">
        <f>CK24-CFS!CL35-CFS!CL46-CFS!CL39</f>
        <v>344.64699999999999</v>
      </c>
      <c r="CM24" s="6">
        <f>CL24</f>
        <v>344.64699999999999</v>
      </c>
      <c r="CN24" s="20"/>
      <c r="CO24" s="19">
        <f>CM24-CFS!CO35-CFS!CO46-CFS!CO39</f>
        <v>344.64699999999999</v>
      </c>
      <c r="CP24" s="20">
        <f>CO24-CFS!CP35-CFS!CP46-CFS!CP39</f>
        <v>344.64699999999999</v>
      </c>
      <c r="CQ24" s="20">
        <f>CP24-CFS!CQ35-CFS!CQ46-CFS!CQ39</f>
        <v>344.64699999999999</v>
      </c>
      <c r="CR24" s="20">
        <f>CQ24-CFS!CR35-CFS!CR46-CFS!CR39</f>
        <v>344.64699999999999</v>
      </c>
      <c r="CS24" s="6">
        <f>CR24</f>
        <v>344.64699999999999</v>
      </c>
      <c r="CT24" s="20"/>
      <c r="CU24" s="19">
        <f>CS24-CFS!CU35-CFS!CU46-CFS!CU39</f>
        <v>344.64699999999999</v>
      </c>
      <c r="CV24" s="20">
        <f>CU24-CFS!CV35-CFS!CV46-CFS!CV39</f>
        <v>344.64699999999999</v>
      </c>
      <c r="CW24" s="20">
        <f>CV24-CFS!CW35-CFS!CW46-CFS!CW39</f>
        <v>344.64699999999999</v>
      </c>
      <c r="CX24" s="20">
        <f>CW24-CFS!CX35-CFS!CX46-CFS!CX39</f>
        <v>344.64699999999999</v>
      </c>
      <c r="CY24" s="6">
        <f>CX24</f>
        <v>344.64699999999999</v>
      </c>
      <c r="CZ24" s="20"/>
      <c r="DA24" s="20"/>
      <c r="DB24" s="20"/>
    </row>
    <row r="25" spans="1:106" ht="11.25" customHeight="1" x14ac:dyDescent="0.2">
      <c r="A25" s="542" t="s">
        <v>37</v>
      </c>
      <c r="B25" s="536"/>
      <c r="C25" s="536"/>
      <c r="D25" s="537"/>
      <c r="E25" s="537"/>
      <c r="F25" s="537"/>
      <c r="G25" s="538">
        <f>SUM(G20:G24)</f>
        <v>327.51499999999993</v>
      </c>
      <c r="H25" s="539"/>
      <c r="I25" s="540">
        <f>SUM(I20:I24)</f>
        <v>317.72799999999995</v>
      </c>
      <c r="J25" s="539">
        <f>SUM(J20:J24)</f>
        <v>371.62199999999996</v>
      </c>
      <c r="K25" s="539">
        <f>SUM(K20:K24)</f>
        <v>377.07200000000006</v>
      </c>
      <c r="L25" s="539">
        <f>SUM(L20:L24)</f>
        <v>395.041</v>
      </c>
      <c r="M25" s="538">
        <f>SUM(M20:M24)</f>
        <v>395.041</v>
      </c>
      <c r="N25" s="539"/>
      <c r="O25" s="540">
        <f>SUM(O20:O24)</f>
        <v>417.17900000000003</v>
      </c>
      <c r="P25" s="539">
        <f>SUM(P20:P24)</f>
        <v>472.57099999999997</v>
      </c>
      <c r="Q25" s="539">
        <f>SUM(Q20:Q24)</f>
        <v>485.19099999999997</v>
      </c>
      <c r="R25" s="539">
        <f>SUM(R20:R24)</f>
        <v>528.82100000000003</v>
      </c>
      <c r="S25" s="538">
        <f>SUM(S20:S24)</f>
        <v>528.82100000000003</v>
      </c>
      <c r="T25" s="539"/>
      <c r="U25" s="540">
        <f>SUM(U20:U24)</f>
        <v>546.80599999999993</v>
      </c>
      <c r="V25" s="539">
        <f>SUM(V20:V24)</f>
        <v>558.46199999999999</v>
      </c>
      <c r="W25" s="539">
        <f>SUM(W20:W24)</f>
        <v>2074.3890000000006</v>
      </c>
      <c r="X25" s="539">
        <f>SUM(X20:X24)</f>
        <v>2127.2280000000001</v>
      </c>
      <c r="Y25" s="538">
        <f>SUM(Y20:Y24)</f>
        <v>2127.2280000000001</v>
      </c>
      <c r="Z25" s="539"/>
      <c r="AA25" s="540">
        <f>SUM(AA20:AA24)</f>
        <v>2146.5840000000003</v>
      </c>
      <c r="AB25" s="539">
        <f>SUM(AB20:AB24)</f>
        <v>2138.1609999999996</v>
      </c>
      <c r="AC25" s="539">
        <f>SUM(AC20:AC24)</f>
        <v>2164.8200000000002</v>
      </c>
      <c r="AD25" s="539">
        <f>SUM(AD20:AD24)</f>
        <v>2181.7680000000005</v>
      </c>
      <c r="AE25" s="538">
        <f>SUM(AE20:AE24)</f>
        <v>2181.7680000000005</v>
      </c>
      <c r="AF25" s="539"/>
      <c r="AG25" s="540">
        <f>SUM(AG20:AG24)</f>
        <v>2127.1160000000004</v>
      </c>
      <c r="AH25" s="539">
        <f>SUM(AH20:AH24)</f>
        <v>2185.2749999999996</v>
      </c>
      <c r="AI25" s="539">
        <f>SUM(AI20:AI24)</f>
        <v>2382.4900000000002</v>
      </c>
      <c r="AJ25" s="539">
        <f>SUM(AJ20:AJ24)</f>
        <v>2462.9940000000006</v>
      </c>
      <c r="AK25" s="538">
        <f>SUM(AK20:AK24)</f>
        <v>2462.9940000000006</v>
      </c>
      <c r="AL25" s="539"/>
      <c r="AM25" s="540">
        <f>SUM(AM20:AM24)</f>
        <v>2448.5879999999997</v>
      </c>
      <c r="AN25" s="539">
        <f>SUM(AN20:AN24)</f>
        <v>2415.0350000000003</v>
      </c>
      <c r="AO25" s="539">
        <f>SUM(AO20:AO24)</f>
        <v>2538.962</v>
      </c>
      <c r="AP25" s="539">
        <f>SUM(AP20:AP24)</f>
        <v>2549.4069999999997</v>
      </c>
      <c r="AQ25" s="538">
        <f>SUM(AQ20:AQ24)</f>
        <v>2549.4069999999997</v>
      </c>
      <c r="AR25" s="539"/>
      <c r="AS25" s="540">
        <f>SUM(AS20:AS24)</f>
        <v>2569.7960000000003</v>
      </c>
      <c r="AT25" s="539">
        <f>SUM(AT20:AT24)</f>
        <v>2590.4059999999999</v>
      </c>
      <c r="AU25" s="539">
        <f>SUM(AU20:AU24)</f>
        <v>2974.7339999999999</v>
      </c>
      <c r="AV25" s="539">
        <f>SUM(AV20:AV24)</f>
        <v>3008.0210000000002</v>
      </c>
      <c r="AW25" s="538">
        <f>SUM(AW20:AW24)</f>
        <v>3008.0210000000002</v>
      </c>
      <c r="AX25" s="539"/>
      <c r="AY25" s="540">
        <f>SUM(AY20:AY24)</f>
        <v>3038.913</v>
      </c>
      <c r="AZ25" s="539">
        <f>SUM(AZ20:AZ24)</f>
        <v>3132.857</v>
      </c>
      <c r="BA25" s="539">
        <f>SUM(BA20:BA24)</f>
        <v>3153.067</v>
      </c>
      <c r="BB25" s="539">
        <f>SUM(BB20:BB24)</f>
        <v>3095.0099999999998</v>
      </c>
      <c r="BC25" s="538">
        <f>SUM(BC20:BC24)</f>
        <v>3095.0099999999998</v>
      </c>
      <c r="BD25" s="539"/>
      <c r="BE25" s="540">
        <f>SUM(BE20:BE24)</f>
        <v>3049.9560000000001</v>
      </c>
      <c r="BF25" s="539">
        <f>SUM(BF20:BF24)</f>
        <v>3074.4569999999999</v>
      </c>
      <c r="BG25" s="539">
        <f>SUM(BG20:BG24)</f>
        <v>3181.3549999999996</v>
      </c>
      <c r="BH25" s="539">
        <f>SUM(BH20:BH24)</f>
        <v>3167.5030000000006</v>
      </c>
      <c r="BI25" s="538">
        <f>SUM(BI20:BI24)</f>
        <v>3167.5030000000006</v>
      </c>
      <c r="BJ25" s="539"/>
      <c r="BK25" s="540">
        <f>SUM(BK20:BK24)</f>
        <v>3270.4070000000002</v>
      </c>
      <c r="BL25" s="539">
        <f>SUM(BL20:BL24)</f>
        <v>3362.7360000000003</v>
      </c>
      <c r="BM25" s="539">
        <f>SUM(BM20:BM24)</f>
        <v>3193.9769999999999</v>
      </c>
      <c r="BN25" s="539">
        <f>SUM(BN20:BN24)</f>
        <v>3305.6219999999998</v>
      </c>
      <c r="BO25" s="538">
        <f>SUM(BO20:BO24)</f>
        <v>3305.6219999999998</v>
      </c>
      <c r="BP25" s="539"/>
      <c r="BQ25" s="540">
        <f>SUM(BQ20:BQ24)</f>
        <v>3212.6179999999995</v>
      </c>
      <c r="BR25" s="539">
        <f>SUM(BR20:BR24)</f>
        <v>3203.1059999999998</v>
      </c>
      <c r="BS25" s="539">
        <f>SUM(BS20:BS24)</f>
        <v>3182.7450000000003</v>
      </c>
      <c r="BT25" s="539">
        <f>SUM(BT20:BT24)</f>
        <v>3228.0640000000003</v>
      </c>
      <c r="BU25" s="538">
        <f>SUM(BU20:BU24)</f>
        <v>3228.0640000000003</v>
      </c>
      <c r="BV25" s="539"/>
      <c r="BW25" s="540">
        <f>SUM(BW20:BW24)</f>
        <v>3156.5549999999998</v>
      </c>
      <c r="BX25" s="539">
        <f>SUM(BX20:BX24)</f>
        <v>3217.951</v>
      </c>
      <c r="BY25" s="539">
        <f>SUM(BY20:BY24)</f>
        <v>3365.0839999999998</v>
      </c>
      <c r="BZ25" s="539">
        <f>SUM(BZ20:BZ24)</f>
        <v>3270.625</v>
      </c>
      <c r="CA25" s="538">
        <f>SUM(CA20:CA24)</f>
        <v>3270.625</v>
      </c>
      <c r="CB25" s="539"/>
      <c r="CC25" s="540">
        <f>SUM(CC20:CC24)</f>
        <v>3304.5400000000004</v>
      </c>
      <c r="CD25" s="539">
        <f>SUM(CD20:CD24)</f>
        <v>3396.8680000000004</v>
      </c>
      <c r="CE25" s="539">
        <f>SUM(CE20:CE24)</f>
        <v>3525.8429999999998</v>
      </c>
      <c r="CF25" s="539">
        <f>SUM(CF20:CF24)</f>
        <v>3390.5429999999997</v>
      </c>
      <c r="CG25" s="538">
        <f>SUM(CG20:CG24)</f>
        <v>3390.5429999999997</v>
      </c>
      <c r="CH25" s="539"/>
      <c r="CI25" s="540">
        <f>SUM(CI20:CI24)</f>
        <v>3389.5176528851575</v>
      </c>
      <c r="CJ25" s="539">
        <f>SUM(CJ20:CJ24)</f>
        <v>3371.6587175709415</v>
      </c>
      <c r="CK25" s="539">
        <f>SUM(CK20:CK24)</f>
        <v>3347.1996380134474</v>
      </c>
      <c r="CL25" s="539">
        <f>SUM(CL20:CL24)</f>
        <v>3326.6991488704757</v>
      </c>
      <c r="CM25" s="538">
        <f>SUM(CM20:CM24)</f>
        <v>3326.6991488704757</v>
      </c>
      <c r="CN25" s="539"/>
      <c r="CO25" s="540">
        <f>SUM(CO20:CO24)</f>
        <v>3287.2068436727395</v>
      </c>
      <c r="CP25" s="539">
        <f>SUM(CP20:CP24)</f>
        <v>3267.6563651030201</v>
      </c>
      <c r="CQ25" s="539">
        <f>SUM(CQ20:CQ24)</f>
        <v>3241.6938489828149</v>
      </c>
      <c r="CR25" s="539">
        <f>SUM(CR20:CR24)</f>
        <v>3224.4423882444244</v>
      </c>
      <c r="CS25" s="538">
        <f>SUM(CS20:CS24)</f>
        <v>3224.4423882444244</v>
      </c>
      <c r="CT25" s="539"/>
      <c r="CU25" s="540">
        <f>SUM(CU20:CU24)</f>
        <v>3186.0662254208128</v>
      </c>
      <c r="CV25" s="539">
        <f>SUM(CV20:CV24)</f>
        <v>3167.450681763728</v>
      </c>
      <c r="CW25" s="539">
        <f>SUM(CW20:CW24)</f>
        <v>3141.9947525019693</v>
      </c>
      <c r="CX25" s="539">
        <f>SUM(CX20:CX24)</f>
        <v>3126.1900194373652</v>
      </c>
      <c r="CY25" s="538">
        <f>SUM(CY20:CY24)</f>
        <v>3126.1900194373652</v>
      </c>
      <c r="CZ25" s="332"/>
      <c r="DA25" s="332"/>
      <c r="DB25" s="332"/>
    </row>
    <row r="26" spans="1:106" ht="11.25" customHeight="1" x14ac:dyDescent="0.2">
      <c r="A26" s="489" t="s">
        <v>36</v>
      </c>
      <c r="B26" s="483"/>
      <c r="C26" s="483"/>
      <c r="D26" s="484"/>
      <c r="E26" s="484"/>
      <c r="F26" s="484"/>
      <c r="G26" s="485">
        <f>G17+G25</f>
        <v>714.59899999999993</v>
      </c>
      <c r="H26" s="486"/>
      <c r="I26" s="487">
        <f>I17+I25</f>
        <v>711.09099999999989</v>
      </c>
      <c r="J26" s="486">
        <f>J17+J25</f>
        <v>733.03899999999999</v>
      </c>
      <c r="K26" s="486">
        <f>K17+K25</f>
        <v>740.03000000000009</v>
      </c>
      <c r="L26" s="486">
        <f>L17+L25</f>
        <v>765.298</v>
      </c>
      <c r="M26" s="485">
        <f>M17+M25</f>
        <v>765.298</v>
      </c>
      <c r="N26" s="486"/>
      <c r="O26" s="487">
        <f>O17+O25</f>
        <v>799.90800000000002</v>
      </c>
      <c r="P26" s="486">
        <f>P17+P25</f>
        <v>1149.6310000000001</v>
      </c>
      <c r="Q26" s="486">
        <f>Q17+Q25</f>
        <v>1173.2719999999999</v>
      </c>
      <c r="R26" s="486">
        <f>R17+R25</f>
        <v>1212.0119999999999</v>
      </c>
      <c r="S26" s="485">
        <f>S17+S25</f>
        <v>1212.0119999999999</v>
      </c>
      <c r="T26" s="486"/>
      <c r="U26" s="487">
        <f>U17+U25</f>
        <v>1249.665</v>
      </c>
      <c r="V26" s="486">
        <f>V17+V25</f>
        <v>1261.675</v>
      </c>
      <c r="W26" s="486">
        <f>W17+W25</f>
        <v>2695.7870000000003</v>
      </c>
      <c r="X26" s="486">
        <f>X17+X25</f>
        <v>2775.174</v>
      </c>
      <c r="Y26" s="485">
        <f>Y17+Y25</f>
        <v>2775.174</v>
      </c>
      <c r="Z26" s="486"/>
      <c r="AA26" s="487">
        <f>AA17+AA25</f>
        <v>2842.2460000000001</v>
      </c>
      <c r="AB26" s="486">
        <f>AB17+AB25</f>
        <v>2873.5319999999992</v>
      </c>
      <c r="AC26" s="486">
        <f>AC17+AC25</f>
        <v>2872.8760000000002</v>
      </c>
      <c r="AD26" s="486">
        <f>AD17+AD25</f>
        <v>2885.3230000000003</v>
      </c>
      <c r="AE26" s="485">
        <f>AE17+AE25</f>
        <v>2885.3230000000003</v>
      </c>
      <c r="AF26" s="486"/>
      <c r="AG26" s="487">
        <f>AG17+AG25</f>
        <v>2832.3730000000005</v>
      </c>
      <c r="AH26" s="486">
        <f>AH17+AH25</f>
        <v>2970.5269999999996</v>
      </c>
      <c r="AI26" s="486">
        <f>AI17+AI25</f>
        <v>3754.6509999999998</v>
      </c>
      <c r="AJ26" s="486">
        <f>AJ17+AJ25</f>
        <v>3796.4640000000004</v>
      </c>
      <c r="AK26" s="485">
        <f>AK17+AK25</f>
        <v>3796.4640000000004</v>
      </c>
      <c r="AL26" s="486"/>
      <c r="AM26" s="487">
        <f>AM17+AM25</f>
        <v>3780.1989999999996</v>
      </c>
      <c r="AN26" s="486">
        <f>AN17+AN25</f>
        <v>3767.7849999999999</v>
      </c>
      <c r="AO26" s="486">
        <f>AO17+AO25</f>
        <v>3890.5240000000003</v>
      </c>
      <c r="AP26" s="486">
        <f>AP17+AP25</f>
        <v>3913.9949999999999</v>
      </c>
      <c r="AQ26" s="485">
        <f>AQ17+AQ25</f>
        <v>3913.9949999999999</v>
      </c>
      <c r="AR26" s="486"/>
      <c r="AS26" s="487">
        <f>AS17+AS25</f>
        <v>3958.0550000000003</v>
      </c>
      <c r="AT26" s="486">
        <f>AT17+AT25</f>
        <v>3998.3440000000001</v>
      </c>
      <c r="AU26" s="486">
        <f>AU17+AU25</f>
        <v>3948.442</v>
      </c>
      <c r="AV26" s="486">
        <f>AV17+AV25</f>
        <v>3756.453</v>
      </c>
      <c r="AW26" s="485">
        <f>AW17+AW25</f>
        <v>3756.453</v>
      </c>
      <c r="AX26" s="486"/>
      <c r="AY26" s="487">
        <f>AY17+AY25</f>
        <v>3798.1059999999998</v>
      </c>
      <c r="AZ26" s="486">
        <f>AZ17+AZ25</f>
        <v>3876.7889999999998</v>
      </c>
      <c r="BA26" s="486">
        <f>BA17+BA25</f>
        <v>3956.4539999999997</v>
      </c>
      <c r="BB26" s="486">
        <f>BB17+BB25</f>
        <v>4087.6309999999994</v>
      </c>
      <c r="BC26" s="485">
        <f>BC17+BC25</f>
        <v>4087.6309999999994</v>
      </c>
      <c r="BD26" s="486"/>
      <c r="BE26" s="487">
        <f>BE17+BE25</f>
        <v>4033.5740000000001</v>
      </c>
      <c r="BF26" s="486">
        <f>BF17+BF25</f>
        <v>3976.2789999999995</v>
      </c>
      <c r="BG26" s="486">
        <f>BG17+BG25</f>
        <v>4055.0859999999993</v>
      </c>
      <c r="BH26" s="486">
        <f>BH17+BH25</f>
        <v>4088.3920000000003</v>
      </c>
      <c r="BI26" s="485">
        <f>BI17+BI25</f>
        <v>4088.3920000000003</v>
      </c>
      <c r="BJ26" s="486"/>
      <c r="BK26" s="487">
        <f>BK17+BK25</f>
        <v>4486.5120000000006</v>
      </c>
      <c r="BL26" s="486">
        <f>BL17+BL25</f>
        <v>4563.5960000000005</v>
      </c>
      <c r="BM26" s="486">
        <f>BM17+BM25</f>
        <v>4461.24</v>
      </c>
      <c r="BN26" s="486">
        <f>BN17+BN25</f>
        <v>4454.3719999999994</v>
      </c>
      <c r="BO26" s="485">
        <f>BO17+BO25</f>
        <v>4454.3719999999994</v>
      </c>
      <c r="BP26" s="486"/>
      <c r="BQ26" s="487">
        <f>BQ17+BQ25</f>
        <v>4170.1979999999994</v>
      </c>
      <c r="BR26" s="486">
        <f>BR17+BR25</f>
        <v>4131.1679999999997</v>
      </c>
      <c r="BS26" s="486">
        <f>BS17+BS25</f>
        <v>4159.4310000000005</v>
      </c>
      <c r="BT26" s="486">
        <f>BT17+BT25</f>
        <v>4189.6779999999999</v>
      </c>
      <c r="BU26" s="485">
        <f>BU17+BU25</f>
        <v>4189.6779999999999</v>
      </c>
      <c r="BV26" s="486"/>
      <c r="BW26" s="487">
        <f>BW17+BW25</f>
        <v>4119.5619999999999</v>
      </c>
      <c r="BX26" s="486">
        <f>BX17+BX25</f>
        <v>4118.5159999999996</v>
      </c>
      <c r="BY26" s="486">
        <f>BY17+BY25</f>
        <v>4328.1439999999993</v>
      </c>
      <c r="BZ26" s="486">
        <f>BZ17+BZ25</f>
        <v>4308.1939999999995</v>
      </c>
      <c r="CA26" s="485">
        <f>CA17+CA25</f>
        <v>4308.1939999999995</v>
      </c>
      <c r="CB26" s="486"/>
      <c r="CC26" s="487">
        <f>CC17+CC25</f>
        <v>4067.741</v>
      </c>
      <c r="CD26" s="486">
        <f>CD17+CD25</f>
        <v>4556.1220000000003</v>
      </c>
      <c r="CE26" s="486">
        <f>CE17+CE25</f>
        <v>5096.5439999999999</v>
      </c>
      <c r="CF26" s="486">
        <f>CF17+CF25</f>
        <v>5038.5159999999996</v>
      </c>
      <c r="CG26" s="485">
        <f>CG17+CG25</f>
        <v>5038.5159999999996</v>
      </c>
      <c r="CH26" s="486"/>
      <c r="CI26" s="487">
        <f>CI17+CI25</f>
        <v>4936.9320821212323</v>
      </c>
      <c r="CJ26" s="486">
        <f>CJ17+CJ25</f>
        <v>4959.8447884543175</v>
      </c>
      <c r="CK26" s="486">
        <f>CK17+CK25</f>
        <v>4938.9912629517357</v>
      </c>
      <c r="CL26" s="486">
        <f>CL17+CL25</f>
        <v>4955.5657894064843</v>
      </c>
      <c r="CM26" s="485">
        <f>CM17+CM25</f>
        <v>4955.5657894064843</v>
      </c>
      <c r="CN26" s="486"/>
      <c r="CO26" s="487">
        <f>CO17+CO25</f>
        <v>4889.7573039238932</v>
      </c>
      <c r="CP26" s="486">
        <f>CP17+CP25</f>
        <v>4922.3935145191454</v>
      </c>
      <c r="CQ26" s="486">
        <f>CQ17+CQ25</f>
        <v>4904.6024960100412</v>
      </c>
      <c r="CR26" s="486">
        <f>CR17+CR25</f>
        <v>4951.4696100934034</v>
      </c>
      <c r="CS26" s="485">
        <f>CS17+CS25</f>
        <v>4951.4696100934034</v>
      </c>
      <c r="CT26" s="486"/>
      <c r="CU26" s="487">
        <f>CU17+CU25</f>
        <v>4914.472011267374</v>
      </c>
      <c r="CV26" s="486">
        <f>CV17+CV25</f>
        <v>4977.950805151374</v>
      </c>
      <c r="CW26" s="486">
        <f>CW17+CW25</f>
        <v>4988.9246076088584</v>
      </c>
      <c r="CX26" s="486">
        <f>CX17+CX25</f>
        <v>5070.2283820648618</v>
      </c>
      <c r="CY26" s="485">
        <f>CY17+CY25</f>
        <v>5070.2283820648618</v>
      </c>
      <c r="CZ26" s="332"/>
      <c r="DA26" s="332"/>
      <c r="DB26" s="332"/>
    </row>
    <row r="27" spans="1:106" ht="11.25" customHeight="1" x14ac:dyDescent="0.2">
      <c r="A27" s="203" t="s">
        <v>38</v>
      </c>
      <c r="B27" s="48"/>
      <c r="C27" s="59"/>
      <c r="D27" s="39"/>
      <c r="E27" s="39"/>
      <c r="F27" s="39"/>
      <c r="G27" s="6"/>
      <c r="H27" s="28"/>
      <c r="I27" s="19"/>
      <c r="J27" s="20"/>
      <c r="K27" s="20"/>
      <c r="L27" s="20"/>
      <c r="M27" s="6"/>
      <c r="N27" s="28"/>
      <c r="O27" s="19"/>
      <c r="P27" s="20"/>
      <c r="Q27" s="20"/>
      <c r="R27" s="20"/>
      <c r="S27" s="6"/>
      <c r="T27" s="28"/>
      <c r="U27" s="19"/>
      <c r="V27" s="20"/>
      <c r="W27" s="20"/>
      <c r="X27" s="20"/>
      <c r="Y27" s="488"/>
      <c r="Z27" s="173"/>
      <c r="AA27" s="19"/>
      <c r="AB27" s="20"/>
      <c r="AC27" s="20"/>
      <c r="AD27" s="20"/>
      <c r="AE27" s="6"/>
      <c r="AF27" s="28"/>
      <c r="AG27" s="19"/>
      <c r="AH27" s="20"/>
      <c r="AI27" s="20"/>
      <c r="AJ27" s="20"/>
      <c r="AK27" s="6"/>
      <c r="AL27" s="28"/>
      <c r="AM27" s="19"/>
      <c r="AN27" s="20"/>
      <c r="AO27" s="20"/>
      <c r="AP27" s="20"/>
      <c r="AQ27" s="6"/>
      <c r="AR27" s="28"/>
      <c r="AS27" s="19"/>
      <c r="AT27" s="20"/>
      <c r="AU27" s="20"/>
      <c r="AV27" s="20"/>
      <c r="AW27" s="6"/>
      <c r="AX27" s="28"/>
      <c r="AY27" s="19"/>
      <c r="AZ27" s="28"/>
      <c r="BA27" s="28"/>
      <c r="BB27" s="28"/>
      <c r="BC27" s="6"/>
      <c r="BD27" s="28"/>
      <c r="BE27" s="19"/>
      <c r="BF27" s="28"/>
      <c r="BG27" s="28"/>
      <c r="BH27" s="28"/>
      <c r="BI27" s="6"/>
      <c r="BJ27" s="28"/>
      <c r="BK27" s="19"/>
      <c r="BL27" s="28"/>
      <c r="BM27" s="28"/>
      <c r="BN27" s="28"/>
      <c r="BO27" s="6"/>
      <c r="BP27" s="28"/>
      <c r="BQ27" s="19"/>
      <c r="BR27" s="28"/>
      <c r="BS27" s="28"/>
      <c r="BT27" s="28"/>
      <c r="BU27" s="6"/>
      <c r="BV27" s="28"/>
      <c r="BW27" s="19"/>
      <c r="BX27" s="28"/>
      <c r="BY27" s="28"/>
      <c r="BZ27" s="28"/>
      <c r="CA27" s="6"/>
      <c r="CB27" s="28"/>
      <c r="CC27" s="19"/>
      <c r="CD27" s="28"/>
      <c r="CE27" s="28"/>
      <c r="CF27" s="28"/>
      <c r="CG27" s="6"/>
      <c r="CH27" s="28"/>
      <c r="CI27" s="19"/>
      <c r="CJ27" s="28"/>
      <c r="CK27" s="28"/>
      <c r="CL27" s="28"/>
      <c r="CM27" s="6"/>
      <c r="CN27" s="28"/>
      <c r="CO27" s="19"/>
      <c r="CP27" s="28"/>
      <c r="CQ27" s="28"/>
      <c r="CR27" s="28"/>
      <c r="CS27" s="6"/>
      <c r="CT27" s="28"/>
      <c r="CU27" s="19"/>
      <c r="CV27" s="28"/>
      <c r="CW27" s="28"/>
      <c r="CX27" s="28"/>
      <c r="CY27" s="6"/>
      <c r="CZ27" s="20"/>
      <c r="DA27" s="20"/>
      <c r="DB27" s="20"/>
    </row>
    <row r="28" spans="1:106" ht="11.25" customHeight="1" x14ac:dyDescent="0.2">
      <c r="A28" s="203" t="s">
        <v>39</v>
      </c>
      <c r="B28" s="48"/>
      <c r="C28" s="59"/>
      <c r="D28" s="39"/>
      <c r="E28" s="39"/>
      <c r="F28" s="39"/>
      <c r="G28" s="6"/>
      <c r="H28" s="28"/>
      <c r="I28" s="19"/>
      <c r="J28" s="20"/>
      <c r="K28" s="20"/>
      <c r="L28" s="20"/>
      <c r="M28" s="6"/>
      <c r="N28" s="28"/>
      <c r="O28" s="19"/>
      <c r="P28" s="20"/>
      <c r="Q28" s="20"/>
      <c r="R28" s="20"/>
      <c r="S28" s="6"/>
      <c r="T28" s="28"/>
      <c r="U28" s="19"/>
      <c r="V28" s="20"/>
      <c r="W28" s="20"/>
      <c r="X28" s="20"/>
      <c r="Y28" s="6"/>
      <c r="Z28" s="28"/>
      <c r="AA28" s="19"/>
      <c r="AB28" s="20"/>
      <c r="AC28" s="20"/>
      <c r="AD28" s="20"/>
      <c r="AE28" s="6"/>
      <c r="AF28" s="28"/>
      <c r="AG28" s="19"/>
      <c r="AH28" s="20"/>
      <c r="AI28" s="20"/>
      <c r="AJ28" s="20"/>
      <c r="AK28" s="6"/>
      <c r="AL28" s="28"/>
      <c r="AM28" s="19"/>
      <c r="AN28" s="20"/>
      <c r="AO28" s="20"/>
      <c r="AP28" s="20"/>
      <c r="AQ28" s="6"/>
      <c r="AR28" s="28"/>
      <c r="AS28" s="19"/>
      <c r="AT28" s="20"/>
      <c r="AU28" s="20"/>
      <c r="AV28" s="20"/>
      <c r="AW28" s="6"/>
      <c r="AX28" s="28"/>
      <c r="AY28" s="19"/>
      <c r="AZ28" s="28"/>
      <c r="BA28" s="28"/>
      <c r="BB28" s="28"/>
      <c r="BC28" s="6"/>
      <c r="BD28" s="28"/>
      <c r="BE28" s="19"/>
      <c r="BF28" s="28"/>
      <c r="BG28" s="28"/>
      <c r="BH28" s="28"/>
      <c r="BI28" s="6"/>
      <c r="BJ28" s="28"/>
      <c r="BK28" s="19"/>
      <c r="BL28" s="28"/>
      <c r="BM28" s="28"/>
      <c r="BN28" s="28"/>
      <c r="BO28" s="6"/>
      <c r="BP28" s="28"/>
      <c r="BQ28" s="19"/>
      <c r="BR28" s="28"/>
      <c r="BS28" s="28"/>
      <c r="BT28" s="28"/>
      <c r="BU28" s="6"/>
      <c r="BV28" s="28"/>
      <c r="BW28" s="19"/>
      <c r="BX28" s="28"/>
      <c r="BY28" s="28"/>
      <c r="BZ28" s="28"/>
      <c r="CA28" s="6"/>
      <c r="CB28" s="28"/>
      <c r="CC28" s="19"/>
      <c r="CD28" s="28"/>
      <c r="CE28" s="28"/>
      <c r="CF28" s="28"/>
      <c r="CG28" s="6"/>
      <c r="CH28" s="28"/>
      <c r="CI28" s="19"/>
      <c r="CJ28" s="28"/>
      <c r="CK28" s="28"/>
      <c r="CL28" s="28"/>
      <c r="CM28" s="6"/>
      <c r="CN28" s="28"/>
      <c r="CO28" s="19"/>
      <c r="CP28" s="28"/>
      <c r="CQ28" s="28"/>
      <c r="CR28" s="28"/>
      <c r="CS28" s="6"/>
      <c r="CT28" s="28"/>
      <c r="CU28" s="19"/>
      <c r="CV28" s="28"/>
      <c r="CW28" s="28"/>
      <c r="CX28" s="28"/>
      <c r="CY28" s="6"/>
      <c r="CZ28" s="20"/>
      <c r="DA28" s="20"/>
      <c r="DB28" s="20"/>
    </row>
    <row r="29" spans="1:106" ht="11.25" customHeight="1" x14ac:dyDescent="0.2">
      <c r="A29" s="354" t="s">
        <v>40</v>
      </c>
      <c r="B29" s="48"/>
      <c r="C29" s="59"/>
      <c r="D29" s="39"/>
      <c r="E29" s="39"/>
      <c r="F29" s="39"/>
      <c r="G29" s="331">
        <v>20.157</v>
      </c>
      <c r="H29" s="28"/>
      <c r="I29" s="53">
        <v>15.317</v>
      </c>
      <c r="J29" s="51">
        <v>17.417000000000002</v>
      </c>
      <c r="K29" s="51">
        <v>14.311999999999999</v>
      </c>
      <c r="L29" s="51">
        <v>15.933999999999999</v>
      </c>
      <c r="M29" s="6">
        <f t="shared" ref="M29:M34" si="19">L29</f>
        <v>15.933999999999999</v>
      </c>
      <c r="N29" s="28"/>
      <c r="O29" s="53">
        <v>16.638999999999999</v>
      </c>
      <c r="P29" s="51">
        <v>22.018999999999998</v>
      </c>
      <c r="Q29" s="51">
        <v>33.295000000000002</v>
      </c>
      <c r="R29" s="51">
        <v>23.806000000000001</v>
      </c>
      <c r="S29" s="6">
        <f t="shared" ref="S29:S34" si="20">R29</f>
        <v>23.806000000000001</v>
      </c>
      <c r="T29" s="28"/>
      <c r="U29" s="53">
        <v>21.454999999999998</v>
      </c>
      <c r="V29" s="51">
        <v>20.315000000000001</v>
      </c>
      <c r="W29" s="51">
        <v>35.408999999999999</v>
      </c>
      <c r="X29" s="51">
        <v>40.378999999999998</v>
      </c>
      <c r="Y29" s="6">
        <f t="shared" ref="Y29:Y34" si="21">X29</f>
        <v>40.378999999999998</v>
      </c>
      <c r="Z29" s="28"/>
      <c r="AA29" s="53">
        <v>37.822000000000003</v>
      </c>
      <c r="AB29" s="51">
        <v>39.353999999999999</v>
      </c>
      <c r="AC29" s="51">
        <v>41.158000000000001</v>
      </c>
      <c r="AD29" s="51">
        <v>48.835999999999999</v>
      </c>
      <c r="AE29" s="6">
        <f t="shared" ref="AE29:AE34" si="22">AD29</f>
        <v>48.835999999999999</v>
      </c>
      <c r="AF29" s="28"/>
      <c r="AG29" s="53">
        <v>38.978000000000002</v>
      </c>
      <c r="AH29" s="51">
        <v>38.645000000000003</v>
      </c>
      <c r="AI29" s="51">
        <v>42.078000000000003</v>
      </c>
      <c r="AJ29" s="51">
        <v>43.774999999999999</v>
      </c>
      <c r="AK29" s="6">
        <f t="shared" ref="AK29:AK34" si="23">AJ29</f>
        <v>43.774999999999999</v>
      </c>
      <c r="AL29" s="28"/>
      <c r="AM29" s="53">
        <v>45.572000000000003</v>
      </c>
      <c r="AN29" s="51">
        <v>49.006999999999998</v>
      </c>
      <c r="AO29" s="51">
        <v>65.066999999999993</v>
      </c>
      <c r="AP29" s="51">
        <v>47.802999999999997</v>
      </c>
      <c r="AQ29" s="6">
        <f t="shared" ref="AQ29:AQ34" si="24">AP29</f>
        <v>47.802999999999997</v>
      </c>
      <c r="AR29" s="28"/>
      <c r="AS29" s="53">
        <v>51.975999999999999</v>
      </c>
      <c r="AT29" s="51">
        <v>49.573</v>
      </c>
      <c r="AU29" s="51">
        <v>44.9</v>
      </c>
      <c r="AV29" s="51">
        <v>59.847999999999999</v>
      </c>
      <c r="AW29" s="6">
        <f t="shared" ref="AW29:AW34" si="25">AV29</f>
        <v>59.847999999999999</v>
      </c>
      <c r="AX29" s="28"/>
      <c r="AY29" s="53">
        <v>42.098999999999997</v>
      </c>
      <c r="AZ29" s="122">
        <v>60.694000000000003</v>
      </c>
      <c r="BA29" s="122">
        <v>56.091000000000001</v>
      </c>
      <c r="BB29" s="122">
        <v>51.311</v>
      </c>
      <c r="BC29" s="6">
        <f t="shared" ref="BC29:BC34" si="26">BB29</f>
        <v>51.311</v>
      </c>
      <c r="BD29" s="28"/>
      <c r="BE29" s="53">
        <v>40.76</v>
      </c>
      <c r="BF29" s="122">
        <v>43.466999999999999</v>
      </c>
      <c r="BG29" s="122">
        <v>40.097999999999999</v>
      </c>
      <c r="BH29" s="122">
        <v>50.869</v>
      </c>
      <c r="BI29" s="6">
        <f t="shared" ref="BI29:BI34" si="27">BH29</f>
        <v>50.869</v>
      </c>
      <c r="BJ29" s="28"/>
      <c r="BK29" s="53">
        <v>40.93</v>
      </c>
      <c r="BL29" s="122">
        <v>44.183</v>
      </c>
      <c r="BM29" s="122">
        <v>42.055</v>
      </c>
      <c r="BN29" s="122">
        <v>46.124000000000002</v>
      </c>
      <c r="BO29" s="6">
        <f t="shared" ref="BO29:BO34" si="28">BN29</f>
        <v>46.124000000000002</v>
      </c>
      <c r="BP29" s="28"/>
      <c r="BQ29" s="53">
        <v>45.073999999999998</v>
      </c>
      <c r="BR29" s="122">
        <v>42.207000000000001</v>
      </c>
      <c r="BS29" s="122">
        <v>41.938000000000002</v>
      </c>
      <c r="BT29" s="122">
        <v>52.305999999999997</v>
      </c>
      <c r="BU29" s="6">
        <f t="shared" ref="BU29:BU34" si="29">BT29</f>
        <v>52.305999999999997</v>
      </c>
      <c r="BV29" s="28"/>
      <c r="BW29" s="53">
        <v>38.93</v>
      </c>
      <c r="BX29" s="122">
        <v>45.563000000000002</v>
      </c>
      <c r="BY29" s="122">
        <v>40.874000000000002</v>
      </c>
      <c r="BZ29" s="122">
        <v>51.218000000000004</v>
      </c>
      <c r="CA29" s="6">
        <f t="shared" ref="CA29:CA34" si="30">BZ29</f>
        <v>51.218000000000004</v>
      </c>
      <c r="CB29" s="28"/>
      <c r="CC29" s="53">
        <v>44.575000000000003</v>
      </c>
      <c r="CD29" s="122">
        <v>48.5</v>
      </c>
      <c r="CE29" s="122">
        <v>50.55</v>
      </c>
      <c r="CF29" s="122">
        <v>59.204999999999998</v>
      </c>
      <c r="CG29" s="6">
        <f t="shared" ref="CG29:CG34" si="31">CF29</f>
        <v>59.204999999999998</v>
      </c>
      <c r="CH29" s="28"/>
      <c r="CI29" s="19">
        <f>'P&amp;L'!CI10*BS!CI79/(365/4)</f>
        <v>48.339049954533564</v>
      </c>
      <c r="CJ29" s="28">
        <f>'P&amp;L'!CJ10*BS!CJ79/(365/4)</f>
        <v>53.042004043299507</v>
      </c>
      <c r="CK29" s="28">
        <f>'P&amp;L'!CK10*BS!CK79/(365/4)</f>
        <v>57.191876807109779</v>
      </c>
      <c r="CL29" s="28">
        <f>'P&amp;L'!CL10*BS!CL79/(365/4)</f>
        <v>65.851773620747878</v>
      </c>
      <c r="CM29" s="6">
        <f t="shared" ref="CM29:CM34" si="32">CL29</f>
        <v>65.851773620747878</v>
      </c>
      <c r="CN29" s="28"/>
      <c r="CO29" s="19">
        <f>'P&amp;L'!CO10*BS!CO79/(365/4)</f>
        <v>54.732938523399234</v>
      </c>
      <c r="CP29" s="28">
        <f>'P&amp;L'!CP10*BS!CP79/(365/4)</f>
        <v>58.194642329324267</v>
      </c>
      <c r="CQ29" s="28">
        <f>'P&amp;L'!CQ10*BS!CQ79/(365/4)</f>
        <v>61.22076108586959</v>
      </c>
      <c r="CR29" s="28">
        <f>'P&amp;L'!CR10*BS!CR79/(365/4)</f>
        <v>72.041629285528686</v>
      </c>
      <c r="CS29" s="6">
        <f t="shared" ref="CS29:CS34" si="33">CR29</f>
        <v>72.041629285528686</v>
      </c>
      <c r="CT29" s="28"/>
      <c r="CU29" s="19">
        <f>'P&amp;L'!CU10*BS!CU79/(365/4)</f>
        <v>61.479884364190617</v>
      </c>
      <c r="CV29" s="28">
        <f>'P&amp;L'!CV10*BS!CV79/(365/4)</f>
        <v>64.98601047757802</v>
      </c>
      <c r="CW29" s="28">
        <f>'P&amp;L'!CW10*BS!CW79/(365/4)</f>
        <v>68.143485515988402</v>
      </c>
      <c r="CX29" s="28">
        <f>'P&amp;L'!CX10*BS!CX79/(365/4)</f>
        <v>79.904414019305307</v>
      </c>
      <c r="CY29" s="6">
        <f t="shared" ref="CY29:CY34" si="34">CX29</f>
        <v>79.904414019305307</v>
      </c>
      <c r="CZ29" s="20"/>
      <c r="DA29" s="20"/>
      <c r="DB29" s="20"/>
    </row>
    <row r="30" spans="1:106" ht="11.25" customHeight="1" x14ac:dyDescent="0.2">
      <c r="A30" s="354" t="s">
        <v>41</v>
      </c>
      <c r="B30" s="48"/>
      <c r="C30" s="59"/>
      <c r="D30" s="39"/>
      <c r="E30" s="39"/>
      <c r="F30" s="39"/>
      <c r="G30" s="331">
        <f>46.879+1.201</f>
        <v>48.08</v>
      </c>
      <c r="H30" s="28"/>
      <c r="I30" s="53">
        <f>39.141+1.069</f>
        <v>40.21</v>
      </c>
      <c r="J30" s="51">
        <f>53.432+0.065+1.022</f>
        <v>54.518999999999998</v>
      </c>
      <c r="K30" s="51">
        <f>43.105+1.002</f>
        <v>44.106999999999999</v>
      </c>
      <c r="L30" s="51">
        <f>52.707+0.995</f>
        <v>53.701999999999998</v>
      </c>
      <c r="M30" s="6">
        <f t="shared" si="19"/>
        <v>53.701999999999998</v>
      </c>
      <c r="N30" s="28"/>
      <c r="O30" s="53">
        <f>49.597+3.118+0.723</f>
        <v>53.438000000000002</v>
      </c>
      <c r="P30" s="51">
        <f>62.446+0.818</f>
        <v>63.263999999999996</v>
      </c>
      <c r="Q30" s="51">
        <f>52.697+0.814</f>
        <v>53.511000000000003</v>
      </c>
      <c r="R30" s="51">
        <f>66.197+0.823</f>
        <v>67.02</v>
      </c>
      <c r="S30" s="6">
        <f t="shared" si="20"/>
        <v>67.02</v>
      </c>
      <c r="T30" s="28"/>
      <c r="U30" s="53">
        <f>74.592+0.821</f>
        <v>75.412999999999997</v>
      </c>
      <c r="V30" s="51">
        <f>66.146+0.836</f>
        <v>66.981999999999999</v>
      </c>
      <c r="W30" s="51">
        <f>132.816+0.006+2.678</f>
        <v>135.5</v>
      </c>
      <c r="X30" s="51">
        <f>104.224+2.769</f>
        <v>106.99300000000001</v>
      </c>
      <c r="Y30" s="6">
        <f t="shared" si="21"/>
        <v>106.99300000000001</v>
      </c>
      <c r="Z30" s="28"/>
      <c r="AA30" s="53">
        <f>99.569+2.962</f>
        <v>102.53100000000001</v>
      </c>
      <c r="AB30" s="51">
        <f>108.689+2.956</f>
        <v>111.645</v>
      </c>
      <c r="AC30" s="51">
        <f>110.421+3.011</f>
        <v>113.432</v>
      </c>
      <c r="AD30" s="51">
        <f>163.513+2.984</f>
        <v>166.49700000000001</v>
      </c>
      <c r="AE30" s="6">
        <f t="shared" si="22"/>
        <v>166.49700000000001</v>
      </c>
      <c r="AF30" s="28"/>
      <c r="AG30" s="53">
        <f>146.448+2.976</f>
        <v>149.42400000000001</v>
      </c>
      <c r="AH30" s="51">
        <f>165.64+3.063</f>
        <v>168.70299999999997</v>
      </c>
      <c r="AI30" s="51">
        <f>236.98+3.342</f>
        <v>240.322</v>
      </c>
      <c r="AJ30" s="51">
        <f>248.699+3.417</f>
        <v>252.11600000000001</v>
      </c>
      <c r="AK30" s="6">
        <f t="shared" si="23"/>
        <v>252.11600000000001</v>
      </c>
      <c r="AL30" s="28"/>
      <c r="AM30" s="53">
        <f>209.479+3.38</f>
        <v>212.85900000000001</v>
      </c>
      <c r="AN30" s="51">
        <f>188.653+3.346</f>
        <v>191.999</v>
      </c>
      <c r="AO30" s="51">
        <f>210.474+3.555</f>
        <v>214.029</v>
      </c>
      <c r="AP30" s="51">
        <v>209.054</v>
      </c>
      <c r="AQ30" s="6">
        <f t="shared" si="24"/>
        <v>209.054</v>
      </c>
      <c r="AR30" s="28"/>
      <c r="AS30" s="53">
        <v>197.95099999999999</v>
      </c>
      <c r="AT30" s="51">
        <v>190.88</v>
      </c>
      <c r="AU30" s="51">
        <v>194.59899999999999</v>
      </c>
      <c r="AV30" s="51">
        <f>213.769</f>
        <v>213.76900000000001</v>
      </c>
      <c r="AW30" s="6">
        <f t="shared" si="25"/>
        <v>213.76900000000001</v>
      </c>
      <c r="AX30" s="28"/>
      <c r="AY30" s="53">
        <f>204.196</f>
        <v>204.196</v>
      </c>
      <c r="AZ30" s="122">
        <f>172.019</f>
        <v>172.01900000000001</v>
      </c>
      <c r="BA30" s="122">
        <v>188.166</v>
      </c>
      <c r="BB30" s="122">
        <v>196.447</v>
      </c>
      <c r="BC30" s="6">
        <f t="shared" si="26"/>
        <v>196.447</v>
      </c>
      <c r="BD30" s="28"/>
      <c r="BE30" s="53">
        <v>197.315</v>
      </c>
      <c r="BF30" s="122">
        <v>219.809</v>
      </c>
      <c r="BG30" s="122">
        <v>243.084</v>
      </c>
      <c r="BH30" s="122">
        <v>245.23599999999999</v>
      </c>
      <c r="BI30" s="6">
        <f t="shared" si="27"/>
        <v>245.23599999999999</v>
      </c>
      <c r="BJ30" s="28"/>
      <c r="BK30" s="53">
        <v>217.84700000000001</v>
      </c>
      <c r="BL30" s="122">
        <v>198.202</v>
      </c>
      <c r="BM30" s="122">
        <v>208.38399999999999</v>
      </c>
      <c r="BN30" s="122">
        <v>224.203</v>
      </c>
      <c r="BO30" s="6">
        <f t="shared" si="28"/>
        <v>224.203</v>
      </c>
      <c r="BP30" s="28"/>
      <c r="BQ30" s="53">
        <v>255.23400000000001</v>
      </c>
      <c r="BR30" s="122">
        <v>188.14099999999999</v>
      </c>
      <c r="BS30" s="122">
        <v>198.90899999999999</v>
      </c>
      <c r="BT30" s="122">
        <v>192.06899999999999</v>
      </c>
      <c r="BU30" s="6">
        <f t="shared" si="29"/>
        <v>192.06899999999999</v>
      </c>
      <c r="BV30" s="28"/>
      <c r="BW30" s="53">
        <v>184.352</v>
      </c>
      <c r="BX30" s="122">
        <v>183.91800000000001</v>
      </c>
      <c r="BY30" s="122">
        <v>196.96299999999999</v>
      </c>
      <c r="BZ30" s="122">
        <v>230.30500000000001</v>
      </c>
      <c r="CA30" s="6">
        <f t="shared" si="30"/>
        <v>230.30500000000001</v>
      </c>
      <c r="CB30" s="28"/>
      <c r="CC30" s="53">
        <v>211.61</v>
      </c>
      <c r="CD30" s="122">
        <v>241.60300000000001</v>
      </c>
      <c r="CE30" s="122">
        <v>232.95400000000001</v>
      </c>
      <c r="CF30" s="122">
        <v>244.114</v>
      </c>
      <c r="CG30" s="6">
        <f t="shared" si="31"/>
        <v>244.114</v>
      </c>
      <c r="CH30" s="28"/>
      <c r="CI30" s="19">
        <f>'P&amp;L'!CI16*4*BS!CI92</f>
        <v>233.94192578508139</v>
      </c>
      <c r="CJ30" s="28">
        <f>'P&amp;L'!CJ16*4*BS!CJ92</f>
        <v>269.66426500522027</v>
      </c>
      <c r="CK30" s="28">
        <f>'P&amp;L'!CK16*4*BS!CK92</f>
        <v>263.93418352717009</v>
      </c>
      <c r="CL30" s="28">
        <f>'P&amp;L'!CL16*4*BS!CL92</f>
        <v>271.80619401139194</v>
      </c>
      <c r="CM30" s="6">
        <f t="shared" si="32"/>
        <v>271.80619401139194</v>
      </c>
      <c r="CN30" s="28"/>
      <c r="CO30" s="19">
        <f>'P&amp;L'!CO16*4*BS!CO92</f>
        <v>250.51709355336163</v>
      </c>
      <c r="CP30" s="28">
        <f>'P&amp;L'!CP16*4*BS!CP92</f>
        <v>287.3690360017888</v>
      </c>
      <c r="CQ30" s="28">
        <f>'P&amp;L'!CQ16*4*BS!CQ92</f>
        <v>272.74528260302861</v>
      </c>
      <c r="CR30" s="28">
        <f>'P&amp;L'!CR16*4*BS!CR92</f>
        <v>291.59253305684251</v>
      </c>
      <c r="CS30" s="6">
        <f t="shared" si="33"/>
        <v>291.59253305684251</v>
      </c>
      <c r="CT30" s="28"/>
      <c r="CU30" s="19">
        <f>'P&amp;L'!CU16*4*BS!CU92</f>
        <v>271.78522704999966</v>
      </c>
      <c r="CV30" s="28">
        <f>'P&amp;L'!CV16*4*BS!CV92</f>
        <v>309.79056384772883</v>
      </c>
      <c r="CW30" s="28">
        <f>'P&amp;L'!CW16*4*BS!CW92</f>
        <v>293.43338029144513</v>
      </c>
      <c r="CX30" s="28">
        <f>'P&amp;L'!CX16*4*BS!CX92</f>
        <v>312.9912521993914</v>
      </c>
      <c r="CY30" s="6">
        <f t="shared" si="34"/>
        <v>312.9912521993914</v>
      </c>
      <c r="CZ30" s="20"/>
      <c r="DA30" s="20"/>
      <c r="DB30" s="20"/>
    </row>
    <row r="31" spans="1:106" ht="11.25" customHeight="1" x14ac:dyDescent="0.2">
      <c r="A31" s="354" t="s">
        <v>163</v>
      </c>
      <c r="B31" s="48"/>
      <c r="C31" s="59"/>
      <c r="D31" s="39"/>
      <c r="E31" s="39"/>
      <c r="F31" s="39"/>
      <c r="G31" s="331">
        <v>0</v>
      </c>
      <c r="H31" s="28"/>
      <c r="I31" s="53">
        <v>0</v>
      </c>
      <c r="J31" s="51">
        <v>0</v>
      </c>
      <c r="K31" s="51">
        <v>0</v>
      </c>
      <c r="L31" s="51">
        <v>0</v>
      </c>
      <c r="M31" s="6">
        <f t="shared" si="19"/>
        <v>0</v>
      </c>
      <c r="N31" s="28"/>
      <c r="O31" s="53">
        <v>0</v>
      </c>
      <c r="P31" s="51">
        <v>0</v>
      </c>
      <c r="Q31" s="51">
        <v>0</v>
      </c>
      <c r="R31" s="51">
        <v>0</v>
      </c>
      <c r="S31" s="6">
        <f t="shared" si="20"/>
        <v>0</v>
      </c>
      <c r="T31" s="28"/>
      <c r="U31" s="53">
        <v>0</v>
      </c>
      <c r="V31" s="51">
        <v>0</v>
      </c>
      <c r="W31" s="51">
        <v>0</v>
      </c>
      <c r="X31" s="51">
        <v>0</v>
      </c>
      <c r="Y31" s="6">
        <f t="shared" si="21"/>
        <v>0</v>
      </c>
      <c r="Z31" s="28"/>
      <c r="AA31" s="53">
        <v>0</v>
      </c>
      <c r="AB31" s="51">
        <v>0</v>
      </c>
      <c r="AC31" s="51">
        <v>0</v>
      </c>
      <c r="AD31" s="51">
        <v>0</v>
      </c>
      <c r="AE31" s="6">
        <f t="shared" si="22"/>
        <v>0</v>
      </c>
      <c r="AF31" s="28"/>
      <c r="AG31" s="53">
        <v>0</v>
      </c>
      <c r="AH31" s="51">
        <v>0</v>
      </c>
      <c r="AI31" s="51">
        <v>0</v>
      </c>
      <c r="AJ31" s="51">
        <v>0</v>
      </c>
      <c r="AK31" s="6">
        <f t="shared" si="23"/>
        <v>0</v>
      </c>
      <c r="AL31" s="28"/>
      <c r="AM31" s="53">
        <v>0</v>
      </c>
      <c r="AN31" s="51">
        <v>0</v>
      </c>
      <c r="AO31" s="51">
        <v>0</v>
      </c>
      <c r="AP31" s="51">
        <v>0</v>
      </c>
      <c r="AQ31" s="6">
        <f t="shared" si="24"/>
        <v>0</v>
      </c>
      <c r="AR31" s="28"/>
      <c r="AS31" s="53">
        <v>0</v>
      </c>
      <c r="AT31" s="51">
        <v>0</v>
      </c>
      <c r="AU31" s="51">
        <v>0</v>
      </c>
      <c r="AV31" s="51">
        <v>142.32900000000001</v>
      </c>
      <c r="AW31" s="6">
        <f t="shared" si="25"/>
        <v>142.32900000000001</v>
      </c>
      <c r="AX31" s="28"/>
      <c r="AY31" s="53">
        <v>146.916</v>
      </c>
      <c r="AZ31" s="122">
        <v>214.03</v>
      </c>
      <c r="BA31" s="122">
        <v>219.81</v>
      </c>
      <c r="BB31" s="122">
        <v>0</v>
      </c>
      <c r="BC31" s="6">
        <f t="shared" si="26"/>
        <v>0</v>
      </c>
      <c r="BD31" s="28"/>
      <c r="BE31" s="53">
        <f>BC31</f>
        <v>0</v>
      </c>
      <c r="BF31" s="122">
        <v>0</v>
      </c>
      <c r="BG31" s="122">
        <v>0</v>
      </c>
      <c r="BH31" s="122">
        <v>0</v>
      </c>
      <c r="BI31" s="6">
        <f t="shared" si="27"/>
        <v>0</v>
      </c>
      <c r="BJ31" s="28"/>
      <c r="BK31" s="53">
        <v>0</v>
      </c>
      <c r="BL31" s="122">
        <v>0</v>
      </c>
      <c r="BM31" s="122">
        <v>0</v>
      </c>
      <c r="BN31" s="122">
        <v>0</v>
      </c>
      <c r="BO31" s="6">
        <f t="shared" si="28"/>
        <v>0</v>
      </c>
      <c r="BP31" s="28"/>
      <c r="BQ31" s="53">
        <v>0</v>
      </c>
      <c r="BR31" s="122">
        <v>0</v>
      </c>
      <c r="BS31" s="122">
        <v>0</v>
      </c>
      <c r="BT31" s="122">
        <v>0</v>
      </c>
      <c r="BU31" s="6">
        <f t="shared" si="29"/>
        <v>0</v>
      </c>
      <c r="BV31" s="28"/>
      <c r="BW31" s="53">
        <v>0</v>
      </c>
      <c r="BX31" s="122">
        <v>0</v>
      </c>
      <c r="BY31" s="122">
        <v>0</v>
      </c>
      <c r="BZ31" s="122">
        <v>0</v>
      </c>
      <c r="CA31" s="6">
        <f t="shared" si="30"/>
        <v>0</v>
      </c>
      <c r="CB31" s="28"/>
      <c r="CC31" s="53">
        <v>0</v>
      </c>
      <c r="CD31" s="122">
        <v>0</v>
      </c>
      <c r="CE31" s="122">
        <v>0</v>
      </c>
      <c r="CF31" s="122">
        <v>0</v>
      </c>
      <c r="CG31" s="6">
        <f t="shared" si="31"/>
        <v>0</v>
      </c>
      <c r="CH31" s="28"/>
      <c r="CI31" s="19">
        <f>CG31</f>
        <v>0</v>
      </c>
      <c r="CJ31" s="28">
        <f t="shared" ref="CJ31:CL32" si="35">CI31</f>
        <v>0</v>
      </c>
      <c r="CK31" s="28">
        <f t="shared" si="35"/>
        <v>0</v>
      </c>
      <c r="CL31" s="28">
        <f t="shared" si="35"/>
        <v>0</v>
      </c>
      <c r="CM31" s="6">
        <f t="shared" si="32"/>
        <v>0</v>
      </c>
      <c r="CN31" s="28"/>
      <c r="CO31" s="19">
        <f>CM31</f>
        <v>0</v>
      </c>
      <c r="CP31" s="28">
        <f t="shared" ref="CP31:CR32" si="36">CO31</f>
        <v>0</v>
      </c>
      <c r="CQ31" s="28">
        <f t="shared" si="36"/>
        <v>0</v>
      </c>
      <c r="CR31" s="28">
        <f t="shared" si="36"/>
        <v>0</v>
      </c>
      <c r="CS31" s="6">
        <f t="shared" si="33"/>
        <v>0</v>
      </c>
      <c r="CT31" s="28"/>
      <c r="CU31" s="19">
        <f>CS31</f>
        <v>0</v>
      </c>
      <c r="CV31" s="28">
        <f t="shared" ref="CV31:CX32" si="37">CU31</f>
        <v>0</v>
      </c>
      <c r="CW31" s="28">
        <f t="shared" si="37"/>
        <v>0</v>
      </c>
      <c r="CX31" s="28">
        <f t="shared" si="37"/>
        <v>0</v>
      </c>
      <c r="CY31" s="6">
        <f t="shared" si="34"/>
        <v>0</v>
      </c>
      <c r="CZ31" s="20"/>
      <c r="DA31" s="20"/>
      <c r="DB31" s="20"/>
    </row>
    <row r="32" spans="1:106" ht="11.25" customHeight="1" x14ac:dyDescent="0.2">
      <c r="A32" s="354" t="s">
        <v>42</v>
      </c>
      <c r="B32" s="48"/>
      <c r="C32" s="59"/>
      <c r="D32" s="39"/>
      <c r="E32" s="39"/>
      <c r="F32" s="39"/>
      <c r="G32" s="331">
        <v>10.282999999999999</v>
      </c>
      <c r="H32" s="28"/>
      <c r="I32" s="53">
        <v>10.108000000000001</v>
      </c>
      <c r="J32" s="51">
        <v>9.6709999999999994</v>
      </c>
      <c r="K32" s="51">
        <v>10.795999999999999</v>
      </c>
      <c r="L32" s="51">
        <v>14.935</v>
      </c>
      <c r="M32" s="6">
        <f t="shared" si="19"/>
        <v>14.935</v>
      </c>
      <c r="N32" s="28"/>
      <c r="O32" s="53">
        <v>15.144</v>
      </c>
      <c r="P32" s="51">
        <v>13.635</v>
      </c>
      <c r="Q32" s="51">
        <v>16.859000000000002</v>
      </c>
      <c r="R32" s="51">
        <v>13.746</v>
      </c>
      <c r="S32" s="6">
        <f t="shared" si="20"/>
        <v>13.746</v>
      </c>
      <c r="T32" s="28"/>
      <c r="U32" s="53">
        <v>22.315000000000001</v>
      </c>
      <c r="V32" s="51">
        <v>19.952999999999999</v>
      </c>
      <c r="W32" s="51">
        <v>12.817</v>
      </c>
      <c r="X32" s="51">
        <v>13.456</v>
      </c>
      <c r="Y32" s="6">
        <f t="shared" si="21"/>
        <v>13.456</v>
      </c>
      <c r="Z32" s="28"/>
      <c r="AA32" s="53">
        <v>22.643000000000001</v>
      </c>
      <c r="AB32" s="51">
        <v>25.29</v>
      </c>
      <c r="AC32" s="51">
        <v>27.452999999999999</v>
      </c>
      <c r="AD32" s="51">
        <v>14.288</v>
      </c>
      <c r="AE32" s="6">
        <f t="shared" si="22"/>
        <v>14.288</v>
      </c>
      <c r="AF32" s="28"/>
      <c r="AG32" s="53">
        <v>2.5179999999999998</v>
      </c>
      <c r="AH32" s="51">
        <v>23.408999999999999</v>
      </c>
      <c r="AI32" s="51">
        <v>33.414000000000001</v>
      </c>
      <c r="AJ32" s="51">
        <v>10.727</v>
      </c>
      <c r="AK32" s="6">
        <f t="shared" si="23"/>
        <v>10.727</v>
      </c>
      <c r="AL32" s="28"/>
      <c r="AM32" s="53">
        <v>12.212</v>
      </c>
      <c r="AN32" s="51">
        <v>13.672000000000001</v>
      </c>
      <c r="AO32" s="51">
        <v>22.957999999999998</v>
      </c>
      <c r="AP32" s="51">
        <v>25.210999999999999</v>
      </c>
      <c r="AQ32" s="6">
        <f t="shared" si="24"/>
        <v>25.210999999999999</v>
      </c>
      <c r="AR32" s="28"/>
      <c r="AS32" s="53">
        <v>17.821000000000002</v>
      </c>
      <c r="AT32" s="51">
        <v>16.821000000000002</v>
      </c>
      <c r="AU32" s="51">
        <v>21.178999999999998</v>
      </c>
      <c r="AV32" s="51">
        <v>31.210999999999999</v>
      </c>
      <c r="AW32" s="6">
        <f t="shared" si="25"/>
        <v>31.210999999999999</v>
      </c>
      <c r="AX32" s="28"/>
      <c r="AY32" s="53">
        <v>22.757999999999999</v>
      </c>
      <c r="AZ32" s="122">
        <v>28.073</v>
      </c>
      <c r="BA32" s="122">
        <v>38.203000000000003</v>
      </c>
      <c r="BB32" s="122">
        <v>14.863</v>
      </c>
      <c r="BC32" s="6">
        <f t="shared" si="26"/>
        <v>14.863</v>
      </c>
      <c r="BD32" s="28"/>
      <c r="BE32" s="53">
        <v>26.907</v>
      </c>
      <c r="BF32" s="122">
        <v>30.003</v>
      </c>
      <c r="BG32" s="122">
        <v>16.975999999999999</v>
      </c>
      <c r="BH32" s="122">
        <v>38.131</v>
      </c>
      <c r="BI32" s="6">
        <f t="shared" si="27"/>
        <v>38.131</v>
      </c>
      <c r="BJ32" s="28"/>
      <c r="BK32" s="53">
        <v>51.768999999999998</v>
      </c>
      <c r="BL32" s="122">
        <v>50.302999999999997</v>
      </c>
      <c r="BM32" s="122">
        <v>52.027000000000001</v>
      </c>
      <c r="BN32" s="122">
        <v>28.934999999999999</v>
      </c>
      <c r="BO32" s="6">
        <f t="shared" si="28"/>
        <v>28.934999999999999</v>
      </c>
      <c r="BP32" s="28"/>
      <c r="BQ32" s="53">
        <v>29.274999999999999</v>
      </c>
      <c r="BR32" s="122">
        <v>30.701000000000001</v>
      </c>
      <c r="BS32" s="122">
        <v>32.841000000000001</v>
      </c>
      <c r="BT32" s="122">
        <v>21.515000000000001</v>
      </c>
      <c r="BU32" s="6">
        <f t="shared" si="29"/>
        <v>21.515000000000001</v>
      </c>
      <c r="BV32" s="28"/>
      <c r="BW32" s="53">
        <v>22.95</v>
      </c>
      <c r="BX32" s="122">
        <v>18.96</v>
      </c>
      <c r="BY32" s="122">
        <v>12.284000000000001</v>
      </c>
      <c r="BZ32" s="122">
        <v>26.905999999999999</v>
      </c>
      <c r="CA32" s="6">
        <f t="shared" si="30"/>
        <v>26.905999999999999</v>
      </c>
      <c r="CB32" s="28"/>
      <c r="CC32" s="53">
        <v>17.347000000000001</v>
      </c>
      <c r="CD32" s="122">
        <v>10.678000000000001</v>
      </c>
      <c r="CE32" s="122">
        <v>11.2</v>
      </c>
      <c r="CF32" s="122">
        <v>21.472999999999999</v>
      </c>
      <c r="CG32" s="6">
        <f t="shared" si="31"/>
        <v>21.472999999999999</v>
      </c>
      <c r="CH32" s="28"/>
      <c r="CI32" s="19">
        <f>CG32</f>
        <v>21.472999999999999</v>
      </c>
      <c r="CJ32" s="28">
        <f t="shared" si="35"/>
        <v>21.472999999999999</v>
      </c>
      <c r="CK32" s="28">
        <f t="shared" si="35"/>
        <v>21.472999999999999</v>
      </c>
      <c r="CL32" s="28">
        <f t="shared" si="35"/>
        <v>21.472999999999999</v>
      </c>
      <c r="CM32" s="6">
        <f t="shared" si="32"/>
        <v>21.472999999999999</v>
      </c>
      <c r="CN32" s="28"/>
      <c r="CO32" s="19">
        <f>CM32</f>
        <v>21.472999999999999</v>
      </c>
      <c r="CP32" s="28">
        <f t="shared" si="36"/>
        <v>21.472999999999999</v>
      </c>
      <c r="CQ32" s="28">
        <f t="shared" si="36"/>
        <v>21.472999999999999</v>
      </c>
      <c r="CR32" s="28">
        <f t="shared" si="36"/>
        <v>21.472999999999999</v>
      </c>
      <c r="CS32" s="6">
        <f t="shared" si="33"/>
        <v>21.472999999999999</v>
      </c>
      <c r="CT32" s="28"/>
      <c r="CU32" s="19">
        <f>CS32</f>
        <v>21.472999999999999</v>
      </c>
      <c r="CV32" s="28">
        <f t="shared" si="37"/>
        <v>21.472999999999999</v>
      </c>
      <c r="CW32" s="28">
        <f t="shared" si="37"/>
        <v>21.472999999999999</v>
      </c>
      <c r="CX32" s="28">
        <f t="shared" si="37"/>
        <v>21.472999999999999</v>
      </c>
      <c r="CY32" s="6">
        <f t="shared" si="34"/>
        <v>21.472999999999999</v>
      </c>
      <c r="CZ32" s="20"/>
      <c r="DA32" s="20"/>
      <c r="DB32" s="20"/>
    </row>
    <row r="33" spans="1:106" ht="11.25" customHeight="1" x14ac:dyDescent="0.2">
      <c r="A33" s="354" t="s">
        <v>43</v>
      </c>
      <c r="B33" s="48"/>
      <c r="C33" s="59"/>
      <c r="D33" s="39"/>
      <c r="E33" s="39"/>
      <c r="F33" s="39"/>
      <c r="G33" s="331">
        <v>6.7690000000000001</v>
      </c>
      <c r="H33" s="28"/>
      <c r="I33" s="53">
        <v>6.4850000000000003</v>
      </c>
      <c r="J33" s="51">
        <v>6.1</v>
      </c>
      <c r="K33" s="51">
        <v>6.0289999999999999</v>
      </c>
      <c r="L33" s="51">
        <v>5.9210000000000003</v>
      </c>
      <c r="M33" s="6">
        <f t="shared" si="19"/>
        <v>5.9210000000000003</v>
      </c>
      <c r="N33" s="28"/>
      <c r="O33" s="53">
        <v>6.069</v>
      </c>
      <c r="P33" s="51">
        <v>6.4039999999999999</v>
      </c>
      <c r="Q33" s="51">
        <v>6.3520000000000003</v>
      </c>
      <c r="R33" s="51">
        <v>6.5990000000000002</v>
      </c>
      <c r="S33" s="6">
        <f t="shared" si="20"/>
        <v>6.5990000000000002</v>
      </c>
      <c r="T33" s="28"/>
      <c r="U33" s="53">
        <v>6.6870000000000003</v>
      </c>
      <c r="V33" s="51">
        <v>13.52</v>
      </c>
      <c r="W33" s="51">
        <v>0</v>
      </c>
      <c r="X33" s="51">
        <v>0</v>
      </c>
      <c r="Y33" s="6">
        <f t="shared" si="21"/>
        <v>0</v>
      </c>
      <c r="Z33" s="28"/>
      <c r="AA33" s="53">
        <v>0</v>
      </c>
      <c r="AB33" s="51">
        <v>0</v>
      </c>
      <c r="AC33" s="51">
        <v>25</v>
      </c>
      <c r="AD33" s="51">
        <v>25</v>
      </c>
      <c r="AE33" s="6">
        <f t="shared" si="22"/>
        <v>25</v>
      </c>
      <c r="AF33" s="28"/>
      <c r="AG33" s="53">
        <v>25</v>
      </c>
      <c r="AH33" s="51">
        <v>25</v>
      </c>
      <c r="AI33" s="51">
        <v>50</v>
      </c>
      <c r="AJ33" s="51">
        <v>50</v>
      </c>
      <c r="AK33" s="6">
        <f t="shared" si="23"/>
        <v>50</v>
      </c>
      <c r="AL33" s="28"/>
      <c r="AM33" s="53">
        <v>50</v>
      </c>
      <c r="AN33" s="51">
        <v>50.976999999999997</v>
      </c>
      <c r="AO33" s="51">
        <v>75.427000000000007</v>
      </c>
      <c r="AP33" s="51">
        <v>75.834999999999994</v>
      </c>
      <c r="AQ33" s="6">
        <f t="shared" si="24"/>
        <v>75.834999999999994</v>
      </c>
      <c r="AR33" s="28"/>
      <c r="AS33" s="53">
        <v>76.331999999999994</v>
      </c>
      <c r="AT33" s="51">
        <v>76.807000000000002</v>
      </c>
      <c r="AU33" s="51">
        <v>351.661</v>
      </c>
      <c r="AV33" s="51">
        <v>1.617</v>
      </c>
      <c r="AW33" s="6">
        <f t="shared" si="25"/>
        <v>1.617</v>
      </c>
      <c r="AX33" s="28"/>
      <c r="AY33" s="53">
        <v>2.0870000000000002</v>
      </c>
      <c r="AZ33" s="122">
        <v>1.6519999999999999</v>
      </c>
      <c r="BA33" s="122">
        <v>1.2929999999999999</v>
      </c>
      <c r="BB33" s="122">
        <v>0.94799999999999995</v>
      </c>
      <c r="BC33" s="6">
        <f t="shared" si="26"/>
        <v>0.94799999999999995</v>
      </c>
      <c r="BD33" s="28"/>
      <c r="BE33" s="53">
        <v>0.91200000000000003</v>
      </c>
      <c r="BF33" s="122">
        <v>0.72699999999999998</v>
      </c>
      <c r="BG33" s="122">
        <v>0.32600000000000001</v>
      </c>
      <c r="BH33" s="122">
        <v>0.20699999999999999</v>
      </c>
      <c r="BI33" s="6">
        <f t="shared" si="27"/>
        <v>0.20699999999999999</v>
      </c>
      <c r="BJ33" s="28"/>
      <c r="BK33" s="53">
        <v>0.41399999999999998</v>
      </c>
      <c r="BL33" s="122">
        <v>0.41</v>
      </c>
      <c r="BM33" s="122">
        <v>130.828</v>
      </c>
      <c r="BN33" s="122">
        <v>131.119</v>
      </c>
      <c r="BO33" s="6">
        <f t="shared" si="28"/>
        <v>131.119</v>
      </c>
      <c r="BP33" s="28"/>
      <c r="BQ33" s="53">
        <v>0.64700000000000002</v>
      </c>
      <c r="BR33" s="122">
        <f>Debt!BR73</f>
        <v>0.61499999999999999</v>
      </c>
      <c r="BS33" s="122">
        <v>0.49</v>
      </c>
      <c r="BT33" s="122">
        <v>0</v>
      </c>
      <c r="BU33" s="6">
        <f t="shared" si="29"/>
        <v>0</v>
      </c>
      <c r="BV33" s="28"/>
      <c r="BW33" s="329">
        <v>0</v>
      </c>
      <c r="BX33" s="122">
        <v>0</v>
      </c>
      <c r="BY33" s="122">
        <v>0</v>
      </c>
      <c r="BZ33" s="122">
        <v>0</v>
      </c>
      <c r="CA33" s="6">
        <f t="shared" si="30"/>
        <v>0</v>
      </c>
      <c r="CB33" s="28"/>
      <c r="CC33" s="329">
        <v>0</v>
      </c>
      <c r="CD33" s="122">
        <v>0</v>
      </c>
      <c r="CE33" s="122">
        <v>0</v>
      </c>
      <c r="CF33" s="122">
        <v>0</v>
      </c>
      <c r="CG33" s="6">
        <f t="shared" si="31"/>
        <v>0</v>
      </c>
      <c r="CH33" s="28"/>
      <c r="CI33" s="847">
        <f>Debt!CI73</f>
        <v>0</v>
      </c>
      <c r="CJ33" s="856">
        <f>Debt!CJ73</f>
        <v>0</v>
      </c>
      <c r="CK33" s="856">
        <f>Debt!CK73</f>
        <v>0</v>
      </c>
      <c r="CL33" s="856">
        <f>Debt!CL73</f>
        <v>0</v>
      </c>
      <c r="CM33" s="6">
        <f t="shared" si="32"/>
        <v>0</v>
      </c>
      <c r="CN33" s="28"/>
      <c r="CO33" s="847">
        <f>Debt!CO73</f>
        <v>0</v>
      </c>
      <c r="CP33" s="856">
        <f>Debt!CP73</f>
        <v>0</v>
      </c>
      <c r="CQ33" s="856">
        <f>Debt!CQ73</f>
        <v>0</v>
      </c>
      <c r="CR33" s="856">
        <f>Debt!CR73</f>
        <v>0</v>
      </c>
      <c r="CS33" s="6">
        <f t="shared" si="33"/>
        <v>0</v>
      </c>
      <c r="CT33" s="28"/>
      <c r="CU33" s="847">
        <f>Debt!CU73</f>
        <v>0</v>
      </c>
      <c r="CV33" s="856">
        <f>Debt!CV73</f>
        <v>0</v>
      </c>
      <c r="CW33" s="856">
        <f>Debt!CW73</f>
        <v>0</v>
      </c>
      <c r="CX33" s="856">
        <f>Debt!CX73</f>
        <v>0</v>
      </c>
      <c r="CY33" s="6">
        <f t="shared" si="34"/>
        <v>0</v>
      </c>
      <c r="CZ33" s="20"/>
      <c r="DA33" s="20"/>
      <c r="DB33" s="20"/>
    </row>
    <row r="34" spans="1:106" ht="11.25" customHeight="1" x14ac:dyDescent="0.2">
      <c r="A34" s="354" t="s">
        <v>29</v>
      </c>
      <c r="B34" s="39"/>
      <c r="C34" s="59"/>
      <c r="D34" s="39"/>
      <c r="E34" s="39"/>
      <c r="F34" s="39"/>
      <c r="G34" s="331">
        <v>2.766</v>
      </c>
      <c r="H34" s="20"/>
      <c r="I34" s="53">
        <v>2.11</v>
      </c>
      <c r="J34" s="51">
        <v>1.732</v>
      </c>
      <c r="K34" s="51">
        <v>1.5349999999999999</v>
      </c>
      <c r="L34" s="51">
        <v>1.179</v>
      </c>
      <c r="M34" s="6">
        <f t="shared" si="19"/>
        <v>1.179</v>
      </c>
      <c r="N34" s="20"/>
      <c r="O34" s="53">
        <v>1.3149999999999999</v>
      </c>
      <c r="P34" s="51">
        <v>2.3530000000000002</v>
      </c>
      <c r="Q34" s="51">
        <v>1.9710000000000001</v>
      </c>
      <c r="R34" s="51">
        <v>5.36</v>
      </c>
      <c r="S34" s="6">
        <f t="shared" si="20"/>
        <v>5.36</v>
      </c>
      <c r="T34" s="20"/>
      <c r="U34" s="53">
        <v>5.9729999999999999</v>
      </c>
      <c r="V34" s="51">
        <v>6.0659999999999998</v>
      </c>
      <c r="W34" s="51">
        <v>3.7410000000000001</v>
      </c>
      <c r="X34" s="51">
        <v>4.9029999999999996</v>
      </c>
      <c r="Y34" s="6">
        <f t="shared" si="21"/>
        <v>4.9029999999999996</v>
      </c>
      <c r="Z34" s="20"/>
      <c r="AA34" s="53">
        <v>6.7389999999999999</v>
      </c>
      <c r="AB34" s="51">
        <v>6.6280000000000001</v>
      </c>
      <c r="AC34" s="51">
        <v>7.8620000000000001</v>
      </c>
      <c r="AD34" s="51">
        <v>7.7539999999999996</v>
      </c>
      <c r="AE34" s="6">
        <f t="shared" si="22"/>
        <v>7.7539999999999996</v>
      </c>
      <c r="AF34" s="20"/>
      <c r="AG34" s="53">
        <v>6.5990000000000002</v>
      </c>
      <c r="AH34" s="51">
        <v>8.6959999999999997</v>
      </c>
      <c r="AI34" s="51">
        <v>10.256</v>
      </c>
      <c r="AJ34" s="51">
        <v>18.911999999999999</v>
      </c>
      <c r="AK34" s="6">
        <f t="shared" si="23"/>
        <v>18.911999999999999</v>
      </c>
      <c r="AL34" s="20"/>
      <c r="AM34" s="53">
        <v>17.497</v>
      </c>
      <c r="AN34" s="51">
        <v>16.356000000000002</v>
      </c>
      <c r="AO34" s="51">
        <v>17.673999999999999</v>
      </c>
      <c r="AP34" s="51">
        <v>30.504000000000001</v>
      </c>
      <c r="AQ34" s="6">
        <f t="shared" si="24"/>
        <v>30.504000000000001</v>
      </c>
      <c r="AR34" s="20"/>
      <c r="AS34" s="53">
        <v>30.809000000000001</v>
      </c>
      <c r="AT34" s="51">
        <v>31.219000000000001</v>
      </c>
      <c r="AU34" s="51">
        <v>35.841000000000001</v>
      </c>
      <c r="AV34" s="51">
        <v>32.883000000000003</v>
      </c>
      <c r="AW34" s="6">
        <f t="shared" si="25"/>
        <v>32.883000000000003</v>
      </c>
      <c r="AX34" s="20"/>
      <c r="AY34" s="53">
        <v>33.942</v>
      </c>
      <c r="AZ34" s="51">
        <v>35.649000000000001</v>
      </c>
      <c r="BA34" s="51">
        <v>35.713999999999999</v>
      </c>
      <c r="BB34" s="51">
        <v>3.3</v>
      </c>
      <c r="BC34" s="6">
        <f t="shared" si="26"/>
        <v>3.3</v>
      </c>
      <c r="BD34" s="20"/>
      <c r="BE34" s="53">
        <v>2.99</v>
      </c>
      <c r="BF34" s="51">
        <v>2.92</v>
      </c>
      <c r="BG34" s="122">
        <v>3.0059999999999998</v>
      </c>
      <c r="BH34" s="51">
        <v>2.5950000000000002</v>
      </c>
      <c r="BI34" s="6">
        <f t="shared" si="27"/>
        <v>2.5950000000000002</v>
      </c>
      <c r="BJ34" s="20"/>
      <c r="BK34" s="53">
        <v>2.6389999999999998</v>
      </c>
      <c r="BL34" s="51">
        <v>2.6520000000000001</v>
      </c>
      <c r="BM34" s="51">
        <v>2.3250000000000002</v>
      </c>
      <c r="BN34" s="51">
        <v>1.2450000000000001</v>
      </c>
      <c r="BO34" s="6">
        <f t="shared" si="28"/>
        <v>1.2450000000000001</v>
      </c>
      <c r="BP34" s="20"/>
      <c r="BQ34" s="53">
        <v>2.4929999999999999</v>
      </c>
      <c r="BR34" s="51">
        <v>2.9990000000000001</v>
      </c>
      <c r="BS34" s="51">
        <v>3.1539999999999999</v>
      </c>
      <c r="BT34" s="51">
        <v>2.4630000000000001</v>
      </c>
      <c r="BU34" s="6">
        <f t="shared" si="29"/>
        <v>2.4630000000000001</v>
      </c>
      <c r="BV34" s="20"/>
      <c r="BW34" s="53">
        <v>0</v>
      </c>
      <c r="BX34" s="51">
        <v>0</v>
      </c>
      <c r="BY34" s="51">
        <v>0</v>
      </c>
      <c r="BZ34" s="51">
        <v>0</v>
      </c>
      <c r="CA34" s="6">
        <f t="shared" si="30"/>
        <v>0</v>
      </c>
      <c r="CB34" s="20"/>
      <c r="CC34" s="53">
        <v>0</v>
      </c>
      <c r="CD34" s="51">
        <v>0</v>
      </c>
      <c r="CE34" s="51">
        <v>0</v>
      </c>
      <c r="CF34" s="51">
        <v>0</v>
      </c>
      <c r="CG34" s="6">
        <f t="shared" si="31"/>
        <v>0</v>
      </c>
      <c r="CH34" s="20"/>
      <c r="CI34" s="19">
        <f>'P&amp;L'!CI9*4*BS!CI91*(BS!CG34/(BS!CG34+BS!CG39))</f>
        <v>0</v>
      </c>
      <c r="CJ34" s="20">
        <f>'P&amp;L'!CJ9*4*BS!CJ91*(BS!CI34/(BS!CI34+BS!CI39))</f>
        <v>0</v>
      </c>
      <c r="CK34" s="20">
        <f>'P&amp;L'!CK9*4*BS!CK91*(BS!CJ34/(BS!CJ34+BS!CJ39))</f>
        <v>0</v>
      </c>
      <c r="CL34" s="20">
        <f>'P&amp;L'!CL9*4*BS!CL91*(BS!CK34/(BS!CK34+BS!CK39))</f>
        <v>0</v>
      </c>
      <c r="CM34" s="6">
        <f t="shared" si="32"/>
        <v>0</v>
      </c>
      <c r="CN34" s="20"/>
      <c r="CO34" s="19">
        <f>'P&amp;L'!CO9*4*BS!CO91*(BS!CM34/(BS!CM34+BS!CM39))</f>
        <v>0</v>
      </c>
      <c r="CP34" s="20">
        <f>'P&amp;L'!CP9*4*BS!CP91*(BS!CO34/(BS!CO34+BS!CO39))</f>
        <v>0</v>
      </c>
      <c r="CQ34" s="20">
        <f>'P&amp;L'!CQ9*4*BS!CQ91*(BS!CP34/(BS!CP34+BS!CP39))</f>
        <v>0</v>
      </c>
      <c r="CR34" s="20">
        <f>'P&amp;L'!CR9*4*BS!CR91*(BS!CQ34/(BS!CQ34+BS!CQ39))</f>
        <v>0</v>
      </c>
      <c r="CS34" s="6">
        <f t="shared" si="33"/>
        <v>0</v>
      </c>
      <c r="CT34" s="20"/>
      <c r="CU34" s="19">
        <f>'P&amp;L'!CU9*4*BS!CU91*(BS!CS34/(BS!CS34+BS!CS39))</f>
        <v>0</v>
      </c>
      <c r="CV34" s="20">
        <f>'P&amp;L'!CV9*4*BS!CV91*(BS!CU34/(BS!CU34+BS!CU39))</f>
        <v>0</v>
      </c>
      <c r="CW34" s="20">
        <f>'P&amp;L'!CW9*4*BS!CW91*(BS!CV34/(BS!CV34+BS!CV39))</f>
        <v>0</v>
      </c>
      <c r="CX34" s="20">
        <f>'P&amp;L'!CX9*4*BS!CX91*(BS!CW34/(BS!CW34+BS!CW39))</f>
        <v>0</v>
      </c>
      <c r="CY34" s="6">
        <f t="shared" si="34"/>
        <v>0</v>
      </c>
      <c r="CZ34" s="20"/>
      <c r="DA34" s="20"/>
      <c r="DB34" s="20"/>
    </row>
    <row r="35" spans="1:106" ht="11.25" customHeight="1" x14ac:dyDescent="0.2">
      <c r="A35" s="542" t="s">
        <v>44</v>
      </c>
      <c r="B35" s="536"/>
      <c r="C35" s="536"/>
      <c r="D35" s="537"/>
      <c r="E35" s="537"/>
      <c r="F35" s="537"/>
      <c r="G35" s="538">
        <f>SUM(G29:G34)</f>
        <v>88.055000000000007</v>
      </c>
      <c r="H35" s="539"/>
      <c r="I35" s="540">
        <f>SUM(I29:I34)</f>
        <v>74.23</v>
      </c>
      <c r="J35" s="539">
        <f>SUM(J29:J34)</f>
        <v>89.438999999999993</v>
      </c>
      <c r="K35" s="539">
        <f>SUM(K29:K34)</f>
        <v>76.778999999999996</v>
      </c>
      <c r="L35" s="539">
        <f>SUM(L29:L34)</f>
        <v>91.671000000000006</v>
      </c>
      <c r="M35" s="538">
        <f>SUM(M29:M34)</f>
        <v>91.671000000000006</v>
      </c>
      <c r="N35" s="539"/>
      <c r="O35" s="540">
        <f>SUM(O29:O34)</f>
        <v>92.605000000000004</v>
      </c>
      <c r="P35" s="539">
        <f>SUM(P29:P34)</f>
        <v>107.67499999999998</v>
      </c>
      <c r="Q35" s="539">
        <f>SUM(Q29:Q34)</f>
        <v>111.98800000000003</v>
      </c>
      <c r="R35" s="539">
        <f>SUM(R29:R34)</f>
        <v>116.53099999999999</v>
      </c>
      <c r="S35" s="538">
        <f>SUM(S29:S34)</f>
        <v>116.53099999999999</v>
      </c>
      <c r="T35" s="539"/>
      <c r="U35" s="540">
        <f>SUM(U29:U34)</f>
        <v>131.84299999999999</v>
      </c>
      <c r="V35" s="539">
        <f>SUM(V29:V34)</f>
        <v>126.836</v>
      </c>
      <c r="W35" s="539">
        <f>SUM(W29:W34)</f>
        <v>187.46700000000001</v>
      </c>
      <c r="X35" s="539">
        <f>SUM(X29:X34)</f>
        <v>165.73099999999999</v>
      </c>
      <c r="Y35" s="538">
        <f>SUM(Y29:Y34)</f>
        <v>165.73099999999999</v>
      </c>
      <c r="Z35" s="539"/>
      <c r="AA35" s="540">
        <f>SUM(AA29:AA34)</f>
        <v>169.73500000000001</v>
      </c>
      <c r="AB35" s="539">
        <f>SUM(AB29:AB34)</f>
        <v>182.91699999999997</v>
      </c>
      <c r="AC35" s="539">
        <f>SUM(AC29:AC34)</f>
        <v>214.905</v>
      </c>
      <c r="AD35" s="539">
        <f>SUM(AD29:AD34)</f>
        <v>262.37500000000006</v>
      </c>
      <c r="AE35" s="538">
        <f>SUM(AE29:AE34)</f>
        <v>262.37500000000006</v>
      </c>
      <c r="AF35" s="539"/>
      <c r="AG35" s="540">
        <f>SUM(AG29:AG34)</f>
        <v>222.51900000000001</v>
      </c>
      <c r="AH35" s="539">
        <f>SUM(AH29:AH34)</f>
        <v>264.45299999999997</v>
      </c>
      <c r="AI35" s="539">
        <f>SUM(AI29:AI34)</f>
        <v>376.06999999999994</v>
      </c>
      <c r="AJ35" s="539">
        <f>SUM(AJ29:AJ34)</f>
        <v>375.53</v>
      </c>
      <c r="AK35" s="538">
        <f>SUM(AK29:AK34)</f>
        <v>375.53</v>
      </c>
      <c r="AL35" s="539"/>
      <c r="AM35" s="540">
        <f>SUM(AM29:AM34)</f>
        <v>338.14000000000004</v>
      </c>
      <c r="AN35" s="539">
        <f>SUM(AN29:AN34)</f>
        <v>322.01099999999997</v>
      </c>
      <c r="AO35" s="539">
        <f>SUM(AO29:AO34)</f>
        <v>395.15499999999997</v>
      </c>
      <c r="AP35" s="539">
        <f>SUM(AP29:AP34)</f>
        <v>388.40699999999998</v>
      </c>
      <c r="AQ35" s="538">
        <f>SUM(AQ29:AQ34)</f>
        <v>388.40699999999998</v>
      </c>
      <c r="AR35" s="539"/>
      <c r="AS35" s="540">
        <f t="shared" ref="AS35:BC35" si="38">SUM(AS29:AS34)</f>
        <v>374.88900000000001</v>
      </c>
      <c r="AT35" s="539">
        <f t="shared" si="38"/>
        <v>365.3</v>
      </c>
      <c r="AU35" s="539">
        <f t="shared" si="38"/>
        <v>648.17999999999995</v>
      </c>
      <c r="AV35" s="539">
        <f t="shared" si="38"/>
        <v>481.65700000000004</v>
      </c>
      <c r="AW35" s="538">
        <f t="shared" si="38"/>
        <v>481.65700000000004</v>
      </c>
      <c r="AX35" s="539">
        <f t="shared" si="38"/>
        <v>0</v>
      </c>
      <c r="AY35" s="540">
        <f t="shared" si="38"/>
        <v>451.99799999999999</v>
      </c>
      <c r="AZ35" s="539">
        <f t="shared" si="38"/>
        <v>512.11699999999996</v>
      </c>
      <c r="BA35" s="539">
        <f t="shared" si="38"/>
        <v>539.27700000000004</v>
      </c>
      <c r="BB35" s="539">
        <f t="shared" si="38"/>
        <v>266.86899999999997</v>
      </c>
      <c r="BC35" s="538">
        <f t="shared" si="38"/>
        <v>266.86899999999997</v>
      </c>
      <c r="BD35" s="539"/>
      <c r="BE35" s="540">
        <f>SUM(BE29:BE34)</f>
        <v>268.88399999999996</v>
      </c>
      <c r="BF35" s="539">
        <f>SUM(BF29:BF34)</f>
        <v>296.92599999999999</v>
      </c>
      <c r="BG35" s="539">
        <f>SUM(BG29:BG34)</f>
        <v>303.49</v>
      </c>
      <c r="BH35" s="539">
        <f>SUM(BH29:BH34)</f>
        <v>337.03800000000001</v>
      </c>
      <c r="BI35" s="538">
        <f>SUM(BI29:BI34)</f>
        <v>337.03800000000001</v>
      </c>
      <c r="BJ35" s="539"/>
      <c r="BK35" s="540">
        <f>SUM(BK29:BK34)</f>
        <v>313.59899999999999</v>
      </c>
      <c r="BL35" s="539">
        <f>SUM(BL29:BL34)</f>
        <v>295.75</v>
      </c>
      <c r="BM35" s="539">
        <f>SUM(BM29:BM34)</f>
        <v>435.61899999999997</v>
      </c>
      <c r="BN35" s="539">
        <f>SUM(BN29:BN34)</f>
        <v>431.62599999999998</v>
      </c>
      <c r="BO35" s="538">
        <f>SUM(BO29:BO34)</f>
        <v>431.62599999999998</v>
      </c>
      <c r="BP35" s="539"/>
      <c r="BQ35" s="540">
        <f>SUM(BQ29:BQ34)</f>
        <v>332.72299999999996</v>
      </c>
      <c r="BR35" s="539">
        <f>SUM(BR29:BR34)</f>
        <v>264.66300000000001</v>
      </c>
      <c r="BS35" s="539">
        <f>SUM(BS29:BS34)</f>
        <v>277.33199999999999</v>
      </c>
      <c r="BT35" s="539">
        <f>SUM(BT29:BT34)</f>
        <v>268.35300000000001</v>
      </c>
      <c r="BU35" s="538">
        <f>SUM(BU29:BU34)</f>
        <v>268.35300000000001</v>
      </c>
      <c r="BV35" s="539"/>
      <c r="BW35" s="540">
        <f>SUM(BW29:BW34)</f>
        <v>246.232</v>
      </c>
      <c r="BX35" s="539">
        <f>SUM(BX29:BX34)</f>
        <v>248.441</v>
      </c>
      <c r="BY35" s="539">
        <f>SUM(BY29:BY34)</f>
        <v>250.12099999999998</v>
      </c>
      <c r="BZ35" s="539">
        <f>SUM(BZ29:BZ34)</f>
        <v>308.42900000000003</v>
      </c>
      <c r="CA35" s="538">
        <f>SUM(CA29:CA34)</f>
        <v>308.42900000000003</v>
      </c>
      <c r="CB35" s="539"/>
      <c r="CC35" s="540">
        <f>SUM(CC29:CC34)</f>
        <v>273.53199999999998</v>
      </c>
      <c r="CD35" s="539">
        <f>SUM(CD29:CD34)</f>
        <v>300.78100000000001</v>
      </c>
      <c r="CE35" s="539">
        <f>SUM(CE29:CE34)</f>
        <v>294.70400000000001</v>
      </c>
      <c r="CF35" s="539">
        <f>SUM(CF29:CF34)</f>
        <v>324.79200000000003</v>
      </c>
      <c r="CG35" s="538">
        <f>SUM(CG29:CG34)</f>
        <v>324.79200000000003</v>
      </c>
      <c r="CH35" s="539"/>
      <c r="CI35" s="540">
        <f>SUM(CI29:CI34)</f>
        <v>303.75397573961499</v>
      </c>
      <c r="CJ35" s="539">
        <f>SUM(CJ29:CJ34)</f>
        <v>344.17926904851981</v>
      </c>
      <c r="CK35" s="539">
        <f>SUM(CK29:CK34)</f>
        <v>342.5990603342799</v>
      </c>
      <c r="CL35" s="539">
        <f>SUM(CL29:CL34)</f>
        <v>359.13096763213986</v>
      </c>
      <c r="CM35" s="538">
        <f>SUM(CM29:CM34)</f>
        <v>359.13096763213986</v>
      </c>
      <c r="CN35" s="539"/>
      <c r="CO35" s="540">
        <f>SUM(CO29:CO34)</f>
        <v>326.72303207676089</v>
      </c>
      <c r="CP35" s="539">
        <f>SUM(CP29:CP34)</f>
        <v>367.03667833111308</v>
      </c>
      <c r="CQ35" s="539">
        <f>SUM(CQ29:CQ34)</f>
        <v>355.43904368889821</v>
      </c>
      <c r="CR35" s="539">
        <f>SUM(CR29:CR34)</f>
        <v>385.10716234237123</v>
      </c>
      <c r="CS35" s="538">
        <f>SUM(CS29:CS34)</f>
        <v>385.10716234237123</v>
      </c>
      <c r="CT35" s="539"/>
      <c r="CU35" s="540">
        <f>SUM(CU29:CU34)</f>
        <v>354.73811141419031</v>
      </c>
      <c r="CV35" s="539">
        <f>SUM(CV29:CV34)</f>
        <v>396.24957432530687</v>
      </c>
      <c r="CW35" s="539">
        <f>SUM(CW29:CW34)</f>
        <v>383.04986580743355</v>
      </c>
      <c r="CX35" s="539">
        <f>SUM(CX29:CX34)</f>
        <v>414.36866621869672</v>
      </c>
      <c r="CY35" s="538">
        <f>SUM(CY29:CY34)</f>
        <v>414.36866621869672</v>
      </c>
      <c r="CZ35" s="332"/>
      <c r="DA35" s="332"/>
      <c r="DB35" s="332"/>
    </row>
    <row r="36" spans="1:106" ht="11.25" customHeight="1" x14ac:dyDescent="0.2">
      <c r="A36" s="58"/>
      <c r="B36" s="48"/>
      <c r="C36" s="59"/>
      <c r="D36" s="39"/>
      <c r="E36" s="39"/>
      <c r="F36" s="39"/>
      <c r="G36" s="6"/>
      <c r="H36" s="28"/>
      <c r="I36" s="19"/>
      <c r="J36" s="20"/>
      <c r="K36" s="20"/>
      <c r="L36" s="20"/>
      <c r="M36" s="6"/>
      <c r="N36" s="28"/>
      <c r="O36" s="19"/>
      <c r="P36" s="20"/>
      <c r="Q36" s="20"/>
      <c r="R36" s="20"/>
      <c r="S36" s="6"/>
      <c r="T36" s="28"/>
      <c r="U36" s="19"/>
      <c r="V36" s="20"/>
      <c r="W36" s="20"/>
      <c r="X36" s="20"/>
      <c r="Y36" s="6"/>
      <c r="Z36" s="28"/>
      <c r="AA36" s="19"/>
      <c r="AB36" s="20"/>
      <c r="AC36" s="20"/>
      <c r="AD36" s="20"/>
      <c r="AE36" s="6"/>
      <c r="AF36" s="28"/>
      <c r="AG36" s="19"/>
      <c r="AH36" s="20"/>
      <c r="AI36" s="20"/>
      <c r="AJ36" s="20"/>
      <c r="AK36" s="6"/>
      <c r="AL36" s="28"/>
      <c r="AM36" s="19"/>
      <c r="AN36" s="20"/>
      <c r="AO36" s="20"/>
      <c r="AP36" s="20"/>
      <c r="AQ36" s="6"/>
      <c r="AR36" s="28"/>
      <c r="AS36" s="19"/>
      <c r="AT36" s="20"/>
      <c r="AU36" s="20"/>
      <c r="AV36" s="20"/>
      <c r="AW36" s="6"/>
      <c r="AX36" s="28"/>
      <c r="AY36" s="19"/>
      <c r="AZ36" s="28"/>
      <c r="BA36" s="28"/>
      <c r="BB36" s="28"/>
      <c r="BC36" s="6"/>
      <c r="BD36" s="28"/>
      <c r="BE36" s="19"/>
      <c r="BF36" s="28"/>
      <c r="BG36" s="28"/>
      <c r="BH36" s="28"/>
      <c r="BI36" s="6"/>
      <c r="BJ36" s="28"/>
      <c r="BK36" s="19"/>
      <c r="BL36" s="28"/>
      <c r="BM36" s="28"/>
      <c r="BN36" s="28"/>
      <c r="BO36" s="6"/>
      <c r="BP36" s="28"/>
      <c r="BQ36" s="19"/>
      <c r="BR36" s="28"/>
      <c r="BS36" s="28"/>
      <c r="BT36" s="28"/>
      <c r="BU36" s="6"/>
      <c r="BV36" s="28"/>
      <c r="BW36" s="19"/>
      <c r="BX36" s="28"/>
      <c r="BY36" s="28"/>
      <c r="BZ36" s="28"/>
      <c r="CA36" s="6"/>
      <c r="CB36" s="28"/>
      <c r="CC36" s="19"/>
      <c r="CD36" s="28"/>
      <c r="CE36" s="28"/>
      <c r="CF36" s="28"/>
      <c r="CG36" s="6"/>
      <c r="CH36" s="28"/>
      <c r="CI36" s="19"/>
      <c r="CJ36" s="28"/>
      <c r="CK36" s="28"/>
      <c r="CL36" s="28"/>
      <c r="CM36" s="6"/>
      <c r="CN36" s="28"/>
      <c r="CO36" s="19"/>
      <c r="CP36" s="28"/>
      <c r="CQ36" s="28"/>
      <c r="CR36" s="28"/>
      <c r="CS36" s="6"/>
      <c r="CT36" s="28"/>
      <c r="CU36" s="19"/>
      <c r="CV36" s="28"/>
      <c r="CW36" s="28"/>
      <c r="CX36" s="28"/>
      <c r="CY36" s="6"/>
      <c r="CZ36" s="20"/>
      <c r="DA36" s="20"/>
      <c r="DB36" s="20"/>
    </row>
    <row r="37" spans="1:106" ht="11.25" customHeight="1" x14ac:dyDescent="0.2">
      <c r="A37" s="203" t="s">
        <v>45</v>
      </c>
      <c r="B37" s="48"/>
      <c r="C37" s="59"/>
      <c r="D37" s="39"/>
      <c r="E37" s="39"/>
      <c r="F37" s="39"/>
      <c r="G37" s="6"/>
      <c r="H37" s="28"/>
      <c r="I37" s="19"/>
      <c r="J37" s="20"/>
      <c r="K37" s="20"/>
      <c r="L37" s="20"/>
      <c r="M37" s="6"/>
      <c r="N37" s="28"/>
      <c r="O37" s="19"/>
      <c r="P37" s="20"/>
      <c r="Q37" s="20"/>
      <c r="R37" s="20"/>
      <c r="S37" s="6"/>
      <c r="T37" s="28"/>
      <c r="U37" s="19"/>
      <c r="V37" s="20"/>
      <c r="W37" s="20"/>
      <c r="X37" s="20"/>
      <c r="Y37" s="6"/>
      <c r="Z37" s="28"/>
      <c r="AA37" s="19"/>
      <c r="AB37" s="20"/>
      <c r="AC37" s="20"/>
      <c r="AD37" s="20"/>
      <c r="AE37" s="6"/>
      <c r="AF37" s="28"/>
      <c r="AG37" s="19"/>
      <c r="AH37" s="20"/>
      <c r="AI37" s="20"/>
      <c r="AJ37" s="20"/>
      <c r="AK37" s="6"/>
      <c r="AL37" s="28"/>
      <c r="AM37" s="19"/>
      <c r="AN37" s="20"/>
      <c r="AO37" s="20"/>
      <c r="AP37" s="20"/>
      <c r="AQ37" s="6"/>
      <c r="AR37" s="28"/>
      <c r="AS37" s="19"/>
      <c r="AT37" s="20"/>
      <c r="AU37" s="20"/>
      <c r="AV37" s="20"/>
      <c r="AW37" s="6"/>
      <c r="AX37" s="28"/>
      <c r="AY37" s="19"/>
      <c r="AZ37" s="28"/>
      <c r="BA37" s="28"/>
      <c r="BB37" s="28"/>
      <c r="BC37" s="6"/>
      <c r="BD37" s="28"/>
      <c r="BE37" s="19"/>
      <c r="BF37" s="28"/>
      <c r="BG37" s="28"/>
      <c r="BH37" s="28"/>
      <c r="BI37" s="6"/>
      <c r="BJ37" s="28"/>
      <c r="BK37" s="19"/>
      <c r="BL37" s="28"/>
      <c r="BM37" s="28"/>
      <c r="BN37" s="28"/>
      <c r="BO37" s="6"/>
      <c r="BP37" s="28"/>
      <c r="BQ37" s="19"/>
      <c r="BR37" s="28"/>
      <c r="BS37" s="28"/>
      <c r="BT37" s="28"/>
      <c r="BU37" s="6"/>
      <c r="BV37" s="28"/>
      <c r="BW37" s="19"/>
      <c r="BX37" s="28"/>
      <c r="BY37" s="28"/>
      <c r="BZ37" s="28"/>
      <c r="CA37" s="6"/>
      <c r="CB37" s="28"/>
      <c r="CC37" s="19"/>
      <c r="CD37" s="28"/>
      <c r="CE37" s="28"/>
      <c r="CF37" s="28"/>
      <c r="CG37" s="6"/>
      <c r="CH37" s="28"/>
      <c r="CI37" s="19"/>
      <c r="CJ37" s="28"/>
      <c r="CK37" s="28"/>
      <c r="CL37" s="28"/>
      <c r="CM37" s="6"/>
      <c r="CN37" s="28"/>
      <c r="CO37" s="19"/>
      <c r="CP37" s="28"/>
      <c r="CQ37" s="28"/>
      <c r="CR37" s="28"/>
      <c r="CS37" s="6"/>
      <c r="CT37" s="28"/>
      <c r="CU37" s="19"/>
      <c r="CV37" s="28"/>
      <c r="CW37" s="28"/>
      <c r="CX37" s="28"/>
      <c r="CY37" s="6"/>
      <c r="CZ37" s="20"/>
      <c r="DA37" s="20"/>
      <c r="DB37" s="20"/>
    </row>
    <row r="38" spans="1:106" ht="11.25" customHeight="1" x14ac:dyDescent="0.2">
      <c r="A38" s="354" t="s">
        <v>46</v>
      </c>
      <c r="B38" s="48"/>
      <c r="C38" s="59"/>
      <c r="D38" s="39"/>
      <c r="E38" s="39"/>
      <c r="F38" s="39"/>
      <c r="G38" s="331">
        <v>197.38300000000001</v>
      </c>
      <c r="H38" s="28"/>
      <c r="I38" s="53">
        <v>195.39099999999999</v>
      </c>
      <c r="J38" s="51">
        <v>192.34399999999999</v>
      </c>
      <c r="K38" s="51">
        <v>192.203</v>
      </c>
      <c r="L38" s="51">
        <v>191.447</v>
      </c>
      <c r="M38" s="6">
        <f>L38</f>
        <v>191.447</v>
      </c>
      <c r="N38" s="28"/>
      <c r="O38" s="53">
        <v>192.48599999999999</v>
      </c>
      <c r="P38" s="51">
        <v>488.44900000000001</v>
      </c>
      <c r="Q38" s="51">
        <v>488.17500000000001</v>
      </c>
      <c r="R38" s="51">
        <v>489.59199999999998</v>
      </c>
      <c r="S38" s="6">
        <f>R38</f>
        <v>489.59199999999998</v>
      </c>
      <c r="T38" s="28"/>
      <c r="U38" s="53">
        <v>490.12200000000001</v>
      </c>
      <c r="V38" s="51">
        <v>477.03800000000001</v>
      </c>
      <c r="W38" s="51">
        <v>949.99900000000002</v>
      </c>
      <c r="X38" s="51">
        <v>950</v>
      </c>
      <c r="Y38" s="6">
        <f>X38</f>
        <v>950</v>
      </c>
      <c r="Z38" s="28"/>
      <c r="AA38" s="53">
        <v>950</v>
      </c>
      <c r="AB38" s="51">
        <v>950</v>
      </c>
      <c r="AC38" s="51">
        <v>925</v>
      </c>
      <c r="AD38" s="51">
        <v>920</v>
      </c>
      <c r="AE38" s="6">
        <f>AD38</f>
        <v>920</v>
      </c>
      <c r="AF38" s="28"/>
      <c r="AG38" s="53">
        <v>920</v>
      </c>
      <c r="AH38" s="51">
        <v>920</v>
      </c>
      <c r="AI38" s="51">
        <v>870</v>
      </c>
      <c r="AJ38" s="51">
        <v>870</v>
      </c>
      <c r="AK38" s="6">
        <f>AJ38</f>
        <v>870</v>
      </c>
      <c r="AL38" s="28"/>
      <c r="AM38" s="53">
        <v>870</v>
      </c>
      <c r="AN38" s="51">
        <v>871.78300000000002</v>
      </c>
      <c r="AO38" s="51">
        <v>797.64499999999998</v>
      </c>
      <c r="AP38" s="51">
        <v>797.17100000000005</v>
      </c>
      <c r="AQ38" s="6">
        <f>AP38</f>
        <v>797.17100000000005</v>
      </c>
      <c r="AR38" s="28"/>
      <c r="AS38" s="53">
        <v>796.86500000000001</v>
      </c>
      <c r="AT38" s="51">
        <v>796.44600000000003</v>
      </c>
      <c r="AU38" s="51">
        <v>446.505</v>
      </c>
      <c r="AV38" s="51">
        <v>446.005</v>
      </c>
      <c r="AW38" s="6">
        <f>AV38</f>
        <v>446.005</v>
      </c>
      <c r="AX38" s="28"/>
      <c r="AY38" s="53">
        <v>445.58600000000001</v>
      </c>
      <c r="AZ38" s="122">
        <v>445.44099999999997</v>
      </c>
      <c r="BA38" s="122">
        <v>445.42099999999999</v>
      </c>
      <c r="BB38" s="122">
        <v>846.04399999999998</v>
      </c>
      <c r="BC38" s="6">
        <f>BB38</f>
        <v>846.04399999999998</v>
      </c>
      <c r="BD38" s="28"/>
      <c r="BE38" s="53">
        <v>845.79700000000003</v>
      </c>
      <c r="BF38" s="122">
        <v>845.62900000000002</v>
      </c>
      <c r="BG38" s="122">
        <v>846.33500000000004</v>
      </c>
      <c r="BH38" s="122">
        <v>845.27599999999995</v>
      </c>
      <c r="BI38" s="6">
        <f>BH38</f>
        <v>845.27599999999995</v>
      </c>
      <c r="BJ38" s="28"/>
      <c r="BK38" s="53">
        <v>1170.8820000000001</v>
      </c>
      <c r="BL38" s="51">
        <v>1174.953</v>
      </c>
      <c r="BM38" s="51">
        <v>1033.548</v>
      </c>
      <c r="BN38" s="51">
        <v>1040.96</v>
      </c>
      <c r="BO38" s="6">
        <f>BN38</f>
        <v>1040.96</v>
      </c>
      <c r="BP38" s="28"/>
      <c r="BQ38" s="53">
        <v>1048.3230000000001</v>
      </c>
      <c r="BR38" s="51">
        <v>1048.971</v>
      </c>
      <c r="BS38" s="51">
        <v>1058.4159999999999</v>
      </c>
      <c r="BT38" s="51">
        <v>1059.587</v>
      </c>
      <c r="BU38" s="6">
        <f>BT38</f>
        <v>1059.587</v>
      </c>
      <c r="BV38" s="28"/>
      <c r="BW38" s="53">
        <v>1059.787</v>
      </c>
      <c r="BX38" s="51">
        <v>1072.412</v>
      </c>
      <c r="BY38" s="51">
        <v>1069.44</v>
      </c>
      <c r="BZ38" s="51">
        <v>1067.096</v>
      </c>
      <c r="CA38" s="6">
        <f>BZ38</f>
        <v>1067.096</v>
      </c>
      <c r="CB38" s="28"/>
      <c r="CC38" s="53">
        <v>1071.5630000000001</v>
      </c>
      <c r="CD38" s="51">
        <v>1383.83</v>
      </c>
      <c r="CE38" s="51">
        <v>1746.9939999999999</v>
      </c>
      <c r="CF38" s="51">
        <v>1758.258</v>
      </c>
      <c r="CG38" s="6">
        <f>CF38</f>
        <v>1758.258</v>
      </c>
      <c r="CH38" s="28"/>
      <c r="CI38" s="19">
        <f>CG38</f>
        <v>1758.258</v>
      </c>
      <c r="CJ38" s="28">
        <f>CI38</f>
        <v>1758.258</v>
      </c>
      <c r="CK38" s="28">
        <f>CJ38</f>
        <v>1758.258</v>
      </c>
      <c r="CL38" s="28">
        <f>CK38</f>
        <v>1758.258</v>
      </c>
      <c r="CM38" s="6">
        <f>CL38</f>
        <v>1758.258</v>
      </c>
      <c r="CN38" s="28"/>
      <c r="CO38" s="19">
        <f>CM38</f>
        <v>1758.258</v>
      </c>
      <c r="CP38" s="28">
        <f>CO38</f>
        <v>1758.258</v>
      </c>
      <c r="CQ38" s="28">
        <f>CP38</f>
        <v>1758.258</v>
      </c>
      <c r="CR38" s="28">
        <f>CQ38</f>
        <v>1758.258</v>
      </c>
      <c r="CS38" s="6">
        <f>CR38</f>
        <v>1758.258</v>
      </c>
      <c r="CT38" s="28"/>
      <c r="CU38" s="19">
        <f>CS38</f>
        <v>1758.258</v>
      </c>
      <c r="CV38" s="28">
        <f>CU38</f>
        <v>1758.258</v>
      </c>
      <c r="CW38" s="28">
        <f>CV38</f>
        <v>1758.258</v>
      </c>
      <c r="CX38" s="28">
        <f>CW38</f>
        <v>1758.258</v>
      </c>
      <c r="CY38" s="6">
        <f>CX38</f>
        <v>1758.258</v>
      </c>
      <c r="CZ38" s="20"/>
      <c r="DA38" s="20"/>
      <c r="DB38" s="20"/>
    </row>
    <row r="39" spans="1:106" ht="11.25" customHeight="1" x14ac:dyDescent="0.2">
      <c r="A39" s="354" t="s">
        <v>29</v>
      </c>
      <c r="B39" s="48"/>
      <c r="C39" s="59"/>
      <c r="D39" s="39"/>
      <c r="E39" s="39"/>
      <c r="F39" s="39"/>
      <c r="G39" s="331">
        <v>10.372</v>
      </c>
      <c r="H39" s="28"/>
      <c r="I39" s="53">
        <v>10.326000000000001</v>
      </c>
      <c r="J39" s="51">
        <v>17.814</v>
      </c>
      <c r="K39" s="51">
        <v>17.933</v>
      </c>
      <c r="L39" s="51">
        <v>17.57</v>
      </c>
      <c r="M39" s="6">
        <f>L39</f>
        <v>17.57</v>
      </c>
      <c r="N39" s="28"/>
      <c r="O39" s="53">
        <v>19.131</v>
      </c>
      <c r="P39" s="51">
        <v>27.542999999999999</v>
      </c>
      <c r="Q39" s="51">
        <v>28.125</v>
      </c>
      <c r="R39" s="51">
        <v>21.704999999999998</v>
      </c>
      <c r="S39" s="6">
        <f>R39</f>
        <v>21.704999999999998</v>
      </c>
      <c r="T39" s="28"/>
      <c r="U39" s="53">
        <v>22.425999999999998</v>
      </c>
      <c r="V39" s="51">
        <v>22.617999999999999</v>
      </c>
      <c r="W39" s="51">
        <v>183.464</v>
      </c>
      <c r="X39" s="51">
        <v>225.893</v>
      </c>
      <c r="Y39" s="6">
        <f>X39</f>
        <v>225.893</v>
      </c>
      <c r="Z39" s="28"/>
      <c r="AA39" s="53">
        <v>226.83799999999999</v>
      </c>
      <c r="AB39" s="51">
        <v>217.90899999999999</v>
      </c>
      <c r="AC39" s="51">
        <v>237.11</v>
      </c>
      <c r="AD39" s="51">
        <v>212.589</v>
      </c>
      <c r="AE39" s="6">
        <f>AD39</f>
        <v>212.589</v>
      </c>
      <c r="AF39" s="28"/>
      <c r="AG39" s="53">
        <v>188.45599999999999</v>
      </c>
      <c r="AH39" s="51">
        <v>211.405</v>
      </c>
      <c r="AI39" s="51">
        <v>237.53</v>
      </c>
      <c r="AJ39" s="51">
        <v>212.69</v>
      </c>
      <c r="AK39" s="6">
        <f>AJ39</f>
        <v>212.69</v>
      </c>
      <c r="AL39" s="28"/>
      <c r="AM39" s="53">
        <v>209.11500000000001</v>
      </c>
      <c r="AN39" s="51">
        <v>201.87700000000001</v>
      </c>
      <c r="AO39" s="51">
        <v>206.60599999999999</v>
      </c>
      <c r="AP39" s="51">
        <v>200.667</v>
      </c>
      <c r="AQ39" s="6">
        <f>AP39</f>
        <v>200.667</v>
      </c>
      <c r="AR39" s="28"/>
      <c r="AS39" s="53">
        <v>191.16</v>
      </c>
      <c r="AT39" s="51">
        <v>181.58699999999999</v>
      </c>
      <c r="AU39" s="51">
        <v>218.52099999999999</v>
      </c>
      <c r="AV39" s="51">
        <v>207.11199999999999</v>
      </c>
      <c r="AW39" s="6">
        <f>AV39</f>
        <v>207.11199999999999</v>
      </c>
      <c r="AX39" s="28"/>
      <c r="AY39" s="53">
        <v>207.315</v>
      </c>
      <c r="AZ39" s="122">
        <v>220.42699999999999</v>
      </c>
      <c r="BA39" s="122">
        <v>200.244</v>
      </c>
      <c r="BB39" s="122">
        <v>191.60900000000001</v>
      </c>
      <c r="BC39" s="6">
        <f>BB39</f>
        <v>191.60900000000001</v>
      </c>
      <c r="BD39" s="28"/>
      <c r="BE39" s="53">
        <v>180.63200000000001</v>
      </c>
      <c r="BF39" s="122">
        <v>189.357</v>
      </c>
      <c r="BG39" s="122">
        <v>188.69</v>
      </c>
      <c r="BH39" s="122">
        <v>143.76</v>
      </c>
      <c r="BI39" s="6">
        <f>BH39</f>
        <v>143.76</v>
      </c>
      <c r="BJ39" s="28"/>
      <c r="BK39" s="53">
        <v>133.97300000000001</v>
      </c>
      <c r="BL39" s="51">
        <v>129.63999999999999</v>
      </c>
      <c r="BM39" s="51">
        <v>119.04300000000001</v>
      </c>
      <c r="BN39" s="51">
        <v>117.264</v>
      </c>
      <c r="BO39" s="6">
        <f>BN39</f>
        <v>117.264</v>
      </c>
      <c r="BP39" s="28"/>
      <c r="BQ39" s="53">
        <v>104.167</v>
      </c>
      <c r="BR39" s="51">
        <v>107.944</v>
      </c>
      <c r="BS39" s="51">
        <v>104.30800000000001</v>
      </c>
      <c r="BT39" s="51">
        <v>75.725999999999999</v>
      </c>
      <c r="BU39" s="6">
        <f>BT39</f>
        <v>75.725999999999999</v>
      </c>
      <c r="BV39" s="28"/>
      <c r="BW39" s="53">
        <v>45.718000000000004</v>
      </c>
      <c r="BX39" s="51">
        <v>50.984000000000002</v>
      </c>
      <c r="BY39" s="51">
        <v>40.356999999999999</v>
      </c>
      <c r="BZ39" s="51">
        <v>40.621000000000002</v>
      </c>
      <c r="CA39" s="6">
        <f>BZ39</f>
        <v>40.621000000000002</v>
      </c>
      <c r="CB39" s="28"/>
      <c r="CC39" s="53">
        <v>40.494999999999997</v>
      </c>
      <c r="CD39" s="51">
        <v>41.613</v>
      </c>
      <c r="CE39" s="51">
        <v>41.591999999999999</v>
      </c>
      <c r="CF39" s="51">
        <v>76.727000000000004</v>
      </c>
      <c r="CG39" s="6">
        <f>CF39</f>
        <v>76.727000000000004</v>
      </c>
      <c r="CH39" s="28"/>
      <c r="CI39" s="306">
        <f>'P&amp;L'!CI9*4*BS!CI91-CI34</f>
        <v>41.063636212146974</v>
      </c>
      <c r="CJ39" s="28">
        <f>'P&amp;L'!CJ9*4*BS!CJ91-CJ34</f>
        <v>46.80093042021506</v>
      </c>
      <c r="CK39" s="28">
        <f>'P&amp;L'!CK9*4*BS!CK91-CK34</f>
        <v>48.357459349913057</v>
      </c>
      <c r="CL39" s="28">
        <f>'P&amp;L'!CL9*4*BS!CL91-CL34</f>
        <v>51.547166101856305</v>
      </c>
      <c r="CM39" s="6">
        <f>CL39</f>
        <v>51.547166101856305</v>
      </c>
      <c r="CN39" s="28"/>
      <c r="CO39" s="306">
        <f>'P&amp;L'!CO9*4*BS!CO91-CO34</f>
        <v>45.591492639605242</v>
      </c>
      <c r="CP39" s="28">
        <f>'P&amp;L'!CP9*4*BS!CP91-CP34</f>
        <v>50.336583713440682</v>
      </c>
      <c r="CQ39" s="28">
        <f>'P&amp;L'!CQ9*4*BS!CQ91-CQ34</f>
        <v>51.245721147816298</v>
      </c>
      <c r="CR39" s="28">
        <f>'P&amp;L'!CR9*4*BS!CR91-CR34</f>
        <v>56.112173432124528</v>
      </c>
      <c r="CS39" s="6">
        <f>CR39</f>
        <v>56.112173432124528</v>
      </c>
      <c r="CT39" s="28"/>
      <c r="CU39" s="306">
        <f>'P&amp;L'!CU9*4*BS!CU91-CU34</f>
        <v>50.477127839693402</v>
      </c>
      <c r="CV39" s="28">
        <f>'P&amp;L'!CV9*4*BS!CV91-CV34</f>
        <v>55.404615315359507</v>
      </c>
      <c r="CW39" s="28">
        <f>'P&amp;L'!CW9*4*BS!CW91-CW34</f>
        <v>56.280749645502212</v>
      </c>
      <c r="CX39" s="28">
        <f>'P&amp;L'!CX9*4*BS!CX91-CX34</f>
        <v>61.571174450474878</v>
      </c>
      <c r="CY39" s="6">
        <f>CX39</f>
        <v>61.571174450474878</v>
      </c>
      <c r="CZ39" s="20"/>
      <c r="DA39" s="20"/>
      <c r="DB39" s="20"/>
    </row>
    <row r="40" spans="1:106" ht="11.25" customHeight="1" x14ac:dyDescent="0.2">
      <c r="A40" s="354" t="s">
        <v>47</v>
      </c>
      <c r="B40" s="39"/>
      <c r="C40" s="59"/>
      <c r="D40" s="39"/>
      <c r="E40" s="39"/>
      <c r="F40" s="39"/>
      <c r="G40" s="331">
        <f>4.676+13.737</f>
        <v>18.413</v>
      </c>
      <c r="H40" s="20"/>
      <c r="I40" s="53">
        <f>7.653+12.961</f>
        <v>20.614000000000001</v>
      </c>
      <c r="J40" s="51">
        <f>8.668+11.822</f>
        <v>20.49</v>
      </c>
      <c r="K40" s="51">
        <f>3.954+11.552</f>
        <v>15.506</v>
      </c>
      <c r="L40" s="51">
        <f>3.052+11.101</f>
        <v>14.153</v>
      </c>
      <c r="M40" s="6">
        <f>L40</f>
        <v>14.153</v>
      </c>
      <c r="N40" s="20"/>
      <c r="O40" s="53">
        <f>3.538+11.483</f>
        <v>15.021000000000001</v>
      </c>
      <c r="P40" s="51">
        <f>5.37+11.974</f>
        <v>17.344000000000001</v>
      </c>
      <c r="Q40" s="51">
        <f>4.53+11.715</f>
        <v>16.245000000000001</v>
      </c>
      <c r="R40" s="51">
        <f>6.01+12.009</f>
        <v>18.018999999999998</v>
      </c>
      <c r="S40" s="6">
        <f>R40</f>
        <v>18.018999999999998</v>
      </c>
      <c r="T40" s="20"/>
      <c r="U40" s="53">
        <f>5.77+12.01</f>
        <v>17.78</v>
      </c>
      <c r="V40" s="51">
        <f>6.006+11.933</f>
        <v>17.939</v>
      </c>
      <c r="W40" s="51">
        <f>12.974+33.417</f>
        <v>46.391000000000005</v>
      </c>
      <c r="X40" s="51">
        <f>8.405+33.017</f>
        <v>41.422000000000004</v>
      </c>
      <c r="Y40" s="6">
        <f>X40</f>
        <v>41.422000000000004</v>
      </c>
      <c r="Z40" s="20"/>
      <c r="AA40" s="53">
        <f>10.832+33.182</f>
        <v>44.014000000000003</v>
      </c>
      <c r="AB40" s="51">
        <f>10.567+32.441</f>
        <v>43.008000000000003</v>
      </c>
      <c r="AC40" s="51">
        <f>7.132+30.593</f>
        <v>37.725000000000001</v>
      </c>
      <c r="AD40" s="51">
        <f>6.797+29.718</f>
        <v>36.515000000000001</v>
      </c>
      <c r="AE40" s="6">
        <f>AD40</f>
        <v>36.515000000000001</v>
      </c>
      <c r="AF40" s="20"/>
      <c r="AG40" s="53">
        <f>10.401+28.558</f>
        <v>38.959000000000003</v>
      </c>
      <c r="AH40" s="51">
        <f>11.615+28.44</f>
        <v>40.055</v>
      </c>
      <c r="AI40" s="51">
        <f>13.945+28.797</f>
        <v>42.742000000000004</v>
      </c>
      <c r="AJ40" s="51">
        <f>19.521+27.554</f>
        <v>47.075000000000003</v>
      </c>
      <c r="AK40" s="6">
        <f>AJ40</f>
        <v>47.075000000000003</v>
      </c>
      <c r="AL40" s="20"/>
      <c r="AM40" s="53">
        <f>25.061+26.818</f>
        <v>51.879000000000005</v>
      </c>
      <c r="AN40" s="51">
        <f>13.218+24.353</f>
        <v>37.570999999999998</v>
      </c>
      <c r="AO40" s="51">
        <f>36.209+24.44</f>
        <v>60.649000000000001</v>
      </c>
      <c r="AP40" s="51">
        <v>51.396999999999998</v>
      </c>
      <c r="AQ40" s="6">
        <f>AP40</f>
        <v>51.396999999999998</v>
      </c>
      <c r="AR40" s="20"/>
      <c r="AS40" s="53">
        <v>58.845999999999997</v>
      </c>
      <c r="AT40" s="51">
        <v>60.783999999999999</v>
      </c>
      <c r="AU40" s="51">
        <v>50.713000000000001</v>
      </c>
      <c r="AV40" s="51">
        <v>63.881</v>
      </c>
      <c r="AW40" s="6">
        <f>AV40</f>
        <v>63.881</v>
      </c>
      <c r="AX40" s="20"/>
      <c r="AY40" s="53">
        <v>58.161999999999999</v>
      </c>
      <c r="AZ40" s="51">
        <v>57.149000000000001</v>
      </c>
      <c r="BA40" s="51">
        <v>59.725999999999999</v>
      </c>
      <c r="BB40" s="51">
        <v>58.746000000000002</v>
      </c>
      <c r="BC40" s="6">
        <f>BB40</f>
        <v>58.746000000000002</v>
      </c>
      <c r="BD40" s="20"/>
      <c r="BE40" s="53">
        <v>47.472000000000001</v>
      </c>
      <c r="BF40" s="51">
        <v>49.069000000000003</v>
      </c>
      <c r="BG40" s="122">
        <v>40.326999999999998</v>
      </c>
      <c r="BH40" s="51">
        <v>38.447000000000003</v>
      </c>
      <c r="BI40" s="6">
        <f>BH40</f>
        <v>38.447000000000003</v>
      </c>
      <c r="BJ40" s="20"/>
      <c r="BK40" s="53">
        <v>135.47</v>
      </c>
      <c r="BL40" s="51">
        <v>208.476</v>
      </c>
      <c r="BM40" s="51">
        <v>159.36500000000001</v>
      </c>
      <c r="BN40" s="51">
        <v>206.523</v>
      </c>
      <c r="BO40" s="6">
        <f>BN40</f>
        <v>206.523</v>
      </c>
      <c r="BP40" s="20"/>
      <c r="BQ40" s="53">
        <v>206.24199999999999</v>
      </c>
      <c r="BR40" s="51">
        <v>172.15299999999999</v>
      </c>
      <c r="BS40" s="51">
        <v>199.096</v>
      </c>
      <c r="BT40" s="51">
        <v>224.05799999999999</v>
      </c>
      <c r="BU40" s="6">
        <f>BT40</f>
        <v>224.05799999999999</v>
      </c>
      <c r="BV40" s="20"/>
      <c r="BW40" s="53">
        <v>143.227</v>
      </c>
      <c r="BX40" s="51">
        <v>120.16500000000001</v>
      </c>
      <c r="BY40" s="51">
        <v>302.52600000000001</v>
      </c>
      <c r="BZ40" s="51">
        <v>284.952</v>
      </c>
      <c r="CA40" s="6">
        <f>BZ40</f>
        <v>284.952</v>
      </c>
      <c r="CB40" s="20"/>
      <c r="CC40" s="53">
        <v>252.34700000000001</v>
      </c>
      <c r="CD40" s="51">
        <v>324.524</v>
      </c>
      <c r="CE40" s="51">
        <v>446.65800000000002</v>
      </c>
      <c r="CF40" s="51">
        <v>337.74299999999999</v>
      </c>
      <c r="CG40" s="6">
        <f>CF40</f>
        <v>337.74299999999999</v>
      </c>
      <c r="CH40" s="20"/>
      <c r="CI40" s="19">
        <f>CG40+CFS!CI49+CFS!CI45+CFS!CI28++CFS!CI19</f>
        <v>337.74299999999999</v>
      </c>
      <c r="CJ40" s="20">
        <f>CI40+CFS!CJ49+CFS!CJ45+CFS!CJ28+CFS!CJ19</f>
        <v>337.74299999999999</v>
      </c>
      <c r="CK40" s="20">
        <f>CJ40+CFS!CK49+CFS!CK45+CFS!CK28+CFS!CK19</f>
        <v>337.74299999999999</v>
      </c>
      <c r="CL40" s="20">
        <f>CK40+CFS!CL49+CFS!CL45+CFS!CL28+CFS!CL19</f>
        <v>337.74299999999999</v>
      </c>
      <c r="CM40" s="6">
        <f>CL40</f>
        <v>337.74299999999999</v>
      </c>
      <c r="CN40" s="20"/>
      <c r="CO40" s="19">
        <f>CM40+CFS!CO49+CFS!CO45+CFS!CO28++CFS!CO19</f>
        <v>337.74299999999999</v>
      </c>
      <c r="CP40" s="20">
        <f>CO40+CFS!CP49+CFS!CP45+CFS!CP28+CFS!CP19</f>
        <v>337.74299999999999</v>
      </c>
      <c r="CQ40" s="20">
        <f>CP40+CFS!CQ49+CFS!CQ45+CFS!CQ28+CFS!CQ19</f>
        <v>337.74299999999999</v>
      </c>
      <c r="CR40" s="20">
        <f>CQ40+CFS!CR49+CFS!CR45+CFS!CR28+CFS!CR19</f>
        <v>337.74299999999999</v>
      </c>
      <c r="CS40" s="6">
        <f>CR40</f>
        <v>337.74299999999999</v>
      </c>
      <c r="CT40" s="20"/>
      <c r="CU40" s="19">
        <f>CS40+CFS!CU49+CFS!CU45+CFS!CU28++CFS!CU19</f>
        <v>337.74299999999999</v>
      </c>
      <c r="CV40" s="20">
        <f>CU40+CFS!CV49+CFS!CV45+CFS!CV28+CFS!CV19</f>
        <v>337.74299999999999</v>
      </c>
      <c r="CW40" s="20">
        <f>CV40+CFS!CW49+CFS!CW45+CFS!CW28+CFS!CW19</f>
        <v>337.74299999999999</v>
      </c>
      <c r="CX40" s="20">
        <f>CW40+CFS!CX49+CFS!CX45+CFS!CX28+CFS!CX19</f>
        <v>337.74299999999999</v>
      </c>
      <c r="CY40" s="6">
        <f>CX40</f>
        <v>337.74299999999999</v>
      </c>
      <c r="CZ40" s="20"/>
      <c r="DA40" s="20"/>
      <c r="DB40" s="20"/>
    </row>
    <row r="41" spans="1:106" ht="11.25" customHeight="1" x14ac:dyDescent="0.2">
      <c r="A41" s="542" t="s">
        <v>152</v>
      </c>
      <c r="B41" s="536"/>
      <c r="C41" s="536"/>
      <c r="D41" s="537"/>
      <c r="E41" s="537"/>
      <c r="F41" s="537"/>
      <c r="G41" s="538">
        <f>G35+SUM(G38:G40)</f>
        <v>314.22300000000001</v>
      </c>
      <c r="H41" s="539"/>
      <c r="I41" s="540">
        <f>I35+SUM(I38:I40)</f>
        <v>300.56099999999998</v>
      </c>
      <c r="J41" s="539">
        <f>J35+SUM(J38:J40)</f>
        <v>320.08699999999999</v>
      </c>
      <c r="K41" s="539">
        <f>K35+SUM(K38:K40)</f>
        <v>302.42099999999999</v>
      </c>
      <c r="L41" s="539">
        <f>L35+SUM(L38:L40)</f>
        <v>314.84100000000001</v>
      </c>
      <c r="M41" s="538">
        <f>M35+SUM(M38:M40)</f>
        <v>314.84100000000001</v>
      </c>
      <c r="N41" s="539"/>
      <c r="O41" s="540">
        <f>O35+SUM(O38:O40)</f>
        <v>319.24299999999999</v>
      </c>
      <c r="P41" s="539">
        <f>P35+SUM(P38:P40)</f>
        <v>641.01099999999997</v>
      </c>
      <c r="Q41" s="539">
        <f>Q35+SUM(Q38:Q40)</f>
        <v>644.53300000000002</v>
      </c>
      <c r="R41" s="539">
        <f>R35+SUM(R38:R40)</f>
        <v>645.84699999999987</v>
      </c>
      <c r="S41" s="538">
        <f>S35+SUM(S38:S40)</f>
        <v>645.84699999999987</v>
      </c>
      <c r="T41" s="539"/>
      <c r="U41" s="540">
        <f>U35+SUM(U38:U40)</f>
        <v>662.17099999999994</v>
      </c>
      <c r="V41" s="539">
        <f>V35+SUM(V38:V40)</f>
        <v>644.43100000000004</v>
      </c>
      <c r="W41" s="539">
        <f>W35+SUM(W38:W40)</f>
        <v>1367.3210000000001</v>
      </c>
      <c r="X41" s="539">
        <f>X35+SUM(X38:X40)</f>
        <v>1383.046</v>
      </c>
      <c r="Y41" s="538">
        <f>Y35+SUM(Y38:Y40)</f>
        <v>1383.046</v>
      </c>
      <c r="Z41" s="539"/>
      <c r="AA41" s="540">
        <f>AA35+SUM(AA38:AA40)</f>
        <v>1390.587</v>
      </c>
      <c r="AB41" s="539">
        <f>AB35+SUM(AB38:AB40)</f>
        <v>1393.8340000000001</v>
      </c>
      <c r="AC41" s="539">
        <f>AC35+SUM(AC38:AC40)</f>
        <v>1414.74</v>
      </c>
      <c r="AD41" s="539">
        <f>AD35+SUM(AD38:AD40)</f>
        <v>1431.479</v>
      </c>
      <c r="AE41" s="538">
        <f>AE35+SUM(AE38:AE40)</f>
        <v>1431.479</v>
      </c>
      <c r="AF41" s="539"/>
      <c r="AG41" s="540">
        <f>AG35+SUM(AG38:AG40)</f>
        <v>1369.934</v>
      </c>
      <c r="AH41" s="539">
        <f>AH35+SUM(AH38:AH40)</f>
        <v>1435.913</v>
      </c>
      <c r="AI41" s="539">
        <f>AI35+SUM(AI38:AI40)</f>
        <v>1526.3419999999999</v>
      </c>
      <c r="AJ41" s="539">
        <f>AJ35+SUM(AJ38:AJ40)</f>
        <v>1505.2950000000001</v>
      </c>
      <c r="AK41" s="538">
        <f>AK35+SUM(AK38:AK40)</f>
        <v>1505.2950000000001</v>
      </c>
      <c r="AL41" s="539"/>
      <c r="AM41" s="540">
        <f>AM35+SUM(AM38:AM40)</f>
        <v>1469.134</v>
      </c>
      <c r="AN41" s="539">
        <f>AN35+SUM(AN38:AN40)</f>
        <v>1433.242</v>
      </c>
      <c r="AO41" s="539">
        <f>AO35+SUM(AO38:AO40)</f>
        <v>1460.0550000000001</v>
      </c>
      <c r="AP41" s="539">
        <f>AP35+SUM(AP38:AP40)</f>
        <v>1437.6420000000001</v>
      </c>
      <c r="AQ41" s="538">
        <f>AQ35+SUM(AQ38:AQ40)</f>
        <v>1437.6420000000001</v>
      </c>
      <c r="AR41" s="539"/>
      <c r="AS41" s="540">
        <f>AS35+SUM(AS38:AS40)</f>
        <v>1421.7599999999998</v>
      </c>
      <c r="AT41" s="539">
        <f>AT35+SUM(AT38:AT40)</f>
        <v>1404.117</v>
      </c>
      <c r="AU41" s="539">
        <f>AU35+SUM(AU38:AU40)</f>
        <v>1363.9189999999999</v>
      </c>
      <c r="AV41" s="539">
        <f>AV35+SUM(AV38:AV40)</f>
        <v>1198.655</v>
      </c>
      <c r="AW41" s="538">
        <f>AW35+SUM(AW38:AW40)</f>
        <v>1198.655</v>
      </c>
      <c r="AX41" s="539"/>
      <c r="AY41" s="540">
        <f>AY35+SUM(AY38:AY40)</f>
        <v>1163.0610000000001</v>
      </c>
      <c r="AZ41" s="539">
        <f>AZ35+SUM(AZ38:AZ40)</f>
        <v>1235.134</v>
      </c>
      <c r="BA41" s="539">
        <f>BA35+SUM(BA38:BA40)</f>
        <v>1244.6680000000001</v>
      </c>
      <c r="BB41" s="539">
        <f>BB35+SUM(BB38:BB40)</f>
        <v>1363.268</v>
      </c>
      <c r="BC41" s="538">
        <f>BC35+SUM(BC38:BC40)</f>
        <v>1363.268</v>
      </c>
      <c r="BD41" s="539"/>
      <c r="BE41" s="540">
        <f>BE35+SUM(BE38:BE40)</f>
        <v>1342.7850000000001</v>
      </c>
      <c r="BF41" s="539">
        <f>BF35+SUM(BF38:BF40)</f>
        <v>1380.981</v>
      </c>
      <c r="BG41" s="539">
        <f>BG35+SUM(BG38:BG40)</f>
        <v>1378.8420000000001</v>
      </c>
      <c r="BH41" s="539">
        <f>BH35+SUM(BH38:BH40)</f>
        <v>1364.521</v>
      </c>
      <c r="BI41" s="538">
        <f>BI35+SUM(BI38:BI40)</f>
        <v>1364.521</v>
      </c>
      <c r="BJ41" s="539"/>
      <c r="BK41" s="540">
        <f>BK35+SUM(BK38:BK40)</f>
        <v>1753.924</v>
      </c>
      <c r="BL41" s="539">
        <f>BL35+SUM(BL38:BL40)</f>
        <v>1808.819</v>
      </c>
      <c r="BM41" s="539">
        <f>BM35+SUM(BM38:BM40)</f>
        <v>1747.5749999999998</v>
      </c>
      <c r="BN41" s="539">
        <f>BN35+SUM(BN38:BN40)</f>
        <v>1796.3729999999998</v>
      </c>
      <c r="BO41" s="538">
        <f>BO35+SUM(BO38:BO40)</f>
        <v>1796.3729999999998</v>
      </c>
      <c r="BP41" s="539"/>
      <c r="BQ41" s="540">
        <f>BQ35+SUM(BQ38:BQ40)</f>
        <v>1691.4549999999999</v>
      </c>
      <c r="BR41" s="539">
        <f>BR35+SUM(BR38:BR40)</f>
        <v>1593.731</v>
      </c>
      <c r="BS41" s="539">
        <f>BS35+SUM(BS38:BS40)</f>
        <v>1639.152</v>
      </c>
      <c r="BT41" s="539">
        <f>BT35+SUM(BT38:BT40)</f>
        <v>1627.7240000000002</v>
      </c>
      <c r="BU41" s="538">
        <f>BU35+SUM(BU38:BU40)</f>
        <v>1627.7240000000002</v>
      </c>
      <c r="BV41" s="539"/>
      <c r="BW41" s="540">
        <f>BW35+SUM(BW38:BW40)</f>
        <v>1494.9640000000002</v>
      </c>
      <c r="BX41" s="539">
        <f>BX35+SUM(BX38:BX40)</f>
        <v>1492.002</v>
      </c>
      <c r="BY41" s="539">
        <f>BY35+SUM(BY38:BY40)</f>
        <v>1662.444</v>
      </c>
      <c r="BZ41" s="539">
        <f>BZ35+SUM(BZ38:BZ40)</f>
        <v>1701.0980000000002</v>
      </c>
      <c r="CA41" s="538">
        <f>CA35+SUM(CA38:CA40)</f>
        <v>1701.0980000000002</v>
      </c>
      <c r="CB41" s="539"/>
      <c r="CC41" s="540">
        <f>CC35+SUM(CC38:CC40)</f>
        <v>1637.9369999999999</v>
      </c>
      <c r="CD41" s="539">
        <f>CD35+SUM(CD38:CD40)</f>
        <v>2050.748</v>
      </c>
      <c r="CE41" s="539">
        <f>CE35+SUM(CE38:CE40)</f>
        <v>2529.9480000000003</v>
      </c>
      <c r="CF41" s="539">
        <f>CF35+SUM(CF38:CF40)</f>
        <v>2497.52</v>
      </c>
      <c r="CG41" s="538">
        <f>CG35+SUM(CG38:CG40)</f>
        <v>2497.52</v>
      </c>
      <c r="CH41" s="539"/>
      <c r="CI41" s="540">
        <f>CI35+SUM(CI38:CI40)</f>
        <v>2440.8186119517618</v>
      </c>
      <c r="CJ41" s="539">
        <f>CJ35+SUM(CJ38:CJ40)</f>
        <v>2486.9811994687352</v>
      </c>
      <c r="CK41" s="539">
        <f>CK35+SUM(CK38:CK40)</f>
        <v>2486.9575196841929</v>
      </c>
      <c r="CL41" s="539">
        <f>CL35+SUM(CL38:CL40)</f>
        <v>2506.679133733996</v>
      </c>
      <c r="CM41" s="538">
        <f>CM35+SUM(CM38:CM40)</f>
        <v>2506.679133733996</v>
      </c>
      <c r="CN41" s="539"/>
      <c r="CO41" s="540">
        <f>CO35+SUM(CO38:CO40)</f>
        <v>2468.3155247163663</v>
      </c>
      <c r="CP41" s="539">
        <f>CP35+SUM(CP38:CP40)</f>
        <v>2513.3742620445537</v>
      </c>
      <c r="CQ41" s="539">
        <f>CQ35+SUM(CQ38:CQ40)</f>
        <v>2502.685764836715</v>
      </c>
      <c r="CR41" s="539">
        <f>CR35+SUM(CR38:CR40)</f>
        <v>2537.2203357744961</v>
      </c>
      <c r="CS41" s="538">
        <f>CS35+SUM(CS38:CS40)</f>
        <v>2537.2203357744961</v>
      </c>
      <c r="CT41" s="539"/>
      <c r="CU41" s="540">
        <f>CU35+SUM(CU38:CU40)</f>
        <v>2501.2162392538839</v>
      </c>
      <c r="CV41" s="539">
        <f>CV35+SUM(CV38:CV40)</f>
        <v>2547.6551896406663</v>
      </c>
      <c r="CW41" s="539">
        <f>CW35+SUM(CW38:CW40)</f>
        <v>2535.3316154529357</v>
      </c>
      <c r="CX41" s="539">
        <f>CX35+SUM(CX38:CX40)</f>
        <v>2571.9408406691718</v>
      </c>
      <c r="CY41" s="538">
        <f>CY35+SUM(CY38:CY40)</f>
        <v>2571.9408406691718</v>
      </c>
      <c r="CZ41" s="332"/>
      <c r="DA41" s="332"/>
      <c r="DB41" s="332"/>
    </row>
    <row r="42" spans="1:106" ht="11.25" customHeight="1" outlineLevel="1" x14ac:dyDescent="0.2">
      <c r="A42" s="58"/>
      <c r="B42" s="48"/>
      <c r="C42" s="59"/>
      <c r="D42" s="39"/>
      <c r="E42" s="39"/>
      <c r="F42" s="39"/>
      <c r="G42" s="6"/>
      <c r="H42" s="28"/>
      <c r="I42" s="19"/>
      <c r="J42" s="20"/>
      <c r="K42" s="20"/>
      <c r="L42" s="20"/>
      <c r="M42" s="6"/>
      <c r="N42" s="28"/>
      <c r="O42" s="19"/>
      <c r="P42" s="20"/>
      <c r="Q42" s="20"/>
      <c r="R42" s="20"/>
      <c r="S42" s="6"/>
      <c r="T42" s="28"/>
      <c r="U42" s="19"/>
      <c r="V42" s="20"/>
      <c r="W42" s="20"/>
      <c r="X42" s="20"/>
      <c r="Y42" s="6"/>
      <c r="Z42" s="28"/>
      <c r="AA42" s="19"/>
      <c r="AB42" s="20"/>
      <c r="AC42" s="20"/>
      <c r="AD42" s="20"/>
      <c r="AE42" s="6"/>
      <c r="AF42" s="28"/>
      <c r="AG42" s="19"/>
      <c r="AH42" s="20"/>
      <c r="AI42" s="20"/>
      <c r="AJ42" s="20"/>
      <c r="AK42" s="6"/>
      <c r="AL42" s="28"/>
      <c r="AM42" s="19"/>
      <c r="AN42" s="20"/>
      <c r="AO42" s="20"/>
      <c r="AP42" s="20"/>
      <c r="AQ42" s="6"/>
      <c r="AR42" s="28"/>
      <c r="AS42" s="19"/>
      <c r="AT42" s="20"/>
      <c r="AU42" s="20"/>
      <c r="AV42" s="20"/>
      <c r="AW42" s="6"/>
      <c r="AX42" s="28"/>
      <c r="AY42" s="19"/>
      <c r="AZ42" s="28"/>
      <c r="BA42" s="28"/>
      <c r="BB42" s="28"/>
      <c r="BC42" s="6"/>
      <c r="BD42" s="28"/>
      <c r="BE42" s="19"/>
      <c r="BF42" s="28"/>
      <c r="BG42" s="28"/>
      <c r="BH42" s="28"/>
      <c r="BI42" s="6"/>
      <c r="BJ42" s="28"/>
      <c r="BK42" s="19"/>
      <c r="BL42" s="28"/>
      <c r="BM42" s="28"/>
      <c r="BN42" s="28"/>
      <c r="BO42" s="6"/>
      <c r="BP42" s="28"/>
      <c r="BQ42" s="19"/>
      <c r="BR42" s="28"/>
      <c r="BS42" s="28"/>
      <c r="BT42" s="28"/>
      <c r="BU42" s="6"/>
      <c r="BV42" s="28"/>
      <c r="BW42" s="19"/>
      <c r="BX42" s="28"/>
      <c r="BY42" s="28"/>
      <c r="BZ42" s="28"/>
      <c r="CA42" s="6"/>
      <c r="CB42" s="28"/>
      <c r="CC42" s="19"/>
      <c r="CD42" s="28"/>
      <c r="CE42" s="28"/>
      <c r="CF42" s="28"/>
      <c r="CG42" s="6"/>
      <c r="CH42" s="28"/>
      <c r="CI42" s="19"/>
      <c r="CJ42" s="28"/>
      <c r="CK42" s="28"/>
      <c r="CL42" s="28"/>
      <c r="CM42" s="6"/>
      <c r="CN42" s="28"/>
      <c r="CO42" s="19"/>
      <c r="CP42" s="28"/>
      <c r="CQ42" s="28"/>
      <c r="CR42" s="28"/>
      <c r="CS42" s="6"/>
      <c r="CT42" s="28"/>
      <c r="CU42" s="19"/>
      <c r="CV42" s="28"/>
      <c r="CW42" s="28"/>
      <c r="CX42" s="28"/>
      <c r="CY42" s="6"/>
      <c r="CZ42" s="20"/>
      <c r="DA42" s="20"/>
      <c r="DB42" s="20"/>
    </row>
    <row r="43" spans="1:106" ht="11.25" customHeight="1" outlineLevel="1" x14ac:dyDescent="0.2">
      <c r="A43" s="58" t="s">
        <v>55</v>
      </c>
      <c r="B43" s="48"/>
      <c r="C43" s="59"/>
      <c r="D43" s="39"/>
      <c r="E43" s="39"/>
      <c r="F43" s="39"/>
      <c r="G43" s="331">
        <v>0</v>
      </c>
      <c r="H43" s="28"/>
      <c r="I43" s="53">
        <v>0</v>
      </c>
      <c r="J43" s="51">
        <v>0</v>
      </c>
      <c r="K43" s="51">
        <v>0</v>
      </c>
      <c r="L43" s="51">
        <v>0</v>
      </c>
      <c r="M43" s="6">
        <f>L43</f>
        <v>0</v>
      </c>
      <c r="N43" s="28"/>
      <c r="O43" s="53">
        <v>0</v>
      </c>
      <c r="P43" s="51">
        <v>0</v>
      </c>
      <c r="Q43" s="51">
        <v>0</v>
      </c>
      <c r="R43" s="51">
        <v>0</v>
      </c>
      <c r="S43" s="6">
        <f>R43</f>
        <v>0</v>
      </c>
      <c r="T43" s="28"/>
      <c r="U43" s="53">
        <v>0</v>
      </c>
      <c r="V43" s="51">
        <v>0</v>
      </c>
      <c r="W43" s="51">
        <v>0.497</v>
      </c>
      <c r="X43" s="51">
        <v>0.55300000000000005</v>
      </c>
      <c r="Y43" s="6">
        <f>X43</f>
        <v>0.55300000000000005</v>
      </c>
      <c r="Z43" s="28"/>
      <c r="AA43" s="53">
        <v>0.61299999999999999</v>
      </c>
      <c r="AB43" s="51">
        <v>0.66900000000000004</v>
      </c>
      <c r="AC43" s="51">
        <v>0.376</v>
      </c>
      <c r="AD43" s="51">
        <v>0</v>
      </c>
      <c r="AE43" s="6">
        <f>AD43</f>
        <v>0</v>
      </c>
      <c r="AF43" s="28"/>
      <c r="AG43" s="53">
        <v>0</v>
      </c>
      <c r="AH43" s="51">
        <v>0</v>
      </c>
      <c r="AI43" s="51">
        <v>0</v>
      </c>
      <c r="AJ43" s="51">
        <f>AD43</f>
        <v>0</v>
      </c>
      <c r="AK43" s="6">
        <f>AJ43</f>
        <v>0</v>
      </c>
      <c r="AL43" s="28"/>
      <c r="AM43" s="53">
        <v>0</v>
      </c>
      <c r="AN43" s="51">
        <v>0</v>
      </c>
      <c r="AO43" s="51">
        <v>0</v>
      </c>
      <c r="AP43" s="51">
        <v>0</v>
      </c>
      <c r="AQ43" s="6">
        <f>AP43</f>
        <v>0</v>
      </c>
      <c r="AR43" s="28"/>
      <c r="AS43" s="53">
        <v>0</v>
      </c>
      <c r="AT43" s="51">
        <v>0</v>
      </c>
      <c r="AU43" s="51">
        <v>41.768000000000001</v>
      </c>
      <c r="AV43" s="51">
        <v>9.4939999999999998</v>
      </c>
      <c r="AW43" s="6">
        <f>AV43</f>
        <v>9.4939999999999998</v>
      </c>
      <c r="AX43" s="28"/>
      <c r="AY43" s="53">
        <v>9.6910000000000007</v>
      </c>
      <c r="AZ43" s="122">
        <v>9.5060000000000002</v>
      </c>
      <c r="BA43" s="122">
        <v>9.6630000000000003</v>
      </c>
      <c r="BB43" s="122">
        <v>9.6590000000000007</v>
      </c>
      <c r="BC43" s="6">
        <f>BB43</f>
        <v>9.6590000000000007</v>
      </c>
      <c r="BD43" s="50"/>
      <c r="BE43" s="53">
        <v>9.7739999999999991</v>
      </c>
      <c r="BF43" s="122">
        <v>9.5280000000000005</v>
      </c>
      <c r="BG43" s="122">
        <v>9.8759999999999994</v>
      </c>
      <c r="BH43" s="122">
        <v>9.5389999999999997</v>
      </c>
      <c r="BI43" s="6">
        <f>BH43</f>
        <v>9.5389999999999997</v>
      </c>
      <c r="BJ43" s="50"/>
      <c r="BK43" s="53">
        <v>8.9039999999999999</v>
      </c>
      <c r="BL43" s="51">
        <v>9.01</v>
      </c>
      <c r="BM43" s="51">
        <v>8.359</v>
      </c>
      <c r="BN43" s="51">
        <v>8.2550000000000008</v>
      </c>
      <c r="BO43" s="6">
        <f>BN43</f>
        <v>8.2550000000000008</v>
      </c>
      <c r="BP43" s="50"/>
      <c r="BQ43" s="53">
        <v>7.5590000000000002</v>
      </c>
      <c r="BR43" s="51">
        <v>3.7290000000000001</v>
      </c>
      <c r="BS43" s="51">
        <v>2.298</v>
      </c>
      <c r="BT43" s="51">
        <v>2.0339999999999998</v>
      </c>
      <c r="BU43" s="6">
        <f>BT43</f>
        <v>2.0339999999999998</v>
      </c>
      <c r="BV43" s="50"/>
      <c r="BW43" s="53">
        <v>0</v>
      </c>
      <c r="BX43" s="51">
        <v>5.4320000000000004</v>
      </c>
      <c r="BY43" s="51">
        <v>0</v>
      </c>
      <c r="BZ43" s="51">
        <v>0</v>
      </c>
      <c r="CA43" s="6">
        <f>BZ43</f>
        <v>0</v>
      </c>
      <c r="CB43" s="50"/>
      <c r="CC43" s="53">
        <v>0</v>
      </c>
      <c r="CD43" s="51">
        <v>0</v>
      </c>
      <c r="CE43" s="51">
        <v>0</v>
      </c>
      <c r="CF43" s="51">
        <v>0</v>
      </c>
      <c r="CG43" s="6">
        <f>CF43</f>
        <v>0</v>
      </c>
      <c r="CH43" s="50"/>
      <c r="CI43" s="19">
        <f>CG43</f>
        <v>0</v>
      </c>
      <c r="CJ43" s="28">
        <f>CI43</f>
        <v>0</v>
      </c>
      <c r="CK43" s="28">
        <f>CJ43</f>
        <v>0</v>
      </c>
      <c r="CL43" s="28">
        <f>CK43</f>
        <v>0</v>
      </c>
      <c r="CM43" s="6">
        <f>CL43</f>
        <v>0</v>
      </c>
      <c r="CN43" s="50"/>
      <c r="CO43" s="19">
        <f>CM43</f>
        <v>0</v>
      </c>
      <c r="CP43" s="28">
        <f>CO43</f>
        <v>0</v>
      </c>
      <c r="CQ43" s="28">
        <f>CP43</f>
        <v>0</v>
      </c>
      <c r="CR43" s="28">
        <f>CQ43</f>
        <v>0</v>
      </c>
      <c r="CS43" s="6">
        <f>CR43</f>
        <v>0</v>
      </c>
      <c r="CT43" s="50"/>
      <c r="CU43" s="19">
        <f>CS43</f>
        <v>0</v>
      </c>
      <c r="CV43" s="28">
        <f>CU43</f>
        <v>0</v>
      </c>
      <c r="CW43" s="28">
        <f>CV43</f>
        <v>0</v>
      </c>
      <c r="CX43" s="28">
        <f>CW43</f>
        <v>0</v>
      </c>
      <c r="CY43" s="6">
        <f>CX43</f>
        <v>0</v>
      </c>
      <c r="CZ43" s="20"/>
      <c r="DA43" s="20"/>
      <c r="DB43" s="20"/>
    </row>
    <row r="44" spans="1:106" ht="11.25" customHeight="1" outlineLevel="1" x14ac:dyDescent="0.2">
      <c r="A44" s="203" t="s">
        <v>48</v>
      </c>
      <c r="B44" s="48"/>
      <c r="C44" s="59"/>
      <c r="D44" s="39"/>
      <c r="E44" s="39"/>
      <c r="F44" s="39"/>
      <c r="G44" s="331"/>
      <c r="H44" s="28"/>
      <c r="I44" s="53"/>
      <c r="J44" s="51"/>
      <c r="K44" s="51"/>
      <c r="L44" s="51"/>
      <c r="M44" s="6"/>
      <c r="N44" s="28"/>
      <c r="O44" s="53"/>
      <c r="P44" s="51"/>
      <c r="Q44" s="51"/>
      <c r="R44" s="51"/>
      <c r="S44" s="6"/>
      <c r="T44" s="28"/>
      <c r="U44" s="53"/>
      <c r="V44" s="51"/>
      <c r="W44" s="51"/>
      <c r="X44" s="51"/>
      <c r="Y44" s="6"/>
      <c r="Z44" s="28"/>
      <c r="AA44" s="53"/>
      <c r="AB44" s="51"/>
      <c r="AC44" s="51"/>
      <c r="AD44" s="51"/>
      <c r="AE44" s="6"/>
      <c r="AF44" s="28"/>
      <c r="AG44" s="53"/>
      <c r="AH44" s="51"/>
      <c r="AI44" s="51"/>
      <c r="AJ44" s="51"/>
      <c r="AK44" s="6"/>
      <c r="AL44" s="28"/>
      <c r="AM44" s="53"/>
      <c r="AN44" s="51"/>
      <c r="AO44" s="51"/>
      <c r="AP44" s="51"/>
      <c r="AQ44" s="6"/>
      <c r="AR44" s="28"/>
      <c r="AS44" s="53"/>
      <c r="AT44" s="51"/>
      <c r="AU44" s="51"/>
      <c r="AV44" s="51"/>
      <c r="AW44" s="6"/>
      <c r="AX44" s="28"/>
      <c r="AY44" s="53"/>
      <c r="AZ44" s="122"/>
      <c r="BA44" s="122"/>
      <c r="BB44" s="122"/>
      <c r="BC44" s="6"/>
      <c r="BD44" s="28"/>
      <c r="BE44" s="53"/>
      <c r="BF44" s="122"/>
      <c r="BG44" s="122"/>
      <c r="BH44" s="122"/>
      <c r="BI44" s="6"/>
      <c r="BJ44" s="28"/>
      <c r="BK44" s="53"/>
      <c r="BL44" s="122"/>
      <c r="BM44" s="122"/>
      <c r="BN44" s="122"/>
      <c r="BO44" s="6"/>
      <c r="BP44" s="28"/>
      <c r="BQ44" s="53"/>
      <c r="BR44" s="122"/>
      <c r="BS44" s="122"/>
      <c r="BT44" s="122"/>
      <c r="BU44" s="6"/>
      <c r="BV44" s="28"/>
      <c r="BW44" s="53"/>
      <c r="BX44" s="122"/>
      <c r="BY44" s="122"/>
      <c r="BZ44" s="122"/>
      <c r="CA44" s="6"/>
      <c r="CB44" s="28"/>
      <c r="CC44" s="53"/>
      <c r="CD44" s="122"/>
      <c r="CE44" s="122"/>
      <c r="CF44" s="122"/>
      <c r="CG44" s="6"/>
      <c r="CH44" s="28"/>
      <c r="CI44" s="19"/>
      <c r="CJ44" s="28"/>
      <c r="CK44" s="28"/>
      <c r="CL44" s="28"/>
      <c r="CM44" s="6"/>
      <c r="CN44" s="28"/>
      <c r="CO44" s="19"/>
      <c r="CP44" s="28"/>
      <c r="CQ44" s="28"/>
      <c r="CR44" s="28"/>
      <c r="CS44" s="6"/>
      <c r="CT44" s="28"/>
      <c r="CU44" s="19"/>
      <c r="CV44" s="28"/>
      <c r="CW44" s="28"/>
      <c r="CX44" s="28"/>
      <c r="CY44" s="6"/>
      <c r="CZ44" s="20"/>
      <c r="DA44" s="20"/>
      <c r="DB44" s="20"/>
    </row>
    <row r="45" spans="1:106" ht="11.25" customHeight="1" outlineLevel="1" x14ac:dyDescent="0.2">
      <c r="A45" s="354" t="s">
        <v>49</v>
      </c>
      <c r="B45" s="48"/>
      <c r="C45" s="59"/>
      <c r="D45" s="39"/>
      <c r="E45" s="39"/>
      <c r="F45" s="39"/>
      <c r="G45" s="331">
        <v>1.4950000000000001</v>
      </c>
      <c r="H45" s="28"/>
      <c r="I45" s="53">
        <v>1.5029999999999999</v>
      </c>
      <c r="J45" s="51">
        <v>1.5049999999999999</v>
      </c>
      <c r="K45" s="51">
        <v>1.5089999999999999</v>
      </c>
      <c r="L45" s="51">
        <v>1.5129999999999999</v>
      </c>
      <c r="M45" s="6">
        <f>L45</f>
        <v>1.5129999999999999</v>
      </c>
      <c r="N45" s="28"/>
      <c r="O45" s="53">
        <v>1.5229999999999999</v>
      </c>
      <c r="P45" s="51">
        <v>1.526</v>
      </c>
      <c r="Q45" s="51">
        <v>1.5289999999999999</v>
      </c>
      <c r="R45" s="51">
        <v>1.5349999999999999</v>
      </c>
      <c r="S45" s="6">
        <f>R45</f>
        <v>1.5349999999999999</v>
      </c>
      <c r="T45" s="28"/>
      <c r="U45" s="53">
        <v>1.5389999999999999</v>
      </c>
      <c r="V45" s="51">
        <v>1.542</v>
      </c>
      <c r="W45" s="51">
        <v>2.1379999999999999</v>
      </c>
      <c r="X45" s="51">
        <v>2.1749999999999998</v>
      </c>
      <c r="Y45" s="6">
        <f>X45</f>
        <v>2.1749999999999998</v>
      </c>
      <c r="Z45" s="28"/>
      <c r="AA45" s="53">
        <v>2.19</v>
      </c>
      <c r="AB45" s="51">
        <v>2.1930000000000001</v>
      </c>
      <c r="AC45" s="51">
        <v>2.2050000000000001</v>
      </c>
      <c r="AD45" s="51">
        <v>2.2120000000000002</v>
      </c>
      <c r="AE45" s="6">
        <f>AD45</f>
        <v>2.2120000000000002</v>
      </c>
      <c r="AF45" s="28"/>
      <c r="AG45" s="53">
        <v>2.218</v>
      </c>
      <c r="AH45" s="51">
        <v>2.2280000000000002</v>
      </c>
      <c r="AI45" s="51">
        <v>2.6970000000000001</v>
      </c>
      <c r="AJ45" s="51">
        <v>2.7109999999999999</v>
      </c>
      <c r="AK45" s="6">
        <f>AJ45</f>
        <v>2.7109999999999999</v>
      </c>
      <c r="AL45" s="28"/>
      <c r="AM45" s="53">
        <v>2.7149999999999999</v>
      </c>
      <c r="AN45" s="51">
        <v>2.72</v>
      </c>
      <c r="AO45" s="51">
        <v>2.7210000000000001</v>
      </c>
      <c r="AP45" s="51">
        <v>2.7240000000000002</v>
      </c>
      <c r="AQ45" s="6">
        <f>AP45</f>
        <v>2.7240000000000002</v>
      </c>
      <c r="AR45" s="28"/>
      <c r="AS45" s="53">
        <v>2.7320000000000002</v>
      </c>
      <c r="AT45" s="51">
        <v>2.7349999999999999</v>
      </c>
      <c r="AU45" s="51">
        <v>2.738</v>
      </c>
      <c r="AV45" s="51">
        <v>2.7389999999999999</v>
      </c>
      <c r="AW45" s="6">
        <f>AV45</f>
        <v>2.7389999999999999</v>
      </c>
      <c r="AX45" s="28"/>
      <c r="AY45" s="53">
        <v>2.7509999999999999</v>
      </c>
      <c r="AZ45" s="122">
        <v>2.7610000000000001</v>
      </c>
      <c r="BA45" s="122">
        <v>2.7679999999999998</v>
      </c>
      <c r="BB45" s="122">
        <v>2.7690000000000001</v>
      </c>
      <c r="BC45" s="6">
        <f>BB45</f>
        <v>2.7690000000000001</v>
      </c>
      <c r="BD45" s="50"/>
      <c r="BE45" s="53">
        <v>2.8010000000000002</v>
      </c>
      <c r="BF45" s="122">
        <v>2.8079999999999998</v>
      </c>
      <c r="BG45" s="122">
        <v>2.8119999999999998</v>
      </c>
      <c r="BH45" s="122">
        <v>2.8119999999999998</v>
      </c>
      <c r="BI45" s="6">
        <f>BH45</f>
        <v>2.8119999999999998</v>
      </c>
      <c r="BJ45" s="50"/>
      <c r="BK45" s="53">
        <v>2.8119999999999998</v>
      </c>
      <c r="BL45" s="51">
        <v>2.8119999999999998</v>
      </c>
      <c r="BM45" s="51">
        <v>2.8119999999999998</v>
      </c>
      <c r="BN45" s="51">
        <v>2.8119999999999998</v>
      </c>
      <c r="BO45" s="6">
        <f>BN45</f>
        <v>2.8119999999999998</v>
      </c>
      <c r="BP45" s="50"/>
      <c r="BQ45" s="53">
        <v>2.8119999999999998</v>
      </c>
      <c r="BR45" s="51">
        <v>2.8119999999999998</v>
      </c>
      <c r="BS45" s="51">
        <v>2.8119999999999998</v>
      </c>
      <c r="BT45" s="51">
        <v>2.8119999999999998</v>
      </c>
      <c r="BU45" s="6">
        <f>BT45</f>
        <v>2.8119999999999998</v>
      </c>
      <c r="BV45" s="50"/>
      <c r="BW45" s="53">
        <v>2.8119999999999998</v>
      </c>
      <c r="BX45" s="51">
        <v>2.8119999999999998</v>
      </c>
      <c r="BY45" s="51">
        <v>2.8119999999999998</v>
      </c>
      <c r="BZ45" s="51">
        <v>2.8119999999999998</v>
      </c>
      <c r="CA45" s="6">
        <f>BZ45</f>
        <v>2.8119999999999998</v>
      </c>
      <c r="CB45" s="50"/>
      <c r="CC45" s="53">
        <v>2.702</v>
      </c>
      <c r="CD45" s="51">
        <v>2.702</v>
      </c>
      <c r="CE45" s="51">
        <v>2.702</v>
      </c>
      <c r="CF45" s="51">
        <v>2.702</v>
      </c>
      <c r="CG45" s="6">
        <f>CF45</f>
        <v>2.702</v>
      </c>
      <c r="CH45" s="50"/>
      <c r="CI45" s="19">
        <f>CG45</f>
        <v>2.702</v>
      </c>
      <c r="CJ45" s="28">
        <f>CI45</f>
        <v>2.702</v>
      </c>
      <c r="CK45" s="28">
        <f>CJ45</f>
        <v>2.702</v>
      </c>
      <c r="CL45" s="28">
        <f>CK45</f>
        <v>2.702</v>
      </c>
      <c r="CM45" s="6">
        <f>CL45</f>
        <v>2.702</v>
      </c>
      <c r="CN45" s="50"/>
      <c r="CO45" s="19">
        <f>CM45</f>
        <v>2.702</v>
      </c>
      <c r="CP45" s="28">
        <f>CO45</f>
        <v>2.702</v>
      </c>
      <c r="CQ45" s="28">
        <f>CP45</f>
        <v>2.702</v>
      </c>
      <c r="CR45" s="28">
        <f>CQ45</f>
        <v>2.702</v>
      </c>
      <c r="CS45" s="6">
        <f>CR45</f>
        <v>2.702</v>
      </c>
      <c r="CT45" s="50"/>
      <c r="CU45" s="19">
        <f>CS45</f>
        <v>2.702</v>
      </c>
      <c r="CV45" s="28">
        <f>CU45</f>
        <v>2.702</v>
      </c>
      <c r="CW45" s="28">
        <f>CV45</f>
        <v>2.702</v>
      </c>
      <c r="CX45" s="28">
        <f>CW45</f>
        <v>2.702</v>
      </c>
      <c r="CY45" s="6">
        <f>CX45</f>
        <v>2.702</v>
      </c>
      <c r="CZ45" s="20"/>
      <c r="DA45" s="20"/>
      <c r="DB45" s="20"/>
    </row>
    <row r="46" spans="1:106" ht="11.25" customHeight="1" outlineLevel="1" x14ac:dyDescent="0.2">
      <c r="A46" s="354" t="s">
        <v>50</v>
      </c>
      <c r="B46" s="48"/>
      <c r="C46" s="59"/>
      <c r="D46" s="39"/>
      <c r="E46" s="39"/>
      <c r="F46" s="39"/>
      <c r="G46" s="331">
        <v>146.23099999999999</v>
      </c>
      <c r="H46" s="28"/>
      <c r="I46" s="53">
        <v>151.18799999999999</v>
      </c>
      <c r="J46" s="51">
        <v>152.607</v>
      </c>
      <c r="K46" s="51">
        <v>156.11199999999999</v>
      </c>
      <c r="L46" s="51">
        <v>157.79599999999999</v>
      </c>
      <c r="M46" s="6">
        <f>L46</f>
        <v>157.79599999999999</v>
      </c>
      <c r="N46" s="28"/>
      <c r="O46" s="53">
        <v>165.20699999999999</v>
      </c>
      <c r="P46" s="51">
        <v>167.209</v>
      </c>
      <c r="Q46" s="51">
        <v>170.619</v>
      </c>
      <c r="R46" s="51">
        <v>178.65600000000001</v>
      </c>
      <c r="S46" s="6">
        <f>R46</f>
        <v>178.65600000000001</v>
      </c>
      <c r="T46" s="28"/>
      <c r="U46" s="53">
        <v>182.137</v>
      </c>
      <c r="V46" s="51">
        <v>186.196</v>
      </c>
      <c r="W46" s="51">
        <v>886.19799999999998</v>
      </c>
      <c r="X46" s="51">
        <v>925.59699999999998</v>
      </c>
      <c r="Y46" s="6">
        <f>X46</f>
        <v>925.59699999999998</v>
      </c>
      <c r="Z46" s="28"/>
      <c r="AA46" s="53">
        <v>937.24300000000005</v>
      </c>
      <c r="AB46" s="51">
        <v>942.70100000000002</v>
      </c>
      <c r="AC46" s="51">
        <v>955.76900000000001</v>
      </c>
      <c r="AD46" s="51">
        <v>958.66499999999996</v>
      </c>
      <c r="AE46" s="6">
        <f>AD46</f>
        <v>958.66499999999996</v>
      </c>
      <c r="AF46" s="28"/>
      <c r="AG46" s="53">
        <v>963.70399999999995</v>
      </c>
      <c r="AH46" s="51">
        <v>974.49199999999996</v>
      </c>
      <c r="AI46" s="51">
        <v>1606.2180000000001</v>
      </c>
      <c r="AJ46" s="51">
        <v>1622.7329999999999</v>
      </c>
      <c r="AK46" s="6">
        <f>AJ46</f>
        <v>1622.7329999999999</v>
      </c>
      <c r="AL46" s="28"/>
      <c r="AM46" s="53">
        <v>1629.4860000000001</v>
      </c>
      <c r="AN46" s="51">
        <v>1637.6559999999999</v>
      </c>
      <c r="AO46" s="51">
        <v>1642.473</v>
      </c>
      <c r="AP46" s="51">
        <v>1648.9849999999999</v>
      </c>
      <c r="AQ46" s="6">
        <f>AP46</f>
        <v>1648.9849999999999</v>
      </c>
      <c r="AR46" s="28"/>
      <c r="AS46" s="53">
        <v>1659.0730000000001</v>
      </c>
      <c r="AT46" s="51">
        <v>1666.9290000000001</v>
      </c>
      <c r="AU46" s="51">
        <v>1674.558</v>
      </c>
      <c r="AV46" s="51">
        <v>1673.7329999999999</v>
      </c>
      <c r="AW46" s="6">
        <f>AV46</f>
        <v>1673.7329999999999</v>
      </c>
      <c r="AX46" s="28"/>
      <c r="AY46" s="53">
        <v>1691.52</v>
      </c>
      <c r="AZ46" s="122">
        <v>1702.4590000000001</v>
      </c>
      <c r="BA46" s="122">
        <v>1713.479</v>
      </c>
      <c r="BB46" s="122">
        <f>1718.163-35.653</f>
        <v>1682.51</v>
      </c>
      <c r="BC46" s="6">
        <f>BB46</f>
        <v>1682.51</v>
      </c>
      <c r="BD46" s="28"/>
      <c r="BE46" s="53">
        <f>1748.722-96.435</f>
        <v>1652.287</v>
      </c>
      <c r="BF46" s="122">
        <v>1758.2339999999999</v>
      </c>
      <c r="BG46" s="122">
        <v>1770.6089999999999</v>
      </c>
      <c r="BH46" s="122">
        <f>1777.894-116.613</f>
        <v>1661.2809999999999</v>
      </c>
      <c r="BI46" s="6">
        <f>BH46</f>
        <v>1661.2809999999999</v>
      </c>
      <c r="BJ46" s="28"/>
      <c r="BK46" s="53">
        <f>1792.745-142.691</f>
        <v>1650.0539999999999</v>
      </c>
      <c r="BL46" s="51">
        <f>1801.491-150.853</f>
        <v>1650.6379999999999</v>
      </c>
      <c r="BM46" s="51">
        <v>1811.9559999999999</v>
      </c>
      <c r="BN46" s="51">
        <f>1823.171-167.19</f>
        <v>1655.981</v>
      </c>
      <c r="BO46" s="6">
        <f>BN46</f>
        <v>1655.981</v>
      </c>
      <c r="BP46" s="28"/>
      <c r="BQ46" s="53">
        <f>1721.931-155.216</f>
        <v>1566.7150000000001</v>
      </c>
      <c r="BR46" s="51">
        <v>1732.402</v>
      </c>
      <c r="BS46" s="51">
        <v>1735.3610000000001</v>
      </c>
      <c r="BT46" s="51">
        <v>1741.1669999999999</v>
      </c>
      <c r="BU46" s="6">
        <f>BT46</f>
        <v>1741.1669999999999</v>
      </c>
      <c r="BV46" s="28"/>
      <c r="BW46" s="53">
        <v>1747.143</v>
      </c>
      <c r="BX46" s="51">
        <v>1755.1210000000001</v>
      </c>
      <c r="BY46" s="51">
        <v>1764.653</v>
      </c>
      <c r="BZ46" s="51">
        <v>1794.665</v>
      </c>
      <c r="CA46" s="6">
        <f>BZ46</f>
        <v>1794.665</v>
      </c>
      <c r="CB46" s="28"/>
      <c r="CC46" s="53">
        <v>1559.3030000000001</v>
      </c>
      <c r="CD46" s="51">
        <v>1569.404</v>
      </c>
      <c r="CE46" s="51">
        <v>1623.345</v>
      </c>
      <c r="CF46" s="51">
        <v>1630.095</v>
      </c>
      <c r="CG46" s="6">
        <f>CF46</f>
        <v>1630.095</v>
      </c>
      <c r="CH46" s="28"/>
      <c r="CI46" s="19">
        <f>CG46+CFS!CI15+CFS!CI16+CFS!CI47+CFS!CI48</f>
        <v>1588.6499242108639</v>
      </c>
      <c r="CJ46" s="28">
        <f>CI46+CFS!CJ15+CFS!CJ16+CFS!CJ47+CFS!CJ48</f>
        <v>1548.4001180484088</v>
      </c>
      <c r="CK46" s="28">
        <f>CJ46+CFS!CK15+CFS!CK16+CFS!CK47+CFS!CK48</f>
        <v>1508.4745887463073</v>
      </c>
      <c r="CL46" s="28">
        <f>CK46+CFS!CL15+CFS!CL16+CFS!CL47+CFS!CL48</f>
        <v>1469.213581684194</v>
      </c>
      <c r="CM46" s="6">
        <f>CL46</f>
        <v>1469.213581684194</v>
      </c>
      <c r="CN46" s="28"/>
      <c r="CO46" s="19">
        <f>CM46+CFS!CO15+CFS!CO16+CFS!CO47+CFS!CO48</f>
        <v>1428.7118093174452</v>
      </c>
      <c r="CP46" s="28">
        <f>CO46+CFS!CP15+CFS!CP16+CFS!CP47+CFS!CP48</f>
        <v>1389.1985975910786</v>
      </c>
      <c r="CQ46" s="28">
        <f>CP46+CFS!CQ15+CFS!CQ16+CFS!CQ47+CFS!CQ48</f>
        <v>1349.8747894968737</v>
      </c>
      <c r="CR46" s="28">
        <f>CQ46+CFS!CR15+CFS!CR16+CFS!CR47+CFS!CR48</f>
        <v>1311.5648256285663</v>
      </c>
      <c r="CS46" s="6">
        <f>CR46</f>
        <v>1311.5648256285663</v>
      </c>
      <c r="CT46" s="28"/>
      <c r="CU46" s="19">
        <f>CS46+CFS!CU15+CFS!CU16+CFS!CU47+CFS!CU48</f>
        <v>1272.0808939285023</v>
      </c>
      <c r="CV46" s="28">
        <f>CU46+CFS!CV15+CFS!CV16+CFS!CV47+CFS!CV48</f>
        <v>1233.6235221192021</v>
      </c>
      <c r="CW46" s="28">
        <f>CV46+CFS!CW15+CFS!CW16+CFS!CW47+CFS!CW48</f>
        <v>1195.3486782953485</v>
      </c>
      <c r="CX46" s="28">
        <f>CW46+CFS!CX15+CFS!CX16+CFS!CX47+CFS!CX48</f>
        <v>1158.1760063058641</v>
      </c>
      <c r="CY46" s="6">
        <f>CX46</f>
        <v>1158.1760063058641</v>
      </c>
      <c r="CZ46" s="20"/>
      <c r="DA46" s="20"/>
      <c r="DB46" s="20"/>
    </row>
    <row r="47" spans="1:106" ht="11.25" customHeight="1" outlineLevel="1" x14ac:dyDescent="0.2">
      <c r="A47" s="354" t="s">
        <v>51</v>
      </c>
      <c r="B47" s="48"/>
      <c r="C47" s="59"/>
      <c r="D47" s="39"/>
      <c r="E47" s="39"/>
      <c r="F47" s="39"/>
      <c r="G47" s="331">
        <v>211.97499999999999</v>
      </c>
      <c r="H47" s="28"/>
      <c r="I47" s="53">
        <v>225.923</v>
      </c>
      <c r="J47" s="51">
        <v>239.7</v>
      </c>
      <c r="K47" s="51">
        <v>257.33999999999997</v>
      </c>
      <c r="L47" s="51">
        <v>274.2</v>
      </c>
      <c r="M47" s="6">
        <f>L47</f>
        <v>274.2</v>
      </c>
      <c r="N47" s="28"/>
      <c r="O47" s="53">
        <v>291.77999999999997</v>
      </c>
      <c r="P47" s="51">
        <v>305.93400000000003</v>
      </c>
      <c r="Q47" s="51">
        <v>325.29199999999997</v>
      </c>
      <c r="R47" s="51">
        <v>344.73899999999998</v>
      </c>
      <c r="S47" s="6">
        <f>R47</f>
        <v>344.73899999999998</v>
      </c>
      <c r="T47" s="28"/>
      <c r="U47" s="53">
        <v>357.62200000000001</v>
      </c>
      <c r="V47" s="51">
        <v>381.10700000000003</v>
      </c>
      <c r="W47" s="51">
        <v>373.779</v>
      </c>
      <c r="X47" s="51">
        <v>388.779</v>
      </c>
      <c r="Y47" s="6">
        <f>X47</f>
        <v>388.779</v>
      </c>
      <c r="Z47" s="28"/>
      <c r="AA47" s="53">
        <v>409.11200000000002</v>
      </c>
      <c r="AB47" s="51">
        <v>432.33800000000002</v>
      </c>
      <c r="AC47" s="51">
        <v>453.12900000000002</v>
      </c>
      <c r="AD47" s="51">
        <v>477.81200000000001</v>
      </c>
      <c r="AE47" s="6">
        <f>AD47</f>
        <v>477.81200000000001</v>
      </c>
      <c r="AF47" s="28"/>
      <c r="AG47" s="53">
        <v>502.49599999999998</v>
      </c>
      <c r="AH47" s="51">
        <v>533.42499999999995</v>
      </c>
      <c r="AI47" s="51">
        <v>571.11500000000001</v>
      </c>
      <c r="AJ47" s="51">
        <v>615.57899999999995</v>
      </c>
      <c r="AK47" s="6">
        <f>AJ47</f>
        <v>615.57899999999995</v>
      </c>
      <c r="AL47" s="28"/>
      <c r="AM47" s="53">
        <v>648.59299999999996</v>
      </c>
      <c r="AN47" s="51">
        <v>687.11199999999997</v>
      </c>
      <c r="AO47" s="51">
        <v>723.601</v>
      </c>
      <c r="AP47" s="51">
        <v>759.89</v>
      </c>
      <c r="AQ47" s="6">
        <f>AP47</f>
        <v>759.89</v>
      </c>
      <c r="AR47" s="28"/>
      <c r="AS47" s="53">
        <v>787.87099999999998</v>
      </c>
      <c r="AT47" s="51">
        <v>821.15899999999999</v>
      </c>
      <c r="AU47" s="51">
        <v>856.30399999999997</v>
      </c>
      <c r="AV47" s="51">
        <v>855.928</v>
      </c>
      <c r="AW47" s="6">
        <f>AV47</f>
        <v>855.928</v>
      </c>
      <c r="AX47" s="28"/>
      <c r="AY47" s="53">
        <v>884.52</v>
      </c>
      <c r="AZ47" s="122">
        <v>917.85199999999998</v>
      </c>
      <c r="BA47" s="122">
        <v>947.01499999999999</v>
      </c>
      <c r="BB47" s="122">
        <v>985.43399999999997</v>
      </c>
      <c r="BC47" s="6">
        <f>BB47</f>
        <v>985.43399999999997</v>
      </c>
      <c r="BD47" s="28"/>
      <c r="BE47" s="53">
        <v>1005.417</v>
      </c>
      <c r="BF47" s="122">
        <v>953.65599999999995</v>
      </c>
      <c r="BG47" s="122">
        <v>994.35699999999997</v>
      </c>
      <c r="BH47" s="122">
        <v>1054.431</v>
      </c>
      <c r="BI47" s="6">
        <f>BH47</f>
        <v>1054.431</v>
      </c>
      <c r="BJ47" s="28"/>
      <c r="BK47" s="53">
        <v>1063.19</v>
      </c>
      <c r="BL47" s="51">
        <v>1079.25</v>
      </c>
      <c r="BM47" s="51">
        <v>1101.396</v>
      </c>
      <c r="BN47" s="51">
        <v>1125.6859999999999</v>
      </c>
      <c r="BO47" s="6">
        <f>BN47</f>
        <v>1125.6859999999999</v>
      </c>
      <c r="BP47" s="28"/>
      <c r="BQ47" s="53">
        <v>1136.971</v>
      </c>
      <c r="BR47" s="51">
        <v>1148.549</v>
      </c>
      <c r="BS47" s="51">
        <v>1181.136</v>
      </c>
      <c r="BT47" s="51">
        <v>1227.509</v>
      </c>
      <c r="BU47" s="6">
        <f>BT47</f>
        <v>1227.509</v>
      </c>
      <c r="BV47" s="28"/>
      <c r="BW47" s="53">
        <v>1235.6669999999999</v>
      </c>
      <c r="BX47" s="51">
        <v>1243.8879999999999</v>
      </c>
      <c r="BY47" s="51">
        <v>1273.605</v>
      </c>
      <c r="BZ47" s="51">
        <v>1263.4639999999999</v>
      </c>
      <c r="CA47" s="6">
        <f>BZ47</f>
        <v>1263.4639999999999</v>
      </c>
      <c r="CB47" s="28"/>
      <c r="CC47" s="53">
        <v>1240.4839999999999</v>
      </c>
      <c r="CD47" s="51">
        <v>1241.7639999999999</v>
      </c>
      <c r="CE47" s="51">
        <v>1289.6030000000001</v>
      </c>
      <c r="CF47" s="51">
        <v>1247.9449999999999</v>
      </c>
      <c r="CG47" s="6">
        <f>CF47</f>
        <v>1247.9449999999999</v>
      </c>
      <c r="CH47" s="28"/>
      <c r="CI47" s="19">
        <f>CG47+CFS!CI9</f>
        <v>1244.5075459586069</v>
      </c>
      <c r="CJ47" s="28">
        <f>CI47+CFS!CJ9</f>
        <v>1261.507470937174</v>
      </c>
      <c r="CK47" s="28">
        <f>CJ47+CFS!CK9</f>
        <v>1280.6031545212361</v>
      </c>
      <c r="CL47" s="28">
        <f>CK47+CFS!CL9</f>
        <v>1316.7170739882943</v>
      </c>
      <c r="CM47" s="6">
        <f>CL47</f>
        <v>1316.7170739882943</v>
      </c>
      <c r="CN47" s="28"/>
      <c r="CO47" s="19">
        <f>CM47+CFS!CO9</f>
        <v>1329.7739698900821</v>
      </c>
      <c r="CP47" s="28">
        <f>CO47+CFS!CP9</f>
        <v>1356.8646548835129</v>
      </c>
      <c r="CQ47" s="28">
        <f>CP47+CFS!CQ9</f>
        <v>1389.0859416764533</v>
      </c>
      <c r="CR47" s="28">
        <f>CQ47+CFS!CR9</f>
        <v>1439.7284486903411</v>
      </c>
      <c r="CS47" s="6">
        <f>CR47</f>
        <v>1439.7284486903411</v>
      </c>
      <c r="CT47" s="28"/>
      <c r="CU47" s="19">
        <f>CS47+CFS!CU9</f>
        <v>1478.2188780849879</v>
      </c>
      <c r="CV47" s="28">
        <f>CU47+CFS!CV9</f>
        <v>1533.7160933915054</v>
      </c>
      <c r="CW47" s="28">
        <f>CV47+CFS!CW9</f>
        <v>1595.2883138605741</v>
      </c>
      <c r="CX47" s="28">
        <f>CW47+CFS!CX9</f>
        <v>1677.1555350898261</v>
      </c>
      <c r="CY47" s="6">
        <f>CX47</f>
        <v>1677.1555350898261</v>
      </c>
      <c r="CZ47" s="20"/>
      <c r="DA47" s="20"/>
      <c r="DB47" s="20"/>
    </row>
    <row r="48" spans="1:106" ht="11.25" customHeight="1" outlineLevel="1" x14ac:dyDescent="0.2">
      <c r="A48" s="354" t="s">
        <v>52</v>
      </c>
      <c r="B48" s="39"/>
      <c r="C48" s="59"/>
      <c r="D48" s="39"/>
      <c r="E48" s="39"/>
      <c r="F48" s="39"/>
      <c r="G48" s="331">
        <v>40.674999999999997</v>
      </c>
      <c r="H48" s="20"/>
      <c r="I48" s="53">
        <v>31.916</v>
      </c>
      <c r="J48" s="51">
        <v>19.14</v>
      </c>
      <c r="K48" s="51">
        <v>22.648</v>
      </c>
      <c r="L48" s="51">
        <v>16.948</v>
      </c>
      <c r="M48" s="6">
        <f>L48</f>
        <v>16.948</v>
      </c>
      <c r="N48" s="20"/>
      <c r="O48" s="53">
        <v>22.155000000000001</v>
      </c>
      <c r="P48" s="51">
        <v>33.951000000000001</v>
      </c>
      <c r="Q48" s="51">
        <v>31.298999999999999</v>
      </c>
      <c r="R48" s="51">
        <v>41.234999999999999</v>
      </c>
      <c r="S48" s="6">
        <f>R48</f>
        <v>41.234999999999999</v>
      </c>
      <c r="T48" s="20"/>
      <c r="U48" s="53">
        <v>46.195999999999998</v>
      </c>
      <c r="V48" s="51">
        <v>48.399000000000001</v>
      </c>
      <c r="W48" s="51">
        <v>65.853999999999999</v>
      </c>
      <c r="X48" s="51">
        <v>75.024000000000001</v>
      </c>
      <c r="Y48" s="6">
        <f>X48</f>
        <v>75.024000000000001</v>
      </c>
      <c r="Z48" s="20"/>
      <c r="AA48" s="53">
        <v>102.501</v>
      </c>
      <c r="AB48" s="51">
        <v>101.797</v>
      </c>
      <c r="AC48" s="51">
        <v>46.656999999999996</v>
      </c>
      <c r="AD48" s="51">
        <v>15.154999999999999</v>
      </c>
      <c r="AE48" s="6">
        <f>AD48</f>
        <v>15.154999999999999</v>
      </c>
      <c r="AF48" s="20"/>
      <c r="AG48" s="53">
        <v>-5.9790000000000001</v>
      </c>
      <c r="AH48" s="51">
        <v>24.469000000000001</v>
      </c>
      <c r="AI48" s="51">
        <v>48.279000000000003</v>
      </c>
      <c r="AJ48" s="51">
        <v>50.146000000000001</v>
      </c>
      <c r="AK48" s="6">
        <f>AJ48</f>
        <v>50.146000000000001</v>
      </c>
      <c r="AL48" s="20"/>
      <c r="AM48" s="53">
        <v>30.271000000000001</v>
      </c>
      <c r="AN48" s="51">
        <v>7.0549999999999997</v>
      </c>
      <c r="AO48" s="51">
        <v>61.673999999999999</v>
      </c>
      <c r="AP48" s="51">
        <v>64.754000000000005</v>
      </c>
      <c r="AQ48" s="6">
        <f>AP48</f>
        <v>64.754000000000005</v>
      </c>
      <c r="AR48" s="20"/>
      <c r="AS48" s="53">
        <v>86.619</v>
      </c>
      <c r="AT48" s="51">
        <v>103.404</v>
      </c>
      <c r="AU48" s="51">
        <v>9.1549999999999994</v>
      </c>
      <c r="AV48" s="51">
        <v>15.904</v>
      </c>
      <c r="AW48" s="6">
        <f>AV48</f>
        <v>15.904</v>
      </c>
      <c r="AX48" s="20"/>
      <c r="AY48" s="53">
        <v>46.563000000000002</v>
      </c>
      <c r="AZ48" s="51">
        <v>9.077</v>
      </c>
      <c r="BA48" s="51">
        <v>38.860999999999997</v>
      </c>
      <c r="BB48" s="51">
        <v>43.991</v>
      </c>
      <c r="BC48" s="6">
        <f>BB48</f>
        <v>43.991</v>
      </c>
      <c r="BD48" s="259"/>
      <c r="BE48" s="53">
        <v>20.51</v>
      </c>
      <c r="BF48" s="51">
        <f>-29.935-98.993</f>
        <v>-128.928</v>
      </c>
      <c r="BG48" s="122">
        <f>-102.717+1.307</f>
        <v>-101.41</v>
      </c>
      <c r="BH48" s="51">
        <v>-4.1920000000000002</v>
      </c>
      <c r="BI48" s="6">
        <f>BH48</f>
        <v>-4.1920000000000002</v>
      </c>
      <c r="BJ48" s="259"/>
      <c r="BK48" s="53">
        <v>7.6280000000000001</v>
      </c>
      <c r="BL48" s="51">
        <v>13.067</v>
      </c>
      <c r="BM48" s="51">
        <f>-75.079-135.779</f>
        <v>-210.858</v>
      </c>
      <c r="BN48" s="51">
        <v>-134.73500000000001</v>
      </c>
      <c r="BO48" s="6">
        <f>BN48</f>
        <v>-134.73500000000001</v>
      </c>
      <c r="BP48" s="259"/>
      <c r="BQ48" s="53">
        <v>-235.31399999999999</v>
      </c>
      <c r="BR48" s="51">
        <f>-195.842-154.213</f>
        <v>-350.05500000000001</v>
      </c>
      <c r="BS48" s="51">
        <f>-155.81-245.518</f>
        <v>-401.32799999999997</v>
      </c>
      <c r="BT48" s="51">
        <f>-259.156-152.412</f>
        <v>-411.56799999999998</v>
      </c>
      <c r="BU48" s="6">
        <f>BT48</f>
        <v>-411.56799999999998</v>
      </c>
      <c r="BV48" s="259"/>
      <c r="BW48" s="53">
        <f>-215.995-145.029</f>
        <v>-361.024</v>
      </c>
      <c r="BX48" s="51">
        <f>-248.871-131.868</f>
        <v>-380.73900000000003</v>
      </c>
      <c r="BY48" s="51">
        <f>-249.07-126.3</f>
        <v>-375.37</v>
      </c>
      <c r="BZ48" s="51">
        <f>-333.839-120.006</f>
        <v>-453.84500000000003</v>
      </c>
      <c r="CA48" s="6">
        <f>BZ48</f>
        <v>-453.84500000000003</v>
      </c>
      <c r="CB48" s="259"/>
      <c r="CC48" s="53">
        <f>-295.196-77.489</f>
        <v>-372.68500000000006</v>
      </c>
      <c r="CD48" s="51">
        <f>-244.791-63.705</f>
        <v>-308.49599999999998</v>
      </c>
      <c r="CE48" s="51">
        <f>-225.58-123.474</f>
        <v>-349.05400000000003</v>
      </c>
      <c r="CF48" s="51">
        <f>-220.759-118.987</f>
        <v>-339.74599999999998</v>
      </c>
      <c r="CG48" s="6">
        <f>CF48</f>
        <v>-339.74599999999998</v>
      </c>
      <c r="CH48" s="259"/>
      <c r="CI48" s="19">
        <f>CG48+CFS!CI52</f>
        <v>-339.74599999999998</v>
      </c>
      <c r="CJ48" s="20">
        <f>CI48+CFS!CJ52</f>
        <v>-339.74599999999998</v>
      </c>
      <c r="CK48" s="20">
        <f>CJ48+CFS!CK52</f>
        <v>-339.74599999999998</v>
      </c>
      <c r="CL48" s="20">
        <f>CK48+CFS!CL52</f>
        <v>-339.74599999999998</v>
      </c>
      <c r="CM48" s="6">
        <f>CL48</f>
        <v>-339.74599999999998</v>
      </c>
      <c r="CN48" s="259"/>
      <c r="CO48" s="19">
        <f>CM48+CFS!CO52</f>
        <v>-339.74599999999998</v>
      </c>
      <c r="CP48" s="20">
        <f>CO48+CFS!CP52</f>
        <v>-339.74599999999998</v>
      </c>
      <c r="CQ48" s="20">
        <f>CP48+CFS!CQ52</f>
        <v>-339.74599999999998</v>
      </c>
      <c r="CR48" s="20">
        <f>CQ48+CFS!CR52</f>
        <v>-339.74599999999998</v>
      </c>
      <c r="CS48" s="6">
        <f>CR48</f>
        <v>-339.74599999999998</v>
      </c>
      <c r="CT48" s="259"/>
      <c r="CU48" s="19">
        <f>CS48+CFS!CU52</f>
        <v>-339.74599999999998</v>
      </c>
      <c r="CV48" s="20">
        <f>CU48+CFS!CV52</f>
        <v>-339.74599999999998</v>
      </c>
      <c r="CW48" s="20">
        <f>CV48+CFS!CW52</f>
        <v>-339.74599999999998</v>
      </c>
      <c r="CX48" s="20">
        <f>CW48+CFS!CX52</f>
        <v>-339.74599999999998</v>
      </c>
      <c r="CY48" s="6">
        <f>CX48</f>
        <v>-339.74599999999998</v>
      </c>
      <c r="CZ48" s="20"/>
      <c r="DA48" s="20"/>
      <c r="DB48" s="20"/>
    </row>
    <row r="49" spans="1:112" ht="11.25" customHeight="1" x14ac:dyDescent="0.2">
      <c r="A49" s="542" t="s">
        <v>53</v>
      </c>
      <c r="B49" s="536"/>
      <c r="C49" s="536"/>
      <c r="D49" s="537"/>
      <c r="E49" s="537"/>
      <c r="F49" s="537"/>
      <c r="G49" s="538">
        <f>SUM(G45:G48)</f>
        <v>400.37600000000003</v>
      </c>
      <c r="H49" s="539"/>
      <c r="I49" s="540">
        <f>SUM(I45:I48)</f>
        <v>410.53</v>
      </c>
      <c r="J49" s="539">
        <f>SUM(J45:J48)</f>
        <v>412.952</v>
      </c>
      <c r="K49" s="539">
        <f>SUM(K45:K48)</f>
        <v>437.60899999999998</v>
      </c>
      <c r="L49" s="539">
        <f>SUM(L45:L48)</f>
        <v>450.45699999999999</v>
      </c>
      <c r="M49" s="538">
        <f>SUM(M45:M48)</f>
        <v>450.45699999999999</v>
      </c>
      <c r="N49" s="539"/>
      <c r="O49" s="540">
        <f>SUM(O45:O48)</f>
        <v>480.66499999999996</v>
      </c>
      <c r="P49" s="539">
        <f>SUM(P45:P48)</f>
        <v>508.62000000000006</v>
      </c>
      <c r="Q49" s="539">
        <f>SUM(Q45:Q48)</f>
        <v>528.73899999999992</v>
      </c>
      <c r="R49" s="539">
        <f>SUM(R45:R48)</f>
        <v>566.16499999999996</v>
      </c>
      <c r="S49" s="538">
        <f>SUM(S45:S48)</f>
        <v>566.16499999999996</v>
      </c>
      <c r="T49" s="539"/>
      <c r="U49" s="540">
        <f>SUM(U45:U48)</f>
        <v>587.49400000000003</v>
      </c>
      <c r="V49" s="539">
        <f>SUM(V45:V48)</f>
        <v>617.24400000000003</v>
      </c>
      <c r="W49" s="539">
        <f>SUM(W45:W48)</f>
        <v>1327.9690000000001</v>
      </c>
      <c r="X49" s="539">
        <f>SUM(X45:X48)</f>
        <v>1391.5749999999998</v>
      </c>
      <c r="Y49" s="538">
        <f>SUM(Y45:Y48)</f>
        <v>1391.5749999999998</v>
      </c>
      <c r="Z49" s="539"/>
      <c r="AA49" s="536">
        <f>SUM(AA45:AA48)</f>
        <v>1451.046</v>
      </c>
      <c r="AB49" s="537">
        <f>SUM(AB45:AB48)</f>
        <v>1479.029</v>
      </c>
      <c r="AC49" s="537">
        <f>SUM(AC45:AC48)</f>
        <v>1457.76</v>
      </c>
      <c r="AD49" s="537">
        <f>SUM(AD45:AD48)</f>
        <v>1453.8439999999998</v>
      </c>
      <c r="AE49" s="538">
        <f>SUM(AE45:AE48)</f>
        <v>1453.8439999999998</v>
      </c>
      <c r="AF49" s="539"/>
      <c r="AG49" s="536">
        <f>SUM(AG45:AG48)</f>
        <v>1462.4389999999999</v>
      </c>
      <c r="AH49" s="537">
        <f>SUM(AH45:AH48)</f>
        <v>1534.614</v>
      </c>
      <c r="AI49" s="537">
        <f>SUM(AI45:AI48)</f>
        <v>2228.3089999999997</v>
      </c>
      <c r="AJ49" s="537">
        <f>SUM(AJ45:AJ48)</f>
        <v>2291.1690000000003</v>
      </c>
      <c r="AK49" s="542">
        <f>SUM(AK45:AK48)</f>
        <v>2291.1690000000003</v>
      </c>
      <c r="AL49" s="537"/>
      <c r="AM49" s="536">
        <f>SUM(AM45:AM48)</f>
        <v>2311.0650000000001</v>
      </c>
      <c r="AN49" s="537">
        <f>SUM(AN45:AN48)</f>
        <v>2334.5429999999997</v>
      </c>
      <c r="AO49" s="537">
        <f>SUM(AO45:AO48)</f>
        <v>2430.4690000000001</v>
      </c>
      <c r="AP49" s="537">
        <f>SUM(AP45:AP48)</f>
        <v>2476.3529999999996</v>
      </c>
      <c r="AQ49" s="542">
        <f>SUM(AQ45:AQ48)</f>
        <v>2476.3529999999996</v>
      </c>
      <c r="AR49" s="537"/>
      <c r="AS49" s="536">
        <f>SUM(AS45:AS48)</f>
        <v>2536.2950000000001</v>
      </c>
      <c r="AT49" s="537">
        <f>SUM(AT45:AT48)</f>
        <v>2594.2269999999999</v>
      </c>
      <c r="AU49" s="537">
        <f>SUM(AU45:AU48)</f>
        <v>2542.7550000000001</v>
      </c>
      <c r="AV49" s="537">
        <f>SUM(AV45:AV48)</f>
        <v>2548.3040000000001</v>
      </c>
      <c r="AW49" s="542">
        <f>SUM(AW45:AW48)</f>
        <v>2548.3040000000001</v>
      </c>
      <c r="AX49" s="537"/>
      <c r="AY49" s="536">
        <f>SUM(AY45:AY48)</f>
        <v>2625.3540000000003</v>
      </c>
      <c r="AZ49" s="537">
        <f>SUM(AZ45:AZ48)</f>
        <v>2632.1490000000003</v>
      </c>
      <c r="BA49" s="537">
        <f>SUM(BA45:BA48)</f>
        <v>2702.123</v>
      </c>
      <c r="BB49" s="543">
        <f>SUM(BB45:BB48)</f>
        <v>2714.7039999999997</v>
      </c>
      <c r="BC49" s="542">
        <f>SUM(BC45:BC48)</f>
        <v>2714.7039999999997</v>
      </c>
      <c r="BD49" s="537"/>
      <c r="BE49" s="536">
        <f>SUM(BE45:BE48)</f>
        <v>2681.0150000000003</v>
      </c>
      <c r="BF49" s="537">
        <f>SUM(BF45:BF48)</f>
        <v>2585.77</v>
      </c>
      <c r="BG49" s="537">
        <f>SUM(BG45:BG48)</f>
        <v>2666.3679999999999</v>
      </c>
      <c r="BH49" s="537">
        <f>SUM(BH45:BH48)</f>
        <v>2714.3319999999999</v>
      </c>
      <c r="BI49" s="542">
        <f>SUM(BI45:BI48)</f>
        <v>2714.3319999999999</v>
      </c>
      <c r="BJ49" s="537"/>
      <c r="BK49" s="536">
        <f>SUM(BK45:BK48)</f>
        <v>2723.6839999999997</v>
      </c>
      <c r="BL49" s="537">
        <f>SUM(BL45:BL48)</f>
        <v>2745.7669999999998</v>
      </c>
      <c r="BM49" s="537">
        <f>SUM(BM45:BM48)</f>
        <v>2705.3059999999996</v>
      </c>
      <c r="BN49" s="537">
        <f>SUM(BN45:BN48)</f>
        <v>2649.7439999999997</v>
      </c>
      <c r="BO49" s="542">
        <f>SUM(BO45:BO48)</f>
        <v>2649.7439999999997</v>
      </c>
      <c r="BP49" s="537"/>
      <c r="BQ49" s="536">
        <f>SUM(BQ45:BQ48)</f>
        <v>2471.1840000000002</v>
      </c>
      <c r="BR49" s="537">
        <f>SUM(BR45:BR48)</f>
        <v>2533.7080000000001</v>
      </c>
      <c r="BS49" s="537">
        <f>SUM(BS45:BS48)</f>
        <v>2517.9810000000002</v>
      </c>
      <c r="BT49" s="537">
        <f>SUM(BT45:BT48)</f>
        <v>2559.92</v>
      </c>
      <c r="BU49" s="542">
        <f>SUM(BU45:BU48)</f>
        <v>2559.92</v>
      </c>
      <c r="BV49" s="537"/>
      <c r="BW49" s="536">
        <f>SUM(BW45:BW48)</f>
        <v>2624.598</v>
      </c>
      <c r="BX49" s="537">
        <f>SUM(BX45:BX48)</f>
        <v>2621.0819999999999</v>
      </c>
      <c r="BY49" s="537">
        <f>SUM(BY45:BY48)</f>
        <v>2665.7</v>
      </c>
      <c r="BZ49" s="537">
        <f>SUM(BZ45:BZ48)</f>
        <v>2607.0959999999995</v>
      </c>
      <c r="CA49" s="542">
        <f>SUM(CA45:CA48)</f>
        <v>2607.0959999999995</v>
      </c>
      <c r="CB49" s="537"/>
      <c r="CC49" s="536">
        <f>SUM(CC45:CC48)</f>
        <v>2429.8040000000001</v>
      </c>
      <c r="CD49" s="537">
        <f>SUM(CD45:CD48)</f>
        <v>2505.3739999999998</v>
      </c>
      <c r="CE49" s="537">
        <f>SUM(CE45:CE48)</f>
        <v>2566.596</v>
      </c>
      <c r="CF49" s="537">
        <f>SUM(CF45:CF48)</f>
        <v>2540.9960000000001</v>
      </c>
      <c r="CG49" s="542">
        <f>SUM(CG45:CG48)</f>
        <v>2540.9960000000001</v>
      </c>
      <c r="CH49" s="537"/>
      <c r="CI49" s="536">
        <f>SUM(CI45:CI48)</f>
        <v>2496.1134701694709</v>
      </c>
      <c r="CJ49" s="537">
        <f>SUM(CJ45:CJ48)</f>
        <v>2472.8635889855827</v>
      </c>
      <c r="CK49" s="537">
        <f>SUM(CK45:CK48)</f>
        <v>2452.0337432675433</v>
      </c>
      <c r="CL49" s="537">
        <f>SUM(CL45:CL48)</f>
        <v>2448.8866556724879</v>
      </c>
      <c r="CM49" s="542">
        <f>SUM(CM45:CM48)</f>
        <v>2448.8866556724879</v>
      </c>
      <c r="CN49" s="537"/>
      <c r="CO49" s="536">
        <f>SUM(CO45:CO48)</f>
        <v>2421.4417792075274</v>
      </c>
      <c r="CP49" s="537">
        <f>SUM(CP45:CP48)</f>
        <v>2409.0192524745917</v>
      </c>
      <c r="CQ49" s="537">
        <f>SUM(CQ45:CQ48)</f>
        <v>2401.9167311733272</v>
      </c>
      <c r="CR49" s="537">
        <f>SUM(CR45:CR48)</f>
        <v>2414.2492743189073</v>
      </c>
      <c r="CS49" s="542">
        <f>SUM(CS45:CS48)</f>
        <v>2414.2492743189073</v>
      </c>
      <c r="CT49" s="537"/>
      <c r="CU49" s="536">
        <f>SUM(CU45:CU48)</f>
        <v>2413.2557720134901</v>
      </c>
      <c r="CV49" s="537">
        <f>SUM(CV45:CV48)</f>
        <v>2430.2956155107076</v>
      </c>
      <c r="CW49" s="537">
        <f>SUM(CW45:CW48)</f>
        <v>2453.5929921559227</v>
      </c>
      <c r="CX49" s="537">
        <f>SUM(CX45:CX48)</f>
        <v>2498.2875413956899</v>
      </c>
      <c r="CY49" s="542">
        <f>SUM(CY45:CY48)</f>
        <v>2498.2875413956899</v>
      </c>
      <c r="CZ49" s="57"/>
      <c r="DA49" s="57"/>
      <c r="DB49" s="57"/>
    </row>
    <row r="50" spans="1:112" ht="11.25" customHeight="1" x14ac:dyDescent="0.2">
      <c r="A50" s="58"/>
      <c r="B50" s="48"/>
      <c r="C50" s="59"/>
      <c r="D50" s="39"/>
      <c r="E50" s="39"/>
      <c r="F50" s="39"/>
      <c r="G50" s="6"/>
      <c r="H50" s="28"/>
      <c r="I50" s="19"/>
      <c r="J50" s="28"/>
      <c r="K50" s="28"/>
      <c r="L50" s="28"/>
      <c r="M50" s="6"/>
      <c r="N50" s="28"/>
      <c r="O50" s="19"/>
      <c r="P50" s="28"/>
      <c r="Q50" s="28"/>
      <c r="R50" s="28"/>
      <c r="S50" s="6"/>
      <c r="T50" s="28"/>
      <c r="U50" s="19"/>
      <c r="V50" s="20"/>
      <c r="W50" s="20"/>
      <c r="X50" s="20"/>
      <c r="Y50" s="6"/>
      <c r="Z50" s="28"/>
      <c r="AA50" s="19"/>
      <c r="AB50" s="20"/>
      <c r="AC50" s="20"/>
      <c r="AD50" s="20"/>
      <c r="AE50" s="6"/>
      <c r="AF50" s="28"/>
      <c r="AG50" s="19"/>
      <c r="AH50" s="20"/>
      <c r="AI50" s="20"/>
      <c r="AJ50" s="20"/>
      <c r="AK50" s="6"/>
      <c r="AL50" s="28"/>
      <c r="AM50" s="19"/>
      <c r="AN50" s="20"/>
      <c r="AO50" s="20"/>
      <c r="AP50" s="20"/>
      <c r="AQ50" s="6"/>
      <c r="AR50" s="28"/>
      <c r="AS50" s="19"/>
      <c r="AT50" s="20"/>
      <c r="AU50" s="20"/>
      <c r="AV50" s="20"/>
      <c r="AW50" s="6"/>
      <c r="AX50" s="28"/>
      <c r="AY50" s="19"/>
      <c r="AZ50" s="28"/>
      <c r="BA50" s="28"/>
      <c r="BB50" s="28"/>
      <c r="BC50" s="6"/>
      <c r="BD50" s="28"/>
      <c r="BE50" s="19"/>
      <c r="BF50" s="28"/>
      <c r="BG50" s="28"/>
      <c r="BH50" s="28"/>
      <c r="BI50" s="6"/>
      <c r="BJ50" s="28"/>
      <c r="BK50" s="19"/>
      <c r="BL50" s="28"/>
      <c r="BM50" s="28"/>
      <c r="BN50" s="28"/>
      <c r="BO50" s="6"/>
      <c r="BP50" s="28"/>
      <c r="BQ50" s="19"/>
      <c r="BR50" s="28"/>
      <c r="BS50" s="28"/>
      <c r="BT50" s="28"/>
      <c r="BU50" s="6"/>
      <c r="BV50" s="28"/>
      <c r="BW50" s="19"/>
      <c r="BX50" s="28"/>
      <c r="BY50" s="28"/>
      <c r="BZ50" s="28"/>
      <c r="CA50" s="6"/>
      <c r="CB50" s="28"/>
      <c r="CC50" s="19"/>
      <c r="CD50" s="28"/>
      <c r="CE50" s="28"/>
      <c r="CF50" s="28"/>
      <c r="CG50" s="6"/>
      <c r="CH50" s="28"/>
      <c r="CI50" s="19"/>
      <c r="CJ50" s="28"/>
      <c r="CK50" s="28"/>
      <c r="CL50" s="28"/>
      <c r="CM50" s="6"/>
      <c r="CN50" s="28"/>
      <c r="CO50" s="19"/>
      <c r="CP50" s="28"/>
      <c r="CQ50" s="28"/>
      <c r="CR50" s="28"/>
      <c r="CS50" s="6"/>
      <c r="CT50" s="28"/>
      <c r="CU50" s="19"/>
      <c r="CV50" s="28"/>
      <c r="CW50" s="28"/>
      <c r="CX50" s="28"/>
      <c r="CY50" s="6"/>
      <c r="CZ50" s="20"/>
      <c r="DA50" s="20"/>
      <c r="DB50" s="20"/>
    </row>
    <row r="51" spans="1:112" ht="11.25" customHeight="1" x14ac:dyDescent="0.2">
      <c r="A51" s="489" t="s">
        <v>54</v>
      </c>
      <c r="B51" s="483"/>
      <c r="C51" s="483"/>
      <c r="D51" s="484"/>
      <c r="E51" s="484"/>
      <c r="F51" s="484"/>
      <c r="G51" s="489">
        <f>G41+G43+G49</f>
        <v>714.59900000000005</v>
      </c>
      <c r="H51" s="484"/>
      <c r="I51" s="483">
        <f>I41+I43+I49</f>
        <v>711.09099999999989</v>
      </c>
      <c r="J51" s="484">
        <f>J41+J43+J49</f>
        <v>733.03899999999999</v>
      </c>
      <c r="K51" s="484">
        <f>K41+K43+K49</f>
        <v>740.03</v>
      </c>
      <c r="L51" s="484">
        <f>L41+L43+L49</f>
        <v>765.298</v>
      </c>
      <c r="M51" s="489">
        <f>M41+M43+M49</f>
        <v>765.298</v>
      </c>
      <c r="N51" s="484"/>
      <c r="O51" s="483">
        <f>O41+O43+O49</f>
        <v>799.9079999999999</v>
      </c>
      <c r="P51" s="484">
        <f>P41+P43+P49</f>
        <v>1149.6310000000001</v>
      </c>
      <c r="Q51" s="484">
        <f>Q41+Q43+Q49</f>
        <v>1173.2719999999999</v>
      </c>
      <c r="R51" s="484">
        <f>R41+R43+R49</f>
        <v>1212.0119999999997</v>
      </c>
      <c r="S51" s="489">
        <f>S41+S43+S49</f>
        <v>1212.0119999999997</v>
      </c>
      <c r="T51" s="484"/>
      <c r="U51" s="483">
        <f>U41+U43+U49</f>
        <v>1249.665</v>
      </c>
      <c r="V51" s="484">
        <f>V41+V43+V49</f>
        <v>1261.6750000000002</v>
      </c>
      <c r="W51" s="484">
        <f>W41+W43+W49</f>
        <v>2695.7870000000003</v>
      </c>
      <c r="X51" s="484">
        <f>X41+X43+X49</f>
        <v>2775.174</v>
      </c>
      <c r="Y51" s="489">
        <f>Y41+Y43+Y49</f>
        <v>2775.174</v>
      </c>
      <c r="Z51" s="484"/>
      <c r="AA51" s="483">
        <f>AA41+AA43+AA49</f>
        <v>2842.2460000000001</v>
      </c>
      <c r="AB51" s="484">
        <f>AB41+AB43+AB49</f>
        <v>2873.5320000000002</v>
      </c>
      <c r="AC51" s="484">
        <f>AC41+AC43+AC49</f>
        <v>2872.8760000000002</v>
      </c>
      <c r="AD51" s="484">
        <f>AD41+AD43+AD49</f>
        <v>2885.3229999999999</v>
      </c>
      <c r="AE51" s="489">
        <f>AE41+AE43+AE49</f>
        <v>2885.3229999999999</v>
      </c>
      <c r="AF51" s="484"/>
      <c r="AG51" s="483">
        <f>AG41+AG43+AG49</f>
        <v>2832.3729999999996</v>
      </c>
      <c r="AH51" s="484">
        <f>AH41+AH43+AH49</f>
        <v>2970.527</v>
      </c>
      <c r="AI51" s="484">
        <f>AI41+AI43+AI49</f>
        <v>3754.6509999999998</v>
      </c>
      <c r="AJ51" s="484">
        <f>AJ41+AJ43+AJ49</f>
        <v>3796.4640000000004</v>
      </c>
      <c r="AK51" s="489">
        <f>AK41+AK43+AK49</f>
        <v>3796.4640000000004</v>
      </c>
      <c r="AL51" s="484"/>
      <c r="AM51" s="483">
        <f>AM41+AM43+AM49</f>
        <v>3780.1990000000001</v>
      </c>
      <c r="AN51" s="484">
        <f>AN41+AN43+AN49</f>
        <v>3767.7849999999999</v>
      </c>
      <c r="AO51" s="484">
        <f>AO41+AO43+AO49</f>
        <v>3890.5240000000003</v>
      </c>
      <c r="AP51" s="484">
        <f>AP41+AP43+AP49</f>
        <v>3913.9949999999999</v>
      </c>
      <c r="AQ51" s="489">
        <f>AQ41+AQ43+AQ49</f>
        <v>3913.9949999999999</v>
      </c>
      <c r="AR51" s="484"/>
      <c r="AS51" s="483">
        <f>AS41+AS43+AS49</f>
        <v>3958.0549999999998</v>
      </c>
      <c r="AT51" s="484">
        <f>AT41+AT43+AT49</f>
        <v>3998.3440000000001</v>
      </c>
      <c r="AU51" s="484">
        <f>AU41+AU43+AU49</f>
        <v>3948.442</v>
      </c>
      <c r="AV51" s="484">
        <f>AV41+AV43+AV49</f>
        <v>3756.453</v>
      </c>
      <c r="AW51" s="489">
        <f>AW41+AW43+AW49</f>
        <v>3756.453</v>
      </c>
      <c r="AX51" s="484"/>
      <c r="AY51" s="483">
        <f>AY41+AY43+AY49</f>
        <v>3798.1060000000007</v>
      </c>
      <c r="AZ51" s="484">
        <f>AZ41+AZ43+AZ49</f>
        <v>3876.7890000000007</v>
      </c>
      <c r="BA51" s="484">
        <f>BA41+BA43+BA49</f>
        <v>3956.4540000000002</v>
      </c>
      <c r="BB51" s="484">
        <f>BB41+BB43+BB49</f>
        <v>4087.6309999999999</v>
      </c>
      <c r="BC51" s="489">
        <f>BC41+BC43+BC49</f>
        <v>4087.6309999999999</v>
      </c>
      <c r="BD51" s="484"/>
      <c r="BE51" s="483">
        <f>BE41+BE43+BE49</f>
        <v>4033.5740000000005</v>
      </c>
      <c r="BF51" s="484">
        <f>BF41+BF43+BF49</f>
        <v>3976.279</v>
      </c>
      <c r="BG51" s="484">
        <f>BG41+BG43+BG49</f>
        <v>4055.0860000000002</v>
      </c>
      <c r="BH51" s="484">
        <f>BH41+BH43+BH49</f>
        <v>4088.3919999999998</v>
      </c>
      <c r="BI51" s="489">
        <f>BI41+BI43+BI49</f>
        <v>4088.3919999999998</v>
      </c>
      <c r="BJ51" s="484"/>
      <c r="BK51" s="483">
        <f>BK41+BK43+BK49</f>
        <v>4486.5119999999997</v>
      </c>
      <c r="BL51" s="484">
        <f>BL41+BL43+BL49</f>
        <v>4563.5959999999995</v>
      </c>
      <c r="BM51" s="484">
        <f>BM41+BM43+BM49</f>
        <v>4461.24</v>
      </c>
      <c r="BN51" s="484">
        <f>BN41+BN43+BN49</f>
        <v>4454.3719999999994</v>
      </c>
      <c r="BO51" s="489">
        <f>BO41+BO43+BO49</f>
        <v>4454.3719999999994</v>
      </c>
      <c r="BP51" s="484"/>
      <c r="BQ51" s="483">
        <f>BQ41+BQ43+BQ49</f>
        <v>4170.1980000000003</v>
      </c>
      <c r="BR51" s="484">
        <f>BR41+BR43+BR49</f>
        <v>4131.1679999999997</v>
      </c>
      <c r="BS51" s="484">
        <f>BS41+BS43+BS49</f>
        <v>4159.4310000000005</v>
      </c>
      <c r="BT51" s="484">
        <f>BT41+BT43+BT49</f>
        <v>4189.6779999999999</v>
      </c>
      <c r="BU51" s="489">
        <f>BU41+BU43+BU49</f>
        <v>4189.6779999999999</v>
      </c>
      <c r="BV51" s="484"/>
      <c r="BW51" s="483">
        <f>BW41+BW43+BW49</f>
        <v>4119.5619999999999</v>
      </c>
      <c r="BX51" s="484">
        <f>BX41+BX43+BX49</f>
        <v>4118.5159999999996</v>
      </c>
      <c r="BY51" s="484">
        <f>BY41+BY43+BY49</f>
        <v>4328.1440000000002</v>
      </c>
      <c r="BZ51" s="484">
        <f>BZ41+BZ43+BZ49</f>
        <v>4308.1939999999995</v>
      </c>
      <c r="CA51" s="489">
        <f>CA41+CA43+CA49</f>
        <v>4308.1939999999995</v>
      </c>
      <c r="CB51" s="484"/>
      <c r="CC51" s="483">
        <f>CC41+CC43+CC49</f>
        <v>4067.741</v>
      </c>
      <c r="CD51" s="484">
        <f>CD41+CD43+CD49</f>
        <v>4556.1219999999994</v>
      </c>
      <c r="CE51" s="484">
        <f>CE41+CE43+CE49</f>
        <v>5096.5439999999999</v>
      </c>
      <c r="CF51" s="484">
        <f>CF41+CF43+CF49</f>
        <v>5038.5159999999996</v>
      </c>
      <c r="CG51" s="489">
        <f>CG41+CG43+CG49</f>
        <v>5038.5159999999996</v>
      </c>
      <c r="CH51" s="484"/>
      <c r="CI51" s="483">
        <f>CI41+CI43+CI49</f>
        <v>4936.9320821212332</v>
      </c>
      <c r="CJ51" s="484">
        <f>CJ41+CJ43+CJ49</f>
        <v>4959.8447884543184</v>
      </c>
      <c r="CK51" s="484">
        <f>CK41+CK43+CK49</f>
        <v>4938.9912629517366</v>
      </c>
      <c r="CL51" s="484">
        <f>CL41+CL43+CL49</f>
        <v>4955.5657894064843</v>
      </c>
      <c r="CM51" s="489">
        <f>CM41+CM43+CM49</f>
        <v>4955.5657894064843</v>
      </c>
      <c r="CN51" s="484"/>
      <c r="CO51" s="483">
        <f>CO41+CO43+CO49</f>
        <v>4889.7573039238941</v>
      </c>
      <c r="CP51" s="484">
        <f>CP41+CP43+CP49</f>
        <v>4922.3935145191454</v>
      </c>
      <c r="CQ51" s="484">
        <f>CQ41+CQ43+CQ49</f>
        <v>4904.6024960100422</v>
      </c>
      <c r="CR51" s="484">
        <f>CR41+CR43+CR49</f>
        <v>4951.4696100934034</v>
      </c>
      <c r="CS51" s="489">
        <f>CS41+CS43+CS49</f>
        <v>4951.4696100934034</v>
      </c>
      <c r="CT51" s="484"/>
      <c r="CU51" s="483">
        <f>CU41+CU43+CU49</f>
        <v>4914.472011267374</v>
      </c>
      <c r="CV51" s="484">
        <f>CV41+CV43+CV49</f>
        <v>4977.950805151374</v>
      </c>
      <c r="CW51" s="484">
        <f>CW41+CW43+CW49</f>
        <v>4988.9246076088584</v>
      </c>
      <c r="CX51" s="484">
        <f>CX41+CX43+CX49</f>
        <v>5070.2283820648618</v>
      </c>
      <c r="CY51" s="489">
        <f>CY41+CY43+CY49</f>
        <v>5070.2283820648618</v>
      </c>
      <c r="CZ51" s="57"/>
      <c r="DA51" s="57"/>
      <c r="DB51" s="57"/>
    </row>
    <row r="52" spans="1:112" s="435" customFormat="1" ht="11.25" customHeight="1" outlineLevel="1" x14ac:dyDescent="0.2">
      <c r="A52" s="1480" t="s">
        <v>134</v>
      </c>
      <c r="B52" s="434"/>
      <c r="C52" s="434"/>
      <c r="D52" s="434"/>
      <c r="E52" s="434"/>
      <c r="F52" s="434"/>
      <c r="G52" s="544">
        <f>G26-G51</f>
        <v>0</v>
      </c>
      <c r="H52" s="544"/>
      <c r="I52" s="544">
        <f>I26-I51</f>
        <v>0</v>
      </c>
      <c r="J52" s="544">
        <f>J26-J51</f>
        <v>0</v>
      </c>
      <c r="K52" s="544">
        <f>K26-K51</f>
        <v>0</v>
      </c>
      <c r="L52" s="544">
        <f>L26-L51</f>
        <v>0</v>
      </c>
      <c r="M52" s="544">
        <f>M26-M51</f>
        <v>0</v>
      </c>
      <c r="N52" s="544"/>
      <c r="O52" s="544">
        <f>O26-O51</f>
        <v>0</v>
      </c>
      <c r="P52" s="544">
        <f>P26-P51</f>
        <v>0</v>
      </c>
      <c r="Q52" s="544">
        <f>Q26-Q51</f>
        <v>0</v>
      </c>
      <c r="R52" s="544">
        <f>R26-R51</f>
        <v>0</v>
      </c>
      <c r="S52" s="544">
        <f>S26-S51</f>
        <v>0</v>
      </c>
      <c r="T52" s="544"/>
      <c r="U52" s="545">
        <f>U26-U51</f>
        <v>0</v>
      </c>
      <c r="V52" s="544">
        <f>V26-V51</f>
        <v>0</v>
      </c>
      <c r="W52" s="545">
        <f>W26-W51</f>
        <v>0</v>
      </c>
      <c r="X52" s="544">
        <f>X26-X51</f>
        <v>0</v>
      </c>
      <c r="Y52" s="544">
        <f>Y26-Y51</f>
        <v>0</v>
      </c>
      <c r="Z52" s="544"/>
      <c r="AA52" s="544">
        <f>AA26-AA51</f>
        <v>0</v>
      </c>
      <c r="AB52" s="544">
        <f>AB26-AB51</f>
        <v>0</v>
      </c>
      <c r="AC52" s="544">
        <f>AC26-AC51</f>
        <v>0</v>
      </c>
      <c r="AD52" s="544">
        <f>AD26-AD51</f>
        <v>0</v>
      </c>
      <c r="AE52" s="546">
        <f>AE26-AE51</f>
        <v>0</v>
      </c>
      <c r="AF52" s="544"/>
      <c r="AG52" s="544">
        <f>AG26-AG51</f>
        <v>0</v>
      </c>
      <c r="AH52" s="544">
        <f>AH26-AH51</f>
        <v>0</v>
      </c>
      <c r="AI52" s="544">
        <f>AI26-AI51</f>
        <v>0</v>
      </c>
      <c r="AJ52" s="544">
        <f>AJ26-AJ51</f>
        <v>0</v>
      </c>
      <c r="AK52" s="544">
        <f>AK26-AK51</f>
        <v>0</v>
      </c>
      <c r="AL52" s="544"/>
      <c r="AM52" s="544">
        <f>AM26-AM51</f>
        <v>0</v>
      </c>
      <c r="AN52" s="544">
        <f>AN26-AN51</f>
        <v>0</v>
      </c>
      <c r="AO52" s="544">
        <f>AO26-AO51</f>
        <v>0</v>
      </c>
      <c r="AP52" s="544">
        <f>AP26-AP51</f>
        <v>0</v>
      </c>
      <c r="AQ52" s="544">
        <f>AQ26-AQ51</f>
        <v>0</v>
      </c>
      <c r="AR52" s="544"/>
      <c r="AS52" s="544">
        <f>AS26-AS51</f>
        <v>0</v>
      </c>
      <c r="AT52" s="544">
        <f>AT26-AT51</f>
        <v>0</v>
      </c>
      <c r="AU52" s="544">
        <f>AU26-AU51</f>
        <v>0</v>
      </c>
      <c r="AV52" s="544">
        <f>AV26-AV51</f>
        <v>0</v>
      </c>
      <c r="AW52" s="544">
        <f>AW26-AW51</f>
        <v>0</v>
      </c>
      <c r="AX52" s="544"/>
      <c r="AY52" s="544">
        <f>AY26-AY51</f>
        <v>0</v>
      </c>
      <c r="AZ52" s="544">
        <f>AZ26-AZ51</f>
        <v>0</v>
      </c>
      <c r="BA52" s="544">
        <f>BA26-BA51</f>
        <v>0</v>
      </c>
      <c r="BB52" s="547">
        <f>BB26-BB51</f>
        <v>0</v>
      </c>
      <c r="BC52" s="547">
        <f>BC26-BC51</f>
        <v>0</v>
      </c>
      <c r="BD52" s="545"/>
      <c r="BE52" s="547">
        <f>BE26-BE51</f>
        <v>0</v>
      </c>
      <c r="BF52" s="544">
        <f>BF26-BF51</f>
        <v>0</v>
      </c>
      <c r="BG52" s="547">
        <f>BG26-BG51</f>
        <v>0</v>
      </c>
      <c r="BH52" s="547">
        <f>BH26-BH51</f>
        <v>0</v>
      </c>
      <c r="BI52" s="545">
        <f>BI26-BI51</f>
        <v>0</v>
      </c>
      <c r="BJ52" s="544"/>
      <c r="BK52" s="547">
        <f>BK26-BK51</f>
        <v>0</v>
      </c>
      <c r="BL52" s="547">
        <f>BL26-BL51</f>
        <v>0</v>
      </c>
      <c r="BM52" s="547">
        <f>BM26-BM51</f>
        <v>0</v>
      </c>
      <c r="BN52" s="547">
        <f>BN26-BN51</f>
        <v>0</v>
      </c>
      <c r="BO52" s="545">
        <f>BO26-BO51</f>
        <v>0</v>
      </c>
      <c r="BP52" s="544"/>
      <c r="BQ52" s="547">
        <f>BQ26-BQ51</f>
        <v>0</v>
      </c>
      <c r="BR52" s="547">
        <f>BR26-BR51</f>
        <v>0</v>
      </c>
      <c r="BS52" s="547">
        <f>BS26-BS51</f>
        <v>0</v>
      </c>
      <c r="BT52" s="547">
        <f>BT26-BT51</f>
        <v>0</v>
      </c>
      <c r="BU52" s="545">
        <f>BU26-BU51</f>
        <v>0</v>
      </c>
      <c r="BV52" s="544"/>
      <c r="BW52" s="547">
        <f>BW26-BW51</f>
        <v>0</v>
      </c>
      <c r="BX52" s="547">
        <f>BX26-BX51</f>
        <v>0</v>
      </c>
      <c r="BY52" s="547">
        <f>BY26-BY51</f>
        <v>0</v>
      </c>
      <c r="BZ52" s="547">
        <f>BZ26-BZ51</f>
        <v>0</v>
      </c>
      <c r="CA52" s="545">
        <f>CA26-CA51</f>
        <v>0</v>
      </c>
      <c r="CB52" s="544"/>
      <c r="CC52" s="547">
        <f>CC26-CC51</f>
        <v>0</v>
      </c>
      <c r="CD52" s="546">
        <f>CD26-CD51</f>
        <v>0</v>
      </c>
      <c r="CE52" s="546">
        <f>CE26-CE51</f>
        <v>0</v>
      </c>
      <c r="CF52" s="547">
        <f>CF26-CF51</f>
        <v>0</v>
      </c>
      <c r="CG52" s="545">
        <f>CG26-CG51</f>
        <v>0</v>
      </c>
      <c r="CH52" s="546"/>
      <c r="CI52" s="546">
        <f>CI26-CI51</f>
        <v>0</v>
      </c>
      <c r="CJ52" s="546">
        <f>CJ26-CJ51</f>
        <v>0</v>
      </c>
      <c r="CK52" s="546">
        <f>CK26-CK51</f>
        <v>0</v>
      </c>
      <c r="CL52" s="546">
        <f>CL26-CL51</f>
        <v>0</v>
      </c>
      <c r="CM52" s="546">
        <f>CM26-CM51</f>
        <v>0</v>
      </c>
      <c r="CN52" s="546"/>
      <c r="CO52" s="546">
        <f>CO26-CO51</f>
        <v>0</v>
      </c>
      <c r="CP52" s="546">
        <f>CP26-CP51</f>
        <v>0</v>
      </c>
      <c r="CQ52" s="546">
        <f>CQ26-CQ51</f>
        <v>0</v>
      </c>
      <c r="CR52" s="546">
        <f>CR26-CR51</f>
        <v>0</v>
      </c>
      <c r="CS52" s="546">
        <f>CS26-CS51</f>
        <v>0</v>
      </c>
      <c r="CT52" s="546"/>
      <c r="CU52" s="546">
        <f>CU26-CU51</f>
        <v>0</v>
      </c>
      <c r="CV52" s="546">
        <f>CV26-CV51</f>
        <v>0</v>
      </c>
      <c r="CW52" s="546">
        <f>CW26-CW51</f>
        <v>0</v>
      </c>
      <c r="CX52" s="546">
        <f>CX26-CX51</f>
        <v>0</v>
      </c>
      <c r="CY52" s="546">
        <f>CY26-CY51</f>
        <v>0</v>
      </c>
      <c r="CZ52" s="545"/>
      <c r="DA52" s="545"/>
      <c r="DB52" s="545"/>
      <c r="DC52"/>
      <c r="DD52"/>
      <c r="DE52"/>
      <c r="DF52"/>
      <c r="DG52"/>
      <c r="DH52"/>
    </row>
    <row r="53" spans="1:112" ht="11.25" customHeight="1" outlineLevel="1" x14ac:dyDescent="0.2">
      <c r="A53" s="240"/>
      <c r="B53" s="39"/>
      <c r="C53" s="20"/>
      <c r="D53" s="20"/>
      <c r="E53" s="20"/>
      <c r="F53" s="20"/>
      <c r="G53" s="20"/>
      <c r="H53" s="39"/>
      <c r="I53" s="20"/>
      <c r="J53" s="20"/>
      <c r="K53" s="20"/>
      <c r="L53" s="20"/>
      <c r="M53" s="20"/>
      <c r="N53" s="39"/>
      <c r="O53" s="20"/>
      <c r="P53" s="20"/>
      <c r="Q53" s="20"/>
      <c r="R53" s="20"/>
      <c r="S53" s="490"/>
      <c r="T53" s="39"/>
      <c r="U53" s="20"/>
      <c r="V53" s="20"/>
      <c r="W53" s="20"/>
      <c r="X53" s="20"/>
      <c r="Y53" s="491"/>
      <c r="Z53" s="39"/>
      <c r="AA53" s="20"/>
      <c r="AB53" s="20"/>
      <c r="AC53" s="20"/>
      <c r="AD53" s="20"/>
      <c r="AE53" s="20"/>
      <c r="AF53" s="39"/>
      <c r="AG53" s="20"/>
      <c r="AH53" s="20"/>
      <c r="AI53" s="20"/>
      <c r="AJ53" s="20"/>
      <c r="AK53" s="39"/>
      <c r="AL53" s="39"/>
      <c r="AM53" s="20"/>
      <c r="AN53" s="20"/>
      <c r="AO53" s="20"/>
      <c r="AP53" s="20"/>
      <c r="AQ53" s="39"/>
      <c r="AR53" s="39"/>
      <c r="AS53" s="20"/>
      <c r="AT53" s="20"/>
      <c r="AU53" s="20"/>
      <c r="AV53" s="20"/>
      <c r="AW53" s="20"/>
      <c r="AX53" s="39"/>
      <c r="AY53" s="20"/>
      <c r="AZ53" s="20"/>
      <c r="BA53" s="20"/>
      <c r="BB53" s="20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20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</row>
    <row r="54" spans="1:112" ht="11.25" customHeight="1" outlineLevel="1" x14ac:dyDescent="0.2">
      <c r="A54" s="61" t="s">
        <v>324</v>
      </c>
      <c r="B54" s="16"/>
      <c r="C54" s="147"/>
      <c r="D54" s="147"/>
      <c r="E54" s="147"/>
      <c r="F54" s="147"/>
      <c r="G54" s="147"/>
      <c r="H54" s="25"/>
      <c r="I54" s="147"/>
      <c r="J54" s="147"/>
      <c r="K54" s="147"/>
      <c r="L54" s="147"/>
      <c r="M54" s="147"/>
      <c r="N54" s="25"/>
      <c r="O54" s="147"/>
      <c r="P54" s="147"/>
      <c r="Q54" s="147"/>
      <c r="R54" s="147"/>
      <c r="S54" s="177"/>
      <c r="T54" s="25"/>
      <c r="U54" s="147"/>
      <c r="V54" s="147"/>
      <c r="W54" s="147"/>
      <c r="X54" s="147"/>
      <c r="Y54" s="178"/>
      <c r="Z54" s="25"/>
      <c r="AA54" s="147"/>
      <c r="AB54" s="147"/>
      <c r="AC54" s="147"/>
      <c r="AD54" s="147"/>
      <c r="AE54" s="147"/>
      <c r="AF54" s="25"/>
      <c r="AG54" s="147"/>
      <c r="AH54" s="147"/>
      <c r="AI54" s="147"/>
      <c r="AJ54" s="147"/>
      <c r="AK54" s="25"/>
      <c r="AL54" s="25"/>
      <c r="AM54" s="147"/>
      <c r="AN54" s="147"/>
      <c r="AO54" s="147"/>
      <c r="AP54" s="147"/>
      <c r="AQ54" s="25"/>
      <c r="AR54" s="25"/>
      <c r="AS54" s="147"/>
      <c r="AT54" s="147"/>
      <c r="AU54" s="147"/>
      <c r="AV54" s="147"/>
      <c r="AW54" s="147"/>
      <c r="AX54" s="25"/>
      <c r="AY54" s="147"/>
      <c r="AZ54" s="147"/>
      <c r="BA54" s="147"/>
      <c r="BB54" s="147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47"/>
      <c r="BP54" s="25"/>
      <c r="BQ54" s="25"/>
      <c r="BR54" s="25"/>
      <c r="BS54" s="25"/>
      <c r="BT54" s="25"/>
      <c r="BU54" s="47"/>
      <c r="BV54" s="25"/>
      <c r="BW54" s="25"/>
      <c r="BX54" s="25"/>
      <c r="BY54" s="25"/>
      <c r="BZ54" s="25"/>
      <c r="CA54" s="47"/>
      <c r="CB54" s="25"/>
      <c r="CC54" s="25"/>
      <c r="CD54" s="25"/>
      <c r="CE54" s="25"/>
      <c r="CF54" s="25"/>
      <c r="CG54" s="47"/>
      <c r="CH54" s="25"/>
      <c r="CI54" s="25"/>
      <c r="CJ54" s="25"/>
      <c r="CK54" s="25"/>
      <c r="CL54" s="25"/>
      <c r="CM54" s="47"/>
      <c r="CN54" s="25"/>
      <c r="CO54" s="25"/>
      <c r="CP54" s="25"/>
      <c r="CQ54" s="25"/>
      <c r="CR54" s="25"/>
      <c r="CS54" s="47"/>
      <c r="CT54" s="25"/>
      <c r="CU54" s="25"/>
      <c r="CV54" s="25"/>
      <c r="CW54" s="25"/>
      <c r="CX54" s="25"/>
      <c r="CY54" s="47"/>
      <c r="CZ54" s="39"/>
      <c r="DA54" s="39"/>
      <c r="DB54" s="39"/>
    </row>
    <row r="55" spans="1:112" ht="11.25" customHeight="1" outlineLevel="1" x14ac:dyDescent="0.2">
      <c r="A55" s="62" t="s">
        <v>325</v>
      </c>
      <c r="B55" s="39"/>
      <c r="C55" s="492"/>
      <c r="D55" s="493"/>
      <c r="E55" s="493"/>
      <c r="F55" s="494"/>
      <c r="G55" s="495">
        <f>G38+G33+G31</f>
        <v>204.15200000000002</v>
      </c>
      <c r="H55" s="39"/>
      <c r="I55" s="492">
        <f>I38+I33+I31</f>
        <v>201.876</v>
      </c>
      <c r="J55" s="493">
        <f>J38+J33+J31</f>
        <v>198.44399999999999</v>
      </c>
      <c r="K55" s="493">
        <f>K38+K33+K31</f>
        <v>198.232</v>
      </c>
      <c r="L55" s="494">
        <f>L38+L33+L31</f>
        <v>197.36799999999999</v>
      </c>
      <c r="M55" s="495">
        <f>M38+M33+M31</f>
        <v>197.36799999999999</v>
      </c>
      <c r="N55" s="39"/>
      <c r="O55" s="492">
        <f>O38+O33+O31</f>
        <v>198.55499999999998</v>
      </c>
      <c r="P55" s="493">
        <f>P38+P33+P31</f>
        <v>494.85300000000001</v>
      </c>
      <c r="Q55" s="493">
        <f>Q38+Q33+Q31</f>
        <v>494.52699999999999</v>
      </c>
      <c r="R55" s="494">
        <f>R38+R33+R31</f>
        <v>496.19099999999997</v>
      </c>
      <c r="S55" s="495">
        <f>S38+S33+S31</f>
        <v>496.19099999999997</v>
      </c>
      <c r="T55" s="39"/>
      <c r="U55" s="492">
        <f>U38+U33+U31</f>
        <v>496.80900000000003</v>
      </c>
      <c r="V55" s="493">
        <f>V38+V33+V31</f>
        <v>490.55799999999999</v>
      </c>
      <c r="W55" s="493">
        <f>W38+W33+W31</f>
        <v>949.99900000000002</v>
      </c>
      <c r="X55" s="494">
        <f>X38+X33+X31</f>
        <v>950</v>
      </c>
      <c r="Y55" s="495">
        <f>Y38+Y33+Y31</f>
        <v>950</v>
      </c>
      <c r="Z55" s="39"/>
      <c r="AA55" s="492">
        <f>AA38+AA33+AA31</f>
        <v>950</v>
      </c>
      <c r="AB55" s="493">
        <f>AB38+AB33+AB31</f>
        <v>950</v>
      </c>
      <c r="AC55" s="493">
        <f>AC38+AC33+AC31</f>
        <v>950</v>
      </c>
      <c r="AD55" s="494">
        <f>AD38+AD33+AD31</f>
        <v>945</v>
      </c>
      <c r="AE55" s="495">
        <f>AE38+AE33+AE31</f>
        <v>945</v>
      </c>
      <c r="AF55" s="39"/>
      <c r="AG55" s="492">
        <f>AG38+AG33+AG31</f>
        <v>945</v>
      </c>
      <c r="AH55" s="493">
        <f>AH38+AH33+AH31</f>
        <v>945</v>
      </c>
      <c r="AI55" s="493">
        <f>AI38+AI33+AI31</f>
        <v>920</v>
      </c>
      <c r="AJ55" s="494">
        <f>AJ38+AJ33+AJ31</f>
        <v>920</v>
      </c>
      <c r="AK55" s="495">
        <f>AK38+AK33+AK31</f>
        <v>920</v>
      </c>
      <c r="AL55" s="39"/>
      <c r="AM55" s="492">
        <f>AM38+AM33+AM31</f>
        <v>920</v>
      </c>
      <c r="AN55" s="493">
        <f>AN38+AN33+AN31</f>
        <v>922.76</v>
      </c>
      <c r="AO55" s="493">
        <f>AO38+AO33+AO31</f>
        <v>873.072</v>
      </c>
      <c r="AP55" s="494">
        <f>AP38+AP33+AP31</f>
        <v>873.00600000000009</v>
      </c>
      <c r="AQ55" s="495">
        <f>AQ38+AQ33+AQ31</f>
        <v>873.00600000000009</v>
      </c>
      <c r="AR55" s="39"/>
      <c r="AS55" s="492">
        <f>AS38+AS33+AS31</f>
        <v>873.197</v>
      </c>
      <c r="AT55" s="493">
        <f>AT38+AT33+AT31</f>
        <v>873.25300000000004</v>
      </c>
      <c r="AU55" s="493">
        <f>AU38+AU33+AU31</f>
        <v>798.16599999999994</v>
      </c>
      <c r="AV55" s="494">
        <f>AV38+AV33+AV31</f>
        <v>589.95100000000002</v>
      </c>
      <c r="AW55" s="495">
        <f>AW38+AW33+AW31</f>
        <v>589.95100000000002</v>
      </c>
      <c r="AX55" s="39"/>
      <c r="AY55" s="492">
        <f>AY38+AY33+AY31</f>
        <v>594.58899999999994</v>
      </c>
      <c r="AZ55" s="493">
        <f>AZ38+AZ33+AZ31</f>
        <v>661.12299999999993</v>
      </c>
      <c r="BA55" s="493">
        <f>BA38+BA33+BA31</f>
        <v>666.524</v>
      </c>
      <c r="BB55" s="494">
        <f>BB38+BB33+BB31</f>
        <v>846.99199999999996</v>
      </c>
      <c r="BC55" s="495">
        <f>BC38+BC33+BC31</f>
        <v>846.99199999999996</v>
      </c>
      <c r="BD55" s="39"/>
      <c r="BE55" s="492">
        <f>BE38+BE33+BE31</f>
        <v>846.70900000000006</v>
      </c>
      <c r="BF55" s="493">
        <f>BF38+BF33+BF31</f>
        <v>846.35599999999999</v>
      </c>
      <c r="BG55" s="493">
        <f>BG38+BG33+BG31</f>
        <v>846.66100000000006</v>
      </c>
      <c r="BH55" s="494">
        <f>BH38+BH33+BH31</f>
        <v>845.48299999999995</v>
      </c>
      <c r="BI55" s="495">
        <f>BI38+BI33+BI31</f>
        <v>845.48299999999995</v>
      </c>
      <c r="BJ55" s="39"/>
      <c r="BK55" s="492">
        <f>BK38+BK33+BK31</f>
        <v>1171.296</v>
      </c>
      <c r="BL55" s="493">
        <f>BL38+BL33+BL31</f>
        <v>1175.3630000000001</v>
      </c>
      <c r="BM55" s="493">
        <f>BM38+BM33+BM31</f>
        <v>1164.376</v>
      </c>
      <c r="BN55" s="494">
        <f>BN38+BN33+BN31</f>
        <v>1172.079</v>
      </c>
      <c r="BO55" s="495">
        <f>BO38+BO33+BO31</f>
        <v>1172.079</v>
      </c>
      <c r="BP55" s="39"/>
      <c r="BQ55" s="492">
        <f>BQ38+BQ33+BQ31</f>
        <v>1048.97</v>
      </c>
      <c r="BR55" s="493">
        <f>BR38+BR33+BR31</f>
        <v>1049.586</v>
      </c>
      <c r="BS55" s="493">
        <f>BS38+BS33+BS31</f>
        <v>1058.9059999999999</v>
      </c>
      <c r="BT55" s="494">
        <f>BT38+BT33+BT31</f>
        <v>1059.587</v>
      </c>
      <c r="BU55" s="495">
        <f>BU38+BU33+BU31</f>
        <v>1059.587</v>
      </c>
      <c r="BV55" s="39"/>
      <c r="BW55" s="492">
        <f>BW38+BW33+BW31</f>
        <v>1059.787</v>
      </c>
      <c r="BX55" s="493">
        <f>BX38+BX33+BX31</f>
        <v>1072.412</v>
      </c>
      <c r="BY55" s="493">
        <f>BY38+BY33+BY31</f>
        <v>1069.44</v>
      </c>
      <c r="BZ55" s="494">
        <f>BZ38+BZ33+BZ31</f>
        <v>1067.096</v>
      </c>
      <c r="CA55" s="495">
        <f>CA38+CA33+CA31</f>
        <v>1067.096</v>
      </c>
      <c r="CB55" s="39"/>
      <c r="CC55" s="492">
        <f>CC38+CC33+CC31</f>
        <v>1071.5630000000001</v>
      </c>
      <c r="CD55" s="493">
        <f>CD38+CD33+CD31</f>
        <v>1383.83</v>
      </c>
      <c r="CE55" s="493">
        <f>CE38+CE33+CE31</f>
        <v>1746.9939999999999</v>
      </c>
      <c r="CF55" s="494">
        <f>CF38+CF33+CF31</f>
        <v>1758.258</v>
      </c>
      <c r="CG55" s="495">
        <f>CG38+CG33+CG31</f>
        <v>1758.258</v>
      </c>
      <c r="CH55" s="39"/>
      <c r="CI55" s="492">
        <f>CI38+CI33+CI31</f>
        <v>1758.258</v>
      </c>
      <c r="CJ55" s="493">
        <f>CJ38+CJ33+CJ31</f>
        <v>1758.258</v>
      </c>
      <c r="CK55" s="493">
        <f>CK38+CK33+CK31</f>
        <v>1758.258</v>
      </c>
      <c r="CL55" s="494">
        <f>CL38+CL33+CL31</f>
        <v>1758.258</v>
      </c>
      <c r="CM55" s="495">
        <f>CM38+CM33+CM31</f>
        <v>1758.258</v>
      </c>
      <c r="CN55" s="39"/>
      <c r="CO55" s="492">
        <f>CO38+CO33+CO31</f>
        <v>1758.258</v>
      </c>
      <c r="CP55" s="493">
        <f>CP38+CP33+CP31</f>
        <v>1758.258</v>
      </c>
      <c r="CQ55" s="493">
        <f>CQ38+CQ33+CQ31</f>
        <v>1758.258</v>
      </c>
      <c r="CR55" s="494">
        <f>CR38+CR33+CR31</f>
        <v>1758.258</v>
      </c>
      <c r="CS55" s="495">
        <f>CS38+CS33+CS31</f>
        <v>1758.258</v>
      </c>
      <c r="CT55" s="39"/>
      <c r="CU55" s="492">
        <f>CU38+CU33+CU31</f>
        <v>1758.258</v>
      </c>
      <c r="CV55" s="493">
        <f>CV38+CV33+CV31</f>
        <v>1758.258</v>
      </c>
      <c r="CW55" s="493">
        <f>CW38+CW33+CW31</f>
        <v>1758.258</v>
      </c>
      <c r="CX55" s="494">
        <f>CX38+CX33+CX31</f>
        <v>1758.258</v>
      </c>
      <c r="CY55" s="495">
        <f>CY38+CY33+CY31</f>
        <v>1758.258</v>
      </c>
      <c r="CZ55" s="493"/>
      <c r="DA55" s="493"/>
      <c r="DB55" s="493"/>
    </row>
    <row r="56" spans="1:112" ht="11.25" customHeight="1" outlineLevel="1" x14ac:dyDescent="0.2">
      <c r="A56" s="62" t="s">
        <v>326</v>
      </c>
      <c r="B56" s="39"/>
      <c r="C56" s="492"/>
      <c r="D56" s="493"/>
      <c r="E56" s="493"/>
      <c r="F56" s="494"/>
      <c r="G56" s="495">
        <f>(G55+G43)-G10</f>
        <v>7.7770000000000152</v>
      </c>
      <c r="H56" s="39"/>
      <c r="I56" s="492">
        <f t="shared" ref="I56:M56" si="39">(I55+I43)-I10</f>
        <v>-8.4379999999999882</v>
      </c>
      <c r="J56" s="493">
        <f t="shared" si="39"/>
        <v>41.448999999999984</v>
      </c>
      <c r="K56" s="493">
        <f t="shared" si="39"/>
        <v>27.039999999999992</v>
      </c>
      <c r="L56" s="494">
        <f t="shared" si="39"/>
        <v>5.6679999999999779</v>
      </c>
      <c r="M56" s="495">
        <f t="shared" si="39"/>
        <v>5.6679999999999779</v>
      </c>
      <c r="N56" s="39"/>
      <c r="O56" s="492">
        <f t="shared" ref="O56" si="40">(O55+O43)-O10</f>
        <v>0.81699999999997885</v>
      </c>
      <c r="P56" s="493">
        <f t="shared" ref="P56" si="41">(P55+P43)-P10</f>
        <v>21.396000000000015</v>
      </c>
      <c r="Q56" s="493">
        <f t="shared" ref="Q56" si="42">(Q55+Q43)-Q10</f>
        <v>2.5430000000000064</v>
      </c>
      <c r="R56" s="494">
        <f t="shared" ref="R56" si="43">(R55+R43)-R10</f>
        <v>65.834000000000003</v>
      </c>
      <c r="S56" s="495">
        <f t="shared" ref="S56" si="44">(S55+S43)-S10</f>
        <v>65.834000000000003</v>
      </c>
      <c r="T56" s="39"/>
      <c r="U56" s="492">
        <f t="shared" ref="U56" si="45">(U55+U43)-U10</f>
        <v>110.73900000000009</v>
      </c>
      <c r="V56" s="493">
        <f t="shared" ref="V56" si="46">(V55+V43)-V10</f>
        <v>110.18700000000007</v>
      </c>
      <c r="W56" s="493">
        <f t="shared" ref="W56" si="47">(W55+W43)-W10</f>
        <v>641.81099999999992</v>
      </c>
      <c r="X56" s="494">
        <f t="shared" ref="X56" si="48">(X55+X43)-X10</f>
        <v>603.23299999999995</v>
      </c>
      <c r="Y56" s="495">
        <f t="shared" ref="Y56" si="49">(Y55+Y43)-Y10</f>
        <v>603.23300000000006</v>
      </c>
      <c r="Z56" s="39"/>
      <c r="AA56" s="492">
        <f t="shared" ref="AA56" si="50">(AA55+AA43)-AA10</f>
        <v>599.05200000000013</v>
      </c>
      <c r="AB56" s="493">
        <f t="shared" ref="AB56" si="51">(AB55+AB43)-AB10</f>
        <v>570.00200000000007</v>
      </c>
      <c r="AC56" s="493">
        <f t="shared" ref="AC56" si="52">(AC55+AC43)-AC10</f>
        <v>624.3420000000001</v>
      </c>
      <c r="AD56" s="494">
        <f t="shared" ref="AD56" si="53">(AD55+AD43)-AD10</f>
        <v>611.68700000000013</v>
      </c>
      <c r="AE56" s="495">
        <f t="shared" ref="AE56" si="54">(AE55+AE43)-AE10</f>
        <v>611.68700000000013</v>
      </c>
      <c r="AF56" s="39"/>
      <c r="AG56" s="492">
        <f t="shared" ref="AG56" si="55">(AG55+AG43)-AG10</f>
        <v>607.96400000000006</v>
      </c>
      <c r="AH56" s="493">
        <f t="shared" ref="AH56" si="56">(AH55+AH43)-AH10</f>
        <v>554.68900000000008</v>
      </c>
      <c r="AI56" s="493">
        <f t="shared" ref="AI56" si="57">(AI55+AI43)-AI10</f>
        <v>58.727000000000089</v>
      </c>
      <c r="AJ56" s="494">
        <f t="shared" ref="AJ56" si="58">(AJ55+AJ43)-AJ10</f>
        <v>94.443000000000097</v>
      </c>
      <c r="AK56" s="495">
        <f t="shared" ref="AK56" si="59">(AK55+AK43)-AK10</f>
        <v>94.443000000000097</v>
      </c>
      <c r="AL56" s="39"/>
      <c r="AM56" s="492">
        <f t="shared" ref="AM56" si="60">(AM55+AM43)-AM10</f>
        <v>125.23000000000002</v>
      </c>
      <c r="AN56" s="493">
        <f t="shared" ref="AN56" si="61">(AN55+AN43)-AN10</f>
        <v>78.551000000000045</v>
      </c>
      <c r="AO56" s="493">
        <f t="shared" ref="AO56" si="62">(AO55+AO43)-AO10</f>
        <v>65.32000000000005</v>
      </c>
      <c r="AP56" s="494">
        <f t="shared" ref="AP56" si="63">(AP55+AP43)-AP10</f>
        <v>44.59900000000016</v>
      </c>
      <c r="AQ56" s="495">
        <f t="shared" ref="AQ56" si="64">(AQ55+AQ43)-AQ10</f>
        <v>44.59900000000016</v>
      </c>
      <c r="AR56" s="39"/>
      <c r="AS56" s="492">
        <f t="shared" ref="AS56" si="65">(AS55+AS43)-AS10</f>
        <v>96.616000000000099</v>
      </c>
      <c r="AT56" s="493">
        <f t="shared" ref="AT56" si="66">(AT55+AT43)-AT10</f>
        <v>85.388000000000147</v>
      </c>
      <c r="AU56" s="493">
        <f t="shared" ref="AU56" si="67">(AU55+AU43)-AU10</f>
        <v>446.08400000000017</v>
      </c>
      <c r="AV56" s="494">
        <f t="shared" ref="AV56" si="68">(AV55+AV43)-AV10</f>
        <v>378.3120000000003</v>
      </c>
      <c r="AW56" s="495">
        <f t="shared" ref="AW56" si="69">(AW55+AW43)-AW10</f>
        <v>378.31200000000013</v>
      </c>
      <c r="AX56" s="39"/>
      <c r="AY56" s="492">
        <f t="shared" ref="AY56" si="70">(AY55+AY43)-AY10</f>
        <v>384.42500000000007</v>
      </c>
      <c r="AZ56" s="493">
        <f t="shared" ref="AZ56" si="71">(AZ55+AZ43)-AZ10</f>
        <v>456.62099999999998</v>
      </c>
      <c r="BA56" s="493">
        <f t="shared" ref="BA56" si="72">(BA55+BA43)-BA10</f>
        <v>417.95800000000008</v>
      </c>
      <c r="BB56" s="494">
        <f t="shared" ref="BB56" si="73">(BB55+BB43)-BB10</f>
        <v>462.61400000000003</v>
      </c>
      <c r="BC56" s="495">
        <f t="shared" ref="BC56" si="74">(BC55+BC43)-BC10</f>
        <v>462.61400000000003</v>
      </c>
      <c r="BD56" s="39"/>
      <c r="BE56" s="492">
        <f t="shared" ref="BE56" si="75">(BE55+BE43)-BE10</f>
        <v>483.72600000000023</v>
      </c>
      <c r="BF56" s="493">
        <f t="shared" ref="BF56" si="76">(BF55+BF43)-BF10</f>
        <v>556.06500000000017</v>
      </c>
      <c r="BG56" s="493">
        <f t="shared" ref="BG56" si="77">(BG55+BG43)-BG10</f>
        <v>576.54900000000021</v>
      </c>
      <c r="BH56" s="494">
        <f t="shared" ref="BH56" si="78">(BH55+BH43)-BH10</f>
        <v>524.71900000000005</v>
      </c>
      <c r="BI56" s="495">
        <f t="shared" ref="BI56" si="79">(BI55+BI43)-BI10</f>
        <v>524.71900000000005</v>
      </c>
      <c r="BJ56" s="493"/>
      <c r="BK56" s="492">
        <f t="shared" ref="BK56" si="80">(BK55+BK43)-BK10</f>
        <v>615.92800000000011</v>
      </c>
      <c r="BL56" s="493">
        <f t="shared" ref="BL56" si="81">(BL55+BL43)-BL10</f>
        <v>765.43900000000019</v>
      </c>
      <c r="BM56" s="493">
        <f t="shared" ref="BM56" si="82">(BM55+BM43)-BM10</f>
        <v>688.52500000000009</v>
      </c>
      <c r="BN56" s="494">
        <f t="shared" ref="BN56" si="83">(BN55+BN43)-BN10</f>
        <v>787.66700000000014</v>
      </c>
      <c r="BO56" s="495">
        <f t="shared" ref="BO56" si="84">(BO55+BO43)-BO10</f>
        <v>787.66700000000037</v>
      </c>
      <c r="BP56" s="39"/>
      <c r="BQ56" s="492">
        <f t="shared" ref="BQ56" si="85">(BQ55+BQ43)-BQ10</f>
        <v>768.71800000000019</v>
      </c>
      <c r="BR56" s="493">
        <f t="shared" ref="BR56" si="86">(BR55+BR43)-BR10</f>
        <v>818.98500000000024</v>
      </c>
      <c r="BS56" s="493">
        <f t="shared" ref="BS56" si="87">(BS55+BS43)-BS10</f>
        <v>730.25300000000016</v>
      </c>
      <c r="BT56" s="494">
        <f t="shared" ref="BT56" si="88">(BT55+BT43)-BT10</f>
        <v>771.61000000000024</v>
      </c>
      <c r="BU56" s="495">
        <f t="shared" ref="BU56" si="89">(BU55+BU43)-BU10</f>
        <v>771.61000000000035</v>
      </c>
      <c r="BV56" s="39"/>
      <c r="BW56" s="492">
        <f t="shared" ref="BW56" si="90">(BW55+BW43)-BW10</f>
        <v>704.00200000000029</v>
      </c>
      <c r="BX56" s="493">
        <f t="shared" ref="BX56" si="91">(BX55+BX43)-BX10</f>
        <v>749.68700000000035</v>
      </c>
      <c r="BY56" s="493">
        <f t="shared" ref="BY56" si="92">(BY55+BY43)-BY10</f>
        <v>714.79400000000032</v>
      </c>
      <c r="BZ56" s="494">
        <f t="shared" ref="BZ56" si="93">(BZ55+BZ43)-BZ10</f>
        <v>627.91600000000028</v>
      </c>
      <c r="CA56" s="495">
        <f t="shared" ref="CA56" si="94">(CA55+CA43)-CA10</f>
        <v>627.91600000000017</v>
      </c>
      <c r="CB56" s="39"/>
      <c r="CC56" s="492">
        <f t="shared" ref="CC56:CD56" si="95">(CC55+CC43)-CC10</f>
        <v>826.1170000000003</v>
      </c>
      <c r="CD56" s="493">
        <f t="shared" si="95"/>
        <v>840.98900000000015</v>
      </c>
      <c r="CE56" s="493">
        <f t="shared" ref="CE56:CG56" si="96">(CE55+CE43)-CE10</f>
        <v>1075.2430000000002</v>
      </c>
      <c r="CF56" s="494">
        <f t="shared" si="96"/>
        <v>1100.5440000000001</v>
      </c>
      <c r="CG56" s="495">
        <f t="shared" si="96"/>
        <v>1100.5440000000001</v>
      </c>
      <c r="CH56" s="39"/>
      <c r="CI56" s="492">
        <f t="shared" ref="CI56" si="97">(CI55+CI43)-CI10</f>
        <v>1105.1494845325758</v>
      </c>
      <c r="CJ56" s="493">
        <f t="shared" ref="CJ56" si="98">(CJ55+CJ43)-CJ10</f>
        <v>1125.8202917749122</v>
      </c>
      <c r="CK56" s="493">
        <f t="shared" ref="CK56" si="99">(CK55+CK43)-CK10</f>
        <v>1179.8521616988705</v>
      </c>
      <c r="CL56" s="494">
        <f t="shared" ref="CL56" si="100">(CL55+CL43)-CL10</f>
        <v>1142.8425588865359</v>
      </c>
      <c r="CM56" s="495">
        <f t="shared" ref="CM56" si="101">(CM55+CM43)-CM10</f>
        <v>1142.8425588865359</v>
      </c>
      <c r="CN56" s="39"/>
      <c r="CO56" s="492">
        <f t="shared" ref="CO56" si="102">(CO55+CO43)-CO10</f>
        <v>1090.1661259719158</v>
      </c>
      <c r="CP56" s="493">
        <f t="shared" ref="CP56" si="103">(CP55+CP43)-CP10</f>
        <v>1085.2569570530354</v>
      </c>
      <c r="CQ56" s="493">
        <f t="shared" ref="CQ56" si="104">(CQ55+CQ43)-CQ10</f>
        <v>1137.1617833040348</v>
      </c>
      <c r="CR56" s="494">
        <f t="shared" ref="CR56" si="105">(CR55+CR43)-CR10</f>
        <v>1092.5404348607924</v>
      </c>
      <c r="CS56" s="495">
        <f t="shared" ref="CS56" si="106">(CS55+CS43)-CS10</f>
        <v>1092.5404348607924</v>
      </c>
      <c r="CT56" s="39"/>
      <c r="CU56" s="492">
        <f t="shared" ref="CU56" si="107">(CU55+CU43)-CU10</f>
        <v>1004.9104728608911</v>
      </c>
      <c r="CV56" s="493">
        <f t="shared" ref="CV56" si="108">(CV55+CV43)-CV10</f>
        <v>969.65668113157494</v>
      </c>
      <c r="CW56" s="493">
        <f t="shared" ref="CW56" si="109">(CW55+CW43)-CW10</f>
        <v>1008.0553897527426</v>
      </c>
      <c r="CX56" s="494">
        <f t="shared" ref="CX56" si="110">(CX55+CX43)-CX10</f>
        <v>934.01817175676013</v>
      </c>
      <c r="CY56" s="495">
        <f t="shared" ref="CY56" si="111">(CY55+CY43)-CY10</f>
        <v>934.01817175676013</v>
      </c>
      <c r="CZ56" s="493"/>
      <c r="DA56" s="493"/>
      <c r="DB56" s="493"/>
    </row>
    <row r="57" spans="1:112" ht="11.25" customHeight="1" outlineLevel="1" x14ac:dyDescent="0.2">
      <c r="A57" s="496" t="s">
        <v>327</v>
      </c>
      <c r="B57" s="240"/>
      <c r="C57" s="130"/>
      <c r="D57" s="77"/>
      <c r="E57" s="77"/>
      <c r="F57" s="131"/>
      <c r="G57" s="132">
        <f>G56/'P&amp;L'!G35</f>
        <v>5.2363670641466846E-2</v>
      </c>
      <c r="H57" s="240"/>
      <c r="I57" s="130">
        <f>I56/'P&amp;L'!I35</f>
        <v>-5.6609976183287967E-2</v>
      </c>
      <c r="J57" s="77">
        <f>J56/'P&amp;L'!J35</f>
        <v>0.27732503679914344</v>
      </c>
      <c r="K57" s="77">
        <f>K56/'P&amp;L'!K35</f>
        <v>0.18016457340840183</v>
      </c>
      <c r="L57" s="131">
        <f>L56/'P&amp;L'!L35</f>
        <v>3.7853288454346171E-2</v>
      </c>
      <c r="M57" s="132">
        <f>M56/'P&amp;L'!M35</f>
        <v>3.7743387582238885E-2</v>
      </c>
      <c r="N57" s="240"/>
      <c r="O57" s="130">
        <f>O56/'P&amp;L'!O35</f>
        <v>5.3651873547063854E-3</v>
      </c>
      <c r="P57" s="77">
        <f>P56/'P&amp;L'!P35</f>
        <v>0.13963049734717728</v>
      </c>
      <c r="Q57" s="77">
        <f>Q56/'P&amp;L'!Q35</f>
        <v>1.6539299534974513E-2</v>
      </c>
      <c r="R57" s="131">
        <f>R56/'P&amp;L'!R35</f>
        <v>0.42533094719704367</v>
      </c>
      <c r="S57" s="132">
        <f>S56/'P&amp;L'!S35</f>
        <v>0.42883849997068729</v>
      </c>
      <c r="T57" s="240"/>
      <c r="U57" s="130">
        <f>U56/'P&amp;L'!U35</f>
        <v>0.70896100487199076</v>
      </c>
      <c r="V57" s="77">
        <f>V56/'P&amp;L'!V35</f>
        <v>0.70226638283769538</v>
      </c>
      <c r="W57" s="77">
        <f>W56/'P&amp;L'!W35</f>
        <v>3.6073213091350551</v>
      </c>
      <c r="X57" s="131">
        <f>X56/'P&amp;L'!X35</f>
        <v>2.9392592809148623</v>
      </c>
      <c r="Y57" s="132">
        <f>Y56/'P&amp;L'!Y35</f>
        <v>3.4282588557561708</v>
      </c>
      <c r="Z57" s="240"/>
      <c r="AA57" s="130">
        <f>AA56/'P&amp;L'!AA35</f>
        <v>2.9204098944063657</v>
      </c>
      <c r="AB57" s="77">
        <f>AB56/'P&amp;L'!AB35</f>
        <v>2.7740698381798277</v>
      </c>
      <c r="AC57" s="77">
        <f>AC56/'P&amp;L'!AC35</f>
        <v>3.0515249266862177</v>
      </c>
      <c r="AD57" s="131">
        <f>AD56/'P&amp;L'!AD35</f>
        <v>3.0275689347106258</v>
      </c>
      <c r="AE57" s="132">
        <f>AE56/'P&amp;L'!AE35</f>
        <v>2.9946636378323608</v>
      </c>
      <c r="AF57" s="240"/>
      <c r="AG57" s="130">
        <f>AG56/'P&amp;L'!AG35</f>
        <v>2.9924200661521501</v>
      </c>
      <c r="AH57" s="77">
        <f>AH56/'P&amp;L'!AH35</f>
        <v>2.7219324287852396</v>
      </c>
      <c r="AI57" s="77">
        <f>AI56/'P&amp;L'!AI35</f>
        <v>0.28191305516619025</v>
      </c>
      <c r="AJ57" s="131">
        <f>AJ56/'P&amp;L'!AJ35</f>
        <v>0.39185040121484743</v>
      </c>
      <c r="AK57" s="132">
        <f>AK56/'P&amp;L'!AK35</f>
        <v>0.44212403797539512</v>
      </c>
      <c r="AL57" s="240"/>
      <c r="AM57" s="130">
        <f>AM56/'P&amp;L'!AM35</f>
        <v>0.51764190406904653</v>
      </c>
      <c r="AN57" s="77">
        <f>AN56/'P&amp;L'!AN35</f>
        <v>0.32507987220447304</v>
      </c>
      <c r="AO57" s="77">
        <f>AO56/'P&amp;L'!AO35</f>
        <v>0.27333174322215131</v>
      </c>
      <c r="AP57" s="131">
        <f>AP56/'P&amp;L'!AP35</f>
        <v>0.18545593659427137</v>
      </c>
      <c r="AQ57" s="132">
        <f>AQ56/'P&amp;L'!AQ35</f>
        <v>0.18545593659427137</v>
      </c>
      <c r="AR57" s="240"/>
      <c r="AS57" s="130">
        <f>AS56/'P&amp;L'!AS35</f>
        <v>0.40192693296503107</v>
      </c>
      <c r="AT57" s="77">
        <f>AT56/'P&amp;L'!AT35</f>
        <v>0.35433204831876169</v>
      </c>
      <c r="AU57" s="77">
        <f>AU56/'P&amp;L'!AU35</f>
        <v>1.8725165493415952</v>
      </c>
      <c r="AV57" s="131">
        <f>AV56/'P&amp;L'!AV35</f>
        <v>1.5984856487330419</v>
      </c>
      <c r="AW57" s="132">
        <f>AW56/'P&amp;L'!AW35</f>
        <v>1.5824716393936358</v>
      </c>
      <c r="AX57" s="240"/>
      <c r="AY57" s="130">
        <f>AY56/'P&amp;L'!AY35</f>
        <v>1.6092471272788165</v>
      </c>
      <c r="AZ57" s="77">
        <f>AZ56/'P&amp;L'!AZ35</f>
        <v>1.9007580204053598</v>
      </c>
      <c r="BA57" s="77">
        <f>BA56/'P&amp;L'!BA35</f>
        <v>1.7264000528711516</v>
      </c>
      <c r="BB57" s="131">
        <f>BB56/'P&amp;L'!BB35</f>
        <v>1.9135337257351333</v>
      </c>
      <c r="BC57" s="132">
        <f>BC56/'P&amp;L'!BC35</f>
        <v>1.9215854053649906</v>
      </c>
      <c r="BD57" s="240"/>
      <c r="BE57" s="130">
        <f>BE56/'P&amp;L'!BE35</f>
        <v>2.003420998136261</v>
      </c>
      <c r="BF57" s="77">
        <f>BF56/'P&amp;L'!BF35</f>
        <v>2.3124955814040535</v>
      </c>
      <c r="BG57" s="77">
        <f>BG56/'P&amp;L'!BG35</f>
        <v>2.3784534147397958</v>
      </c>
      <c r="BH57" s="131">
        <f>BH56/'P&amp;L'!BH35</f>
        <v>2.1471262204253998</v>
      </c>
      <c r="BI57" s="132">
        <f>BI56/'P&amp;L'!BI35</f>
        <v>2.1666935067616393</v>
      </c>
      <c r="BJ57" s="240"/>
      <c r="BK57" s="130">
        <f>BK56/'P&amp;L'!BK35</f>
        <v>2.5352465156866137</v>
      </c>
      <c r="BL57" s="77">
        <f>BL56/'P&amp;L'!BL35</f>
        <v>3.180846908244682</v>
      </c>
      <c r="BM57" s="77">
        <f>BM56/'P&amp;L'!BM35</f>
        <v>2.8518972608697459</v>
      </c>
      <c r="BN57" s="131">
        <f>BN56/'P&amp;L'!BN35</f>
        <v>3.2664573812505706</v>
      </c>
      <c r="BO57" s="132">
        <f>BO56/'P&amp;L'!BO35</f>
        <v>3.2610479510470416</v>
      </c>
      <c r="BP57" s="240"/>
      <c r="BQ57" s="130">
        <f>BQ56/'P&amp;L'!BQ35</f>
        <v>3.2173625527355529</v>
      </c>
      <c r="BR57" s="77">
        <f>BR56/'P&amp;L'!BR35</f>
        <v>3.4334243060708594</v>
      </c>
      <c r="BS57" s="77">
        <f>BS56/'P&amp;L'!BS35</f>
        <v>3.0611001890517655</v>
      </c>
      <c r="BT57" s="131">
        <f>BT56/'P&amp;L'!BT35</f>
        <v>3.2341636593022924</v>
      </c>
      <c r="BU57" s="132">
        <f>BU56/'P&amp;L'!BU35</f>
        <v>3.2332692219051586</v>
      </c>
      <c r="BV57" s="240"/>
      <c r="BW57" s="130">
        <f>BW56/'P&amp;L'!BW35</f>
        <v>2.9534869086225641</v>
      </c>
      <c r="BX57" s="77">
        <f>BX56/'P&amp;L'!BX35</f>
        <v>3.1411422609744974</v>
      </c>
      <c r="BY57" s="77">
        <f>BY56/'P&amp;L'!BY35</f>
        <v>2.9870579238352355</v>
      </c>
      <c r="BZ57" s="131">
        <f>BZ56/'P&amp;L'!BZ35</f>
        <v>2.6201595673654707</v>
      </c>
      <c r="CA57" s="132">
        <f>CA56/'P&amp;L'!CA35</f>
        <v>2.6258940773855222</v>
      </c>
      <c r="CB57" s="240"/>
      <c r="CC57" s="130">
        <f>CC56/'P&amp;L'!CC35</f>
        <v>3.5171725256619322</v>
      </c>
      <c r="CD57" s="77">
        <f>CD56/'P&amp;L'!CD35</f>
        <v>3.6140481306403101</v>
      </c>
      <c r="CE57" s="77">
        <f>CE56/'P&amp;L'!CE35</f>
        <v>4.6203092973990323</v>
      </c>
      <c r="CF57" s="131">
        <f>CF56/'P&amp;L'!CF35</f>
        <v>4.7488209328115092</v>
      </c>
      <c r="CG57" s="132">
        <f>CG56/'P&amp;L'!CG35</f>
        <v>4.7283632327578244</v>
      </c>
      <c r="CH57" s="240"/>
      <c r="CI57" s="130">
        <f>CI56/'P&amp;L'!CI35</f>
        <v>4.7698549684140428</v>
      </c>
      <c r="CJ57" s="77">
        <f>CJ56/'P&amp;L'!CJ35</f>
        <v>4.891584074247521</v>
      </c>
      <c r="CK57" s="77">
        <f>CK56/'P&amp;L'!CK35</f>
        <v>5.1601904152799731</v>
      </c>
      <c r="CL57" s="131">
        <f>CL56/'P&amp;L'!CL35</f>
        <v>5.0315364697178291</v>
      </c>
      <c r="CM57" s="132">
        <f>CM56/'P&amp;L'!CM35</f>
        <v>4.9887371011615551</v>
      </c>
      <c r="CN57" s="240"/>
      <c r="CO57" s="130">
        <f>CO56/'P&amp;L'!CO35</f>
        <v>4.8341484118981928</v>
      </c>
      <c r="CP57" s="77">
        <f>CP56/'P&amp;L'!CP35</f>
        <v>4.8438831323168445</v>
      </c>
      <c r="CQ57" s="77">
        <f>CQ56/'P&amp;L'!CQ35</f>
        <v>5.1083298386570233</v>
      </c>
      <c r="CR57" s="131">
        <f>CR56/'P&amp;L'!CR35</f>
        <v>4.9397774990202308</v>
      </c>
      <c r="CS57" s="132">
        <f>CS56/'P&amp;L'!CS35</f>
        <v>4.8976577973089572</v>
      </c>
      <c r="CT57" s="240"/>
      <c r="CU57" s="130">
        <f>CU56/'P&amp;L'!CU35</f>
        <v>4.5755339484373598</v>
      </c>
      <c r="CV57" s="77">
        <f>CV56/'P&amp;L'!CV35</f>
        <v>4.4432769157572602</v>
      </c>
      <c r="CW57" s="77">
        <f>CW56/'P&amp;L'!CW35</f>
        <v>4.6483950169956527</v>
      </c>
      <c r="CX57" s="131">
        <f>CX56/'P&amp;L'!CX35</f>
        <v>4.3343502910466114</v>
      </c>
      <c r="CY57" s="132">
        <f>CY56/'P&amp;L'!CY35</f>
        <v>4.297646363740987</v>
      </c>
      <c r="CZ57" s="154"/>
      <c r="DA57" s="154"/>
      <c r="DB57" s="154"/>
    </row>
    <row r="58" spans="1:112" ht="11.25" customHeight="1" outlineLevel="1" x14ac:dyDescent="0.2">
      <c r="A58" s="69"/>
      <c r="B58" s="39"/>
      <c r="C58" s="497"/>
      <c r="D58" s="497"/>
      <c r="E58" s="497"/>
      <c r="F58" s="497"/>
      <c r="G58" s="497"/>
      <c r="H58" s="39"/>
      <c r="I58" s="497"/>
      <c r="J58" s="497"/>
      <c r="K58" s="497"/>
      <c r="L58" s="497"/>
      <c r="M58" s="497"/>
      <c r="N58" s="39"/>
      <c r="O58" s="497"/>
      <c r="P58" s="497"/>
      <c r="Q58" s="497"/>
      <c r="R58" s="497"/>
      <c r="S58" s="497"/>
      <c r="T58" s="39"/>
      <c r="U58" s="497"/>
      <c r="V58" s="497"/>
      <c r="W58" s="497"/>
      <c r="X58" s="497"/>
      <c r="Y58" s="497"/>
      <c r="Z58" s="39"/>
      <c r="AA58" s="497"/>
      <c r="AB58" s="497"/>
      <c r="AC58" s="497"/>
      <c r="AD58" s="497"/>
      <c r="AE58" s="497"/>
      <c r="AF58" s="39"/>
      <c r="AG58" s="497"/>
      <c r="AH58" s="497"/>
      <c r="AI58" s="497"/>
      <c r="AJ58" s="497"/>
      <c r="AK58" s="497"/>
      <c r="AL58" s="39"/>
      <c r="AM58" s="497"/>
      <c r="AN58" s="497"/>
      <c r="AO58" s="497"/>
      <c r="AP58" s="497"/>
      <c r="AQ58" s="497"/>
      <c r="AR58" s="39"/>
      <c r="AS58" s="497"/>
      <c r="AT58" s="497"/>
      <c r="AU58" s="497"/>
      <c r="AV58" s="497"/>
      <c r="AW58" s="497"/>
      <c r="AX58" s="39"/>
      <c r="AY58" s="497"/>
      <c r="AZ58" s="497"/>
      <c r="BA58" s="497"/>
      <c r="BB58" s="497"/>
      <c r="BC58" s="497"/>
      <c r="BD58" s="39"/>
      <c r="BE58" s="497"/>
      <c r="BF58" s="497"/>
      <c r="BG58" s="497"/>
      <c r="BH58" s="497"/>
      <c r="BI58" s="497"/>
      <c r="BJ58" s="39"/>
      <c r="BK58" s="497"/>
      <c r="BL58" s="497"/>
      <c r="BM58" s="497"/>
      <c r="BN58" s="497"/>
      <c r="BO58" s="497"/>
      <c r="BP58" s="39"/>
      <c r="BQ58" s="497"/>
      <c r="BR58" s="497"/>
      <c r="BS58" s="497"/>
      <c r="BT58" s="497"/>
      <c r="BU58" s="497"/>
      <c r="BV58" s="39"/>
      <c r="BW58" s="497"/>
      <c r="BX58" s="497"/>
      <c r="BY58" s="497"/>
      <c r="BZ58" s="497"/>
      <c r="CA58" s="497"/>
      <c r="CB58" s="39"/>
      <c r="CC58" s="497"/>
      <c r="CD58" s="497"/>
      <c r="CE58" s="497"/>
      <c r="CF58" s="497"/>
      <c r="CG58" s="497"/>
      <c r="CH58" s="39"/>
      <c r="CI58" s="497"/>
      <c r="CJ58" s="497"/>
      <c r="CK58" s="497"/>
      <c r="CL58" s="497"/>
      <c r="CM58" s="497"/>
      <c r="CN58" s="39"/>
      <c r="CO58" s="497"/>
      <c r="CP58" s="497"/>
      <c r="CQ58" s="497"/>
      <c r="CR58" s="497"/>
      <c r="CS58" s="497"/>
      <c r="CT58" s="39"/>
      <c r="CU58" s="497"/>
      <c r="CV58" s="497"/>
      <c r="CW58" s="497"/>
      <c r="CX58" s="497"/>
      <c r="CY58" s="497"/>
      <c r="CZ58" s="497"/>
      <c r="DA58" s="497"/>
      <c r="DB58" s="497"/>
    </row>
    <row r="59" spans="1:112" ht="11.25" customHeight="1" outlineLevel="1" x14ac:dyDescent="0.2">
      <c r="A59" s="61" t="s">
        <v>328</v>
      </c>
      <c r="B59" s="16"/>
      <c r="C59" s="133"/>
      <c r="D59" s="133"/>
      <c r="E59" s="133"/>
      <c r="F59" s="133"/>
      <c r="G59" s="133"/>
      <c r="H59" s="25"/>
      <c r="I59" s="133"/>
      <c r="J59" s="133"/>
      <c r="K59" s="133"/>
      <c r="L59" s="133"/>
      <c r="M59" s="133"/>
      <c r="N59" s="25"/>
      <c r="O59" s="133"/>
      <c r="P59" s="133"/>
      <c r="Q59" s="133"/>
      <c r="R59" s="133"/>
      <c r="S59" s="133"/>
      <c r="T59" s="25"/>
      <c r="U59" s="133"/>
      <c r="V59" s="133"/>
      <c r="W59" s="133"/>
      <c r="X59" s="133"/>
      <c r="Y59" s="133"/>
      <c r="Z59" s="25"/>
      <c r="AA59" s="133"/>
      <c r="AB59" s="133"/>
      <c r="AC59" s="133"/>
      <c r="AD59" s="133"/>
      <c r="AE59" s="133"/>
      <c r="AF59" s="25"/>
      <c r="AG59" s="133"/>
      <c r="AH59" s="133"/>
      <c r="AI59" s="133"/>
      <c r="AJ59" s="133"/>
      <c r="AK59" s="133"/>
      <c r="AL59" s="25"/>
      <c r="AM59" s="133"/>
      <c r="AN59" s="133"/>
      <c r="AO59" s="133"/>
      <c r="AP59" s="133"/>
      <c r="AQ59" s="133"/>
      <c r="AR59" s="25"/>
      <c r="AS59" s="133"/>
      <c r="AT59" s="133"/>
      <c r="AU59" s="133"/>
      <c r="AV59" s="133"/>
      <c r="AW59" s="133"/>
      <c r="AX59" s="25"/>
      <c r="AY59" s="133"/>
      <c r="AZ59" s="133"/>
      <c r="BA59" s="133"/>
      <c r="BB59" s="133"/>
      <c r="BC59" s="133"/>
      <c r="BD59" s="25"/>
      <c r="BE59" s="133"/>
      <c r="BF59" s="133"/>
      <c r="BG59" s="133"/>
      <c r="BH59" s="133"/>
      <c r="BI59" s="133"/>
      <c r="BJ59" s="25"/>
      <c r="BK59" s="133"/>
      <c r="BL59" s="133"/>
      <c r="BM59" s="133"/>
      <c r="BN59" s="133"/>
      <c r="BO59" s="133"/>
      <c r="BP59" s="25"/>
      <c r="BQ59" s="133"/>
      <c r="BR59" s="133"/>
      <c r="BS59" s="133"/>
      <c r="BT59" s="133"/>
      <c r="BU59" s="133"/>
      <c r="BV59" s="25"/>
      <c r="BW59" s="133"/>
      <c r="BX59" s="133"/>
      <c r="BY59" s="133"/>
      <c r="BZ59" s="133"/>
      <c r="CA59" s="133"/>
      <c r="CB59" s="25"/>
      <c r="CC59" s="133"/>
      <c r="CD59" s="133"/>
      <c r="CE59" s="133"/>
      <c r="CF59" s="133"/>
      <c r="CG59" s="133"/>
      <c r="CH59" s="25"/>
      <c r="CI59" s="133"/>
      <c r="CJ59" s="133"/>
      <c r="CK59" s="133"/>
      <c r="CL59" s="133"/>
      <c r="CM59" s="174"/>
      <c r="CN59" s="25"/>
      <c r="CO59" s="133"/>
      <c r="CP59" s="133"/>
      <c r="CQ59" s="133"/>
      <c r="CR59" s="133"/>
      <c r="CS59" s="174"/>
      <c r="CT59" s="25"/>
      <c r="CU59" s="133"/>
      <c r="CV59" s="133"/>
      <c r="CW59" s="133"/>
      <c r="CX59" s="133"/>
      <c r="CY59" s="174"/>
      <c r="CZ59" s="530"/>
      <c r="DA59" s="530"/>
      <c r="DB59" s="530"/>
    </row>
    <row r="60" spans="1:112" ht="11.25" customHeight="1" outlineLevel="1" x14ac:dyDescent="0.2">
      <c r="A60" s="423" t="s">
        <v>329</v>
      </c>
      <c r="B60" s="39"/>
      <c r="C60" s="100"/>
      <c r="D60" s="80"/>
      <c r="E60" s="80"/>
      <c r="F60" s="80"/>
      <c r="G60" s="101">
        <f>('P&amp;L'!G28)/AVERAGE(BS!A49,G49)</f>
        <v>0.13120707784682398</v>
      </c>
      <c r="H60" s="39"/>
      <c r="I60" s="100">
        <f>('P&amp;L'!I28*4)/AVERAGE(BS!G49,I49)</f>
        <v>0.13760411194392447</v>
      </c>
      <c r="J60" s="80">
        <f>('P&amp;L'!J28*4)/AVERAGE(BS!I49,J49)</f>
        <v>0.1561434494014442</v>
      </c>
      <c r="K60" s="80">
        <f>('P&amp;L'!K28*4)/AVERAGE(BS!J49,K49)</f>
        <v>0.16791449408096523</v>
      </c>
      <c r="L60" s="80">
        <f>('P&amp;L'!L28*4)/AVERAGE(BS!K49,L49)</f>
        <v>0.18099794384651594</v>
      </c>
      <c r="M60" s="101">
        <f>('P&amp;L'!M28)/AVERAGE(BS!G49,M49)</f>
        <v>0.1597625385945303</v>
      </c>
      <c r="N60" s="39"/>
      <c r="O60" s="100">
        <f>('P&amp;L'!O28*4)/AVERAGE(BS!M49,O49)</f>
        <v>0.16522002487321752</v>
      </c>
      <c r="P60" s="80">
        <f>('P&amp;L'!P28*4)/AVERAGE(BS!O49,P49)</f>
        <v>0.16055231808831635</v>
      </c>
      <c r="Q60" s="80">
        <f>('P&amp;L'!Q28*4)/AVERAGE(BS!P49,Q49)</f>
        <v>0.16856652325761873</v>
      </c>
      <c r="R60" s="80">
        <f>('P&amp;L'!R28*4)/AVERAGE(BS!Q49,R49)</f>
        <v>0.17063304180092501</v>
      </c>
      <c r="S60" s="101">
        <f>('P&amp;L'!S28)/AVERAGE(BS!M49,S49)</f>
        <v>0.16583420386338282</v>
      </c>
      <c r="T60" s="39"/>
      <c r="U60" s="100">
        <f>('P&amp;L'!U28*4)/AVERAGE(BS!S49,U49)</f>
        <v>0.15642057141668361</v>
      </c>
      <c r="V60" s="80">
        <f>('P&amp;L'!V28*4)/AVERAGE(BS!U49,V49)</f>
        <v>0.17140988331072807</v>
      </c>
      <c r="W60" s="80">
        <f>('P&amp;L'!W28*4)/AVERAGE(BS!V49,W49)</f>
        <v>0.12778857636670118</v>
      </c>
      <c r="X60" s="80">
        <f>('P&amp;L'!X28*4)/AVERAGE(BS!W49,X49)</f>
        <v>9.436876182183504E-2</v>
      </c>
      <c r="Y60" s="101">
        <f>('P&amp;L'!Y28)/AVERAGE(BS!S49,Y49)</f>
        <v>0.1139293266725919</v>
      </c>
      <c r="Z60" s="39"/>
      <c r="AA60" s="100">
        <f>('P&amp;L'!AA28*4)/AVERAGE(BS!Y49,AA49)</f>
        <v>0.10394069416921906</v>
      </c>
      <c r="AB60" s="80">
        <f>('P&amp;L'!AB28*4)/AVERAGE(BS!AA49,AB49)</f>
        <v>0.11037260138392366</v>
      </c>
      <c r="AC60" s="80">
        <f>('P&amp;L'!AC28*4)/AVERAGE(BS!AB49,AC49)</f>
        <v>0.11555750174765704</v>
      </c>
      <c r="AD60" s="80">
        <f>('P&amp;L'!AD28*4)/AVERAGE(BS!AC49,AD49)</f>
        <v>0.11954098153457685</v>
      </c>
      <c r="AE60" s="101">
        <f>('P&amp;L'!AE28)/AVERAGE(BS!Y49,AE49)</f>
        <v>0.11477114618268865</v>
      </c>
      <c r="AF60" s="39"/>
      <c r="AG60" s="100">
        <f>('P&amp;L'!AG28*4)/AVERAGE(BS!AE49,AG49)</f>
        <v>0.11075742649118768</v>
      </c>
      <c r="AH60" s="80">
        <f>('P&amp;L'!AH28*4)/AVERAGE(BS!AG49,AH49)</f>
        <v>0.12881720810409419</v>
      </c>
      <c r="AI60" s="80">
        <f>('P&amp;L'!AI28*4)/AVERAGE(BS!AH49,AI49)</f>
        <v>0.11375624747038408</v>
      </c>
      <c r="AJ60" s="80">
        <f>('P&amp;L'!AJ28*4)/AVERAGE(BS!AI49,AJ49)</f>
        <v>0.1016878497915026</v>
      </c>
      <c r="AK60" s="101">
        <f>('P&amp;L'!AK28)/AVERAGE(BS!AE49,AK49)</f>
        <v>0.10658868206866041</v>
      </c>
      <c r="AL60" s="39"/>
      <c r="AM60" s="100">
        <f>('P&amp;L'!AM28*4)/AVERAGE(BS!AK49,AM49)</f>
        <v>8.5822667860869228E-2</v>
      </c>
      <c r="AN60" s="80">
        <f>('P&amp;L'!AN28*4)/AVERAGE(BS!AM49,AN49)</f>
        <v>9.0511295830384295E-2</v>
      </c>
      <c r="AO60" s="80">
        <f>('P&amp;L'!AO28*4)/AVERAGE(BS!AN49,AO49)</f>
        <v>9.8665858553976346E-2</v>
      </c>
      <c r="AP60" s="80">
        <f>('P&amp;L'!AP28*4)/AVERAGE(BS!AO49,AP49)</f>
        <v>0.10108864760123766</v>
      </c>
      <c r="AQ60" s="101">
        <f>('P&amp;L'!AQ28)/AVERAGE(BS!AK49,AQ49)</f>
        <v>9.3425053937873828E-2</v>
      </c>
      <c r="AR60" s="39"/>
      <c r="AS60" s="100">
        <f>('P&amp;L'!AS28*4)/AVERAGE(BS!AQ49,AS49)</f>
        <v>7.9009736969362254E-2</v>
      </c>
      <c r="AT60" s="80">
        <f>('P&amp;L'!AT28*4)/AVERAGE(BS!AS49,AT49)</f>
        <v>8.5705119284158651E-2</v>
      </c>
      <c r="AU60" s="80">
        <f>('P&amp;L'!AU28*4)/AVERAGE(BS!AT49,AU49)</f>
        <v>8.7811870861139868E-2</v>
      </c>
      <c r="AV60" s="80">
        <f>('P&amp;L'!AV28*4)/AVERAGE(BS!AU49,AV49)</f>
        <v>0.11569773597202487</v>
      </c>
      <c r="AW60" s="101">
        <f>('P&amp;L'!AW28)/AVERAGE(BS!AQ49,AW49)</f>
        <v>9.3333335986914165E-2</v>
      </c>
      <c r="AX60" s="39"/>
      <c r="AY60" s="100">
        <f>('P&amp;L'!AY28*4)/AVERAGE(BS!AW49,AY49)</f>
        <v>8.46673668804548E-2</v>
      </c>
      <c r="AZ60" s="80">
        <f>('P&amp;L'!AZ28*4)/AVERAGE(BS!AY49,AZ49)</f>
        <v>9.2550398925117142E-2</v>
      </c>
      <c r="BA60" s="80">
        <f>('P&amp;L'!BA28*4)/AVERAGE(BS!AZ49,BA49)</f>
        <v>9.3471049095359179E-2</v>
      </c>
      <c r="BB60" s="80">
        <f>('P&amp;L'!BB28*4)/AVERAGE(BS!BA49,BB49)</f>
        <v>0.12231514870236762</v>
      </c>
      <c r="BC60" s="101">
        <f>('P&amp;L'!BC28)/AVERAGE(BS!AW49,BC49)</f>
        <v>9.9077561728957986E-2</v>
      </c>
      <c r="BD60" s="39"/>
      <c r="BE60" s="100">
        <f>('P&amp;L'!BE28*4)/AVERAGE(BS!BC49,BE49)</f>
        <v>8.1080575174504108E-2</v>
      </c>
      <c r="BF60" s="80">
        <f>('P&amp;L'!BF28*4)/AVERAGE(BS!BE49,BF49)</f>
        <v>9.7589706054072786E-2</v>
      </c>
      <c r="BG60" s="80">
        <f>('P&amp;L'!BG28*4)/AVERAGE(BS!BF49,BG49)</f>
        <v>0.10418005010530941</v>
      </c>
      <c r="BH60" s="80">
        <f>('P&amp;L'!BH28*4)/AVERAGE(BS!BG49,BH49)</f>
        <v>0.12996227256676635</v>
      </c>
      <c r="BI60" s="101">
        <f>('P&amp;L'!BI28)/AVERAGE(BS!BC49,BI49)</f>
        <v>0.10121170682972078</v>
      </c>
      <c r="BJ60" s="39"/>
      <c r="BK60" s="100">
        <f>('P&amp;L'!BK28*4)/AVERAGE(BS!BI49,BK49)</f>
        <v>7.8972919535359926E-2</v>
      </c>
      <c r="BL60" s="80">
        <f>('P&amp;L'!BL28*4)/AVERAGE(BS!BK49,BL49)</f>
        <v>8.8902524220438206E-2</v>
      </c>
      <c r="BM60" s="80">
        <f>('P&amp;L'!BM28*4)/AVERAGE(BS!BL49,BM49)</f>
        <v>9.6871936956265309E-2</v>
      </c>
      <c r="BN60" s="80">
        <f>('P&amp;L'!BN28*4)/AVERAGE(BS!BM49,BN49)</f>
        <v>9.028337737276021E-2</v>
      </c>
      <c r="BO60" s="101">
        <f>('P&amp;L'!BO28)/AVERAGE(BS!BI49,BO49)</f>
        <v>8.9821247871954099E-2</v>
      </c>
      <c r="BP60" s="39"/>
      <c r="BQ60" s="100">
        <f>('P&amp;L'!BQ28*4)/AVERAGE(BS!BO49,BQ49)</f>
        <v>8.0493223103312486E-2</v>
      </c>
      <c r="BR60" s="80">
        <f>('P&amp;L'!BR28*4)/AVERAGE(BS!BQ49,BR49)</f>
        <v>9.7467837467821533E-2</v>
      </c>
      <c r="BS60" s="80">
        <f>('P&amp;L'!BS28*4)/AVERAGE(BS!BR49,BS49)</f>
        <v>9.995231297888682E-2</v>
      </c>
      <c r="BT60" s="80">
        <f>('P&amp;L'!BT28*4)/AVERAGE(BS!BS49,BT49)</f>
        <v>0.12006535771374828</v>
      </c>
      <c r="BU60" s="101">
        <f>('P&amp;L'!BU28)/AVERAGE(BS!BO49,BU49)</f>
        <v>9.6677252122209803E-2</v>
      </c>
      <c r="BV60" s="39"/>
      <c r="BW60" s="100">
        <f>('P&amp;L'!BW28*4)/AVERAGE(BS!BU49,BW49)</f>
        <v>6.9635017179996275E-2</v>
      </c>
      <c r="BX60" s="80">
        <f>('P&amp;L'!BX28*4)/AVERAGE(BS!BW49,BX49)</f>
        <v>8.6812767839441196E-2</v>
      </c>
      <c r="BY60" s="80">
        <f>('P&amp;L'!BY28*4)/AVERAGE(BS!BX49,BY49)</f>
        <v>0.10323255242981458</v>
      </c>
      <c r="BZ60" s="80">
        <f>('P&amp;L'!BZ28*4)/AVERAGE(BS!BY49,BZ49)</f>
        <v>0.14187994377176741</v>
      </c>
      <c r="CA60" s="101">
        <f>('P&amp;L'!CA28)/AVERAGE(BS!BU49,CA49)</f>
        <v>0.10210380614265566</v>
      </c>
      <c r="CB60" s="39"/>
      <c r="CC60" s="100">
        <f>('P&amp;L'!CC28*4)/AVERAGE(BS!CA49,CC49)</f>
        <v>8.0622605173817294E-2</v>
      </c>
      <c r="CD60" s="80">
        <f>('P&amp;L'!CD28*4)/AVERAGE(BS!CC49,CD49)</f>
        <v>0.11128595564334255</v>
      </c>
      <c r="CE60" s="80">
        <f>('P&amp;L'!CE28*4)/AVERAGE(BS!CD49,CE49)</f>
        <v>0.11911900109819265</v>
      </c>
      <c r="CF60" s="80">
        <f>('P&amp;L'!CF28*4)/AVERAGE(BS!CE49,CF49)</f>
        <v>0.15685826119235835</v>
      </c>
      <c r="CG60" s="101">
        <f>('P&amp;L'!CG28)/AVERAGE(BS!CA49,CG49)</f>
        <v>0.1146366459651459</v>
      </c>
      <c r="CH60" s="39"/>
      <c r="CI60" s="100">
        <f>('P&amp;L'!CI28*4)/AVERAGE(BS!CG49,CI49)</f>
        <v>8.6270582412860605E-2</v>
      </c>
      <c r="CJ60" s="80">
        <f>('P&amp;L'!CJ28*4)/AVERAGE(BS!CI49,CJ49)</f>
        <v>0.12076638967831702</v>
      </c>
      <c r="CK60" s="80">
        <f>('P&amp;L'!CK28*4)/AVERAGE(BS!CJ49,CK49)</f>
        <v>0.12566837176874723</v>
      </c>
      <c r="CL60" s="80">
        <f>('P&amp;L'!CL28*4)/AVERAGE(BS!CK49,CL49)</f>
        <v>0.15448579407700974</v>
      </c>
      <c r="CM60" s="101">
        <f>('P&amp;L'!CM28)/AVERAGE(BS!CG49,CM49)</f>
        <v>0.1207776997104288</v>
      </c>
      <c r="CN60" s="39"/>
      <c r="CO60" s="100">
        <f>('P&amp;L'!CO28*4)/AVERAGE(BS!CM49,CO49)</f>
        <v>0.11328403741414089</v>
      </c>
      <c r="CP60" s="80">
        <f>('P&amp;L'!CP28*4)/AVERAGE(BS!CO49,CP49)</f>
        <v>0.13785123407808203</v>
      </c>
      <c r="CQ60" s="80">
        <f>('P&amp;L'!CQ28*4)/AVERAGE(BS!CP49,CQ49)</f>
        <v>0.14733783748800289</v>
      </c>
      <c r="CR60" s="80">
        <f>('P&amp;L'!CR28*4)/AVERAGE(BS!CQ49,CR49)</f>
        <v>0.17817591233580843</v>
      </c>
      <c r="CS60" s="101">
        <f>('P&amp;L'!CS28)/AVERAGE(BS!CM49,CS49)</f>
        <v>0.14314699399825745</v>
      </c>
      <c r="CT60" s="39"/>
      <c r="CU60" s="100">
        <f>('P&amp;L'!CU28*4)/AVERAGE(BS!CS49,CU49)</f>
        <v>0.15359795014836372</v>
      </c>
      <c r="CV60" s="80">
        <f>('P&amp;L'!CV28*4)/AVERAGE(BS!CU49,CV49)</f>
        <v>0.18153959581192028</v>
      </c>
      <c r="CW60" s="80">
        <f>('P&amp;L'!CW28*4)/AVERAGE(BS!CV49,CW49)</f>
        <v>0.1903526356874288</v>
      </c>
      <c r="CX60" s="80">
        <f>('P&amp;L'!CX28*4)/AVERAGE(BS!CW49,CX49)</f>
        <v>0.2208864653730486</v>
      </c>
      <c r="CY60" s="101">
        <f>('P&amp;L'!CY28)/AVERAGE(BS!CS49,CY49)</f>
        <v>0.18545691534842021</v>
      </c>
      <c r="CZ60" s="80"/>
      <c r="DA60" s="80"/>
      <c r="DB60" s="80"/>
    </row>
    <row r="61" spans="1:112" ht="11.25" customHeight="1" outlineLevel="1" x14ac:dyDescent="0.2">
      <c r="A61" s="423" t="s">
        <v>330</v>
      </c>
      <c r="B61" s="39"/>
      <c r="C61" s="100"/>
      <c r="D61" s="80"/>
      <c r="E61" s="80"/>
      <c r="F61" s="80"/>
      <c r="G61" s="101">
        <f>('P&amp;L'!G28)/AVERAGE(BS!A26,G26)</f>
        <v>7.3512788291055564E-2</v>
      </c>
      <c r="H61" s="39"/>
      <c r="I61" s="100">
        <f>('P&amp;L'!I28*4)/AVERAGE(BS!G26,I26)</f>
        <v>7.8266663861007668E-2</v>
      </c>
      <c r="J61" s="80">
        <f>('P&amp;L'!J28*4)/AVERAGE(BS!I26,J26)</f>
        <v>8.9037219640891105E-2</v>
      </c>
      <c r="K61" s="80">
        <f>('P&amp;L'!K28*4)/AVERAGE(BS!J26,K26)</f>
        <v>9.6955078139584677E-2</v>
      </c>
      <c r="L61" s="80">
        <f>('P&amp;L'!L28*4)/AVERAGE(BS!K26,L26)</f>
        <v>0.10677946600342254</v>
      </c>
      <c r="M61" s="101">
        <f>('P&amp;L'!M28)/AVERAGE(BS!G26,M26)</f>
        <v>9.1851824822943767E-2</v>
      </c>
      <c r="N61" s="39"/>
      <c r="O61" s="100">
        <f>('P&amp;L'!O28*4)/AVERAGE(BS!M26,O26)</f>
        <v>9.8287381980391095E-2</v>
      </c>
      <c r="P61" s="80">
        <f>('P&amp;L'!P28*4)/AVERAGE(BS!O26,P26)</f>
        <v>8.1471568406684874E-2</v>
      </c>
      <c r="Q61" s="80">
        <f>('P&amp;L'!Q28*4)/AVERAGE(BS!P26,Q26)</f>
        <v>7.5278218677232792E-2</v>
      </c>
      <c r="R61" s="80">
        <f>('P&amp;L'!R28*4)/AVERAGE(BS!Q26,R26)</f>
        <v>7.8324761328210826E-2</v>
      </c>
      <c r="S61" s="101">
        <f>('P&amp;L'!S28)/AVERAGE(BS!M26,S26)</f>
        <v>8.5262654818920647E-2</v>
      </c>
      <c r="T61" s="39"/>
      <c r="U61" s="100">
        <f>('P&amp;L'!U28*4)/AVERAGE(BS!S26,U26)</f>
        <v>7.330612423969507E-2</v>
      </c>
      <c r="V61" s="80">
        <f>('P&amp;L'!V28*4)/AVERAGE(BS!U26,V26)</f>
        <v>8.2228611020411388E-2</v>
      </c>
      <c r="W61" s="80">
        <f>('P&amp;L'!W28*4)/AVERAGE(BS!V26,W26)</f>
        <v>6.2811973936831203E-2</v>
      </c>
      <c r="X61" s="80">
        <f>('P&amp;L'!X28*4)/AVERAGE(BS!W26,X26)</f>
        <v>4.6909491769362009E-2</v>
      </c>
      <c r="Y61" s="101">
        <f>('P&amp;L'!Y28)/AVERAGE(BS!S26,Y26)</f>
        <v>5.5940204444939377E-2</v>
      </c>
      <c r="Z61" s="39"/>
      <c r="AA61" s="100">
        <f>('P&amp;L'!AA28*4)/AVERAGE(BS!Y26,AA26)</f>
        <v>5.2597811806843649E-2</v>
      </c>
      <c r="AB61" s="80">
        <f>('P&amp;L'!AB28*4)/AVERAGE(BS!AA26,AB26)</f>
        <v>5.6580224074482974E-2</v>
      </c>
      <c r="AC61" s="80">
        <f>('P&amp;L'!AC28*4)/AVERAGE(BS!AB26,AC26)</f>
        <v>5.9057414649290471E-2</v>
      </c>
      <c r="AD61" s="80">
        <f>('P&amp;L'!AD28*4)/AVERAGE(BS!AC26,AD26)</f>
        <v>6.0445288535529947E-2</v>
      </c>
      <c r="AE61" s="101">
        <f>('P&amp;L'!AE28)/AVERAGE(BS!Y26,AE26)</f>
        <v>5.7693167225422025E-2</v>
      </c>
      <c r="AF61" s="39"/>
      <c r="AG61" s="100">
        <f>('P&amp;L'!AG28*4)/AVERAGE(BS!AE26,AG26)</f>
        <v>5.6491286000514923E-2</v>
      </c>
      <c r="AH61" s="80">
        <f>('P&amp;L'!AH28*4)/AVERAGE(BS!AG26,AH26)</f>
        <v>6.6530872494787063E-2</v>
      </c>
      <c r="AI61" s="80">
        <f>('P&amp;L'!AI28*4)/AVERAGE(BS!AH26,AI26)</f>
        <v>6.3649765106589012E-2</v>
      </c>
      <c r="AJ61" s="80">
        <f>('P&amp;L'!AJ28*4)/AVERAGE(BS!AI26,AJ26)</f>
        <v>6.0862005147584247E-2</v>
      </c>
      <c r="AK61" s="101">
        <f>('P&amp;L'!AK28)/AVERAGE(BS!AE26,AK26)</f>
        <v>5.9740904641228484E-2</v>
      </c>
      <c r="AL61" s="39"/>
      <c r="AM61" s="100">
        <f>('P&amp;L'!AM28*4)/AVERAGE(BS!AK26,AM26)</f>
        <v>5.213060155902402E-2</v>
      </c>
      <c r="AN61" s="80">
        <f>('P&amp;L'!AN28*4)/AVERAGE(BS!AM26,AN26)</f>
        <v>5.5707590265162192E-2</v>
      </c>
      <c r="AO61" s="80">
        <f>('P&amp;L'!AO28*4)/AVERAGE(BS!AN26,AO26)</f>
        <v>6.1390053600605551E-2</v>
      </c>
      <c r="AP61" s="80">
        <f>('P&amp;L'!AP28*4)/AVERAGE(BS!AO26,AP26)</f>
        <v>6.3555998774556144E-2</v>
      </c>
      <c r="AQ61" s="101">
        <f>('P&amp;L'!AQ28)/AVERAGE(BS!AK26,AQ26)</f>
        <v>5.7766470193279032E-2</v>
      </c>
      <c r="AR61" s="39"/>
      <c r="AS61" s="100">
        <f>('P&amp;L'!AS28*4)/AVERAGE(BS!AQ26,AS26)</f>
        <v>5.0310656055284161E-2</v>
      </c>
      <c r="AT61" s="80">
        <f>('P&amp;L'!AT28*4)/AVERAGE(BS!AS26,AT26)</f>
        <v>5.5265202260469867E-2</v>
      </c>
      <c r="AU61" s="80">
        <f>('P&amp;L'!AU28*4)/AVERAGE(BS!AT26,AU26)</f>
        <v>5.6763577124135461E-2</v>
      </c>
      <c r="AV61" s="80">
        <f>('P&amp;L'!AV28*4)/AVERAGE(BS!AU26,AV26)</f>
        <v>7.644802427547695E-2</v>
      </c>
      <c r="AW61" s="101">
        <f>('P&amp;L'!AW28)/AVERAGE(BS!AQ26,AW26)</f>
        <v>6.1139584024296895E-2</v>
      </c>
      <c r="AX61" s="39"/>
      <c r="AY61" s="100">
        <f>('P&amp;L'!AY28*4)/AVERAGE(BS!AW26,AY26)</f>
        <v>5.7983530210036091E-2</v>
      </c>
      <c r="AZ61" s="80">
        <f>('P&amp;L'!AZ28*4)/AVERAGE(BS!AY26,AZ26)</f>
        <v>6.339943412906629E-2</v>
      </c>
      <c r="BA61" s="80">
        <f>('P&amp;L'!BA28*4)/AVERAGE(BS!AZ26,BA26)</f>
        <v>6.3651797856902934E-2</v>
      </c>
      <c r="BB61" s="80">
        <f>('P&amp;L'!BB28*4)/AVERAGE(BS!BA26,BB26)</f>
        <v>8.2366111248202867E-2</v>
      </c>
      <c r="BC61" s="101">
        <f>('P&amp;L'!BC28)/AVERAGE(BS!AW26,BC26)</f>
        <v>6.64763406409212E-2</v>
      </c>
      <c r="BD61" s="39"/>
      <c r="BE61" s="100">
        <f>('P&amp;L'!BE28*4)/AVERAGE(BS!BC26,BE26)</f>
        <v>5.3869838281388062E-2</v>
      </c>
      <c r="BF61" s="80">
        <f>('P&amp;L'!BF28*4)/AVERAGE(BS!BE26,BF26)</f>
        <v>6.4168967894916398E-2</v>
      </c>
      <c r="BG61" s="80">
        <f>('P&amp;L'!BG28*4)/AVERAGE(BS!BF26,BG26)</f>
        <v>6.8128892162166665E-2</v>
      </c>
      <c r="BH61" s="80">
        <f>('P&amp;L'!BH28*4)/AVERAGE(BS!BG26,BH26)</f>
        <v>8.5870926402699166E-2</v>
      </c>
      <c r="BI61" s="101">
        <f>('P&amp;L'!BI28)/AVERAGE(BS!BC26,BI26)</f>
        <v>6.7206513484612262E-2</v>
      </c>
      <c r="BJ61" s="39"/>
      <c r="BK61" s="100">
        <f>('P&amp;L'!BK28*4)/AVERAGE(BS!BI26,BK26)</f>
        <v>5.0082893056295423E-2</v>
      </c>
      <c r="BL61" s="80">
        <f>('P&amp;L'!BL28*4)/AVERAGE(BS!BK26,BL26)</f>
        <v>5.3728419594550679E-2</v>
      </c>
      <c r="BM61" s="80">
        <f>('P&amp;L'!BM28*4)/AVERAGE(BS!BL26,BM26)</f>
        <v>5.8511423365477218E-2</v>
      </c>
      <c r="BN61" s="80">
        <f>('P&amp;L'!BN28*4)/AVERAGE(BS!BM26,BN26)</f>
        <v>5.4227572936103495E-2</v>
      </c>
      <c r="BO61" s="101">
        <f>('P&amp;L'!BO28)/AVERAGE(BS!BI26,BO26)</f>
        <v>5.6399544690687933E-2</v>
      </c>
      <c r="BP61" s="39"/>
      <c r="BQ61" s="100">
        <f>('P&amp;L'!BQ28*4)/AVERAGE(BS!BO26,BQ26)</f>
        <v>4.7793687105560027E-2</v>
      </c>
      <c r="BR61" s="80">
        <f>('P&amp;L'!BR28*4)/AVERAGE(BS!BQ26,BR26)</f>
        <v>5.876334087667022E-2</v>
      </c>
      <c r="BS61" s="80">
        <f>('P&amp;L'!BS28*4)/AVERAGE(BS!BR26,BS26)</f>
        <v>6.090368138659219E-2</v>
      </c>
      <c r="BT61" s="80">
        <f>('P&amp;L'!BT28*4)/AVERAGE(BS!BS26,BT26)</f>
        <v>7.3023360935879508E-2</v>
      </c>
      <c r="BU61" s="101">
        <f>('P&amp;L'!BU28)/AVERAGE(BS!BO26,BU26)</f>
        <v>5.8266206234346175E-2</v>
      </c>
      <c r="BV61" s="39"/>
      <c r="BW61" s="100">
        <f>('P&amp;L'!BW28*4)/AVERAGE(BS!BU26,BW26)</f>
        <v>4.3448498298279979E-2</v>
      </c>
      <c r="BX61" s="80">
        <f>('P&amp;L'!BX28*4)/AVERAGE(BS!BW26,BX26)</f>
        <v>5.5278913358188644E-2</v>
      </c>
      <c r="BY61" s="80">
        <f>('P&amp;L'!BY28*4)/AVERAGE(BS!BX26,BY26)</f>
        <v>6.4613468518917527E-2</v>
      </c>
      <c r="BZ61" s="80">
        <f>('P&amp;L'!BZ28*4)/AVERAGE(BS!BY26,BZ26)</f>
        <v>8.662282555407165E-2</v>
      </c>
      <c r="CA61" s="101">
        <f>('P&amp;L'!CA28)/AVERAGE(BS!BU26,CA26)</f>
        <v>6.2082836738421104E-2</v>
      </c>
      <c r="CB61" s="39"/>
      <c r="CC61" s="100">
        <f>('P&amp;L'!CC28*4)/AVERAGE(BS!CA26,CC26)</f>
        <v>4.8482706706773675E-2</v>
      </c>
      <c r="CD61" s="80">
        <f>('P&amp;L'!CD28*4)/AVERAGE(BS!CC26,CD26)</f>
        <v>6.3685612816437365E-2</v>
      </c>
      <c r="CE61" s="80">
        <f>('P&amp;L'!CE28*4)/AVERAGE(BS!CD26,CE26)</f>
        <v>6.2590790979404037E-2</v>
      </c>
      <c r="CF61" s="80">
        <f>('P&amp;L'!CF28*4)/AVERAGE(BS!CE26,CF26)</f>
        <v>7.9049162017787777E-2</v>
      </c>
      <c r="CG61" s="101">
        <f>('P&amp;L'!CG28)/AVERAGE(BS!CA26,CG26)</f>
        <v>6.3140934082687908E-2</v>
      </c>
      <c r="CH61" s="39"/>
      <c r="CI61" s="100">
        <f>('P&amp;L'!CI28*4)/AVERAGE(BS!CG26,CI26)</f>
        <v>4.3562390791015981E-2</v>
      </c>
      <c r="CJ61" s="80">
        <f>('P&amp;L'!CJ28*4)/AVERAGE(BS!CI26,CJ26)</f>
        <v>6.0634429539648566E-2</v>
      </c>
      <c r="CK61" s="80">
        <f>('P&amp;L'!CK28*4)/AVERAGE(BS!CJ26,CK26)</f>
        <v>6.2522889121351469E-2</v>
      </c>
      <c r="CL61" s="80">
        <f>('P&amp;L'!CL28*4)/AVERAGE(BS!CK26,CL26)</f>
        <v>7.6519097876950146E-2</v>
      </c>
      <c r="CM61" s="101">
        <f>('P&amp;L'!CM28)/AVERAGE(BS!CG26,CM26)</f>
        <v>6.0302343094280314E-2</v>
      </c>
      <c r="CN61" s="39"/>
      <c r="CO61" s="100">
        <f>('P&amp;L'!CO28*4)/AVERAGE(BS!CM26,CO26)</f>
        <v>5.6039853990151579E-2</v>
      </c>
      <c r="CP61" s="80">
        <f>('P&amp;L'!CP28*4)/AVERAGE(BS!CO26,CP26)</f>
        <v>6.7863308127292521E-2</v>
      </c>
      <c r="CQ61" s="80">
        <f>('P&amp;L'!CQ28*4)/AVERAGE(BS!CP26,CQ26)</f>
        <v>7.2131188754368025E-2</v>
      </c>
      <c r="CR61" s="80">
        <f>('P&amp;L'!CR28*4)/AVERAGE(BS!CQ26,CR26)</f>
        <v>8.7065593955819864E-2</v>
      </c>
      <c r="CS61" s="101">
        <f>('P&amp;L'!CS28)/AVERAGE(BS!CM26,CS26)</f>
        <v>7.0267568622832427E-2</v>
      </c>
      <c r="CT61" s="39"/>
      <c r="CU61" s="100">
        <f>('P&amp;L'!CU28*4)/AVERAGE(BS!CS26,CU26)</f>
        <v>7.5157030915541323E-2</v>
      </c>
      <c r="CV61" s="80">
        <f>('P&amp;L'!CV28*4)/AVERAGE(BS!CU26,CV26)</f>
        <v>8.8885845005130013E-2</v>
      </c>
      <c r="CW61" s="80">
        <f>('P&amp;L'!CW28*4)/AVERAGE(BS!CV26,CW26)</f>
        <v>9.3275076728955422E-2</v>
      </c>
      <c r="CX61" s="80">
        <f>('P&amp;L'!CX28*4)/AVERAGE(BS!CW26,CX26)</f>
        <v>0.10873712619031362</v>
      </c>
      <c r="CY61" s="101">
        <f>('P&amp;L'!CY28)/AVERAGE(BS!CS26,CY26)</f>
        <v>9.0909137861754072E-2</v>
      </c>
      <c r="CZ61" s="80"/>
      <c r="DA61" s="80"/>
      <c r="DB61" s="80"/>
    </row>
    <row r="62" spans="1:112" ht="11.25" customHeight="1" outlineLevel="1" x14ac:dyDescent="0.2">
      <c r="A62" s="2125" t="s">
        <v>702</v>
      </c>
      <c r="B62" s="240"/>
      <c r="C62" s="134"/>
      <c r="D62" s="135"/>
      <c r="E62" s="135"/>
      <c r="F62" s="135"/>
      <c r="G62" s="136"/>
      <c r="H62" s="240"/>
      <c r="I62" s="134">
        <f>I205</f>
        <v>0.1645313439464865</v>
      </c>
      <c r="J62" s="135">
        <f>J205</f>
        <v>0.18138027294237874</v>
      </c>
      <c r="K62" s="135">
        <f>K205</f>
        <v>0.19416232905937841</v>
      </c>
      <c r="L62" s="135">
        <f>L205</f>
        <v>0.21788734363933812</v>
      </c>
      <c r="M62" s="136">
        <f>M205</f>
        <v>0.19006904207895337</v>
      </c>
      <c r="N62" s="240"/>
      <c r="O62" s="134">
        <f>O205</f>
        <v>0.19201056669373642</v>
      </c>
      <c r="P62" s="135">
        <f>P205</f>
        <v>0.17972585247503484</v>
      </c>
      <c r="Q62" s="135">
        <f>Q205</f>
        <v>0.19985220733458195</v>
      </c>
      <c r="R62" s="135">
        <f>R205</f>
        <v>0.20386931744039405</v>
      </c>
      <c r="S62" s="136">
        <f>S205</f>
        <v>0.19402235636901755</v>
      </c>
      <c r="T62" s="240"/>
      <c r="U62" s="134">
        <f>U205</f>
        <v>0.1941513449425516</v>
      </c>
      <c r="V62" s="135">
        <f>V205</f>
        <v>0.20603698545795268</v>
      </c>
      <c r="W62" s="135">
        <f>W205</f>
        <v>0.13310442891428781</v>
      </c>
      <c r="X62" s="135">
        <f>X205</f>
        <v>0.13369344353615203</v>
      </c>
      <c r="Y62" s="136">
        <f>Y205</f>
        <v>0.15382946089575794</v>
      </c>
      <c r="Z62" s="240"/>
      <c r="AA62" s="134">
        <f>AA205</f>
        <v>0.14789758228030048</v>
      </c>
      <c r="AB62" s="135">
        <f>AB205</f>
        <v>0.16598555822552644</v>
      </c>
      <c r="AC62" s="135">
        <f>AC205</f>
        <v>0.17496806164454812</v>
      </c>
      <c r="AD62" s="135">
        <f>AD205</f>
        <v>0.17391333253741131</v>
      </c>
      <c r="AE62" s="136">
        <f>AE205</f>
        <v>0.16557062153381313</v>
      </c>
      <c r="AF62" s="240"/>
      <c r="AG62" s="134">
        <f>AG205</f>
        <v>0.15828553318241018</v>
      </c>
      <c r="AH62" s="135">
        <f>AH205</f>
        <v>0.19229726931490246</v>
      </c>
      <c r="AI62" s="135">
        <f>AI205</f>
        <v>0.19476072409549855</v>
      </c>
      <c r="AJ62" s="135">
        <f>AJ205</f>
        <v>0.19527178645369325</v>
      </c>
      <c r="AK62" s="136">
        <f>AK205</f>
        <v>0.18569882033860466</v>
      </c>
      <c r="AL62" s="240"/>
      <c r="AM62" s="134">
        <f>AM205</f>
        <v>0.16727900817004426</v>
      </c>
      <c r="AN62" s="135">
        <f>AN205</f>
        <v>0.18091521419859952</v>
      </c>
      <c r="AO62" s="135">
        <f>AO205</f>
        <v>0.19240284303296579</v>
      </c>
      <c r="AP62" s="135">
        <f>AP205</f>
        <v>0.20646392236194702</v>
      </c>
      <c r="AQ62" s="136">
        <f>AQ205</f>
        <v>0.1869571507871183</v>
      </c>
      <c r="AR62" s="240"/>
      <c r="AS62" s="134">
        <f>AS205</f>
        <v>0.15690506211116112</v>
      </c>
      <c r="AT62" s="135">
        <f>AT205</f>
        <v>0.17762980882753263</v>
      </c>
      <c r="AU62" s="135">
        <f>AU205</f>
        <v>0.15083255560103992</v>
      </c>
      <c r="AV62" s="135">
        <f>AV205</f>
        <v>0.21627222234397508</v>
      </c>
      <c r="AW62" s="136">
        <f>AW205</f>
        <v>0.17508565779831606</v>
      </c>
      <c r="AX62" s="240"/>
      <c r="AY62" s="134">
        <f>AY205</f>
        <v>0.16002543770086128</v>
      </c>
      <c r="AZ62" s="135">
        <f>AZ205</f>
        <v>0.1721303532579011</v>
      </c>
      <c r="BA62" s="135">
        <f>BA205</f>
        <v>0.17140884678441456</v>
      </c>
      <c r="BB62" s="135">
        <f>BB205</f>
        <v>0.23618070655346063</v>
      </c>
      <c r="BC62" s="136">
        <f>BC205</f>
        <v>0.18524317448789887</v>
      </c>
      <c r="BD62" s="240"/>
      <c r="BE62" s="134">
        <f>BE205</f>
        <v>0.15655726905949968</v>
      </c>
      <c r="BF62" s="135">
        <f>BF205</f>
        <v>0.17425735891233124</v>
      </c>
      <c r="BG62" s="135">
        <f>BG205</f>
        <v>0.19201409007679057</v>
      </c>
      <c r="BH62" s="135">
        <f>BH205</f>
        <v>0.24260202181064194</v>
      </c>
      <c r="BI62" s="136">
        <f>BI205</f>
        <v>0.19113809881818616</v>
      </c>
      <c r="BJ62" s="240"/>
      <c r="BK62" s="134">
        <f>BK205</f>
        <v>0.14585518533959646</v>
      </c>
      <c r="BL62" s="135">
        <f>BL205</f>
        <v>0.14909129737534818</v>
      </c>
      <c r="BM62" s="135">
        <f>BM205</f>
        <v>0.17100942309620554</v>
      </c>
      <c r="BN62" s="135">
        <f>BN205</f>
        <v>0.15701862358283314</v>
      </c>
      <c r="BO62" s="136">
        <f>BO205</f>
        <v>0.15559406916744642</v>
      </c>
      <c r="BP62" s="240"/>
      <c r="BQ62" s="134">
        <f>BQ205</f>
        <v>0.14188132509308027</v>
      </c>
      <c r="BR62" s="135">
        <f>BR205</f>
        <v>0.16087701026587073</v>
      </c>
      <c r="BS62" s="135">
        <f>BS205</f>
        <v>0.16805222977274872</v>
      </c>
      <c r="BT62" s="135">
        <f>BT205</f>
        <v>0.19776028858802766</v>
      </c>
      <c r="BU62" s="136">
        <f>BU205</f>
        <v>0.16738930109425551</v>
      </c>
      <c r="BV62" s="240"/>
      <c r="BW62" s="134">
        <f>BW205</f>
        <v>0.12168606987388399</v>
      </c>
      <c r="BX62" s="135">
        <f>BX205</f>
        <v>0.15628815001039378</v>
      </c>
      <c r="BY62" s="135">
        <f>BY205</f>
        <v>0.17512730486145658</v>
      </c>
      <c r="BZ62" s="135">
        <f>BZ205</f>
        <v>0.25883714425823123</v>
      </c>
      <c r="CA62" s="136">
        <f>CA205</f>
        <v>0.17743431744799928</v>
      </c>
      <c r="CB62" s="240"/>
      <c r="CC62" s="134">
        <f>CC205</f>
        <v>0.14126940647767169</v>
      </c>
      <c r="CD62" s="135">
        <f>CD205</f>
        <v>0.18418670881795943</v>
      </c>
      <c r="CE62" s="135">
        <f>CE205</f>
        <v>0.18063778271798231</v>
      </c>
      <c r="CF62" s="135">
        <f>CF205</f>
        <v>0.24658408588506092</v>
      </c>
      <c r="CG62" s="136">
        <f>CG205</f>
        <v>0.18924115885124604</v>
      </c>
      <c r="CH62" s="240"/>
      <c r="CI62" s="134">
        <f>CI205</f>
        <v>0.14855455966978567</v>
      </c>
      <c r="CJ62" s="135">
        <f>CJ205</f>
        <v>0.20319577998433339</v>
      </c>
      <c r="CK62" s="135">
        <f>CK205</f>
        <v>0.20518905208886112</v>
      </c>
      <c r="CL62" s="135">
        <f>CL205</f>
        <v>0.25668574757745949</v>
      </c>
      <c r="CM62" s="136">
        <f>CM205</f>
        <v>0.20327107006718703</v>
      </c>
      <c r="CN62" s="240"/>
      <c r="CO62" s="134">
        <f>CO205</f>
        <v>0.1989117627028707</v>
      </c>
      <c r="CP62" s="135">
        <f>CP205</f>
        <v>0.24134554000781702</v>
      </c>
      <c r="CQ62" s="135">
        <f>CQ205</f>
        <v>0.24865491567881695</v>
      </c>
      <c r="CR62" s="135">
        <f>CR205</f>
        <v>0.30726053000400011</v>
      </c>
      <c r="CS62" s="136">
        <f>CS205</f>
        <v>0.24894969609008849</v>
      </c>
      <c r="CT62" s="240"/>
      <c r="CU62" s="134">
        <f>CU205</f>
        <v>0.25117726059280565</v>
      </c>
      <c r="CV62" s="135">
        <f>CV205</f>
        <v>0.30205732591769041</v>
      </c>
      <c r="CW62" s="135">
        <f>CW205</f>
        <v>0.30495575506974648</v>
      </c>
      <c r="CX62" s="135">
        <f>CX205</f>
        <v>0.37499059655555467</v>
      </c>
      <c r="CY62" s="136">
        <f>CY205</f>
        <v>0.30837846723410323</v>
      </c>
      <c r="CZ62" s="112"/>
      <c r="DA62" s="112"/>
      <c r="DB62" s="112"/>
    </row>
    <row r="63" spans="1:112" ht="11.25" customHeight="1" x14ac:dyDescent="0.2">
      <c r="A63" s="69"/>
      <c r="B63" s="39"/>
      <c r="C63" s="497"/>
      <c r="D63" s="497"/>
      <c r="E63" s="497"/>
      <c r="F63" s="497"/>
      <c r="G63" s="497"/>
      <c r="H63" s="39"/>
      <c r="I63" s="497"/>
      <c r="J63" s="497"/>
      <c r="K63" s="497"/>
      <c r="L63" s="497"/>
      <c r="M63" s="497"/>
      <c r="N63" s="39"/>
      <c r="O63" s="497"/>
      <c r="P63" s="497"/>
      <c r="Q63" s="497"/>
      <c r="R63" s="497"/>
      <c r="S63" s="497"/>
      <c r="T63" s="39"/>
      <c r="U63" s="497"/>
      <c r="V63" s="497"/>
      <c r="W63" s="497"/>
      <c r="X63" s="497"/>
      <c r="Y63" s="497"/>
      <c r="Z63" s="39"/>
      <c r="AA63" s="497"/>
      <c r="AB63" s="497"/>
      <c r="AC63" s="497"/>
      <c r="AD63" s="497"/>
      <c r="AE63" s="497"/>
      <c r="AF63" s="39"/>
      <c r="AG63" s="497"/>
      <c r="AH63" s="497"/>
      <c r="AI63" s="497"/>
      <c r="AJ63" s="497"/>
      <c r="AK63" s="497"/>
      <c r="AL63" s="39"/>
      <c r="AM63" s="497"/>
      <c r="AN63" s="497"/>
      <c r="AO63" s="497"/>
      <c r="AP63" s="497"/>
      <c r="AQ63" s="497"/>
      <c r="AR63" s="39"/>
      <c r="AS63" s="497"/>
      <c r="AT63" s="497"/>
      <c r="AU63" s="497"/>
      <c r="AV63" s="497"/>
      <c r="AW63" s="497"/>
      <c r="AX63" s="39"/>
      <c r="AY63" s="497"/>
      <c r="AZ63" s="497"/>
      <c r="BA63" s="497"/>
      <c r="BB63" s="497"/>
      <c r="BC63" s="497"/>
      <c r="BD63" s="39"/>
      <c r="BE63" s="497"/>
      <c r="BF63" s="497"/>
      <c r="BG63" s="497"/>
      <c r="BH63" s="497"/>
      <c r="BI63" s="497"/>
      <c r="BJ63" s="39"/>
      <c r="BK63" s="497"/>
      <c r="BL63" s="497"/>
      <c r="BM63" s="497"/>
      <c r="BN63" s="497"/>
      <c r="BO63" s="497"/>
      <c r="BP63" s="39"/>
      <c r="BQ63" s="497"/>
      <c r="BR63" s="497"/>
      <c r="BS63" s="497"/>
      <c r="BT63" s="497"/>
      <c r="BU63" s="497"/>
      <c r="BV63" s="39"/>
      <c r="BW63" s="497"/>
      <c r="BX63" s="497"/>
      <c r="BY63" s="497"/>
      <c r="BZ63" s="497"/>
      <c r="CA63" s="497"/>
      <c r="CB63" s="39"/>
      <c r="CC63" s="497"/>
      <c r="CD63" s="497"/>
      <c r="CE63" s="497"/>
      <c r="CF63" s="497"/>
      <c r="CG63" s="497"/>
      <c r="CH63" s="39"/>
      <c r="CI63" s="497"/>
      <c r="CJ63" s="497"/>
      <c r="CK63" s="497"/>
      <c r="CL63" s="497"/>
      <c r="CM63" s="497"/>
      <c r="CN63" s="39"/>
      <c r="CO63" s="497"/>
      <c r="CP63" s="497"/>
      <c r="CQ63" s="497"/>
      <c r="CR63" s="497"/>
      <c r="CS63" s="497"/>
      <c r="CT63" s="39"/>
      <c r="CU63" s="497"/>
      <c r="CV63" s="497"/>
      <c r="CW63" s="497"/>
      <c r="CX63" s="497"/>
      <c r="CY63" s="497"/>
      <c r="CZ63" s="497"/>
      <c r="DA63" s="497"/>
      <c r="DB63" s="497"/>
    </row>
    <row r="64" spans="1:112" ht="11.25" customHeight="1" x14ac:dyDescent="0.2">
      <c r="A64" s="61" t="s">
        <v>332</v>
      </c>
      <c r="B64" s="16"/>
      <c r="C64" s="133"/>
      <c r="D64" s="133"/>
      <c r="E64" s="133"/>
      <c r="F64" s="133"/>
      <c r="G64" s="133"/>
      <c r="H64" s="25"/>
      <c r="I64" s="133"/>
      <c r="J64" s="133"/>
      <c r="K64" s="133"/>
      <c r="L64" s="133"/>
      <c r="M64" s="133"/>
      <c r="N64" s="25"/>
      <c r="O64" s="133"/>
      <c r="P64" s="133"/>
      <c r="Q64" s="133"/>
      <c r="R64" s="133"/>
      <c r="S64" s="133"/>
      <c r="T64" s="25"/>
      <c r="U64" s="133"/>
      <c r="V64" s="133"/>
      <c r="W64" s="133"/>
      <c r="X64" s="133"/>
      <c r="Y64" s="133"/>
      <c r="Z64" s="25"/>
      <c r="AA64" s="133"/>
      <c r="AB64" s="133"/>
      <c r="AC64" s="133"/>
      <c r="AD64" s="133"/>
      <c r="AE64" s="133"/>
      <c r="AF64" s="25"/>
      <c r="AG64" s="133"/>
      <c r="AH64" s="133"/>
      <c r="AI64" s="133"/>
      <c r="AJ64" s="133"/>
      <c r="AK64" s="133"/>
      <c r="AL64" s="25"/>
      <c r="AM64" s="133"/>
      <c r="AN64" s="133"/>
      <c r="AO64" s="133"/>
      <c r="AP64" s="133"/>
      <c r="AQ64" s="133"/>
      <c r="AR64" s="25"/>
      <c r="AS64" s="133"/>
      <c r="AT64" s="133"/>
      <c r="AU64" s="133"/>
      <c r="AV64" s="133"/>
      <c r="AW64" s="133"/>
      <c r="AX64" s="25"/>
      <c r="AY64" s="133"/>
      <c r="AZ64" s="133"/>
      <c r="BA64" s="133"/>
      <c r="BB64" s="133"/>
      <c r="BC64" s="133"/>
      <c r="BD64" s="25"/>
      <c r="BE64" s="133"/>
      <c r="BF64" s="133"/>
      <c r="BG64" s="133"/>
      <c r="BH64" s="133"/>
      <c r="BI64" s="133"/>
      <c r="BJ64" s="25"/>
      <c r="BK64" s="133"/>
      <c r="BL64" s="133"/>
      <c r="BM64" s="133"/>
      <c r="BN64" s="133"/>
      <c r="BO64" s="133"/>
      <c r="BP64" s="25"/>
      <c r="BQ64" s="133"/>
      <c r="BR64" s="133"/>
      <c r="BS64" s="133"/>
      <c r="BT64" s="133"/>
      <c r="BU64" s="133"/>
      <c r="BV64" s="25"/>
      <c r="BW64" s="133"/>
      <c r="BX64" s="133"/>
      <c r="BY64" s="133"/>
      <c r="BZ64" s="133"/>
      <c r="CA64" s="133"/>
      <c r="CB64" s="25"/>
      <c r="CC64" s="133"/>
      <c r="CD64" s="133"/>
      <c r="CE64" s="133"/>
      <c r="CF64" s="133"/>
      <c r="CG64" s="133"/>
      <c r="CH64" s="25"/>
      <c r="CI64" s="133"/>
      <c r="CJ64" s="133"/>
      <c r="CK64" s="133"/>
      <c r="CL64" s="133"/>
      <c r="CM64" s="174"/>
      <c r="CN64" s="25"/>
      <c r="CO64" s="133"/>
      <c r="CP64" s="133"/>
      <c r="CQ64" s="133"/>
      <c r="CR64" s="133"/>
      <c r="CS64" s="174"/>
      <c r="CT64" s="25"/>
      <c r="CU64" s="133"/>
      <c r="CV64" s="133"/>
      <c r="CW64" s="133"/>
      <c r="CX64" s="133"/>
      <c r="CY64" s="174"/>
      <c r="CZ64" s="530"/>
      <c r="DA64" s="530"/>
      <c r="DB64" s="530"/>
    </row>
    <row r="65" spans="1:106" ht="11.25" customHeight="1" x14ac:dyDescent="0.2">
      <c r="A65" s="62" t="s">
        <v>333</v>
      </c>
      <c r="B65" s="39"/>
      <c r="C65" s="99"/>
      <c r="D65" s="84"/>
      <c r="E65" s="84"/>
      <c r="F65" s="84"/>
      <c r="G65" s="86">
        <f>IF('P&amp;L'!G20&lt;0,"NM",(-'P&amp;L'!G20/'P&amp;L'!G22))</f>
        <v>22.141540874338364</v>
      </c>
      <c r="H65" s="39"/>
      <c r="I65" s="99">
        <f>IF('P&amp;L'!I20&lt;0,"NM",(-'P&amp;L'!I20/'P&amp;L'!I22))</f>
        <v>18.558564658090724</v>
      </c>
      <c r="J65" s="84">
        <f>IF('P&amp;L'!J20&lt;0,"NM",(-'P&amp;L'!J20/'P&amp;L'!J22))</f>
        <v>20.288975864318338</v>
      </c>
      <c r="K65" s="84">
        <f>IF('P&amp;L'!K20&lt;0,"NM",(-'P&amp;L'!K20/'P&amp;L'!K22))</f>
        <v>21.341222879684405</v>
      </c>
      <c r="L65" s="84">
        <f>IF('P&amp;L'!L20&lt;0,"NM",(-'P&amp;L'!L20/'P&amp;L'!L22))</f>
        <v>25.343506032647259</v>
      </c>
      <c r="M65" s="86">
        <f>IF('P&amp;L'!M20&lt;0,"NM",(-'P&amp;L'!M20/'P&amp;L'!M22))</f>
        <v>21.327104377104376</v>
      </c>
      <c r="N65" s="39"/>
      <c r="O65" s="99">
        <f>IF('P&amp;L'!O20&lt;0,"NM",(-'P&amp;L'!O20/'P&amp;L'!O22))</f>
        <v>23.659122085048015</v>
      </c>
      <c r="P65" s="84">
        <f>IF('P&amp;L'!P20&lt;0,"NM",(-'P&amp;L'!P20/'P&amp;L'!P22))</f>
        <v>18.855222337125131</v>
      </c>
      <c r="Q65" s="84">
        <f>IF('P&amp;L'!Q20&lt;0,"NM",(-'P&amp;L'!Q20/'P&amp;L'!Q22))</f>
        <v>5.0930140248743063</v>
      </c>
      <c r="R65" s="84">
        <f>IF('P&amp;L'!R20&lt;0,"NM",(-'P&amp;L'!R20/'P&amp;L'!R22))</f>
        <v>42.524793388429771</v>
      </c>
      <c r="S65" s="86">
        <f>IF('P&amp;L'!S20&lt;0,"NM",(-'P&amp;L'!S20/'P&amp;L'!S22))</f>
        <v>12.637858701124349</v>
      </c>
      <c r="T65" s="39"/>
      <c r="U65" s="99">
        <f>IF('P&amp;L'!U20&lt;0,"NM",(-'P&amp;L'!U20/'P&amp;L'!U22))</f>
        <v>8.8590918780643726</v>
      </c>
      <c r="V65" s="84">
        <f>IF('P&amp;L'!V20&lt;0,"NM",(-'P&amp;L'!V20/'P&amp;L'!V22))</f>
        <v>9.2197846841356874</v>
      </c>
      <c r="W65" s="84">
        <f>IF('P&amp;L'!W20&lt;0,"NM",(-'P&amp;L'!W20/'P&amp;L'!W22))</f>
        <v>5.903835412399923</v>
      </c>
      <c r="X65" s="84">
        <f>IF('P&amp;L'!X20&lt;0,"NM",(-'P&amp;L'!X20/'P&amp;L'!X22))</f>
        <v>6.8889990089197282</v>
      </c>
      <c r="Y65" s="86">
        <f>IF('P&amp;L'!Y20&lt;0,"NM",(-'P&amp;L'!Y20/'P&amp;L'!Y22))</f>
        <v>7.2111587982832628</v>
      </c>
      <c r="Z65" s="39"/>
      <c r="AA65" s="99">
        <f>IF('P&amp;L'!AA20&lt;0,"NM",(-'P&amp;L'!AA20/'P&amp;L'!AA22))</f>
        <v>8.0499473734570817</v>
      </c>
      <c r="AB65" s="84">
        <f>IF('P&amp;L'!AB20&lt;0,"NM",(-'P&amp;L'!AB20/'P&amp;L'!AB22))</f>
        <v>9.3435288995319485</v>
      </c>
      <c r="AC65" s="84">
        <f>IF('P&amp;L'!AC20&lt;0,"NM",(-'P&amp;L'!AC20/'P&amp;L'!AC22))</f>
        <v>10.319447465738522</v>
      </c>
      <c r="AD65" s="84">
        <f>IF('P&amp;L'!AD20&lt;0,"NM",(-'P&amp;L'!AD20/'P&amp;L'!AD22))</f>
        <v>10.750201265094883</v>
      </c>
      <c r="AE65" s="86">
        <f>IF('P&amp;L'!AE20&lt;0,"NM",(-'P&amp;L'!AE20/'P&amp;L'!AE22))</f>
        <v>9.548298558371302</v>
      </c>
      <c r="AF65" s="39"/>
      <c r="AG65" s="99">
        <f>IF('P&amp;L'!AG20&lt;0,"NM",(-'P&amp;L'!AG20/'P&amp;L'!AG22))</f>
        <v>11.651998385143322</v>
      </c>
      <c r="AH65" s="84">
        <f>IF('P&amp;L'!AH20&lt;0,"NM",(-'P&amp;L'!AH20/'P&amp;L'!AH22))</f>
        <v>13.784442618460695</v>
      </c>
      <c r="AI65" s="84">
        <f>IF('P&amp;L'!AI20&lt;0,"NM",(-'P&amp;L'!AI20/'P&amp;L'!AI22))</f>
        <v>15.144902093180283</v>
      </c>
      <c r="AJ65" s="84">
        <f>IF('P&amp;L'!AJ20&lt;0,"NM",(-'P&amp;L'!AJ20/'P&amp;L'!AJ22))</f>
        <v>15.611355457816892</v>
      </c>
      <c r="AK65" s="86">
        <f>IF('P&amp;L'!AK20&lt;0,"NM",(-'P&amp;L'!AK20/'P&amp;L'!AK22))</f>
        <v>14.052157484565303</v>
      </c>
      <c r="AL65" s="39"/>
      <c r="AM65" s="99">
        <f>IF('P&amp;L'!AM20&lt;0,"NM",(-'P&amp;L'!AM20/'P&amp;L'!AM22))</f>
        <v>17.201790853853527</v>
      </c>
      <c r="AN65" s="84">
        <f>IF('P&amp;L'!AN20&lt;0,"NM",(-'P&amp;L'!AN20/'P&amp;L'!AN22))</f>
        <v>14.086582344503848</v>
      </c>
      <c r="AO65" s="84">
        <f>IF('P&amp;L'!AO20&lt;0,"NM",(-'P&amp;L'!AO20/'P&amp;L'!AO22))</f>
        <v>16.43395415472779</v>
      </c>
      <c r="AP65" s="84">
        <f>IF('P&amp;L'!AP20&lt;0,"NM",(-'P&amp;L'!AP20/'P&amp;L'!AP22))</f>
        <v>17.460792824074069</v>
      </c>
      <c r="AQ65" s="86">
        <f>IF('P&amp;L'!AQ20&lt;0,"NM",(-'P&amp;L'!AQ20/'P&amp;L'!AQ22))</f>
        <v>16.214560488944816</v>
      </c>
      <c r="AR65" s="39"/>
      <c r="AS65" s="99">
        <f>IF('P&amp;L'!AS20&lt;0,"NM",(-'P&amp;L'!AS20/'P&amp;L'!AS22))</f>
        <v>17.32376724274615</v>
      </c>
      <c r="AT65" s="84">
        <f>IF('P&amp;L'!AT20&lt;0,"NM",(-'P&amp;L'!AT20/'P&amp;L'!AT22))</f>
        <v>17.718655816757089</v>
      </c>
      <c r="AU65" s="84">
        <f>IF('P&amp;L'!AU20&lt;0,"NM",(-'P&amp;L'!AU20/'P&amp;L'!AU22))</f>
        <v>18.004436285757993</v>
      </c>
      <c r="AV65" s="84">
        <f>IF('P&amp;L'!AV20&lt;0,"NM",(-'P&amp;L'!AV20/'P&amp;L'!AV22))</f>
        <v>24.238516502211652</v>
      </c>
      <c r="AW65" s="86">
        <f>IF('P&amp;L'!AW20&lt;0,"NM",(-'P&amp;L'!AW20/'P&amp;L'!AW22))</f>
        <v>19.205418408391829</v>
      </c>
      <c r="AX65" s="39"/>
      <c r="AY65" s="99">
        <f>IF('P&amp;L'!AY20&lt;0,"NM",(-'P&amp;L'!AY20/'P&amp;L'!AY22))</f>
        <v>25.010763404424956</v>
      </c>
      <c r="AZ65" s="84">
        <f>IF('P&amp;L'!AZ20&lt;0,"NM",(-'P&amp;L'!AZ20/'P&amp;L'!AZ22))</f>
        <v>26.205762117967694</v>
      </c>
      <c r="BA65" s="84">
        <f>IF('P&amp;L'!BA20&lt;0,"NM",(-'P&amp;L'!BA20/'P&amp;L'!BA22))</f>
        <v>26.954097040467079</v>
      </c>
      <c r="BB65" s="84">
        <f>IF('P&amp;L'!BB20&lt;0,"NM",(-'P&amp;L'!BB20/'P&amp;L'!BB22))</f>
        <v>19.246669067338843</v>
      </c>
      <c r="BC65" s="86">
        <f>IF('P&amp;L'!BC20&lt;0,"NM",(-'P&amp;L'!BC20/'P&amp;L'!BC22))</f>
        <v>23.636491557223255</v>
      </c>
      <c r="BD65" s="39"/>
      <c r="BE65" s="99">
        <f>IF('P&amp;L'!BE20&lt;0,"NM",(-'P&amp;L'!BE20/'P&amp;L'!BE22))</f>
        <v>16.106849315068498</v>
      </c>
      <c r="BF65" s="84">
        <f>IF('P&amp;L'!BF20&lt;0,"NM",(-'P&amp;L'!BF20/'P&amp;L'!BF22))</f>
        <v>22.517740489304462</v>
      </c>
      <c r="BG65" s="84">
        <f>IF('P&amp;L'!BG20&lt;0,"NM",(-'P&amp;L'!BG20/'P&amp;L'!BG22))</f>
        <v>12.727879354063786</v>
      </c>
      <c r="BH65" s="84">
        <f>IF('P&amp;L'!BH20&lt;0,"NM",(-'P&amp;L'!BH20/'P&amp;L'!BH22))</f>
        <v>20.282213239009593</v>
      </c>
      <c r="BI65" s="86">
        <f>IF('P&amp;L'!BI20&lt;0,"NM",(-'P&amp;L'!BI20/'P&amp;L'!BI22))</f>
        <v>17.978012370065731</v>
      </c>
      <c r="BJ65" s="39"/>
      <c r="BK65" s="99">
        <f>IF('P&amp;L'!BK20&lt;0,"NM",(-'P&amp;L'!BK20/'P&amp;L'!BK22))</f>
        <v>16.520927752599302</v>
      </c>
      <c r="BL65" s="84">
        <f>IF('P&amp;L'!BL20&lt;0,"NM",(-'P&amp;L'!BL20/'P&amp;L'!BL22))</f>
        <v>22.383347639484974</v>
      </c>
      <c r="BM65" s="84">
        <f>IF('P&amp;L'!BM20&lt;0,"NM",(-'P&amp;L'!BM20/'P&amp;L'!BM22))</f>
        <v>22.538754554488243</v>
      </c>
      <c r="BN65" s="84">
        <f>IF('P&amp;L'!BN20&lt;0,"NM",(-'P&amp;L'!BN20/'P&amp;L'!BN22))</f>
        <v>22.444464775846289</v>
      </c>
      <c r="BO65" s="86">
        <f>IF('P&amp;L'!BO20&lt;0,"NM",(-'P&amp;L'!BO20/'P&amp;L'!BO22))</f>
        <v>20.663350785340313</v>
      </c>
      <c r="BP65" s="39"/>
      <c r="BQ65" s="99">
        <f>IF('P&amp;L'!BQ20&lt;0,"NM",(-'P&amp;L'!BQ20/'P&amp;L'!BQ22))</f>
        <v>25.158944801596096</v>
      </c>
      <c r="BR65" s="84">
        <f>IF('P&amp;L'!BR20&lt;0,"NM",(-'P&amp;L'!BR20/'P&amp;L'!BR22))</f>
        <v>13.175581519991427</v>
      </c>
      <c r="BS65" s="84">
        <f>IF('P&amp;L'!BS20&lt;0,"NM",(-'P&amp;L'!BS20/'P&amp;L'!BS22))</f>
        <v>13.875298718227242</v>
      </c>
      <c r="BT65" s="84">
        <f>IF('P&amp;L'!BT20&lt;0,"NM",(-'P&amp;L'!BT20/'P&amp;L'!BT22))</f>
        <v>29.830274283357401</v>
      </c>
      <c r="BU65" s="86">
        <f>IF('P&amp;L'!BU20&lt;0,"NM",(-'P&amp;L'!BU20/'P&amp;L'!BU22))</f>
        <v>18.239469438967557</v>
      </c>
      <c r="BV65" s="39"/>
      <c r="BW65" s="99">
        <f>IF('P&amp;L'!BW20&lt;0,"NM",(-'P&amp;L'!BW20/'P&amp;L'!BW22))</f>
        <v>24.022820629849381</v>
      </c>
      <c r="BX65" s="84">
        <f>IF('P&amp;L'!BX20&lt;0,"NM",(-'P&amp;L'!BX20/'P&amp;L'!BX22))</f>
        <v>31.47943078913325</v>
      </c>
      <c r="BY65" s="84">
        <f>IF('P&amp;L'!BY20&lt;0,"NM",(-'P&amp;L'!BY20/'P&amp;L'!BY22))</f>
        <v>36.403636363636366</v>
      </c>
      <c r="BZ65" s="84">
        <f>IF('P&amp;L'!BZ20&lt;0,"NM",(-'P&amp;L'!BZ20/'P&amp;L'!BZ22))</f>
        <v>30.44444444444445</v>
      </c>
      <c r="CA65" s="86">
        <f>IF('P&amp;L'!CA20&lt;0,"NM",(-'P&amp;L'!CA20/'P&amp;L'!CA22))</f>
        <v>30.37665722379603</v>
      </c>
      <c r="CB65" s="39"/>
      <c r="CC65" s="99">
        <f>IF('P&amp;L'!CC20&lt;0,"NM",(-'P&amp;L'!CC20/'P&amp;L'!CC22))</f>
        <v>23.430547322663514</v>
      </c>
      <c r="CD65" s="84">
        <f>IF('P&amp;L'!CD20&lt;0,"NM",(-'P&amp;L'!CD20/'P&amp;L'!CD22))</f>
        <v>24.091166666666666</v>
      </c>
      <c r="CE65" s="84">
        <f>IF('P&amp;L'!CE20&lt;0,"NM",(-'P&amp;L'!CE20/'P&amp;L'!CE22))</f>
        <v>38.499230769230763</v>
      </c>
      <c r="CF65" s="84">
        <f>IF('P&amp;L'!CF20&lt;0,"NM",(-'P&amp;L'!CF20/'P&amp;L'!CF22))</f>
        <v>19.612134831460676</v>
      </c>
      <c r="CG65" s="86">
        <f>IF('P&amp;L'!CG20&lt;0,"NM",(-'P&amp;L'!CG20/'P&amp;L'!CG22))</f>
        <v>24.635346381124009</v>
      </c>
      <c r="CH65" s="39"/>
      <c r="CI65" s="99">
        <f>IF('P&amp;L'!CI20&lt;0,"NM",(-'P&amp;L'!CI20/'P&amp;L'!CI22))</f>
        <v>17.001142983854557</v>
      </c>
      <c r="CJ65" s="84">
        <f>IF('P&amp;L'!CJ20&lt;0,"NM",(-'P&amp;L'!CJ20/'P&amp;L'!CJ22))</f>
        <v>20.621134949159391</v>
      </c>
      <c r="CK65" s="84">
        <f>IF('P&amp;L'!CK20&lt;0,"NM",(-'P&amp;L'!CK20/'P&amp;L'!CK22))</f>
        <v>21.101549358997179</v>
      </c>
      <c r="CL65" s="84">
        <f>IF('P&amp;L'!CL20&lt;0,"NM",(-'P&amp;L'!CL20/'P&amp;L'!CL22))</f>
        <v>24.169543929200465</v>
      </c>
      <c r="CM65" s="86">
        <f>IF('P&amp;L'!CM20&lt;0,"NM",(-'P&amp;L'!CM20/'P&amp;L'!CM22))</f>
        <v>20.723342805302892</v>
      </c>
      <c r="CN65" s="39"/>
      <c r="CO65" s="99">
        <f>IF('P&amp;L'!CO20&lt;0,"NM",(-'P&amp;L'!CO20/'P&amp;L'!CO22))</f>
        <v>19.804190934227041</v>
      </c>
      <c r="CP65" s="84">
        <f>IF('P&amp;L'!CP20&lt;0,"NM",(-'P&amp;L'!CP20/'P&amp;L'!CP22))</f>
        <v>22.295978261626384</v>
      </c>
      <c r="CQ65" s="84">
        <f>IF('P&amp;L'!CQ20&lt;0,"NM",(-'P&amp;L'!CQ20/'P&amp;L'!CQ22))</f>
        <v>23.287207697336747</v>
      </c>
      <c r="CR65" s="84">
        <f>IF('P&amp;L'!CR20&lt;0,"NM",(-'P&amp;L'!CR20/'P&amp;L'!CR22))</f>
        <v>26.596306938364691</v>
      </c>
      <c r="CS65" s="86">
        <f>IF('P&amp;L'!CS20&lt;0,"NM",(-'P&amp;L'!CS20/'P&amp;L'!CS22))</f>
        <v>22.99592095788871</v>
      </c>
      <c r="CT65" s="39"/>
      <c r="CU65" s="99">
        <f>IF('P&amp;L'!CU20&lt;0,"NM",(-'P&amp;L'!CU20/'P&amp;L'!CU22))</f>
        <v>22.294944922052128</v>
      </c>
      <c r="CV65" s="84">
        <f>IF('P&amp;L'!CV20&lt;0,"NM",(-'P&amp;L'!CV20/'P&amp;L'!CV22))</f>
        <v>25.041014524016045</v>
      </c>
      <c r="CW65" s="84">
        <f>IF('P&amp;L'!CW20&lt;0,"NM",(-'P&amp;L'!CW20/'P&amp;L'!CW22))</f>
        <v>26.08540600676352</v>
      </c>
      <c r="CX65" s="84">
        <f>IF('P&amp;L'!CX20&lt;0,"NM",(-'P&amp;L'!CX20/'P&amp;L'!CX22))</f>
        <v>29.820582547421846</v>
      </c>
      <c r="CY65" s="86">
        <f>IF('P&amp;L'!CY20&lt;0,"NM",(-'P&amp;L'!CY20/'P&amp;L'!CY22))</f>
        <v>25.810487000063386</v>
      </c>
      <c r="CZ65" s="84"/>
      <c r="DA65" s="84"/>
      <c r="DB65" s="84"/>
    </row>
    <row r="66" spans="1:106" ht="11.25" customHeight="1" x14ac:dyDescent="0.2">
      <c r="A66" s="62" t="s">
        <v>334</v>
      </c>
      <c r="B66" s="39"/>
      <c r="C66" s="99"/>
      <c r="D66" s="84"/>
      <c r="E66" s="84"/>
      <c r="F66" s="84"/>
      <c r="G66" s="86">
        <f>IF('P&amp;L'!G17&lt;0,"NM",(-'P&amp;L'!G17/'P&amp;L'!G22))</f>
        <v>17.640266614389336</v>
      </c>
      <c r="H66" s="39"/>
      <c r="I66" s="99">
        <f>IF('P&amp;L'!I17&lt;0,"NM",(-'P&amp;L'!I17/'P&amp;L'!I22))</f>
        <v>14.484089370345295</v>
      </c>
      <c r="J66" s="84">
        <f>IF('P&amp;L'!J17&lt;0,"NM",(-'P&amp;L'!J17/'P&amp;L'!J22))</f>
        <v>16.06066536203523</v>
      </c>
      <c r="K66" s="84">
        <f>IF('P&amp;L'!K17&lt;0,"NM",(-'P&amp;L'!K17/'P&amp;L'!K22))</f>
        <v>17.208415516107809</v>
      </c>
      <c r="L66" s="84">
        <f>IF('P&amp;L'!L17&lt;0,"NM",(-'P&amp;L'!L17/'P&amp;L'!L22))</f>
        <v>20.965223562810497</v>
      </c>
      <c r="M66" s="86">
        <f>IF('P&amp;L'!M17&lt;0,"NM",(-'P&amp;L'!M17/'P&amp;L'!M22))</f>
        <v>17.125925925925927</v>
      </c>
      <c r="N66" s="39"/>
      <c r="O66" s="99">
        <f>IF('P&amp;L'!O17&lt;0,"NM",(-'P&amp;L'!O17/'P&amp;L'!O22))</f>
        <v>19.050068587105628</v>
      </c>
      <c r="P66" s="84">
        <f>IF('P&amp;L'!P17&lt;0,"NM",(-'P&amp;L'!P17/'P&amp;L'!P22))</f>
        <v>15.058428128231647</v>
      </c>
      <c r="Q66" s="84">
        <f>IF('P&amp;L'!Q17&lt;0,"NM",(-'P&amp;L'!Q17/'P&amp;L'!Q22))</f>
        <v>4.0474993384493265</v>
      </c>
      <c r="R66" s="84">
        <f>IF('P&amp;L'!R17&lt;0,"NM",(-'P&amp;L'!R17/'P&amp;L'!R22))</f>
        <v>34.184917355371908</v>
      </c>
      <c r="S66" s="86">
        <f>IF('P&amp;L'!S17&lt;0,"NM",(-'P&amp;L'!S17/'P&amp;L'!S22))</f>
        <v>10.117469374056048</v>
      </c>
      <c r="T66" s="39"/>
      <c r="U66" s="99">
        <f>IF('P&amp;L'!U17&lt;0,"NM",(-'P&amp;L'!U17/'P&amp;L'!U22))</f>
        <v>6.9968023875506233</v>
      </c>
      <c r="V66" s="84">
        <f>IF('P&amp;L'!V17&lt;0,"NM",(-'P&amp;L'!V17/'P&amp;L'!V22))</f>
        <v>7.3128173877716822</v>
      </c>
      <c r="W66" s="84">
        <f>IF('P&amp;L'!W17&lt;0,"NM",(-'P&amp;L'!W17/'P&amp;L'!W22))</f>
        <v>4.0620927201638413</v>
      </c>
      <c r="X66" s="84">
        <f>IF('P&amp;L'!X17&lt;0,"NM",(-'P&amp;L'!X17/'P&amp;L'!X22))</f>
        <v>4.6658257500675804</v>
      </c>
      <c r="Y66" s="86">
        <f>IF('P&amp;L'!Y17&lt;0,"NM",(-'P&amp;L'!Y17/'P&amp;L'!Y22))</f>
        <v>5.2215546018121133</v>
      </c>
      <c r="Z66" s="39"/>
      <c r="AA66" s="99">
        <f>IF('P&amp;L'!AA17&lt;0,"NM",(-'P&amp;L'!AA17/'P&amp;L'!AA22))</f>
        <v>5.6166873983350838</v>
      </c>
      <c r="AB66" s="84">
        <f>IF('P&amp;L'!AB17&lt;0,"NM",(-'P&amp;L'!AB17/'P&amp;L'!AB22))</f>
        <v>6.5954065527375656</v>
      </c>
      <c r="AC66" s="84">
        <f>IF('P&amp;L'!AC17&lt;0,"NM",(-'P&amp;L'!AC17/'P&amp;L'!AC22))</f>
        <v>7.2683271698934071</v>
      </c>
      <c r="AD66" s="84">
        <f>IF('P&amp;L'!AD17&lt;0,"NM",(-'P&amp;L'!AD17/'P&amp;L'!AD22))</f>
        <v>7.6478435882691223</v>
      </c>
      <c r="AE66" s="86">
        <f>IF('P&amp;L'!AE17&lt;0,"NM",(-'P&amp;L'!AE17/'P&amp;L'!AE22))</f>
        <v>6.7315532816372183</v>
      </c>
      <c r="AF66" s="39"/>
      <c r="AG66" s="99">
        <f>IF('P&amp;L'!AG17&lt;0,"NM",(-'P&amp;L'!AG17/'P&amp;L'!AG22))</f>
        <v>7.9693177230520824</v>
      </c>
      <c r="AH66" s="84">
        <f>IF('P&amp;L'!AH17&lt;0,"NM",(-'P&amp;L'!AH17/'P&amp;L'!AH22))</f>
        <v>9.8344289235825784</v>
      </c>
      <c r="AI66" s="84">
        <f>IF('P&amp;L'!AI17&lt;0,"NM",(-'P&amp;L'!AI17/'P&amp;L'!AI22))</f>
        <v>11.043079000675219</v>
      </c>
      <c r="AJ66" s="84">
        <f>IF('P&amp;L'!AJ17&lt;0,"NM",(-'P&amp;L'!AJ17/'P&amp;L'!AJ22))</f>
        <v>11.105024656803961</v>
      </c>
      <c r="AK66" s="86">
        <f>IF('P&amp;L'!AK17&lt;0,"NM",(-'P&amp;L'!AK17/'P&amp;L'!AK22))</f>
        <v>9.9904186768327694</v>
      </c>
      <c r="AL66" s="39"/>
      <c r="AM66" s="99">
        <f>IF('P&amp;L'!AM17&lt;0,"NM",(-'P&amp;L'!AM17/'P&amp;L'!AM22))</f>
        <v>11.774704189318829</v>
      </c>
      <c r="AN66" s="84">
        <f>IF('P&amp;L'!AN17&lt;0,"NM",(-'P&amp;L'!AN17/'P&amp;L'!AN22))</f>
        <v>9.5436171599947848</v>
      </c>
      <c r="AO66" s="84">
        <f>IF('P&amp;L'!AO17&lt;0,"NM",(-'P&amp;L'!AO17/'P&amp;L'!AO22))</f>
        <v>11.334527220630369</v>
      </c>
      <c r="AP66" s="84">
        <f>IF('P&amp;L'!AP17&lt;0,"NM",(-'P&amp;L'!AP17/'P&amp;L'!AP22))</f>
        <v>11.904658564814813</v>
      </c>
      <c r="AQ66" s="86">
        <f>IF('P&amp;L'!AQ17&lt;0,"NM",(-'P&amp;L'!AQ17/'P&amp;L'!AQ22))</f>
        <v>11.081394930792738</v>
      </c>
      <c r="AR66" s="39"/>
      <c r="AS66" s="99">
        <f>IF('P&amp;L'!AS17&lt;0,"NM",(-'P&amp;L'!AS17/'P&amp;L'!AS22))</f>
        <v>11.189154907245911</v>
      </c>
      <c r="AT66" s="84">
        <f>IF('P&amp;L'!AT17&lt;0,"NM",(-'P&amp;L'!AT17/'P&amp;L'!AT22))</f>
        <v>11.849156118143464</v>
      </c>
      <c r="AU66" s="84">
        <f>IF('P&amp;L'!AU17&lt;0,"NM",(-'P&amp;L'!AU17/'P&amp;L'!AU22))</f>
        <v>11.433073275202693</v>
      </c>
      <c r="AV66" s="84">
        <f>IF('P&amp;L'!AV17&lt;0,"NM",(-'P&amp;L'!AV17/'P&amp;L'!AV22))</f>
        <v>16.280197346036086</v>
      </c>
      <c r="AW66" s="86">
        <f>IF('P&amp;L'!AW17&lt;0,"NM",(-'P&amp;L'!AW17/'P&amp;L'!AW22))</f>
        <v>12.604858427320767</v>
      </c>
      <c r="AX66" s="39"/>
      <c r="AY66" s="99">
        <f>IF('P&amp;L'!AY17&lt;0,"NM",(-'P&amp;L'!AY17/'P&amp;L'!AY22))</f>
        <v>15.994817620091689</v>
      </c>
      <c r="AZ66" s="84">
        <f>IF('P&amp;L'!AZ17&lt;0,"NM",(-'P&amp;L'!AZ17/'P&amp;L'!AZ22))</f>
        <v>16.822464473428077</v>
      </c>
      <c r="BA66" s="84">
        <f>IF('P&amp;L'!BA17&lt;0,"NM",(-'P&amp;L'!BA17/'P&amp;L'!BA22))</f>
        <v>16.859271189853029</v>
      </c>
      <c r="BB66" s="84">
        <f>IF('P&amp;L'!BB17&lt;0,"NM",(-'P&amp;L'!BB17/'P&amp;L'!BB22))</f>
        <v>12.726923538590796</v>
      </c>
      <c r="BC66" s="86">
        <f>IF('P&amp;L'!BC17&lt;0,"NM",(-'P&amp;L'!BC17/'P&amp;L'!BC22))</f>
        <v>15.198319972710207</v>
      </c>
      <c r="BD66" s="39"/>
      <c r="BE66" s="99">
        <f>IF('P&amp;L'!BE17&lt;0,"NM",(-'P&amp;L'!BE17/'P&amp;L'!BE22))</f>
        <v>10.224918460534901</v>
      </c>
      <c r="BF66" s="84">
        <f>IF('P&amp;L'!BF17&lt;0,"NM",(-'P&amp;L'!BF17/'P&amp;L'!BF22))</f>
        <v>10.688868963750474</v>
      </c>
      <c r="BG66" s="84">
        <f>IF('P&amp;L'!BG17&lt;0,"NM",(-'P&amp;L'!BG17/'P&amp;L'!BG22))</f>
        <v>11.705191512077931</v>
      </c>
      <c r="BH66" s="84">
        <f>IF('P&amp;L'!BH17&lt;0,"NM",(-'P&amp;L'!BH17/'P&amp;L'!BH22))</f>
        <v>13.427867609903986</v>
      </c>
      <c r="BI66" s="86">
        <f>IF('P&amp;L'!BI17&lt;0,"NM",(-'P&amp;L'!BI17/'P&amp;L'!BI22))</f>
        <v>11.522424791943264</v>
      </c>
      <c r="BJ66" s="39"/>
      <c r="BK66" s="99">
        <f>IF('P&amp;L'!BK17&lt;0,"NM",(-'P&amp;L'!BK17/'P&amp;L'!BK22))</f>
        <v>9.9730738469741365</v>
      </c>
      <c r="BL66" s="84">
        <f>IF('P&amp;L'!BL17&lt;0,"NM",(-'P&amp;L'!BL17/'P&amp;L'!BL22))</f>
        <v>13.929442060085833</v>
      </c>
      <c r="BM66" s="84">
        <f>IF('P&amp;L'!BM17&lt;0,"NM",(-'P&amp;L'!BM17/'P&amp;L'!BM22))</f>
        <v>14.03974826101358</v>
      </c>
      <c r="BN66" s="84">
        <f>IF('P&amp;L'!BN17&lt;0,"NM",(-'P&amp;L'!BN17/'P&amp;L'!BN22))</f>
        <v>13.094236047575471</v>
      </c>
      <c r="BO66" s="86">
        <f>IF('P&amp;L'!BO17&lt;0,"NM",(-'P&amp;L'!BO17/'P&amp;L'!BO22))</f>
        <v>12.577084172372128</v>
      </c>
      <c r="BP66" s="39"/>
      <c r="BQ66" s="99">
        <f>IF('P&amp;L'!BQ17&lt;0,"NM",(-'P&amp;L'!BQ17/'P&amp;L'!BQ22))</f>
        <v>14.933717579250716</v>
      </c>
      <c r="BR66" s="84">
        <f>IF('P&amp;L'!BR17&lt;0,"NM",(-'P&amp;L'!BR17/'P&amp;L'!BR22))</f>
        <v>8.4525672633722841</v>
      </c>
      <c r="BS66" s="84">
        <f>IF('P&amp;L'!BS17&lt;0,"NM",(-'P&amp;L'!BS17/'P&amp;L'!BS22))</f>
        <v>8.500651748859438</v>
      </c>
      <c r="BT66" s="84">
        <f>IF('P&amp;L'!BT17&lt;0,"NM",(-'P&amp;L'!BT17/'P&amp;L'!BT22))</f>
        <v>19.146215714580329</v>
      </c>
      <c r="BU66" s="86">
        <f>IF('P&amp;L'!BU17&lt;0,"NM",(-'P&amp;L'!BU17/'P&amp;L'!BU22))</f>
        <v>11.375407779171894</v>
      </c>
      <c r="BV66" s="39"/>
      <c r="BW66" s="99">
        <f>IF('P&amp;L'!BW17&lt;0,"NM",(-'P&amp;L'!BW17/'P&amp;L'!BW22))</f>
        <v>12.429027841168415</v>
      </c>
      <c r="BX66" s="84">
        <f>IF('P&amp;L'!BX17&lt;0,"NM",(-'P&amp;L'!BX17/'P&amp;L'!BX22))</f>
        <v>17.899870633893922</v>
      </c>
      <c r="BY66" s="84">
        <f>IF('P&amp;L'!BY17&lt;0,"NM",(-'P&amp;L'!BY17/'P&amp;L'!BY22))</f>
        <v>22.531948051948053</v>
      </c>
      <c r="BZ66" s="84">
        <f>IF('P&amp;L'!BZ17&lt;0,"NM",(-'P&amp;L'!BZ17/'P&amp;L'!BZ22))</f>
        <v>20.294795605978749</v>
      </c>
      <c r="CA66" s="86">
        <f>IF('P&amp;L'!CA17&lt;0,"NM",(-'P&amp;L'!CA17/'P&amp;L'!CA22))</f>
        <v>18.305495750708214</v>
      </c>
      <c r="CB66" s="39"/>
      <c r="CC66" s="99">
        <f>IF('P&amp;L'!CC17&lt;0,"NM",(-'P&amp;L'!CC17/'P&amp;L'!CC22))</f>
        <v>12.61193440031615</v>
      </c>
      <c r="CD66" s="84">
        <f>IF('P&amp;L'!CD17&lt;0,"NM",(-'P&amp;L'!CD17/'P&amp;L'!CD22))</f>
        <v>14.658666666666667</v>
      </c>
      <c r="CE66" s="84">
        <f>IF('P&amp;L'!CE17&lt;0,"NM",(-'P&amp;L'!CE17/'P&amp;L'!CE22))</f>
        <v>25.094102564102567</v>
      </c>
      <c r="CF66" s="84">
        <f>IF('P&amp;L'!CF17&lt;0,"NM",(-'P&amp;L'!CF17/'P&amp;L'!CF22))</f>
        <v>13.677303370786518</v>
      </c>
      <c r="CG66" s="86">
        <f>IF('P&amp;L'!CG17&lt;0,"NM",(-'P&amp;L'!CG17/'P&amp;L'!CG22))</f>
        <v>15.564142324294872</v>
      </c>
      <c r="CH66" s="39"/>
      <c r="CI66" s="99">
        <f>IF('P&amp;L'!CI17&lt;0,"NM",(-'P&amp;L'!CI17/'P&amp;L'!CI22))</f>
        <v>9.8388488335314932</v>
      </c>
      <c r="CJ66" s="84">
        <f>IF('P&amp;L'!CJ17&lt;0,"NM",(-'P&amp;L'!CJ17/'P&amp;L'!CJ22))</f>
        <v>13.40178647531247</v>
      </c>
      <c r="CK66" s="84">
        <f>IF('P&amp;L'!CK17&lt;0,"NM",(-'P&amp;L'!CK17/'P&amp;L'!CK22))</f>
        <v>13.817175094165322</v>
      </c>
      <c r="CL66" s="84">
        <f>IF('P&amp;L'!CL17&lt;0,"NM",(-'P&amp;L'!CL17/'P&amp;L'!CL22))</f>
        <v>16.817981212856719</v>
      </c>
      <c r="CM66" s="86">
        <f>IF('P&amp;L'!CM17&lt;0,"NM",(-'P&amp;L'!CM17/'P&amp;L'!CM22))</f>
        <v>13.468947903966495</v>
      </c>
      <c r="CN66" s="39"/>
      <c r="CO66" s="99">
        <f>IF('P&amp;L'!CO17&lt;0,"NM",(-'P&amp;L'!CO17/'P&amp;L'!CO22))</f>
        <v>12.381007948399132</v>
      </c>
      <c r="CP66" s="84">
        <f>IF('P&amp;L'!CP17&lt;0,"NM",(-'P&amp;L'!CP17/'P&amp;L'!CP22))</f>
        <v>14.809449892609395</v>
      </c>
      <c r="CQ66" s="84">
        <f>IF('P&amp;L'!CQ17&lt;0,"NM",(-'P&amp;L'!CQ17/'P&amp;L'!CQ22))</f>
        <v>15.730741056963675</v>
      </c>
      <c r="CR66" s="84">
        <f>IF('P&amp;L'!CR17&lt;0,"NM",(-'P&amp;L'!CR17/'P&amp;L'!CR22))</f>
        <v>18.968638859851172</v>
      </c>
      <c r="CS66" s="86">
        <f>IF('P&amp;L'!CS17&lt;0,"NM",(-'P&amp;L'!CS17/'P&amp;L'!CS22))</f>
        <v>15.472459439455839</v>
      </c>
      <c r="CT66" s="39"/>
      <c r="CU66" s="99">
        <f>IF('P&amp;L'!CU17&lt;0,"NM",(-'P&amp;L'!CU17/'P&amp;L'!CU22))</f>
        <v>14.589313896465837</v>
      </c>
      <c r="CV66" s="84">
        <f>IF('P&amp;L'!CV17&lt;0,"NM",(-'P&amp;L'!CV17/'P&amp;L'!CV22))</f>
        <v>17.265249953328137</v>
      </c>
      <c r="CW66" s="84">
        <f>IF('P&amp;L'!CW17&lt;0,"NM",(-'P&amp;L'!CW17/'P&amp;L'!CW22))</f>
        <v>18.232661578992662</v>
      </c>
      <c r="CX66" s="84">
        <f>IF('P&amp;L'!CX17&lt;0,"NM",(-'P&amp;L'!CX17/'P&amp;L'!CX22))</f>
        <v>21.889640950704464</v>
      </c>
      <c r="CY66" s="86">
        <f>IF('P&amp;L'!CY17&lt;0,"NM",(-'P&amp;L'!CY17/'P&amp;L'!CY22))</f>
        <v>17.994216594872778</v>
      </c>
      <c r="CZ66" s="84"/>
      <c r="DA66" s="84"/>
      <c r="DB66" s="84"/>
    </row>
    <row r="67" spans="1:106" ht="11.25" customHeight="1" x14ac:dyDescent="0.2">
      <c r="A67" s="62" t="s">
        <v>335</v>
      </c>
      <c r="B67" s="39"/>
      <c r="C67" s="99"/>
      <c r="D67" s="84"/>
      <c r="E67" s="84"/>
      <c r="F67" s="84"/>
      <c r="G67" s="86">
        <f>IF(G56&lt;0,"NM",(G56/('P&amp;L'!G20)))</f>
        <v>6.8857132738348342E-2</v>
      </c>
      <c r="H67" s="39"/>
      <c r="I67" s="99" t="str">
        <f>IF(I56&lt;0,"NM",(I56/('P&amp;L'!I20*4)))</f>
        <v>NM</v>
      </c>
      <c r="J67" s="84">
        <f>IF(J56&lt;0,"NM",(J56/('P&amp;L'!J20*4)))</f>
        <v>0.3331591807864191</v>
      </c>
      <c r="K67" s="84">
        <f>IF(K56&lt;0,"NM",(K56/('P&amp;L'!K20*4)))</f>
        <v>0.208256315465188</v>
      </c>
      <c r="L67" s="84">
        <f>IF(L56&lt;0,"NM",(L56/('P&amp;L'!L20*4)))</f>
        <v>3.9681872917191587E-2</v>
      </c>
      <c r="M67" s="86">
        <f>IF(M56&lt;0,"NM",(M56/('P&amp;L'!M20)))</f>
        <v>4.4741599109588324E-2</v>
      </c>
      <c r="N67" s="39"/>
      <c r="O67" s="99">
        <f>IF(O56&lt;0,"NM",(O56/('P&amp;L'!O20*4)))</f>
        <v>5.9211479924625218E-3</v>
      </c>
      <c r="P67" s="84">
        <f>IF(P56&lt;0,"NM",(P56/('P&amp;L'!P20*4)))</f>
        <v>0.14668458289913902</v>
      </c>
      <c r="Q67" s="84">
        <f>IF(Q56&lt;0,"NM",(Q56/('P&amp;L'!Q20*4)))</f>
        <v>1.6515989920245278E-2</v>
      </c>
      <c r="R67" s="84">
        <f>IF(R56&lt;0,"NM",(R56/('P&amp;L'!R20*4)))</f>
        <v>0.39982751919152643</v>
      </c>
      <c r="S67" s="86">
        <f>IF(S56&lt;0,"NM",(S56/('P&amp;L'!S20)))</f>
        <v>0.43709251218313883</v>
      </c>
      <c r="T67" s="39"/>
      <c r="U67" s="99">
        <f>IF(U56&lt;0,"NM",(U56/('P&amp;L'!U20*4)))</f>
        <v>0.66617137494585976</v>
      </c>
      <c r="V67" s="84">
        <f>IF(V56&lt;0,"NM",(V56/('P&amp;L'!V20*4)))</f>
        <v>0.60690365507061239</v>
      </c>
      <c r="W67" s="84">
        <f>IF(W56&lt;0,"NM",(W56/('P&amp;L'!W20*4)))</f>
        <v>2.530042258629118</v>
      </c>
      <c r="X67" s="84">
        <f>IF(X56&lt;0,"NM",(X56/('P&amp;L'!X20*4)))</f>
        <v>1.972355187611984</v>
      </c>
      <c r="Y67" s="86">
        <f>IF(Y56&lt;0,"NM",(Y56/('P&amp;L'!Y20)))</f>
        <v>2.6594408954842237</v>
      </c>
      <c r="Z67" s="39"/>
      <c r="AA67" s="99">
        <f>IF(AA56&lt;0,"NM",(AA56/('P&amp;L'!AA20*4)))</f>
        <v>1.7801378818495197</v>
      </c>
      <c r="AB67" s="84">
        <f>IF(AB56&lt;0,"NM",(AB56/('P&amp;L'!AB20*4)))</f>
        <v>1.6600904017987164</v>
      </c>
      <c r="AC67" s="84">
        <f>IF(AC56&lt;0,"NM",(AC56/('P&amp;L'!AC20*4)))</f>
        <v>1.6451352804156967</v>
      </c>
      <c r="AD67" s="84">
        <f>IF(AD56&lt;0,"NM",(AD56/('P&amp;L'!AD20*4)))</f>
        <v>1.6359991655344326</v>
      </c>
      <c r="AE67" s="86">
        <f>IF(AE56&lt;0,"NM",(AE56/('P&amp;L'!AE20)))</f>
        <v>1.7071017724429918</v>
      </c>
      <c r="AF67" s="39"/>
      <c r="AG67" s="99">
        <f>IF(AG56&lt;0,"NM",(AG56/('P&amp;L'!AG20*4)))</f>
        <v>1.7553761578084213</v>
      </c>
      <c r="AH67" s="84">
        <f>IF(AH56&lt;0,"NM",(AH56/('P&amp;L'!AH20*4)))</f>
        <v>1.3777122618077775</v>
      </c>
      <c r="AI67" s="84">
        <f>IF(AI56&lt;0,"NM",(AI56/('P&amp;L'!AI20*4)))</f>
        <v>0.13091405999215344</v>
      </c>
      <c r="AJ67" s="84">
        <f>IF(AJ56&lt;0,"NM",(AJ56/('P&amp;L'!AJ20*4)))</f>
        <v>0.20157386538264527</v>
      </c>
      <c r="AK67" s="86">
        <f>IF(AK56&lt;0,"NM",(AK56/('P&amp;L'!AK20)))</f>
        <v>0.22674301354076654</v>
      </c>
      <c r="AL67" s="39"/>
      <c r="AM67" s="99">
        <f>IF(AM56&lt;0,"NM",(AM56/('P&amp;L'!AM20*4)))</f>
        <v>0.29101598810187784</v>
      </c>
      <c r="AN67" s="84">
        <f>IF(AN56&lt;0,"NM",(AN56/('P&amp;L'!AN20*4)))</f>
        <v>0.18178052392853847</v>
      </c>
      <c r="AO67" s="84">
        <f>IF(AO56&lt;0,"NM",(AO56/('P&amp;L'!AO20*4)))</f>
        <v>0.14236023328596725</v>
      </c>
      <c r="AP67" s="84">
        <f>IF(AP56&lt;0,"NM",(AP56/('P&amp;L'!AP20*4)))</f>
        <v>9.238414437106976E-2</v>
      </c>
      <c r="AQ67" s="86">
        <f>IF(AQ56&lt;0,"NM",(AQ56/('P&amp;L'!AQ20)))</f>
        <v>9.8887381155101803E-2</v>
      </c>
      <c r="AR67" s="39"/>
      <c r="AS67" s="99">
        <f>IF(AS56&lt;0,"NM",(AS56/('P&amp;L'!AS20*4)))</f>
        <v>0.22106698639038661</v>
      </c>
      <c r="AT67" s="84">
        <f>IF(AT56&lt;0,"NM",(AT56/('P&amp;L'!AT20*4)))</f>
        <v>0.18155144113419711</v>
      </c>
      <c r="AU67" s="84">
        <f>IF(AU56&lt;0,"NM",(AU56/('P&amp;L'!AU20*4)))</f>
        <v>0.94754237648158413</v>
      </c>
      <c r="AV67" s="84">
        <f>IF(AV56&lt;0,"NM",(AV56/('P&amp;L'!AV20*4)))</f>
        <v>0.66382638235748281</v>
      </c>
      <c r="AW67" s="86">
        <f>IF(AW56&lt;0,"NM",(AW56/('P&amp;L'!AW20)))</f>
        <v>0.77680380935954252</v>
      </c>
      <c r="AX67" s="39"/>
      <c r="AY67" s="99">
        <f>IF(AY56&lt;0,"NM",(AY56/('P&amp;L'!AY20*4)))</f>
        <v>0.76591501366762571</v>
      </c>
      <c r="AZ67" s="84">
        <f>IF(AZ56&lt;0,"NM",(AZ56/('P&amp;L'!AZ20*4)))</f>
        <v>0.84798765404586252</v>
      </c>
      <c r="BA67" s="84">
        <f>IF(BA56&lt;0,"NM",(BA56/('P&amp;L'!BA20*4)))</f>
        <v>0.78046548800800741</v>
      </c>
      <c r="BB67" s="84">
        <f>IF(BB56&lt;0,"NM",(BB56/('P&amp;L'!BB20*4)))</f>
        <v>0.72128361522726159</v>
      </c>
      <c r="BC67" s="86">
        <f>IF(BC56&lt;0,"NM",(BC56/('P&amp;L'!BC20)))</f>
        <v>0.83455674760022613</v>
      </c>
      <c r="BD67" s="39"/>
      <c r="BE67" s="99">
        <f>IF(BE56&lt;0,"NM",(BE56/('P&amp;L'!BE20*4)))</f>
        <v>0.97952761645566566</v>
      </c>
      <c r="BF67" s="84">
        <f>IF(BF56&lt;0,"NM",(BF56/('P&amp;L'!BF20*4)))</f>
        <v>0.79078164463355305</v>
      </c>
      <c r="BG67" s="84">
        <f>IF(BG56&lt;0,"NM",(BG56/('P&amp;L'!BG20*4)))</f>
        <v>1.5113479081472174</v>
      </c>
      <c r="BH67" s="84">
        <f>IF(BH56&lt;0,"NM",(BH56/('P&amp;L'!BH20*4)))</f>
        <v>0.81704442119162435</v>
      </c>
      <c r="BI67" s="86">
        <f>IF(BI56&lt;0,"NM",(BI56/('P&amp;L'!BI20)))</f>
        <v>0.94513481237582864</v>
      </c>
      <c r="BJ67" s="498"/>
      <c r="BK67" s="99">
        <f>IF(BK56&lt;0,"NM",(BK56/('P&amp;L'!BK20*4)))</f>
        <v>1.2423914797482656</v>
      </c>
      <c r="BL67" s="84">
        <f>IF(BL56&lt;0,"NM",(BL56/('P&amp;L'!BL20*4)))</f>
        <v>1.4676740832777284</v>
      </c>
      <c r="BM67" s="84">
        <f>IF(BM56&lt;0,"NM",(BM56/('P&amp;L'!BM20*4)))</f>
        <v>1.2648432275937072</v>
      </c>
      <c r="BN67" s="84">
        <f>IF(BN56&lt;0,"NM",(BN56/('P&amp;L'!BN20*4)))</f>
        <v>1.605399929886923</v>
      </c>
      <c r="BO67" s="86">
        <f>IF(BO56&lt;0,"NM",(BO56/('P&amp;L'!BO20)))</f>
        <v>1.5352007811784341</v>
      </c>
      <c r="BP67" s="498"/>
      <c r="BQ67" s="99">
        <f>IF(BQ56&lt;0,"NM",(BQ56/('P&amp;L'!BQ20*4)))</f>
        <v>1.6933308074577949</v>
      </c>
      <c r="BR67" s="84">
        <f>IF(BR56&lt;0,"NM",(BR56/('P&amp;L'!BR20*4)))</f>
        <v>1.6657547898954563</v>
      </c>
      <c r="BS67" s="84">
        <f>IF(BS56&lt;0,"NM",(BS56/('P&amp;L'!BS20*4)))</f>
        <v>1.4292231633995121</v>
      </c>
      <c r="BT67" s="84">
        <f>IF(BT56&lt;0,"NM",(BT56/('P&amp;L'!BT20*4)))</f>
        <v>1.3336087163923209</v>
      </c>
      <c r="BU67" s="86">
        <f>IF(BU56&lt;0,"NM",(BU56/('P&amp;L'!BU20)))</f>
        <v>1.5165588946323638</v>
      </c>
      <c r="BV67" s="498"/>
      <c r="BW67" s="99">
        <f>IF(BW56&lt;0,"NM",(BW56/('P&amp;L'!BW20*4)))</f>
        <v>1.6719278413192999</v>
      </c>
      <c r="BX67" s="84">
        <f>IF(BX56&lt;0,"NM",(BX56/('P&amp;L'!BX20*4)))</f>
        <v>1.5404358582371709</v>
      </c>
      <c r="BY67" s="84">
        <f>IF(BY56&lt;0,"NM",(BY56/('P&amp;L'!BY20*4)))</f>
        <v>1.2750153402685622</v>
      </c>
      <c r="BZ67" s="84">
        <f>IF(BZ56&lt;0,"NM",(BZ56/('P&amp;L'!BZ20*4)))</f>
        <v>0.9285511481266786</v>
      </c>
      <c r="CA67" s="86">
        <f>IF(CA56&lt;0,"NM",(CA56/('P&amp;L'!CA20)))</f>
        <v>1.1711616941590759</v>
      </c>
      <c r="CB67" s="498"/>
      <c r="CC67" s="99">
        <f>IF(CC56&lt;0,"NM",(CC56/('P&amp;L'!CC20*4)))</f>
        <v>1.7416576714847112</v>
      </c>
      <c r="CD67" s="84">
        <f>IF(CD56&lt;0,"NM",(CD56/('P&amp;L'!CD20*4)))</f>
        <v>1.4545251717434471</v>
      </c>
      <c r="CE67" s="84">
        <f>IF(CE56&lt;0,"NM",(CE56/('P&amp;L'!CE20*4)))</f>
        <v>1.7903171558539301</v>
      </c>
      <c r="CF67" s="84">
        <f>IF(CF56&lt;0,"NM",(CF56/('P&amp;L'!CF20*4)))</f>
        <v>1.576277012626899</v>
      </c>
      <c r="CG67" s="86">
        <f>IF(CG56&lt;0,"NM",(CG56/('P&amp;L'!CG20)))</f>
        <v>1.8722338659190509</v>
      </c>
      <c r="CH67" s="498"/>
      <c r="CI67" s="99">
        <f>IF(CI56&lt;0,"NM",(CI56/('P&amp;L'!CI20*4)))</f>
        <v>2.223211028804831</v>
      </c>
      <c r="CJ67" s="84">
        <f>IF(CJ56&lt;0,"NM",(CJ56/('P&amp;L'!CJ20*4)))</f>
        <v>1.867214840208508</v>
      </c>
      <c r="CK67" s="84">
        <f>IF(CK56&lt;0,"NM",(CK56/('P&amp;L'!CK20*4)))</f>
        <v>1.9122780108505031</v>
      </c>
      <c r="CL67" s="84">
        <f>IF(CL56&lt;0,"NM",(CL56/('P&amp;L'!CL20*4)))</f>
        <v>1.6171702081401074</v>
      </c>
      <c r="CM67" s="86">
        <f>IF(CM56&lt;0,"NM",(CM56/('P&amp;L'!CM20)))</f>
        <v>1.8860985292698438</v>
      </c>
      <c r="CN67" s="498"/>
      <c r="CO67" s="99">
        <f>IF(CO56&lt;0,"NM",(CO56/('P&amp;L'!CO20*4)))</f>
        <v>1.8826663541807436</v>
      </c>
      <c r="CP67" s="84">
        <f>IF(CP56&lt;0,"NM",(CP56/('P&amp;L'!CP20*4)))</f>
        <v>1.6647300879545275</v>
      </c>
      <c r="CQ67" s="84">
        <f>IF(CQ56&lt;0,"NM",(CQ56/('P&amp;L'!CQ20*4)))</f>
        <v>1.6701005609421231</v>
      </c>
      <c r="CR67" s="84">
        <f>IF(CR56&lt;0,"NM",(CR56/('P&amp;L'!CR20*4)))</f>
        <v>1.4049276682462166</v>
      </c>
      <c r="CS67" s="86">
        <f>IF(CS56&lt;0,"NM",(CS56/('P&amp;L'!CS20)))</f>
        <v>1.6248919779861688</v>
      </c>
      <c r="CT67" s="498"/>
      <c r="CU67" s="99">
        <f>IF(CU56&lt;0,"NM",(CU56/('P&amp;L'!CU20*4)))</f>
        <v>1.5415540308652536</v>
      </c>
      <c r="CV67" s="84">
        <f>IF(CV56&lt;0,"NM",(CV56/('P&amp;L'!CV20*4)))</f>
        <v>1.3243532959419175</v>
      </c>
      <c r="CW67" s="84">
        <f>IF(CW56&lt;0,"NM",(CW56/('P&amp;L'!CW20*4)))</f>
        <v>1.3216747039743701</v>
      </c>
      <c r="CX67" s="84">
        <f>IF(CX56&lt;0,"NM",(CX56/('P&amp;L'!CX20*4)))</f>
        <v>1.0712158381439785</v>
      </c>
      <c r="CY67" s="86">
        <f>IF(CY56&lt;0,"NM",(CY56/('P&amp;L'!CY20)))</f>
        <v>1.2376473302266535</v>
      </c>
      <c r="CZ67" s="84"/>
      <c r="DA67" s="84"/>
      <c r="DB67" s="84"/>
    </row>
    <row r="68" spans="1:106" ht="11.25" customHeight="1" x14ac:dyDescent="0.2">
      <c r="A68" s="926" t="s">
        <v>336</v>
      </c>
      <c r="B68" s="927"/>
      <c r="C68" s="928"/>
      <c r="D68" s="921"/>
      <c r="E68" s="921"/>
      <c r="F68" s="921"/>
      <c r="G68" s="526">
        <f>(G38+G33)/(G49+G38+G33)</f>
        <v>0.33770478786755947</v>
      </c>
      <c r="H68" s="927"/>
      <c r="I68" s="928">
        <f>(I38+I33)/(I49+I38+I33)</f>
        <v>0.32964405965976823</v>
      </c>
      <c r="J68" s="921">
        <f>(J38+J33)/(J49+J38+J33)</f>
        <v>0.3245752343816446</v>
      </c>
      <c r="K68" s="921">
        <f>(K38+K33)/(K49+K38+K33)</f>
        <v>0.31176347546006</v>
      </c>
      <c r="L68" s="921">
        <f>(L38+L33)/(L49+L38+L33)</f>
        <v>0.3046625246015513</v>
      </c>
      <c r="M68" s="526">
        <f>(M38+M33)/(M49+M38+M33)</f>
        <v>0.3046625246015513</v>
      </c>
      <c r="N68" s="927"/>
      <c r="O68" s="928">
        <f>(O38+O33)/(O49+O38+O33)</f>
        <v>0.29232796442978709</v>
      </c>
      <c r="P68" s="921">
        <f>(P38+P33)/(P49+P38+P33)</f>
        <v>0.4931403236559429</v>
      </c>
      <c r="Q68" s="921">
        <f>(Q38+Q33)/(Q49+Q38+Q33)</f>
        <v>0.48328293913801496</v>
      </c>
      <c r="R68" s="921">
        <f>(R38+R33)/(R49+R38+R33)</f>
        <v>0.46706659537857365</v>
      </c>
      <c r="S68" s="526">
        <f>(S38+S33)/(S49+S38+S33)</f>
        <v>0.46706659537857365</v>
      </c>
      <c r="T68" s="927"/>
      <c r="U68" s="928">
        <f>(U38+U33)/(U49+U38+U33)</f>
        <v>0.45818281421337032</v>
      </c>
      <c r="V68" s="921">
        <f>(V38+V33)/(V49+V38+V33)</f>
        <v>0.4428210095305839</v>
      </c>
      <c r="W68" s="921">
        <f>(W38+W33)/(W49+W38+W33)</f>
        <v>0.41703790395650864</v>
      </c>
      <c r="X68" s="921">
        <f>(X38+X33)/(X49+X38+X33)</f>
        <v>0.40570983205748273</v>
      </c>
      <c r="Y68" s="526">
        <f>(Y38+Y33)/(Y49+Y38+Y33)</f>
        <v>0.40570983205748273</v>
      </c>
      <c r="Z68" s="927"/>
      <c r="AA68" s="928">
        <f>(AA38+AA33)/(AA49+AA38+AA33)</f>
        <v>0.39566089112828323</v>
      </c>
      <c r="AB68" s="921">
        <f>(AB38+AB33)/(AB49+AB38+AB33)</f>
        <v>0.39110278222285533</v>
      </c>
      <c r="AC68" s="921">
        <f>(AC38+AC33)/(AC49+AC38+AC33)</f>
        <v>0.39455759710270122</v>
      </c>
      <c r="AD68" s="921">
        <f>(AD38+AD33)/(AD49+AD38+AD33)</f>
        <v>0.39393974764511575</v>
      </c>
      <c r="AE68" s="526">
        <f>(AE38+AE33)/(AE49+AE38+AE33)</f>
        <v>0.39393974764511575</v>
      </c>
      <c r="AF68" s="927"/>
      <c r="AG68" s="928">
        <f>(AG38+AG33)/(AG49+AG38+AG33)</f>
        <v>0.3925333102936357</v>
      </c>
      <c r="AH68" s="921">
        <f>(AH38+AH33)/(AH49+AH38+AH33)</f>
        <v>0.38110770466693605</v>
      </c>
      <c r="AI68" s="921">
        <f>(AI38+AI33)/(AI49+AI38+AI33)</f>
        <v>0.29222036337602186</v>
      </c>
      <c r="AJ68" s="921">
        <f>(AJ38+AJ33)/(AJ49+AJ38+AJ33)</f>
        <v>0.28650002538016528</v>
      </c>
      <c r="AK68" s="526">
        <f>(AK38+AK33)/(AK49+AK38+AK33)</f>
        <v>0.28650002538016528</v>
      </c>
      <c r="AL68" s="927"/>
      <c r="AM68" s="928">
        <f>(AM38+AM33)/(AM49+AM38+AM33)</f>
        <v>0.2847358378738899</v>
      </c>
      <c r="AN68" s="921">
        <f>(AN38+AN33)/(AN49+AN38+AN33)</f>
        <v>0.2832895803675618</v>
      </c>
      <c r="AO68" s="921">
        <f>(AO38+AO33)/(AO49+AO38+AO33)</f>
        <v>0.26428368832110755</v>
      </c>
      <c r="AP68" s="921">
        <f>(AP38+AP33)/(AP49+AP38+AP33)</f>
        <v>0.2606486793443164</v>
      </c>
      <c r="AQ68" s="526">
        <f>(AQ38+AQ33)/(AQ49+AQ38+AQ33)</f>
        <v>0.2606486793443164</v>
      </c>
      <c r="AR68" s="927"/>
      <c r="AS68" s="928">
        <f>(AS38+AS33)/(AS49+AS38+AS33)</f>
        <v>0.2561076547473935</v>
      </c>
      <c r="AT68" s="921">
        <f>(AT38+AT33)/(AT49+AT38+AT33)</f>
        <v>0.25184081811574982</v>
      </c>
      <c r="AU68" s="921">
        <f>(AU38+AU33)/(AU49+AU38+AU33)</f>
        <v>0.23890597832154661</v>
      </c>
      <c r="AV68" s="921">
        <f>(AV38+AV33)/(AV49+AV38+AV33)</f>
        <v>0.14941023242897186</v>
      </c>
      <c r="AW68" s="526">
        <f>(AW38+AW33)/(AW49+AW38+AW33)</f>
        <v>0.14941023242897186</v>
      </c>
      <c r="AX68" s="927"/>
      <c r="AY68" s="928">
        <f>(AY38+AY33)/(AY49+AY38+AY33)</f>
        <v>0.1456781863615256</v>
      </c>
      <c r="AZ68" s="921">
        <f>(AZ38+AZ33)/(AZ49+AZ38+AZ33)</f>
        <v>0.14519579818669656</v>
      </c>
      <c r="BA68" s="921">
        <f>(BA38+BA33)/(BA49+BA38+BA33)</f>
        <v>0.1418663462097276</v>
      </c>
      <c r="BB68" s="921">
        <f>(BB38+BB33)/(BB49+BB38+BB33)</f>
        <v>0.23780580936722284</v>
      </c>
      <c r="BC68" s="526">
        <f>(BC38+BC33)/(BC49+BC38+BC33)</f>
        <v>0.23780580936722284</v>
      </c>
      <c r="BD68" s="927"/>
      <c r="BE68" s="928">
        <f>(BE38+BE33)/(BE49+BE38+BE33)</f>
        <v>0.24001565882138173</v>
      </c>
      <c r="BF68" s="921">
        <f>(BF38+BF33)/(BF49+BF38+BF33)</f>
        <v>0.24659817267780962</v>
      </c>
      <c r="BG68" s="921">
        <f>(BG38+BG33)/(BG49+BG38+BG33)</f>
        <v>0.24100598087860933</v>
      </c>
      <c r="BH68" s="921">
        <f>(BH38+BH33)/(BH49+BH38+BH33)</f>
        <v>0.23750756710671764</v>
      </c>
      <c r="BI68" s="526">
        <f>(BI38+BI33)/(BI49+BI38+BI33)</f>
        <v>0.23750756710671764</v>
      </c>
      <c r="BJ68" s="927"/>
      <c r="BK68" s="928">
        <f>(BK38+BK33)/(BK49+BK38+BK33)</f>
        <v>0.30071938751931976</v>
      </c>
      <c r="BL68" s="921">
        <f>(BL38+BL33)/(BL49+BL38+BL33)</f>
        <v>0.29975109215965812</v>
      </c>
      <c r="BM68" s="921">
        <f>(BM38+BM33)/(BM49+BM38+BM33)</f>
        <v>0.30089707629722551</v>
      </c>
      <c r="BN68" s="921">
        <f>(BN38+BN33)/(BN49+BN38+BN33)</f>
        <v>0.30668060765765448</v>
      </c>
      <c r="BO68" s="526">
        <f>(BO38+BO33)/(BO49+BO38+BO33)</f>
        <v>0.30668060765765448</v>
      </c>
      <c r="BP68" s="927"/>
      <c r="BQ68" s="928">
        <f>(BQ38+BQ33)/(BQ49+BQ38+BQ33)</f>
        <v>0.29798980385517221</v>
      </c>
      <c r="BR68" s="921">
        <f>(BR38+BR33)/(BR49+BR38+BR33)</f>
        <v>0.29291093613864788</v>
      </c>
      <c r="BS68" s="921">
        <f>(BS38+BS33)/(BS49+BS38+BS33)</f>
        <v>0.29604122243727576</v>
      </c>
      <c r="BT68" s="921">
        <f>(BT38+BT33)/(BT49+BT38+BT33)</f>
        <v>0.29274345926116457</v>
      </c>
      <c r="BU68" s="526">
        <f>(BU38+BU33)/(BU49+BU38+BU33)</f>
        <v>0.29274345926116457</v>
      </c>
      <c r="BV68" s="927"/>
      <c r="BW68" s="928">
        <f>(BW38+BW33)/(BW49+BW38+BW33)</f>
        <v>0.28764284948505653</v>
      </c>
      <c r="BX68" s="921">
        <f>(BX38+BX33)/(BX49+BX38+BX33)</f>
        <v>0.29035162910783124</v>
      </c>
      <c r="BY68" s="921">
        <f>(BY38+BY33)/(BY49+BY38+BY33)</f>
        <v>0.28631858511327557</v>
      </c>
      <c r="BZ68" s="921">
        <f>(BZ38+BZ33)/(BZ49+BZ38+BZ33)</f>
        <v>0.29043011361409532</v>
      </c>
      <c r="CA68" s="526">
        <f>(CA38+CA33)/(CA49+CA38+CA33)</f>
        <v>0.29043011361409532</v>
      </c>
      <c r="CB68" s="927"/>
      <c r="CC68" s="928">
        <f>(CC38+CC33)/(CC49+CC38+CC33)</f>
        <v>0.30604132614490287</v>
      </c>
      <c r="CD68" s="921">
        <f>(CD38+CD33)/(CD49+CD38+CD33)</f>
        <v>0.35581316896722309</v>
      </c>
      <c r="CE68" s="921">
        <f>(CE38+CE33)/(CE49+CE38+CE33)</f>
        <v>0.40499769333664065</v>
      </c>
      <c r="CF68" s="921">
        <f>(CF38+CF33)/(CF49+CF38+CF33)</f>
        <v>0.40896816052273255</v>
      </c>
      <c r="CG68" s="526">
        <f>(CG38+CG33)/(CG49+CG38+CG33)</f>
        <v>0.40896816052273255</v>
      </c>
      <c r="CH68" s="927"/>
      <c r="CI68" s="928">
        <f>(CI38+CI33)/(CI49+CI38+CI33)</f>
        <v>0.41328266991456691</v>
      </c>
      <c r="CJ68" s="921">
        <f>(CJ38+CJ33)/(CJ49+CJ38+CJ33)</f>
        <v>0.41555364529752137</v>
      </c>
      <c r="CK68" s="921">
        <f>(CK38+CK33)/(CK49+CK38+CK33)</f>
        <v>0.41760954043423199</v>
      </c>
      <c r="CL68" s="921">
        <f>(CL38+CL33)/(CL49+CL38+CL33)</f>
        <v>0.41792192660391247</v>
      </c>
      <c r="CM68" s="526">
        <f>(CM38+CM33)/(CM49+CM38+CM33)</f>
        <v>0.41792192660391247</v>
      </c>
      <c r="CN68" s="927"/>
      <c r="CO68" s="928">
        <f>(CO38+CO33)/(CO49+CO38+CO33)</f>
        <v>0.42066609873433697</v>
      </c>
      <c r="CP68" s="921">
        <f>(CP38+CP33)/(CP49+CP38+CP33)</f>
        <v>0.42192009157920085</v>
      </c>
      <c r="CQ68" s="921">
        <f>(CQ38+CQ33)/(CQ49+CQ38+CQ33)</f>
        <v>0.42264042104407107</v>
      </c>
      <c r="CR68" s="921">
        <f>(CR38+CR33)/(CR49+CR38+CR33)</f>
        <v>0.42139123658855848</v>
      </c>
      <c r="CS68" s="526">
        <f>(CS38+CS33)/(CS49+CS38+CS33)</f>
        <v>0.42139123658855848</v>
      </c>
      <c r="CT68" s="927"/>
      <c r="CU68" s="928">
        <f>(CU38+CU33)/(CU49+CU38+CU33)</f>
        <v>0.42149159659883634</v>
      </c>
      <c r="CV68" s="921">
        <f>(CV38+CV33)/(CV49+CV38+CV33)</f>
        <v>0.41977688753677728</v>
      </c>
      <c r="CW68" s="921">
        <f>(CW38+CW33)/(CW49+CW38+CW33)</f>
        <v>0.41745493923563509</v>
      </c>
      <c r="CX68" s="921">
        <f>(CX38+CX33)/(CX49+CX38+CX33)</f>
        <v>0.41307158184979276</v>
      </c>
      <c r="CY68" s="526">
        <f>(CY38+CY33)/(CY49+CY38+CY33)</f>
        <v>0.41307158184979276</v>
      </c>
      <c r="CZ68" s="84"/>
      <c r="DA68" s="84"/>
      <c r="DB68" s="84"/>
    </row>
    <row r="69" spans="1:106" ht="11.25" customHeight="1" x14ac:dyDescent="0.2">
      <c r="A69" s="75"/>
      <c r="B69" s="39"/>
      <c r="C69" s="497"/>
      <c r="D69" s="497"/>
      <c r="E69" s="497"/>
      <c r="F69" s="497"/>
      <c r="G69" s="497"/>
      <c r="H69" s="39"/>
      <c r="I69" s="497"/>
      <c r="J69" s="497"/>
      <c r="K69" s="497"/>
      <c r="L69" s="497"/>
      <c r="M69" s="497"/>
      <c r="N69" s="39"/>
      <c r="O69" s="497"/>
      <c r="P69" s="497"/>
      <c r="Q69" s="497"/>
      <c r="R69" s="497"/>
      <c r="S69" s="497"/>
      <c r="T69" s="39"/>
      <c r="U69" s="497"/>
      <c r="V69" s="497"/>
      <c r="W69" s="497"/>
      <c r="X69" s="497"/>
      <c r="Y69" s="497"/>
      <c r="Z69" s="39"/>
      <c r="AA69" s="497"/>
      <c r="AB69" s="497"/>
      <c r="AC69" s="497"/>
      <c r="AD69" s="497"/>
      <c r="AE69" s="497"/>
      <c r="AF69" s="39"/>
      <c r="AG69" s="497"/>
      <c r="AH69" s="497"/>
      <c r="AI69" s="497"/>
      <c r="AJ69" s="497"/>
      <c r="AK69" s="497"/>
      <c r="AL69" s="39"/>
      <c r="AM69" s="497"/>
      <c r="AN69" s="497"/>
      <c r="AO69" s="497"/>
      <c r="AP69" s="497"/>
      <c r="AQ69" s="497"/>
      <c r="AR69" s="39"/>
      <c r="AS69" s="497"/>
      <c r="AT69" s="497"/>
      <c r="AU69" s="497"/>
      <c r="AV69" s="497"/>
      <c r="AW69" s="497"/>
      <c r="AX69" s="39"/>
      <c r="AY69" s="497"/>
      <c r="AZ69" s="497"/>
      <c r="BA69" s="497"/>
      <c r="BB69" s="497"/>
      <c r="BC69" s="497"/>
      <c r="BD69" s="39"/>
      <c r="BE69" s="497"/>
      <c r="BF69" s="497"/>
      <c r="BG69" s="497"/>
      <c r="BH69" s="497"/>
      <c r="BI69" s="497"/>
      <c r="BJ69" s="39"/>
      <c r="BK69" s="497"/>
      <c r="BL69" s="497"/>
      <c r="BM69" s="497"/>
      <c r="BN69" s="497"/>
      <c r="BO69" s="497"/>
      <c r="BP69" s="39"/>
      <c r="BQ69" s="497"/>
      <c r="BR69" s="497"/>
      <c r="BS69" s="497"/>
      <c r="BT69" s="497"/>
      <c r="BU69" s="497"/>
      <c r="BV69" s="39"/>
      <c r="BW69" s="497"/>
      <c r="BX69" s="497"/>
      <c r="BY69" s="497"/>
      <c r="BZ69" s="497"/>
      <c r="CA69" s="497"/>
      <c r="CB69" s="39"/>
      <c r="CC69" s="497"/>
      <c r="CD69" s="497"/>
      <c r="CE69" s="497"/>
      <c r="CF69" s="497"/>
      <c r="CG69" s="497"/>
      <c r="CH69" s="39"/>
      <c r="CI69" s="497"/>
      <c r="CJ69" s="497"/>
      <c r="CK69" s="497"/>
      <c r="CL69" s="497"/>
      <c r="CM69" s="497"/>
      <c r="CN69" s="39"/>
      <c r="CO69" s="497"/>
      <c r="CP69" s="497"/>
      <c r="CQ69" s="497"/>
      <c r="CR69" s="497"/>
      <c r="CS69" s="497"/>
      <c r="CT69" s="39"/>
      <c r="CU69" s="497"/>
      <c r="CV69" s="497"/>
      <c r="CW69" s="497"/>
      <c r="CX69" s="497"/>
      <c r="CY69" s="497"/>
      <c r="CZ69" s="497"/>
      <c r="DA69" s="497"/>
      <c r="DB69" s="497"/>
    </row>
    <row r="70" spans="1:106" ht="11.25" customHeight="1" outlineLevel="1" x14ac:dyDescent="0.2">
      <c r="A70" s="63" t="s">
        <v>138</v>
      </c>
      <c r="B70" s="16"/>
      <c r="C70" s="133"/>
      <c r="D70" s="133"/>
      <c r="E70" s="133"/>
      <c r="F70" s="133"/>
      <c r="G70" s="133"/>
      <c r="H70" s="25"/>
      <c r="I70" s="133"/>
      <c r="J70" s="133"/>
      <c r="K70" s="133"/>
      <c r="L70" s="133"/>
      <c r="M70" s="133"/>
      <c r="N70" s="25"/>
      <c r="O70" s="133"/>
      <c r="P70" s="133"/>
      <c r="Q70" s="133"/>
      <c r="R70" s="133"/>
      <c r="S70" s="133"/>
      <c r="T70" s="25"/>
      <c r="U70" s="133"/>
      <c r="V70" s="133"/>
      <c r="W70" s="133"/>
      <c r="X70" s="133"/>
      <c r="Y70" s="133"/>
      <c r="Z70" s="25"/>
      <c r="AA70" s="133"/>
      <c r="AB70" s="133"/>
      <c r="AC70" s="133"/>
      <c r="AD70" s="133"/>
      <c r="AE70" s="133"/>
      <c r="AF70" s="25"/>
      <c r="AG70" s="133"/>
      <c r="AH70" s="133"/>
      <c r="AI70" s="133"/>
      <c r="AJ70" s="133"/>
      <c r="AK70" s="133"/>
      <c r="AL70" s="25"/>
      <c r="AM70" s="133"/>
      <c r="AN70" s="133"/>
      <c r="AO70" s="133"/>
      <c r="AP70" s="133"/>
      <c r="AQ70" s="133"/>
      <c r="AR70" s="25"/>
      <c r="AS70" s="133"/>
      <c r="AT70" s="133"/>
      <c r="AU70" s="133"/>
      <c r="AV70" s="133"/>
      <c r="AW70" s="133"/>
      <c r="AX70" s="25"/>
      <c r="AY70" s="133"/>
      <c r="AZ70" s="133"/>
      <c r="BA70" s="133"/>
      <c r="BB70" s="133"/>
      <c r="BC70" s="133"/>
      <c r="BD70" s="25"/>
      <c r="BE70" s="133"/>
      <c r="BF70" s="133"/>
      <c r="BG70" s="133"/>
      <c r="BH70" s="133"/>
      <c r="BI70" s="133"/>
      <c r="BJ70" s="25"/>
      <c r="BK70" s="133"/>
      <c r="BL70" s="133"/>
      <c r="BM70" s="133"/>
      <c r="BN70" s="133"/>
      <c r="BO70" s="133"/>
      <c r="BP70" s="25"/>
      <c r="BQ70" s="133"/>
      <c r="BR70" s="133"/>
      <c r="BS70" s="133"/>
      <c r="BT70" s="133"/>
      <c r="BU70" s="133"/>
      <c r="BV70" s="25"/>
      <c r="BW70" s="133"/>
      <c r="BX70" s="133"/>
      <c r="BY70" s="133"/>
      <c r="BZ70" s="133"/>
      <c r="CA70" s="133"/>
      <c r="CB70" s="25"/>
      <c r="CC70" s="133"/>
      <c r="CD70" s="133"/>
      <c r="CE70" s="133"/>
      <c r="CF70" s="133"/>
      <c r="CG70" s="133"/>
      <c r="CH70" s="25"/>
      <c r="CI70" s="133"/>
      <c r="CJ70" s="133"/>
      <c r="CK70" s="133"/>
      <c r="CL70" s="133"/>
      <c r="CM70" s="174"/>
      <c r="CN70" s="25"/>
      <c r="CO70" s="133"/>
      <c r="CP70" s="133"/>
      <c r="CQ70" s="133"/>
      <c r="CR70" s="133"/>
      <c r="CS70" s="174"/>
      <c r="CT70" s="25"/>
      <c r="CU70" s="133"/>
      <c r="CV70" s="133"/>
      <c r="CW70" s="133"/>
      <c r="CX70" s="133"/>
      <c r="CY70" s="174"/>
      <c r="CZ70" s="530"/>
      <c r="DA70" s="530"/>
      <c r="DB70" s="530"/>
    </row>
    <row r="71" spans="1:106" ht="11.25" customHeight="1" outlineLevel="1" x14ac:dyDescent="0.2">
      <c r="A71" s="64" t="s">
        <v>337</v>
      </c>
      <c r="B71" s="39"/>
      <c r="C71" s="137"/>
      <c r="D71" s="78"/>
      <c r="E71" s="78"/>
      <c r="F71" s="78"/>
      <c r="G71" s="138">
        <f>G17/G35</f>
        <v>4.3959343592073132</v>
      </c>
      <c r="H71" s="39"/>
      <c r="I71" s="137">
        <f>I17/I35</f>
        <v>5.2992455880371816</v>
      </c>
      <c r="J71" s="78">
        <f>J17/J35</f>
        <v>4.0409329263520393</v>
      </c>
      <c r="K71" s="78">
        <f>K17/K35</f>
        <v>4.7273082483491589</v>
      </c>
      <c r="L71" s="78">
        <f>L17/L35</f>
        <v>4.0389763393003246</v>
      </c>
      <c r="M71" s="138">
        <f>M17/M35</f>
        <v>4.0389763393003246</v>
      </c>
      <c r="N71" s="39"/>
      <c r="O71" s="137">
        <f>O17/O35</f>
        <v>4.1329193888019002</v>
      </c>
      <c r="P71" s="78">
        <f>P17/P35</f>
        <v>6.2879962851172522</v>
      </c>
      <c r="Q71" s="78">
        <f>Q17/Q35</f>
        <v>6.1442386684287591</v>
      </c>
      <c r="R71" s="78">
        <f>R17/R35</f>
        <v>5.8627403866782224</v>
      </c>
      <c r="S71" s="138">
        <f>S17/S35</f>
        <v>5.8627403866782224</v>
      </c>
      <c r="T71" s="39"/>
      <c r="U71" s="137">
        <f>U17/U35</f>
        <v>5.3310300888177604</v>
      </c>
      <c r="V71" s="78">
        <f>V17/V35</f>
        <v>5.5442697656816673</v>
      </c>
      <c r="W71" s="78">
        <f>W17/W35</f>
        <v>3.3147060549323339</v>
      </c>
      <c r="X71" s="78">
        <f>X17/X35</f>
        <v>3.9096246326879101</v>
      </c>
      <c r="Y71" s="138">
        <f>Y17/Y35</f>
        <v>3.9096246326879096</v>
      </c>
      <c r="Z71" s="39"/>
      <c r="AA71" s="137">
        <f>AA17/AA35</f>
        <v>4.0985182784929446</v>
      </c>
      <c r="AB71" s="78">
        <f>AB17/AB35</f>
        <v>4.0202441544525662</v>
      </c>
      <c r="AC71" s="78">
        <f>AC17/AC35</f>
        <v>3.2947395360740783</v>
      </c>
      <c r="AD71" s="78">
        <f>AD17/AD35</f>
        <v>2.6814864221057633</v>
      </c>
      <c r="AE71" s="138">
        <f>AE17/AE35</f>
        <v>2.6814864221057637</v>
      </c>
      <c r="AF71" s="39"/>
      <c r="AG71" s="137">
        <f>AG17/AG35</f>
        <v>3.1694237346024381</v>
      </c>
      <c r="AH71" s="78">
        <f>AH17/AH35</f>
        <v>2.9693442691139831</v>
      </c>
      <c r="AI71" s="78">
        <f>AI17/AI35</f>
        <v>3.6486850852234958</v>
      </c>
      <c r="AJ71" s="78">
        <f>AJ17/AJ35</f>
        <v>3.5509013926983193</v>
      </c>
      <c r="AK71" s="138">
        <f>AK17/AK35</f>
        <v>3.5509013926983193</v>
      </c>
      <c r="AL71" s="39"/>
      <c r="AM71" s="137">
        <f>AM17/AM35</f>
        <v>3.9380463713254854</v>
      </c>
      <c r="AN71" s="78">
        <f>AN17/AN35</f>
        <v>4.2009434460313466</v>
      </c>
      <c r="AO71" s="78">
        <f>AO17/AO35</f>
        <v>3.4203337930685431</v>
      </c>
      <c r="AP71" s="78">
        <f>AP17/AP35</f>
        <v>3.5132940446490415</v>
      </c>
      <c r="AQ71" s="138">
        <f>AQ17/AQ35</f>
        <v>3.5132940446490415</v>
      </c>
      <c r="AR71" s="39"/>
      <c r="AS71" s="137">
        <f>AS17/AS35</f>
        <v>3.7031201235565723</v>
      </c>
      <c r="AT71" s="78">
        <f>AT17/AT35</f>
        <v>3.8541965507801801</v>
      </c>
      <c r="AU71" s="78">
        <f>AU17/AU35</f>
        <v>1.5022185195470392</v>
      </c>
      <c r="AV71" s="78">
        <f>AV17/AV35</f>
        <v>1.5538692472028846</v>
      </c>
      <c r="AW71" s="138">
        <f>AW17/AW35</f>
        <v>1.5538692472028848</v>
      </c>
      <c r="AX71" s="39"/>
      <c r="AY71" s="137">
        <f>AY17/AY35</f>
        <v>1.6796379629998364</v>
      </c>
      <c r="AZ71" s="78">
        <f>AZ17/AZ35</f>
        <v>1.4526602319391857</v>
      </c>
      <c r="BA71" s="78">
        <f>BA17/BA35</f>
        <v>1.4897483111647629</v>
      </c>
      <c r="BB71" s="78">
        <f>BB17/BB35</f>
        <v>3.719506574386684</v>
      </c>
      <c r="BC71" s="138">
        <f>BC17/BC35</f>
        <v>3.719506574386684</v>
      </c>
      <c r="BD71" s="39"/>
      <c r="BE71" s="137">
        <f>BE17/BE35</f>
        <v>3.6581499828922515</v>
      </c>
      <c r="BF71" s="78">
        <f>BF17/BF35</f>
        <v>3.0371944524898455</v>
      </c>
      <c r="BG71" s="78">
        <f>BG17/BG35</f>
        <v>2.8789449405252232</v>
      </c>
      <c r="BH71" s="78">
        <f>BH17/BH35</f>
        <v>2.732300215405977</v>
      </c>
      <c r="BI71" s="138">
        <f>BI17/BI35</f>
        <v>2.732300215405977</v>
      </c>
      <c r="BJ71" s="39"/>
      <c r="BK71" s="137">
        <f>BK17/BK35</f>
        <v>3.8778982075835704</v>
      </c>
      <c r="BL71" s="78">
        <f>BL17/BL35</f>
        <v>4.0603888419273035</v>
      </c>
      <c r="BM71" s="78">
        <f>BM17/BM35</f>
        <v>2.9091086476944303</v>
      </c>
      <c r="BN71" s="78">
        <f>BN17/BN35</f>
        <v>2.6614476421716953</v>
      </c>
      <c r="BO71" s="138">
        <f>BO17/BO35</f>
        <v>2.6614476421716944</v>
      </c>
      <c r="BP71" s="39"/>
      <c r="BQ71" s="137">
        <f>BQ17/BQ35</f>
        <v>2.8780096356428619</v>
      </c>
      <c r="BR71" s="78">
        <f>BR17/BR35</f>
        <v>3.5065800659706863</v>
      </c>
      <c r="BS71" s="78">
        <f>BS17/BS35</f>
        <v>3.5217212582752793</v>
      </c>
      <c r="BT71" s="78">
        <f>BT17/BT35</f>
        <v>3.5833920246839042</v>
      </c>
      <c r="BU71" s="138">
        <f>BU17/BU35</f>
        <v>3.5833920246839042</v>
      </c>
      <c r="BV71" s="39"/>
      <c r="BW71" s="137">
        <f>BW17/BW35</f>
        <v>3.9109742031904853</v>
      </c>
      <c r="BX71" s="78">
        <f>BX17/BX35</f>
        <v>3.6248646559947821</v>
      </c>
      <c r="BY71" s="78">
        <f>BY17/BY35</f>
        <v>3.8503764178137772</v>
      </c>
      <c r="BZ71" s="78">
        <f>BZ17/BZ35</f>
        <v>3.3640448855328118</v>
      </c>
      <c r="CA71" s="138">
        <f>CA17/CA35</f>
        <v>3.3640448855328118</v>
      </c>
      <c r="CB71" s="39"/>
      <c r="CC71" s="137">
        <f>CC17/CC35</f>
        <v>2.790170802684877</v>
      </c>
      <c r="CD71" s="78">
        <f>CD17/CD35</f>
        <v>3.8541463722775031</v>
      </c>
      <c r="CE71" s="78">
        <f>CE17/CE35</f>
        <v>5.3297579944622395</v>
      </c>
      <c r="CF71" s="78">
        <f>CF17/CF35</f>
        <v>5.0739334712677646</v>
      </c>
      <c r="CG71" s="138">
        <f>CG17/CG35</f>
        <v>5.0739334712677646</v>
      </c>
      <c r="CH71" s="39"/>
      <c r="CI71" s="137">
        <f>CI17/CI35</f>
        <v>5.0943018127359583</v>
      </c>
      <c r="CJ71" s="78">
        <f>CJ17/CJ35</f>
        <v>4.6144152588675684</v>
      </c>
      <c r="CK71" s="78">
        <f>CK17/CK35</f>
        <v>4.6462229738317138</v>
      </c>
      <c r="CL71" s="78">
        <f>CL17/CL35</f>
        <v>4.5355783470181459</v>
      </c>
      <c r="CM71" s="138">
        <f>CM17/CM35</f>
        <v>4.5355783470181459</v>
      </c>
      <c r="CN71" s="39"/>
      <c r="CO71" s="137">
        <f>CO17/CO35</f>
        <v>4.9049203849046297</v>
      </c>
      <c r="CP71" s="78">
        <f>CP17/CP35</f>
        <v>4.5083699998051561</v>
      </c>
      <c r="CQ71" s="78">
        <f>CQ17/CQ35</f>
        <v>4.6784636537642301</v>
      </c>
      <c r="CR71" s="78">
        <f>CR17/CR35</f>
        <v>4.4845367490558461</v>
      </c>
      <c r="CS71" s="138">
        <f>CS17/CS35</f>
        <v>4.4845367490558461</v>
      </c>
      <c r="CT71" s="39"/>
      <c r="CU71" s="137">
        <f>CU17/CU35</f>
        <v>4.8723430898251694</v>
      </c>
      <c r="CV71" s="78">
        <f>CV17/CV35</f>
        <v>4.569090393271412</v>
      </c>
      <c r="CW71" s="78">
        <f>CW17/CW35</f>
        <v>4.821643394166796</v>
      </c>
      <c r="CX71" s="78">
        <f>CX17/CX35</f>
        <v>4.691567005699862</v>
      </c>
      <c r="CY71" s="138">
        <f>CY17/CY35</f>
        <v>4.691567005699862</v>
      </c>
      <c r="CZ71" s="78"/>
      <c r="DA71" s="78"/>
      <c r="DB71" s="78"/>
    </row>
    <row r="72" spans="1:106" ht="11.25" customHeight="1" outlineLevel="1" x14ac:dyDescent="0.2">
      <c r="A72" s="65" t="s">
        <v>338</v>
      </c>
      <c r="B72" s="39"/>
      <c r="C72" s="137"/>
      <c r="D72" s="78"/>
      <c r="E72" s="78"/>
      <c r="F72" s="78"/>
      <c r="G72" s="138">
        <f>(G10+G11+G12)/G35</f>
        <v>3.3232184430185674</v>
      </c>
      <c r="H72" s="39"/>
      <c r="I72" s="137">
        <f>(I10+I11+I12)/I35</f>
        <v>4.1632358884548024</v>
      </c>
      <c r="J72" s="78">
        <f>(J10+J11+J12)/J35</f>
        <v>3.0786010577041343</v>
      </c>
      <c r="K72" s="78">
        <f>(K10+K11+K12)/K35</f>
        <v>3.5760950259836677</v>
      </c>
      <c r="L72" s="78">
        <f>(L10+L11+L12)/L35</f>
        <v>2.9479115532720268</v>
      </c>
      <c r="M72" s="138">
        <f>(M10+M11+M12)/M35</f>
        <v>2.9479115532720268</v>
      </c>
      <c r="N72" s="39"/>
      <c r="O72" s="137">
        <f>(O10+O11+O12)/O35</f>
        <v>3.0611522056044489</v>
      </c>
      <c r="P72" s="78">
        <f>(P10+P11+P12)/P35</f>
        <v>5.1885953099605304</v>
      </c>
      <c r="Q72" s="78">
        <f>(Q10+Q11+Q12)/Q35</f>
        <v>5.0879112047719381</v>
      </c>
      <c r="R72" s="78">
        <f>(R10+R11+R12)/R35</f>
        <v>4.8362066746187713</v>
      </c>
      <c r="S72" s="138">
        <f>(S10+S11+S12)/S35</f>
        <v>4.8362066746187713</v>
      </c>
      <c r="T72" s="39"/>
      <c r="U72" s="137">
        <f>(U10+U11+U12)/U35</f>
        <v>4.3298089394203707</v>
      </c>
      <c r="V72" s="78">
        <f>(V10+V11+V12)/V35</f>
        <v>4.5050458860260489</v>
      </c>
      <c r="W72" s="78">
        <f>(W10+W11+W12)/W35</f>
        <v>2.3341601455189442</v>
      </c>
      <c r="X72" s="78">
        <f>(X10+X11+X12)/X35</f>
        <v>2.9345143636374611</v>
      </c>
      <c r="Y72" s="138">
        <f>(Y10+Y11+Y12)/Y35</f>
        <v>2.9345143636374602</v>
      </c>
      <c r="Z72" s="39"/>
      <c r="AA72" s="137">
        <f>(AA10+AA11+AA12)/AA35</f>
        <v>2.9694523816537539</v>
      </c>
      <c r="AB72" s="78">
        <f>(AB10+AB11+AB12)/AB35</f>
        <v>2.893891765117512</v>
      </c>
      <c r="AC72" s="78">
        <f>(AC10+AC11+AC12)/AC35</f>
        <v>2.2235592471091872</v>
      </c>
      <c r="AD72" s="78">
        <f>(AD10+AD11+AD12)/AD35</f>
        <v>1.8742372558361116</v>
      </c>
      <c r="AE72" s="138">
        <f>(AE10+AE11+AE12)/AE35</f>
        <v>1.8742372558361118</v>
      </c>
      <c r="AF72" s="39"/>
      <c r="AG72" s="137">
        <f>(AG10+AG11+AG12)/AG35</f>
        <v>2.2314723686516653</v>
      </c>
      <c r="AH72" s="78">
        <f>(AH10+AH11+AH12)/AH35</f>
        <v>2.1077204645059804</v>
      </c>
      <c r="AI72" s="78">
        <f>(AI10+AI11+AI12)/AI35</f>
        <v>2.7733267742707479</v>
      </c>
      <c r="AJ72" s="78">
        <f>(AJ10+AJ11+AJ12)/AJ35</f>
        <v>2.8207972731872286</v>
      </c>
      <c r="AK72" s="138">
        <f>(AK10+AK11+AK12)/AK35</f>
        <v>2.8207972731872286</v>
      </c>
      <c r="AL72" s="39"/>
      <c r="AM72" s="137">
        <f>(AM10+AM11+AM12)/AM35</f>
        <v>3.1909564085881583</v>
      </c>
      <c r="AN72" s="78">
        <f>(AN10+AN11+AN12)/AN35</f>
        <v>3.4413948591818291</v>
      </c>
      <c r="AO72" s="78">
        <f>(AO10+AO11+AO12)/AO35</f>
        <v>2.789340891548886</v>
      </c>
      <c r="AP72" s="78">
        <f>(AP10+AP11+AP12)/AP35</f>
        <v>2.9142162731361694</v>
      </c>
      <c r="AQ72" s="138">
        <f>(AQ10+AQ11+AQ12)/AQ35</f>
        <v>2.9142162731361694</v>
      </c>
      <c r="AR72" s="39"/>
      <c r="AS72" s="137">
        <f>(AS10+AS11+AS12)/AS35</f>
        <v>3.0439463414504022</v>
      </c>
      <c r="AT72" s="78">
        <f>(AT10+AT11+AT12)/AT35</f>
        <v>3.1803394470298376</v>
      </c>
      <c r="AU72" s="78">
        <f>(AU10+AU11+AU12)/AU35</f>
        <v>1.075989694220741</v>
      </c>
      <c r="AV72" s="78">
        <f>(AV10+AV11+AV12)/AV35</f>
        <v>1.0515366744384484</v>
      </c>
      <c r="AW72" s="138">
        <f>(AW10+AW11+AW12)/AW35</f>
        <v>1.0515366744384487</v>
      </c>
      <c r="AX72" s="39"/>
      <c r="AY72" s="137">
        <f>(AY10+AY11+AY12)/AY35</f>
        <v>1.1223523112934126</v>
      </c>
      <c r="AZ72" s="78">
        <f>(AZ10+AZ11+AZ12)/AZ35</f>
        <v>0.94490321547615097</v>
      </c>
      <c r="BA72" s="78">
        <f>(BA10+BA11+BA12)/BA35</f>
        <v>0.98705674449308956</v>
      </c>
      <c r="BB72" s="78">
        <f>(BB10+BB11+BB12)/BB35</f>
        <v>2.7549734139221869</v>
      </c>
      <c r="BC72" s="138">
        <f>(BC10+BC11+BC12)/BC35</f>
        <v>2.7549734139221869</v>
      </c>
      <c r="BD72" s="39"/>
      <c r="BE72" s="137">
        <f>(BE10+BE11+BE12)/BE35</f>
        <v>2.6215728715728717</v>
      </c>
      <c r="BF72" s="78">
        <f>(BF10+BF11+BF12)/BF35</f>
        <v>2.0919892498467627</v>
      </c>
      <c r="BG72" s="78">
        <f>(BG10+BG11+BG12)/BG35</f>
        <v>1.9512273880523241</v>
      </c>
      <c r="BH72" s="78">
        <f>(BH10+BH11+BH12)/BH35</f>
        <v>1.8987057839175399</v>
      </c>
      <c r="BI72" s="138">
        <f>(BI10+BI11+BI12)/BI35</f>
        <v>1.8987057839175399</v>
      </c>
      <c r="BJ72" s="39"/>
      <c r="BK72" s="137">
        <f>(BK10+BK11+BK12)/BK35</f>
        <v>2.9426146129292503</v>
      </c>
      <c r="BL72" s="78">
        <f>(BL10+BL11+BL12)/BL35</f>
        <v>3.0533288250211319</v>
      </c>
      <c r="BM72" s="78">
        <f>(BM10+BM11+BM12)/BM35</f>
        <v>2.17880074101451</v>
      </c>
      <c r="BN72" s="78">
        <f>(BN10+BN11+BN12)/BN35</f>
        <v>1.9506100188589193</v>
      </c>
      <c r="BO72" s="138">
        <f>(BO10+BO11+BO12)/BO35</f>
        <v>1.950610018858919</v>
      </c>
      <c r="BP72" s="39"/>
      <c r="BQ72" s="137">
        <f>(BQ10+BQ11+BQ12)/BQ35</f>
        <v>1.9014796091643797</v>
      </c>
      <c r="BR72" s="78">
        <f>(BR10+BR11+BR12)/BR35</f>
        <v>2.3321847028107436</v>
      </c>
      <c r="BS72" s="78">
        <f>(BS10+BS11+BS12)/BS35</f>
        <v>2.4399095668729167</v>
      </c>
      <c r="BT72" s="78">
        <f>(BT10+BT11+BT12)/BT35</f>
        <v>2.5886835623227609</v>
      </c>
      <c r="BU72" s="138">
        <f>(BU10+BU11+BU12)/BU35</f>
        <v>2.5886835623227609</v>
      </c>
      <c r="BV72" s="39"/>
      <c r="BW72" s="137">
        <f>(BW10+BW11+BW12)/BW35</f>
        <v>2.8605096007017758</v>
      </c>
      <c r="BX72" s="78">
        <f>(BX10+BX11+BX12)/BX35</f>
        <v>2.6614729452868073</v>
      </c>
      <c r="BY72" s="78">
        <f>(BY10+BY11+BY12)/BY35</f>
        <v>2.8961102826232095</v>
      </c>
      <c r="BZ72" s="78">
        <f>(BZ10+BZ11+BZ12)/BZ35</f>
        <v>2.627583657827246</v>
      </c>
      <c r="CA72" s="138">
        <f>(CA10+CA11+CA12)/CA35</f>
        <v>2.627583657827246</v>
      </c>
      <c r="CB72" s="39"/>
      <c r="CC72" s="137">
        <f>(CC10+CC11+CC12)/CC35</f>
        <v>1.916609391222964</v>
      </c>
      <c r="CD72" s="78">
        <f>(CD10+CD11+CD12)/CD35</f>
        <v>2.949784062158181</v>
      </c>
      <c r="CE72" s="78">
        <f>(CE10+CE11+CE12)/CE35</f>
        <v>4.3091271241652631</v>
      </c>
      <c r="CF72" s="78">
        <f>(CF10+CF11+CF12)/CF35</f>
        <v>4.144344688292815</v>
      </c>
      <c r="CG72" s="138">
        <f>(CG10+CG11+CG12)/CG35</f>
        <v>4.144344688292815</v>
      </c>
      <c r="CH72" s="39"/>
      <c r="CI72" s="137">
        <f>(CI10+CI11+CI12)/CI35</f>
        <v>4.2246294586040589</v>
      </c>
      <c r="CJ72" s="78">
        <f>(CJ10+CJ11+CJ12)/CJ35</f>
        <v>3.7586563500496855</v>
      </c>
      <c r="CK72" s="78">
        <f>(CK10+CK11+CK12)/CK35</f>
        <v>3.6759792877040685</v>
      </c>
      <c r="CL72" s="78">
        <f>(CL10+CL11+CL12)/CL35</f>
        <v>3.7576101623528499</v>
      </c>
      <c r="CM72" s="138">
        <f>(CM10+CM11+CM12)/CM35</f>
        <v>3.7576101623528499</v>
      </c>
      <c r="CN72" s="39"/>
      <c r="CO72" s="137">
        <f>(CO10+CO11+CO12)/CO35</f>
        <v>4.0394438231088587</v>
      </c>
      <c r="CP72" s="78">
        <f>(CP10+CP11+CP12)/CP35</f>
        <v>3.6722142499538069</v>
      </c>
      <c r="CQ72" s="78">
        <f>(CQ10+CQ11+CQ12)/CQ35</f>
        <v>3.7041983096068112</v>
      </c>
      <c r="CR72" s="78">
        <f>(CR10+CR11+CR12)/CR35</f>
        <v>3.707667978598348</v>
      </c>
      <c r="CS72" s="138">
        <f>(CS10+CS11+CS12)/CS35</f>
        <v>3.707667978598348</v>
      </c>
      <c r="CT72" s="39"/>
      <c r="CU72" s="137">
        <f>(CU10+CU11+CU12)/CU35</f>
        <v>4.0231338865969475</v>
      </c>
      <c r="CV72" s="78">
        <f>(CV10+CV11+CV12)/CV35</f>
        <v>3.7478838971269357</v>
      </c>
      <c r="CW72" s="78">
        <f>(CW10+CW11+CW12)/CW35</f>
        <v>3.847091501690425</v>
      </c>
      <c r="CX72" s="78">
        <f>(CX10+CX11+CX12)/CX35</f>
        <v>3.9094393448798104</v>
      </c>
      <c r="CY72" s="138">
        <f>(CY10+CY11+CY12)/CY35</f>
        <v>3.9094393448798104</v>
      </c>
      <c r="CZ72" s="78"/>
      <c r="DA72" s="78"/>
      <c r="DB72" s="78"/>
    </row>
    <row r="73" spans="1:106" ht="11.25" customHeight="1" outlineLevel="1" x14ac:dyDescent="0.2">
      <c r="A73" s="65" t="s">
        <v>339</v>
      </c>
      <c r="B73" s="39"/>
      <c r="C73" s="137"/>
      <c r="D73" s="78"/>
      <c r="E73" s="78"/>
      <c r="F73" s="78"/>
      <c r="G73" s="138">
        <f>G10/G35</f>
        <v>2.2301402532508088</v>
      </c>
      <c r="H73" s="39"/>
      <c r="I73" s="137">
        <f>I10/I35</f>
        <v>2.8332749562171626</v>
      </c>
      <c r="J73" s="78">
        <f>J10/J35</f>
        <v>1.7553304486856967</v>
      </c>
      <c r="K73" s="78">
        <f>K10/K35</f>
        <v>2.2296721759856211</v>
      </c>
      <c r="L73" s="78">
        <f>L10/L35</f>
        <v>2.0911738717806068</v>
      </c>
      <c r="M73" s="138">
        <f>M10/M35</f>
        <v>2.0911738717806068</v>
      </c>
      <c r="N73" s="39"/>
      <c r="O73" s="137">
        <f>O10/O35</f>
        <v>2.1352842719075644</v>
      </c>
      <c r="P73" s="78">
        <f>P10/P35</f>
        <v>4.3970931042488974</v>
      </c>
      <c r="Q73" s="78">
        <f>Q10/Q35</f>
        <v>4.3931849841054387</v>
      </c>
      <c r="R73" s="78">
        <f>R10/R35</f>
        <v>3.6930687971441074</v>
      </c>
      <c r="S73" s="138">
        <f>S10/S35</f>
        <v>3.6930687971441074</v>
      </c>
      <c r="T73" s="39"/>
      <c r="U73" s="137">
        <f>U10/U35</f>
        <v>2.9282555767086609</v>
      </c>
      <c r="V73" s="78">
        <f>V10/V35</f>
        <v>2.9989198650225481</v>
      </c>
      <c r="W73" s="78">
        <f>W10/W35</f>
        <v>1.6466098033253851</v>
      </c>
      <c r="X73" s="78">
        <f>X10/X35</f>
        <v>2.0956851765813278</v>
      </c>
      <c r="Y73" s="138">
        <f>Y10/Y35</f>
        <v>2.0956851765813274</v>
      </c>
      <c r="Z73" s="39"/>
      <c r="AA73" s="137">
        <f>AA10/AA35</f>
        <v>2.071234571537985</v>
      </c>
      <c r="AB73" s="78">
        <f>AB10/AB35</f>
        <v>2.0810914239791818</v>
      </c>
      <c r="AC73" s="78">
        <f>AC10/AC35</f>
        <v>1.5171075591540442</v>
      </c>
      <c r="AD73" s="78">
        <f>AD10/AD35</f>
        <v>1.2703687470223908</v>
      </c>
      <c r="AE73" s="138">
        <f>AE10/AE35</f>
        <v>1.270368747022391</v>
      </c>
      <c r="AF73" s="39"/>
      <c r="AG73" s="137">
        <f>AG10/AG35</f>
        <v>1.5146391993492687</v>
      </c>
      <c r="AH73" s="78">
        <f>AH10/AH35</f>
        <v>1.4759182160913282</v>
      </c>
      <c r="AI73" s="78">
        <f>AI10/AI35</f>
        <v>2.2901933150743212</v>
      </c>
      <c r="AJ73" s="78">
        <f>AJ10/AJ35</f>
        <v>2.1983782920139534</v>
      </c>
      <c r="AK73" s="138">
        <f>AK10/AK35</f>
        <v>2.1983782920139534</v>
      </c>
      <c r="AL73" s="39"/>
      <c r="AM73" s="137">
        <f>AM10/AM35</f>
        <v>2.3504169870467848</v>
      </c>
      <c r="AN73" s="78">
        <f>AN10/AN35</f>
        <v>2.6216775203331566</v>
      </c>
      <c r="AO73" s="78">
        <f>AO10/AO35</f>
        <v>2.0441396414065367</v>
      </c>
      <c r="AP73" s="78">
        <f>AP10/AP35</f>
        <v>2.1328323124969426</v>
      </c>
      <c r="AQ73" s="138">
        <f>AQ10/AQ35</f>
        <v>2.1328323124969426</v>
      </c>
      <c r="AR73" s="39"/>
      <c r="AS73" s="137">
        <f>AS10/AS35</f>
        <v>2.0714958294321781</v>
      </c>
      <c r="AT73" s="78">
        <f>AT10/AT35</f>
        <v>2.1567615658362986</v>
      </c>
      <c r="AU73" s="78">
        <f>AU10/AU35</f>
        <v>0.60762442531395577</v>
      </c>
      <c r="AV73" s="78">
        <f>AV10/AV35</f>
        <v>0.45910886792883676</v>
      </c>
      <c r="AW73" s="138">
        <f>AW10/AW35</f>
        <v>0.45910886792883715</v>
      </c>
      <c r="AX73" s="39"/>
      <c r="AY73" s="137">
        <f>AY10/AY35</f>
        <v>0.48640701950008614</v>
      </c>
      <c r="AZ73" s="78">
        <f>AZ10/AZ35</f>
        <v>0.41788888086120934</v>
      </c>
      <c r="BA73" s="78">
        <f>BA10/BA35</f>
        <v>0.47884296938308124</v>
      </c>
      <c r="BB73" s="78">
        <f>BB10/BB35</f>
        <v>1.4765184416324113</v>
      </c>
      <c r="BC73" s="138">
        <f>BC10/BC35</f>
        <v>1.4765184416324113</v>
      </c>
      <c r="BD73" s="39"/>
      <c r="BE73" s="137">
        <f>BE10/BE35</f>
        <v>1.3863115693012595</v>
      </c>
      <c r="BF73" s="78">
        <f>BF10/BF35</f>
        <v>1.009743168331503</v>
      </c>
      <c r="BG73" s="78">
        <f>BG10/BG35</f>
        <v>0.92256087515239327</v>
      </c>
      <c r="BH73" s="78">
        <f>BH10/BH35</f>
        <v>0.98001709006106086</v>
      </c>
      <c r="BI73" s="138">
        <f>BI10/BI35</f>
        <v>0.98001709006106086</v>
      </c>
      <c r="BJ73" s="39"/>
      <c r="BK73" s="137">
        <f>BK10/BK35</f>
        <v>1.7993424723930878</v>
      </c>
      <c r="BL73" s="78">
        <f>BL10/BL35</f>
        <v>1.4165139475908701</v>
      </c>
      <c r="BM73" s="78">
        <f>BM10/BM35</f>
        <v>1.1115447214194052</v>
      </c>
      <c r="BN73" s="78">
        <f>BN10/BN35</f>
        <v>0.90973898699336897</v>
      </c>
      <c r="BO73" s="138">
        <f>BO10/BO35</f>
        <v>0.90973898699336875</v>
      </c>
      <c r="BP73" s="39"/>
      <c r="BQ73" s="137">
        <f>BQ10/BQ35</f>
        <v>0.86501684584474126</v>
      </c>
      <c r="BR73" s="78">
        <f>BR10/BR35</f>
        <v>0.88539009986284367</v>
      </c>
      <c r="BS73" s="78">
        <f>BS10/BS35</f>
        <v>1.1933386698974506</v>
      </c>
      <c r="BT73" s="78">
        <f>BT10/BT35</f>
        <v>1.0807071282974285</v>
      </c>
      <c r="BU73" s="138">
        <f>BU10/BU35</f>
        <v>1.0807071282974281</v>
      </c>
      <c r="BV73" s="39"/>
      <c r="BW73" s="137">
        <f>BW10/BW35</f>
        <v>1.4449178010981503</v>
      </c>
      <c r="BX73" s="78">
        <f>BX10/BX35</f>
        <v>1.3208649136012163</v>
      </c>
      <c r="BY73" s="78">
        <f>BY10/BY35</f>
        <v>1.4178977374950512</v>
      </c>
      <c r="BZ73" s="78">
        <f>BZ10/BZ35</f>
        <v>1.423925765735387</v>
      </c>
      <c r="CA73" s="138">
        <f>CA10/CA35</f>
        <v>1.4239257657353872</v>
      </c>
      <c r="CB73" s="39"/>
      <c r="CC73" s="137">
        <f>CC10/CC35</f>
        <v>0.89732097158650459</v>
      </c>
      <c r="CD73" s="78">
        <f>CD10/CD35</f>
        <v>1.8047715779919602</v>
      </c>
      <c r="CE73" s="78">
        <f>CE10/CE35</f>
        <v>2.2794091698789285</v>
      </c>
      <c r="CF73" s="78">
        <f>CF10/CF35</f>
        <v>2.0250314047144014</v>
      </c>
      <c r="CG73" s="138">
        <f>CG10/CG35</f>
        <v>2.0250314047144014</v>
      </c>
      <c r="CH73" s="39"/>
      <c r="CI73" s="137">
        <f>CI10/CI35</f>
        <v>2.1501233485986835</v>
      </c>
      <c r="CJ73" s="78">
        <f>CJ10/CJ35</f>
        <v>1.8375241192575471</v>
      </c>
      <c r="CK73" s="78">
        <f>CK10/CK35</f>
        <v>1.6882878713583414</v>
      </c>
      <c r="CL73" s="78">
        <f>CL10/CL35</f>
        <v>1.7136239884048041</v>
      </c>
      <c r="CM73" s="138">
        <f>CM10/CM35</f>
        <v>1.7136239884048041</v>
      </c>
      <c r="CN73" s="39"/>
      <c r="CO73" s="137">
        <f>CO10/CO35</f>
        <v>2.0448263771962107</v>
      </c>
      <c r="CP73" s="78">
        <f>CP10/CP35</f>
        <v>1.833607055314056</v>
      </c>
      <c r="CQ73" s="78">
        <f>CQ10/CQ35</f>
        <v>1.7474057161812149</v>
      </c>
      <c r="CR73" s="78">
        <f>CR10/CR35</f>
        <v>1.7286553724164855</v>
      </c>
      <c r="CS73" s="138">
        <f>CS10/CS35</f>
        <v>1.7286553724164855</v>
      </c>
      <c r="CT73" s="39"/>
      <c r="CU73" s="137">
        <f>CU10/CU35</f>
        <v>2.1236723737853596</v>
      </c>
      <c r="CV73" s="78">
        <f>CV10/CV35</f>
        <v>1.9901631950297349</v>
      </c>
      <c r="CW73" s="78">
        <f>CW10/CW35</f>
        <v>1.9584985590998707</v>
      </c>
      <c r="CX73" s="78">
        <f>CX10/CX35</f>
        <v>1.9891461286510987</v>
      </c>
      <c r="CY73" s="138">
        <f>CY10/CY35</f>
        <v>1.9891461286510987</v>
      </c>
      <c r="CZ73" s="78"/>
      <c r="DA73" s="78"/>
      <c r="DB73" s="78"/>
    </row>
    <row r="74" spans="1:106" ht="11.25" customHeight="1" outlineLevel="1" x14ac:dyDescent="0.2">
      <c r="A74" s="66" t="s">
        <v>340</v>
      </c>
      <c r="B74" s="240"/>
      <c r="C74" s="139"/>
      <c r="D74" s="79"/>
      <c r="E74" s="79"/>
      <c r="F74" s="79"/>
      <c r="G74" s="140">
        <f>(G17-G14)/G35</f>
        <v>3.7126795752654589</v>
      </c>
      <c r="H74" s="240"/>
      <c r="I74" s="139">
        <f>(I17-I14)/I35</f>
        <v>4.5644887511787688</v>
      </c>
      <c r="J74" s="79">
        <f>(J17-J14)/J35</f>
        <v>3.4895962611388778</v>
      </c>
      <c r="K74" s="79">
        <f>(K17-K14)/K35</f>
        <v>4.0722072441683279</v>
      </c>
      <c r="L74" s="79">
        <f>(L17-L14)/L35</f>
        <v>3.4536985524320669</v>
      </c>
      <c r="M74" s="140">
        <f>(M17-M14)/M35</f>
        <v>3.4536985524320669</v>
      </c>
      <c r="N74" s="240"/>
      <c r="O74" s="139">
        <f>(O17-O14)/O35</f>
        <v>3.5441066897035793</v>
      </c>
      <c r="P74" s="79">
        <f>(P17-P14)/P35</f>
        <v>5.7476294404457873</v>
      </c>
      <c r="Q74" s="79">
        <f>(Q17-Q14)/Q35</f>
        <v>5.6145837053970062</v>
      </c>
      <c r="R74" s="79">
        <f>(R17-R14)/R35</f>
        <v>5.3128008856012556</v>
      </c>
      <c r="S74" s="140">
        <f>(S17-S14)/S35</f>
        <v>5.3128008856012556</v>
      </c>
      <c r="T74" s="240"/>
      <c r="U74" s="139">
        <f>(U17-U14)/U35</f>
        <v>4.8278861979778975</v>
      </c>
      <c r="V74" s="79">
        <f>(V17-V14)/V35</f>
        <v>5.0141600176606014</v>
      </c>
      <c r="W74" s="79">
        <f>(W17-W14)/W35</f>
        <v>2.8509070929816973</v>
      </c>
      <c r="X74" s="79">
        <f>(X17-X14)/X35</f>
        <v>3.3765559853014828</v>
      </c>
      <c r="Y74" s="140">
        <f>(Y17-Y14)/Y35</f>
        <v>3.3765559853014819</v>
      </c>
      <c r="Z74" s="240"/>
      <c r="AA74" s="139">
        <f>(AA17-AA14)/AA35</f>
        <v>3.5146964385659998</v>
      </c>
      <c r="AB74" s="79">
        <f>(AB17-AB14)/AB35</f>
        <v>3.4310807634063534</v>
      </c>
      <c r="AC74" s="79">
        <f>(AC17-AC14)/AC35</f>
        <v>2.7655149949977891</v>
      </c>
      <c r="AD74" s="79">
        <f>(AD17-AD14)/AD35</f>
        <v>2.2677160552644104</v>
      </c>
      <c r="AE74" s="140">
        <f>(AE17-AE14)/AE35</f>
        <v>2.2677160552644109</v>
      </c>
      <c r="AF74" s="240"/>
      <c r="AG74" s="139">
        <f>(AG17-AG14)/AG35</f>
        <v>2.6746839595719911</v>
      </c>
      <c r="AH74" s="79">
        <f>(AH17-AH14)/AH35</f>
        <v>2.5151614842713075</v>
      </c>
      <c r="AI74" s="79">
        <f>(AI17-AI14)/AI35</f>
        <v>3.2933842103863644</v>
      </c>
      <c r="AJ74" s="79">
        <f>(AJ17-AJ14)/AJ35</f>
        <v>3.20245785955849</v>
      </c>
      <c r="AK74" s="140">
        <f>(AK17-AK14)/AK35</f>
        <v>3.20245785955849</v>
      </c>
      <c r="AL74" s="240"/>
      <c r="AM74" s="139">
        <f>(AM17-AM14)/AM35</f>
        <v>3.5680280357248471</v>
      </c>
      <c r="AN74" s="79">
        <f>(AN17-AN14)/AN35</f>
        <v>3.8350925900046891</v>
      </c>
      <c r="AO74" s="79">
        <f>(AO17-AO14)/AO35</f>
        <v>3.0881983019321533</v>
      </c>
      <c r="AP74" s="79">
        <f>(AP17-AP14)/AP35</f>
        <v>3.187262330493529</v>
      </c>
      <c r="AQ74" s="140">
        <f>(AQ17-AQ14)/AQ35</f>
        <v>3.187262330493529</v>
      </c>
      <c r="AR74" s="240"/>
      <c r="AS74" s="139">
        <f>(AS17-AS14)/AS35</f>
        <v>3.3490099736188572</v>
      </c>
      <c r="AT74" s="79">
        <f>(AT17-AT14)/AT35</f>
        <v>3.4726882014782365</v>
      </c>
      <c r="AU74" s="79">
        <f>(AU17-AU14)/AU35</f>
        <v>1.2776960103674904</v>
      </c>
      <c r="AV74" s="79">
        <f>(AV17-AV14)/AV35</f>
        <v>1.2793253290204434</v>
      </c>
      <c r="AW74" s="140">
        <f>(AW17-AW14)/AW35</f>
        <v>1.2793253290204438</v>
      </c>
      <c r="AX74" s="240"/>
      <c r="AY74" s="139">
        <f>(AY17-AY14)/AY35</f>
        <v>1.38238443532936</v>
      </c>
      <c r="AZ74" s="79">
        <f>(AZ17-AZ14)/AZ35</f>
        <v>1.1800877533844802</v>
      </c>
      <c r="BA74" s="79">
        <f>(BA17-BA14)/BA35</f>
        <v>1.2242576635013174</v>
      </c>
      <c r="BB74" s="79">
        <f>(BB17-BB14)/BB35</f>
        <v>3.212542483390727</v>
      </c>
      <c r="BC74" s="140">
        <f>(BC17-BC14)/BC35</f>
        <v>3.212542483390727</v>
      </c>
      <c r="BD74" s="240"/>
      <c r="BE74" s="139">
        <f>(BE17-BE14)/BE35</f>
        <v>3.1722713140238916</v>
      </c>
      <c r="BF74" s="79">
        <f>(BF17-BF14)/BF35</f>
        <v>2.5904636171975506</v>
      </c>
      <c r="BG74" s="79">
        <f>(BG17-BG14)/BG35</f>
        <v>2.4072424132590857</v>
      </c>
      <c r="BH74" s="79">
        <f>(BH17-BH14)/BH35</f>
        <v>2.352233279333487</v>
      </c>
      <c r="BI74" s="140">
        <f>(BI17-BI14)/BI35</f>
        <v>2.352233279333487</v>
      </c>
      <c r="BJ74" s="240"/>
      <c r="BK74" s="139">
        <f>(BK17-BK14)/BK35</f>
        <v>3.4524759326400916</v>
      </c>
      <c r="BL74" s="79">
        <f>(BL17-BL14)/BL35</f>
        <v>3.6012882502113275</v>
      </c>
      <c r="BM74" s="79">
        <f>(BM17-BM14)/BM35</f>
        <v>2.6071819640557456</v>
      </c>
      <c r="BN74" s="79">
        <f>(BN17-BN14)/BN35</f>
        <v>2.3549878830283624</v>
      </c>
      <c r="BO74" s="140">
        <f>(BO17-BO14)/BO35</f>
        <v>2.3549878830283619</v>
      </c>
      <c r="BP74" s="240"/>
      <c r="BQ74" s="139">
        <f>(BQ17-BQ14)/BQ35</f>
        <v>2.4689907220120038</v>
      </c>
      <c r="BR74" s="79">
        <f>(BR17-BR14)/BR35</f>
        <v>2.9835073281871654</v>
      </c>
      <c r="BS74" s="79">
        <f>(BS17-BS14)/BS35</f>
        <v>3.0382790301876437</v>
      </c>
      <c r="BT74" s="79">
        <f>(BT17-BT14)/BT35</f>
        <v>3.074413179655155</v>
      </c>
      <c r="BU74" s="140">
        <f>(BU17-BU14)/BU35</f>
        <v>3.074413179655155</v>
      </c>
      <c r="BV74" s="240"/>
      <c r="BW74" s="139">
        <f>(BW17-BW14)/BW35</f>
        <v>3.3075067416095374</v>
      </c>
      <c r="BX74" s="79">
        <f>(BX17-BX14)/BX35</f>
        <v>3.0609883231833703</v>
      </c>
      <c r="BY74" s="79">
        <f>(BY17-BY14)/BY35</f>
        <v>3.2718164408426311</v>
      </c>
      <c r="BZ74" s="79">
        <f>(BZ17-BZ14)/BZ35</f>
        <v>2.9213109013743832</v>
      </c>
      <c r="CA74" s="140">
        <f>(CA17-CA14)/CA35</f>
        <v>2.9213109013743832</v>
      </c>
      <c r="CB74" s="240"/>
      <c r="CC74" s="139">
        <f>(CC17-CC14)/CC35</f>
        <v>2.2636035271924304</v>
      </c>
      <c r="CD74" s="79">
        <f>(CD17-CD14)/CD35</f>
        <v>3.3366037083459381</v>
      </c>
      <c r="CE74" s="79">
        <f>(CE17-CE14)/CE35</f>
        <v>4.7802303328085118</v>
      </c>
      <c r="CF74" s="79">
        <f>(CF17-CF14)/CF35</f>
        <v>4.5938508337643782</v>
      </c>
      <c r="CG74" s="140">
        <f>(CG17-CG14)/CG35</f>
        <v>4.5938508337643782</v>
      </c>
      <c r="CH74" s="240"/>
      <c r="CI74" s="139">
        <f>(CI17-CI14)/CI35</f>
        <v>4.6086756065413201</v>
      </c>
      <c r="CJ74" s="79">
        <f>(CJ17-CJ14)/CJ35</f>
        <v>4.14849568612442</v>
      </c>
      <c r="CK74" s="79">
        <f>(CK17-CK14)/CK35</f>
        <v>4.1271295550839744</v>
      </c>
      <c r="CL74" s="79">
        <f>(CL17-CL14)/CL35</f>
        <v>4.0590003641394716</v>
      </c>
      <c r="CM74" s="140">
        <f>(CM17-CM14)/CM35</f>
        <v>4.0590003641394716</v>
      </c>
      <c r="CN74" s="240"/>
      <c r="CO74" s="139">
        <f>(CO17-CO14)/CO35</f>
        <v>4.4225268872556578</v>
      </c>
      <c r="CP74" s="79">
        <f>(CP17-CP14)/CP35</f>
        <v>4.0572610202945807</v>
      </c>
      <c r="CQ74" s="79">
        <f>(CQ17-CQ14)/CQ35</f>
        <v>4.1583846679343228</v>
      </c>
      <c r="CR74" s="79">
        <f>(CR17-CR14)/CR35</f>
        <v>4.0045340003764478</v>
      </c>
      <c r="CS74" s="140">
        <f>(CS17-CS14)/CS35</f>
        <v>4.0045340003764478</v>
      </c>
      <c r="CT74" s="240"/>
      <c r="CU74" s="139">
        <f>(CU17-CU14)/CU35</f>
        <v>4.4018378752570611</v>
      </c>
      <c r="CV74" s="79">
        <f>(CV17-CV14)/CV35</f>
        <v>4.1304143877875799</v>
      </c>
      <c r="CW74" s="79">
        <f>(CW17-CW14)/CW35</f>
        <v>4.2998136923393</v>
      </c>
      <c r="CX74" s="79">
        <f>(CX17-CX14)/CX35</f>
        <v>4.2029072375585477</v>
      </c>
      <c r="CY74" s="140">
        <f>(CY17-CY14)/CY35</f>
        <v>4.2029072375585477</v>
      </c>
      <c r="CZ74" s="78"/>
      <c r="DA74" s="78"/>
      <c r="DB74" s="78"/>
    </row>
    <row r="75" spans="1:106" ht="11.25" customHeight="1" outlineLevel="1" x14ac:dyDescent="0.2">
      <c r="A75" s="75"/>
      <c r="B75" s="39"/>
      <c r="C75" s="497"/>
      <c r="D75" s="497"/>
      <c r="E75" s="497"/>
      <c r="F75" s="497"/>
      <c r="G75" s="497"/>
      <c r="H75" s="39"/>
      <c r="I75" s="497"/>
      <c r="J75" s="497"/>
      <c r="K75" s="497"/>
      <c r="L75" s="497"/>
      <c r="M75" s="497"/>
      <c r="N75" s="39"/>
      <c r="O75" s="497"/>
      <c r="P75" s="497"/>
      <c r="Q75" s="497"/>
      <c r="R75" s="497"/>
      <c r="S75" s="497"/>
      <c r="T75" s="39"/>
      <c r="U75" s="497"/>
      <c r="V75" s="497"/>
      <c r="W75" s="497"/>
      <c r="X75" s="497"/>
      <c r="Y75" s="497"/>
      <c r="Z75" s="39"/>
      <c r="AA75" s="497"/>
      <c r="AB75" s="497"/>
      <c r="AC75" s="497"/>
      <c r="AD75" s="497"/>
      <c r="AE75" s="497"/>
      <c r="AF75" s="39"/>
      <c r="AG75" s="497"/>
      <c r="AH75" s="497"/>
      <c r="AI75" s="497"/>
      <c r="AJ75" s="497"/>
      <c r="AK75" s="497"/>
      <c r="AL75" s="39"/>
      <c r="AM75" s="497"/>
      <c r="AN75" s="497"/>
      <c r="AO75" s="497"/>
      <c r="AP75" s="497"/>
      <c r="AQ75" s="497"/>
      <c r="AR75" s="39"/>
      <c r="AS75" s="497"/>
      <c r="AT75" s="497"/>
      <c r="AU75" s="497"/>
      <c r="AV75" s="497"/>
      <c r="AW75" s="497"/>
      <c r="AX75" s="39"/>
      <c r="AY75" s="497"/>
      <c r="AZ75" s="497"/>
      <c r="BA75" s="497"/>
      <c r="BB75" s="497"/>
      <c r="BC75" s="497"/>
      <c r="BD75" s="39"/>
      <c r="BE75" s="39"/>
      <c r="BF75" s="39"/>
      <c r="BG75" s="39"/>
      <c r="BH75" s="497"/>
      <c r="BI75" s="497"/>
      <c r="BJ75" s="39"/>
      <c r="BK75" s="39"/>
      <c r="BL75" s="39"/>
      <c r="BM75" s="39"/>
      <c r="BN75" s="497"/>
      <c r="BO75" s="497"/>
      <c r="BP75" s="39"/>
      <c r="BQ75" s="39"/>
      <c r="BR75" s="39"/>
      <c r="BS75" s="39"/>
      <c r="BT75" s="497"/>
      <c r="BU75" s="497"/>
      <c r="BV75" s="39"/>
      <c r="BW75" s="39"/>
      <c r="BX75" s="39"/>
      <c r="BY75" s="39"/>
      <c r="BZ75" s="497"/>
      <c r="CA75" s="497"/>
      <c r="CB75" s="39"/>
      <c r="CC75" s="39"/>
      <c r="CD75" s="39"/>
      <c r="CE75" s="39"/>
      <c r="CF75" s="497"/>
      <c r="CG75" s="497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</row>
    <row r="76" spans="1:106" ht="11.25" customHeight="1" x14ac:dyDescent="0.2">
      <c r="A76" s="63" t="s">
        <v>341</v>
      </c>
      <c r="B76" s="16"/>
      <c r="C76" s="133"/>
      <c r="D76" s="133"/>
      <c r="E76" s="133"/>
      <c r="F76" s="133"/>
      <c r="G76" s="133"/>
      <c r="H76" s="25"/>
      <c r="I76" s="133"/>
      <c r="J76" s="133"/>
      <c r="K76" s="133"/>
      <c r="L76" s="133"/>
      <c r="M76" s="133"/>
      <c r="N76" s="25"/>
      <c r="O76" s="133"/>
      <c r="P76" s="133"/>
      <c r="Q76" s="133"/>
      <c r="R76" s="133"/>
      <c r="S76" s="133"/>
      <c r="T76" s="25"/>
      <c r="U76" s="133"/>
      <c r="V76" s="133"/>
      <c r="W76" s="133"/>
      <c r="X76" s="133"/>
      <c r="Y76" s="133"/>
      <c r="Z76" s="25"/>
      <c r="AA76" s="133"/>
      <c r="AB76" s="133"/>
      <c r="AC76" s="133"/>
      <c r="AD76" s="133"/>
      <c r="AE76" s="133"/>
      <c r="AF76" s="25"/>
      <c r="AG76" s="133"/>
      <c r="AH76" s="133"/>
      <c r="AI76" s="133"/>
      <c r="AJ76" s="133"/>
      <c r="AK76" s="133"/>
      <c r="AL76" s="25"/>
      <c r="AM76" s="133"/>
      <c r="AN76" s="133"/>
      <c r="AO76" s="133"/>
      <c r="AP76" s="133"/>
      <c r="AQ76" s="133"/>
      <c r="AR76" s="25"/>
      <c r="AS76" s="133"/>
      <c r="AT76" s="133"/>
      <c r="AU76" s="133"/>
      <c r="AV76" s="133"/>
      <c r="AW76" s="133"/>
      <c r="AX76" s="25"/>
      <c r="AY76" s="133"/>
      <c r="AZ76" s="133"/>
      <c r="BA76" s="133"/>
      <c r="BB76" s="133"/>
      <c r="BC76" s="133"/>
      <c r="BD76" s="25"/>
      <c r="BE76" s="25"/>
      <c r="BF76" s="25"/>
      <c r="BG76" s="25"/>
      <c r="BH76" s="133"/>
      <c r="BI76" s="133"/>
      <c r="BJ76" s="25"/>
      <c r="BK76" s="25"/>
      <c r="BL76" s="25"/>
      <c r="BM76" s="25"/>
      <c r="BN76" s="133"/>
      <c r="BO76" s="133"/>
      <c r="BP76" s="25"/>
      <c r="BQ76" s="25"/>
      <c r="BR76" s="25"/>
      <c r="BS76" s="25"/>
      <c r="BT76" s="133"/>
      <c r="BU76" s="133"/>
      <c r="BV76" s="25"/>
      <c r="BW76" s="25"/>
      <c r="BX76" s="25"/>
      <c r="BY76" s="25"/>
      <c r="BZ76" s="133"/>
      <c r="CA76" s="133"/>
      <c r="CB76" s="25"/>
      <c r="CC76" s="25"/>
      <c r="CD76" s="25"/>
      <c r="CE76" s="25"/>
      <c r="CF76" s="25"/>
      <c r="CG76" s="47"/>
      <c r="CH76" s="25"/>
      <c r="CI76" s="25"/>
      <c r="CJ76" s="25"/>
      <c r="CK76" s="25"/>
      <c r="CL76" s="25"/>
      <c r="CM76" s="47"/>
      <c r="CN76" s="25"/>
      <c r="CO76" s="25"/>
      <c r="CP76" s="25"/>
      <c r="CQ76" s="25"/>
      <c r="CR76" s="25"/>
      <c r="CS76" s="47"/>
      <c r="CT76" s="25"/>
      <c r="CU76" s="25"/>
      <c r="CV76" s="25"/>
      <c r="CW76" s="25"/>
      <c r="CX76" s="25"/>
      <c r="CY76" s="47"/>
      <c r="CZ76" s="39"/>
      <c r="DA76" s="39"/>
      <c r="DB76" s="39"/>
    </row>
    <row r="77" spans="1:106" ht="11.25" customHeight="1" x14ac:dyDescent="0.2">
      <c r="A77" s="500" t="s">
        <v>342</v>
      </c>
      <c r="B77" s="39"/>
      <c r="C77" s="143"/>
      <c r="D77" s="141"/>
      <c r="E77" s="141"/>
      <c r="F77" s="141"/>
      <c r="G77" s="142">
        <f>(365)/('P&amp;L'!G9/BS!G12)</f>
        <v>63.383951301661192</v>
      </c>
      <c r="H77" s="39"/>
      <c r="I77" s="143">
        <f>(365/4)/('P&amp;L'!I9/BS!I12)</f>
        <v>61.437345435411729</v>
      </c>
      <c r="J77" s="141">
        <f>(365/4)/('P&amp;L'!J9/BS!J12)</f>
        <v>60.55175927217649</v>
      </c>
      <c r="K77" s="141">
        <f>(365/4)/('P&amp;L'!K9/BS!K12)</f>
        <v>58.603971785022964</v>
      </c>
      <c r="L77" s="141">
        <f>(365/4)/('P&amp;L'!L9/BS!L12)</f>
        <v>55.564162154391695</v>
      </c>
      <c r="M77" s="142">
        <f>(365)/('P&amp;L'!M9/BS!M12)</f>
        <v>58.212000652618634</v>
      </c>
      <c r="N77" s="39"/>
      <c r="O77" s="143">
        <f>(365/4)/('P&amp;L'!O9/BS!O12)</f>
        <v>59.375661132318442</v>
      </c>
      <c r="P77" s="141">
        <f>(365/4)/('P&amp;L'!P9/BS!P12)</f>
        <v>60.217924544964809</v>
      </c>
      <c r="Q77" s="141">
        <f>(365/4)/('P&amp;L'!Q9/BS!Q12)</f>
        <v>60.195026666327507</v>
      </c>
      <c r="R77" s="141">
        <f>(365/4)/('P&amp;L'!R9/BS!R12)</f>
        <v>58.297624532333515</v>
      </c>
      <c r="S77" s="142">
        <f>(365)/('P&amp;L'!S9/BS!S12)</f>
        <v>63.026989252390621</v>
      </c>
      <c r="T77" s="39"/>
      <c r="U77" s="143">
        <f>(365/4)/('P&amp;L'!U9/BS!U12)</f>
        <v>61.352333064850384</v>
      </c>
      <c r="V77" s="141">
        <f>(365/4)/('P&amp;L'!V9/BS!V12)</f>
        <v>61.985454202119392</v>
      </c>
      <c r="W77" s="141">
        <f>(365/4)/('P&amp;L'!W9/BS!W12)</f>
        <v>66.587516701390456</v>
      </c>
      <c r="X77" s="141">
        <f>(365/4)/('P&amp;L'!X9/BS!X12)</f>
        <v>59.339151333815344</v>
      </c>
      <c r="Y77" s="142">
        <f>(365)/('P&amp;L'!Y9/BS!Y12)</f>
        <v>76.792938775635832</v>
      </c>
      <c r="Z77" s="39"/>
      <c r="AA77" s="143">
        <f>(365/4)/('P&amp;L'!AA9/BS!AA12)</f>
        <v>67.172770223943317</v>
      </c>
      <c r="AB77" s="141">
        <f>(365/4)/('P&amp;L'!AB9/BS!AB12)</f>
        <v>62.2640703021736</v>
      </c>
      <c r="AC77" s="141">
        <f>(365/4)/('P&amp;L'!AC9/BS!AC12)</f>
        <v>60.024155112651641</v>
      </c>
      <c r="AD77" s="141">
        <f>(365/4)/('P&amp;L'!AD9/BS!AD12)</f>
        <v>60.95618957673674</v>
      </c>
      <c r="AE77" s="142">
        <f>(365)/('P&amp;L'!AE9/BS!AE12)</f>
        <v>64.76172345250427</v>
      </c>
      <c r="AF77" s="39"/>
      <c r="AG77" s="143">
        <f>(365/4)/('P&amp;L'!AG9/BS!AG12)</f>
        <v>65.880589364196382</v>
      </c>
      <c r="AH77" s="141">
        <f>(365/4)/('P&amp;L'!AH9/BS!AH12)</f>
        <v>63.484703692599815</v>
      </c>
      <c r="AI77" s="141">
        <f>(365/4)/('P&amp;L'!AI9/BS!AI12)</f>
        <v>63.850646424733988</v>
      </c>
      <c r="AJ77" s="141">
        <f>(365/4)/('P&amp;L'!AJ9/BS!AJ12)</f>
        <v>61.154990711817241</v>
      </c>
      <c r="AK77" s="142">
        <f>(365)/('P&amp;L'!AK9/BS!AK12)</f>
        <v>70.025999554378231</v>
      </c>
      <c r="AL77" s="39"/>
      <c r="AM77" s="143">
        <f>(365/4)/('P&amp;L'!AM9/BS!AM12)</f>
        <v>65.657861887397686</v>
      </c>
      <c r="AN77" s="141">
        <f>(365/4)/('P&amp;L'!AN9/BS!AN12)</f>
        <v>65.978225702083591</v>
      </c>
      <c r="AO77" s="141">
        <f>(365/4)/('P&amp;L'!AO9/BS!AO12)</f>
        <v>71.491258288768108</v>
      </c>
      <c r="AP77" s="141">
        <f>(365/4)/('P&amp;L'!AP9/BS!AP12)</f>
        <v>62.980339612351059</v>
      </c>
      <c r="AQ77" s="142">
        <f>(365)/('P&amp;L'!AQ9/BS!AQ12)</f>
        <v>66.264038821773525</v>
      </c>
      <c r="AR77" s="39"/>
      <c r="AS77" s="143">
        <f>(365/4)/('P&amp;L'!AS9/BS!AS12)</f>
        <v>69.824300418140893</v>
      </c>
      <c r="AT77" s="141">
        <f>(365/4)/('P&amp;L'!AT9/BS!AT12)</f>
        <v>67.356202844314026</v>
      </c>
      <c r="AU77" s="141">
        <f>(365/4)/('P&amp;L'!AU9/BS!AU12)</f>
        <v>66.676289873132902</v>
      </c>
      <c r="AV77" s="141">
        <f>(365/4)/('P&amp;L'!AV9/BS!AV12)</f>
        <v>62.968011781591997</v>
      </c>
      <c r="AW77" s="142">
        <f>(365)/('P&amp;L'!AW9/BS!AW12)</f>
        <v>72.007921371031514</v>
      </c>
      <c r="AX77" s="39"/>
      <c r="AY77" s="143">
        <f>(365/4)/('P&amp;L'!AY9/BS!AY12)</f>
        <v>71.400903947750166</v>
      </c>
      <c r="AZ77" s="141">
        <f>(365/4)/('P&amp;L'!AZ9/BS!AZ12)</f>
        <v>64.624958904733845</v>
      </c>
      <c r="BA77" s="141">
        <f>(365/4)/('P&amp;L'!BA9/BS!BA12)</f>
        <v>66.268547334934894</v>
      </c>
      <c r="BB77" s="141">
        <f>(365/4)/('P&amp;L'!BB9/BS!BB12)</f>
        <v>66.022824010481017</v>
      </c>
      <c r="BC77" s="142">
        <f>(365)/('P&amp;L'!BC9/BS!BC12)</f>
        <v>72.952805837749594</v>
      </c>
      <c r="BD77" s="39"/>
      <c r="BE77" s="143">
        <f>(365/4)/('P&amp;L'!BE9/BS!BE12)</f>
        <v>73.450033928900822</v>
      </c>
      <c r="BF77" s="141">
        <f>(365/4)/('P&amp;L'!BF9/BS!BF12)</f>
        <v>71.511447100615655</v>
      </c>
      <c r="BG77" s="141">
        <f>(365/4)/('P&amp;L'!BG9/BS!BG12)</f>
        <v>66.625172554360418</v>
      </c>
      <c r="BH77" s="141">
        <f>(365/4)/('P&amp;L'!BH9/BS!BH12)</f>
        <v>65.359950080670728</v>
      </c>
      <c r="BI77" s="142">
        <f>(365)/('P&amp;L'!BI9/BS!BI12)</f>
        <v>72.562240505088852</v>
      </c>
      <c r="BJ77" s="39"/>
      <c r="BK77" s="143">
        <f>(365/4)/('P&amp;L'!BK9/BS!BK12)</f>
        <v>70.39210959974541</v>
      </c>
      <c r="BL77" s="141">
        <f>(365/4)/('P&amp;L'!BL9/BS!BL12)</f>
        <v>68.389634913973978</v>
      </c>
      <c r="BM77" s="141">
        <f>(365/4)/('P&amp;L'!BM9/BS!BM12)</f>
        <v>69.666402628601631</v>
      </c>
      <c r="BN77" s="141">
        <f>(365/4)/('P&amp;L'!BN9/BS!BN12)</f>
        <v>67.077765998725084</v>
      </c>
      <c r="BO77" s="142">
        <f>(365)/('P&amp;L'!BO9/BS!BO12)</f>
        <v>71.914254217684601</v>
      </c>
      <c r="BP77" s="39"/>
      <c r="BQ77" s="143">
        <f>(365/4)/('P&amp;L'!BQ9/BS!BQ12)</f>
        <v>70.771907816114265</v>
      </c>
      <c r="BR77" s="141">
        <f>(365/4)/('P&amp;L'!BR9/BS!BR12)</f>
        <v>70.193626039266746</v>
      </c>
      <c r="BS77" s="141">
        <f>(365/4)/('P&amp;L'!BS9/BS!BS12)</f>
        <v>70.941892033659613</v>
      </c>
      <c r="BT77" s="141">
        <f>(365/4)/('P&amp;L'!BT9/BS!BT12)</f>
        <v>71.704695121951218</v>
      </c>
      <c r="BU77" s="142">
        <f>(365)/('P&amp;L'!BU9/BS!BU12)</f>
        <v>78.014951851557015</v>
      </c>
      <c r="BV77" s="39"/>
      <c r="BW77" s="143">
        <f>(365/4)/('P&amp;L'!BW9/BS!BW12)</f>
        <v>78.623034798025316</v>
      </c>
      <c r="BX77" s="141">
        <f>(365/4)/('P&amp;L'!BX9/BS!BX12)</f>
        <v>69.521054866452175</v>
      </c>
      <c r="BY77" s="141">
        <f>(365/4)/('P&amp;L'!BY9/BS!BY12)</f>
        <v>70.060849314259556</v>
      </c>
      <c r="BZ77" s="141">
        <f>(365/4)/('P&amp;L'!BZ9/BS!BZ12)</f>
        <v>69.27346766162367</v>
      </c>
      <c r="CA77" s="142">
        <f>(365)/('P&amp;L'!CA9/BS!CA12)</f>
        <v>75.904142852978836</v>
      </c>
      <c r="CB77" s="39"/>
      <c r="CC77" s="143">
        <f>(365/4)/('P&amp;L'!CC9/BS!CC12)</f>
        <v>74.249061808722502</v>
      </c>
      <c r="CD77" s="141">
        <f>(365/4)/('P&amp;L'!CD9/BS!CD12)</f>
        <v>72.66256872021647</v>
      </c>
      <c r="CE77" s="141">
        <f>(365/4)/('P&amp;L'!CE9/BS!CE12)</f>
        <v>73.8641705543359</v>
      </c>
      <c r="CF77" s="141">
        <f>(365/4)/('P&amp;L'!CF9/BS!CF12)</f>
        <v>75.630469161170751</v>
      </c>
      <c r="CG77" s="142">
        <f>(365)/('P&amp;L'!CG9/BS!CG12)</f>
        <v>84.63664512038325</v>
      </c>
      <c r="CH77" s="39"/>
      <c r="CI77" s="503">
        <f>+CC77-2</f>
        <v>72.249061808722502</v>
      </c>
      <c r="CJ77" s="501">
        <f>+CD77-2</f>
        <v>70.66256872021647</v>
      </c>
      <c r="CK77" s="501">
        <f>+CE77-1</f>
        <v>72.8641705543359</v>
      </c>
      <c r="CL77" s="501">
        <f>+CF77+4</f>
        <v>79.630469161170751</v>
      </c>
      <c r="CM77" s="502">
        <f>(365)/('P&amp;L'!CM9/BS!CM12)</f>
        <v>87.441927508117786</v>
      </c>
      <c r="CN77" s="39"/>
      <c r="CO77" s="503">
        <f>+CI77-2</f>
        <v>70.249061808722502</v>
      </c>
      <c r="CP77" s="501">
        <f>+CJ77-2</f>
        <v>68.66256872021647</v>
      </c>
      <c r="CQ77" s="501">
        <f>+CK77-1</f>
        <v>71.8641705543359</v>
      </c>
      <c r="CR77" s="501">
        <f>+CL77-1</f>
        <v>78.630469161170751</v>
      </c>
      <c r="CS77" s="502">
        <f>(365)/('P&amp;L'!CS9/BS!CS12)</f>
        <v>86.816153665131978</v>
      </c>
      <c r="CT77" s="39"/>
      <c r="CU77" s="503">
        <f t="shared" ref="CU77:CV77" si="112">+CO77-2</f>
        <v>68.249061808722502</v>
      </c>
      <c r="CV77" s="501">
        <f t="shared" si="112"/>
        <v>66.66256872021647</v>
      </c>
      <c r="CW77" s="501">
        <f t="shared" ref="CW77:CX78" si="113">+CQ77-1</f>
        <v>70.8641705543359</v>
      </c>
      <c r="CX77" s="501">
        <f t="shared" si="113"/>
        <v>77.630469161170751</v>
      </c>
      <c r="CY77" s="502">
        <f>(365)/('P&amp;L'!CY9/BS!CY12)</f>
        <v>85.455161364368138</v>
      </c>
      <c r="CZ77" s="504"/>
      <c r="DA77" s="504"/>
      <c r="DB77" s="504"/>
    </row>
    <row r="78" spans="1:106" ht="11.25" customHeight="1" x14ac:dyDescent="0.2">
      <c r="A78" s="500" t="s">
        <v>343</v>
      </c>
      <c r="B78" s="39"/>
      <c r="C78" s="143"/>
      <c r="D78" s="141"/>
      <c r="E78" s="141"/>
      <c r="F78" s="141"/>
      <c r="G78" s="142">
        <f>(365)/('P&amp;L'!G10/BS!G14)</f>
        <v>174.75894889302711</v>
      </c>
      <c r="H78" s="39"/>
      <c r="I78" s="143">
        <f>(365/4)/('P&amp;L'!I10/BS!I14)</f>
        <v>162.62674411005455</v>
      </c>
      <c r="J78" s="141">
        <f>(365/4)/('P&amp;L'!J10/BS!J14)</f>
        <v>137.13781201426352</v>
      </c>
      <c r="K78" s="141">
        <f>(365/4)/('P&amp;L'!K10/BS!K14)</f>
        <v>152.95406071916551</v>
      </c>
      <c r="L78" s="141">
        <f>(365/4)/('P&amp;L'!L10/BS!L14)</f>
        <v>166.8997153473785</v>
      </c>
      <c r="M78" s="142">
        <f>(365)/('P&amp;L'!M10/BS!M14)</f>
        <v>159.5319538918985</v>
      </c>
      <c r="N78" s="39"/>
      <c r="O78" s="143">
        <f>(365/4)/('P&amp;L'!O10/BS!O14)</f>
        <v>151.30728469772532</v>
      </c>
      <c r="P78" s="141">
        <f>(365/4)/('P&amp;L'!P10/BS!P14)</f>
        <v>162.70194900710959</v>
      </c>
      <c r="Q78" s="141">
        <f>(365/4)/('P&amp;L'!Q10/BS!Q14)</f>
        <v>149.65282578040754</v>
      </c>
      <c r="R78" s="141">
        <f>(365/4)/('P&amp;L'!R10/BS!R14)</f>
        <v>156.19424263468565</v>
      </c>
      <c r="S78" s="142">
        <f>(365)/('P&amp;L'!S10/BS!S14)</f>
        <v>168.13318526185645</v>
      </c>
      <c r="T78" s="39"/>
      <c r="U78" s="143">
        <f>(365/4)/('P&amp;L'!U10/BS!U14)</f>
        <v>155.49230650671737</v>
      </c>
      <c r="V78" s="141">
        <f>(365/4)/('P&amp;L'!V10/BS!V14)</f>
        <v>147.56659330880055</v>
      </c>
      <c r="W78" s="141">
        <f>(365/4)/('P&amp;L'!W10/BS!W14)</f>
        <v>156.50288489989151</v>
      </c>
      <c r="X78" s="141">
        <f>(365/4)/('P&amp;L'!X10/BS!X14)</f>
        <v>138.58166299938117</v>
      </c>
      <c r="Y78" s="142">
        <f>(365)/('P&amp;L'!Y10/BS!Y14)</f>
        <v>170.27923727247287</v>
      </c>
      <c r="Z78" s="39"/>
      <c r="AA78" s="143">
        <f>(365/4)/('P&amp;L'!AA10/BS!AA14)</f>
        <v>164.83919261338778</v>
      </c>
      <c r="AB78" s="141">
        <f>(365/4)/('P&amp;L'!AB10/BS!AB14)</f>
        <v>170.83595365078261</v>
      </c>
      <c r="AC78" s="141">
        <f>(365/4)/('P&amp;L'!AC10/BS!AC14)</f>
        <v>160.93127791216972</v>
      </c>
      <c r="AD78" s="141">
        <f>(365/4)/('P&amp;L'!AD10/BS!AD14)</f>
        <v>151.7566982750696</v>
      </c>
      <c r="AE78" s="142">
        <f>(365)/('P&amp;L'!AE10/BS!AE14)</f>
        <v>163.61663604269461</v>
      </c>
      <c r="AF78" s="39"/>
      <c r="AG78" s="143">
        <f>(365/4)/('P&amp;L'!AG10/BS!AG14)</f>
        <v>164.72552226813593</v>
      </c>
      <c r="AH78" s="141">
        <f>(365/4)/('P&amp;L'!AH10/BS!AH14)</f>
        <v>163.66814753975959</v>
      </c>
      <c r="AI78" s="141">
        <f>(365/4)/('P&amp;L'!AI10/BS!AI14)</f>
        <v>172.70276491168431</v>
      </c>
      <c r="AJ78" s="141">
        <f>(365/4)/('P&amp;L'!AJ10/BS!AJ14)</f>
        <v>144.897744648318</v>
      </c>
      <c r="AK78" s="142">
        <f>(365)/('P&amp;L'!AK10/BS!AK14)</f>
        <v>169.99563982459637</v>
      </c>
      <c r="AL78" s="39"/>
      <c r="AM78" s="143">
        <f>(365/4)/('P&amp;L'!AM10/BS!AM14)</f>
        <v>151.91901080476896</v>
      </c>
      <c r="AN78" s="141">
        <f>(365/4)/('P&amp;L'!AN10/BS!AN14)</f>
        <v>144.66008181720312</v>
      </c>
      <c r="AO78" s="141">
        <f>(365/4)/('P&amp;L'!AO10/BS!AO14)</f>
        <v>153.94046364255692</v>
      </c>
      <c r="AP78" s="141">
        <f>(365/4)/('P&amp;L'!AP10/BS!AP14)</f>
        <v>143.35129577709407</v>
      </c>
      <c r="AQ78" s="142">
        <f>(365)/('P&amp;L'!AQ10/BS!AQ14)</f>
        <v>150.13218284400182</v>
      </c>
      <c r="AR78" s="39"/>
      <c r="AS78" s="143">
        <f>(365/4)/('P&amp;L'!AS10/BS!AS14)</f>
        <v>165.22252683552242</v>
      </c>
      <c r="AT78" s="141">
        <f>(365/4)/('P&amp;L'!AT10/BS!AT14)</f>
        <v>166.30559515091281</v>
      </c>
      <c r="AU78" s="141">
        <f>(365/4)/('P&amp;L'!AU10/BS!AU14)</f>
        <v>161.44947600695417</v>
      </c>
      <c r="AV78" s="141">
        <f>(365/4)/('P&amp;L'!AV10/BS!AV14)</f>
        <v>114.70090304182509</v>
      </c>
      <c r="AW78" s="142">
        <f>(365)/('P&amp;L'!AW10/BS!AW14)</f>
        <v>143.12189017844963</v>
      </c>
      <c r="AX78" s="39"/>
      <c r="AY78" s="143">
        <f>(365/4)/('P&amp;L'!AY10/BS!AY14)</f>
        <v>141.48741517795321</v>
      </c>
      <c r="AZ78" s="141">
        <f>(365/4)/('P&amp;L'!AZ10/BS!AZ14)</f>
        <v>144.51600596784621</v>
      </c>
      <c r="BA78" s="141">
        <f>(365/4)/('P&amp;L'!BA10/BS!BA14)</f>
        <v>152.38809604348435</v>
      </c>
      <c r="BB78" s="141">
        <f>(365/4)/('P&amp;L'!BB10/BS!BB14)</f>
        <v>127.26124637920199</v>
      </c>
      <c r="BC78" s="142">
        <f>(365)/('P&amp;L'!BC10/BS!BC14)</f>
        <v>138.11895159034717</v>
      </c>
      <c r="BD78" s="39"/>
      <c r="BE78" s="143">
        <f>(365/4)/('P&amp;L'!BE10/BS!BE14)</f>
        <v>141.31024560530091</v>
      </c>
      <c r="BF78" s="141">
        <f>(365/4)/('P&amp;L'!BF10/BS!BF14)</f>
        <v>130.15417163994539</v>
      </c>
      <c r="BG78" s="141">
        <f>(365/4)/('P&amp;L'!BG10/BS!BG14)</f>
        <v>143.06136445773237</v>
      </c>
      <c r="BH78" s="141">
        <f>(365/4)/('P&amp;L'!BH10/BS!BH14)</f>
        <v>119.00441092626907</v>
      </c>
      <c r="BI78" s="142">
        <f>(365)/('P&amp;L'!BI10/BS!BI14)</f>
        <v>127.43607809361312</v>
      </c>
      <c r="BJ78" s="39"/>
      <c r="BK78" s="143">
        <f>(365/4)/('P&amp;L'!BK10/BS!BK14)</f>
        <v>139.04225915139057</v>
      </c>
      <c r="BL78" s="141">
        <f>(365/4)/('P&amp;L'!BL10/BS!BL14)</f>
        <v>131.29274489233637</v>
      </c>
      <c r="BM78" s="141">
        <f>(365/4)/('P&amp;L'!BM10/BS!BM14)</f>
        <v>129.35188827694728</v>
      </c>
      <c r="BN78" s="141">
        <f>(365/4)/('P&amp;L'!BN10/BS!BN14)</f>
        <v>103.4894797311201</v>
      </c>
      <c r="BO78" s="142">
        <f>(365)/('P&amp;L'!BO10/BS!BO14)</f>
        <v>123.3735032120571</v>
      </c>
      <c r="BP78" s="39"/>
      <c r="BQ78" s="143">
        <f>(365/4)/('P&amp;L'!BQ10/BS!BQ14)</f>
        <v>153.96323319736663</v>
      </c>
      <c r="BR78" s="141">
        <f>(365/4)/('P&amp;L'!BR10/BS!BR14)</f>
        <v>134.79520572794399</v>
      </c>
      <c r="BS78" s="141">
        <f>(365/4)/('P&amp;L'!BS10/BS!BS14)</f>
        <v>132.67095917150138</v>
      </c>
      <c r="BT78" s="141">
        <f>(365/4)/('P&amp;L'!BT10/BS!BT14)</f>
        <v>121.68626675649026</v>
      </c>
      <c r="BU78" s="142">
        <f>(365)/('P&amp;L'!BU10/BS!BU14)</f>
        <v>135.10136554194864</v>
      </c>
      <c r="BV78" s="39"/>
      <c r="BW78" s="143">
        <f>(365/4)/('P&amp;L'!BW10/BS!BW14)</f>
        <v>149.12248696742404</v>
      </c>
      <c r="BX78" s="141">
        <f>(365/4)/('P&amp;L'!BX10/BS!BX14)</f>
        <v>127.78867684987104</v>
      </c>
      <c r="BY78" s="141">
        <f>(365/4)/('P&amp;L'!BY10/BS!BY14)</f>
        <v>135.75256242867866</v>
      </c>
      <c r="BZ78" s="141">
        <f>(365/4)/('P&amp;L'!BZ10/BS!BZ14)</f>
        <v>117.87648878503786</v>
      </c>
      <c r="CA78" s="142">
        <f>(365)/('P&amp;L'!CA10/BS!CA14)</f>
        <v>126.52112769014413</v>
      </c>
      <c r="CB78" s="39"/>
      <c r="CC78" s="143">
        <f>(365/4)/('P&amp;L'!CC10/BS!CC14)</f>
        <v>144.80901763973512</v>
      </c>
      <c r="CD78" s="141">
        <f>(365/4)/('P&amp;L'!CD10/BS!CD14)</f>
        <v>138.17717655642025</v>
      </c>
      <c r="CE78" s="141">
        <f>(365/4)/('P&amp;L'!CE10/BS!CE14)</f>
        <v>139.80846736045413</v>
      </c>
      <c r="CF78" s="141">
        <f>(365/4)/('P&amp;L'!CF10/BS!CF14)</f>
        <v>121.7137617621899</v>
      </c>
      <c r="CG78" s="142">
        <f>(365)/('P&amp;L'!CG10/BS!CG14)</f>
        <v>136.75802153493481</v>
      </c>
      <c r="CH78" s="39"/>
      <c r="CI78" s="503">
        <f>+CC78-5</f>
        <v>139.80901763973512</v>
      </c>
      <c r="CJ78" s="501">
        <f>+CD78-5</f>
        <v>133.17717655642025</v>
      </c>
      <c r="CK78" s="501">
        <f>+CE78-1</f>
        <v>138.80846736045413</v>
      </c>
      <c r="CL78" s="501">
        <f>+CF78+1</f>
        <v>122.7137617621899</v>
      </c>
      <c r="CM78" s="502">
        <f>(365)/('P&amp;L'!CM10/BS!CM14)</f>
        <v>138.72277669030549</v>
      </c>
      <c r="CN78" s="39"/>
      <c r="CO78" s="503">
        <f t="shared" ref="CO78:CP78" si="114">+CI78-5</f>
        <v>134.80901763973512</v>
      </c>
      <c r="CP78" s="501">
        <f t="shared" si="114"/>
        <v>128.17717655642025</v>
      </c>
      <c r="CQ78" s="501">
        <f t="shared" ref="CQ78" si="115">+CK78-1</f>
        <v>137.80846736045413</v>
      </c>
      <c r="CR78" s="501">
        <f t="shared" ref="CR78" si="116">+CL78+1</f>
        <v>123.7137617621899</v>
      </c>
      <c r="CS78" s="502">
        <f>(365)/('P&amp;L'!CS10/BS!CS14)</f>
        <v>139.60404714685512</v>
      </c>
      <c r="CT78" s="39"/>
      <c r="CU78" s="503">
        <f t="shared" ref="CU78:CV78" si="117">+CO78-5</f>
        <v>129.80901763973512</v>
      </c>
      <c r="CV78" s="501">
        <f t="shared" si="117"/>
        <v>123.17717655642025</v>
      </c>
      <c r="CW78" s="501">
        <f t="shared" si="113"/>
        <v>136.80846736045413</v>
      </c>
      <c r="CX78" s="501">
        <f t="shared" ref="CX78" si="118">+CR78+1</f>
        <v>124.7137617621899</v>
      </c>
      <c r="CY78" s="502">
        <f>(365)/('P&amp;L'!CY10/BS!CY14)</f>
        <v>140.08865454281496</v>
      </c>
      <c r="CZ78" s="504"/>
      <c r="DA78" s="504"/>
      <c r="DB78" s="504"/>
    </row>
    <row r="79" spans="1:106" ht="11.25" customHeight="1" x14ac:dyDescent="0.2">
      <c r="A79" s="500" t="s">
        <v>344</v>
      </c>
      <c r="B79" s="39"/>
      <c r="C79" s="143"/>
      <c r="D79" s="141"/>
      <c r="E79" s="141"/>
      <c r="F79" s="141"/>
      <c r="G79" s="142">
        <f>(365)/('P&amp;L'!G10/BS!G29)</f>
        <v>58.550231580957842</v>
      </c>
      <c r="H79" s="39"/>
      <c r="I79" s="143">
        <f>(365/4)/('P&amp;L'!I10/BS!I29)</f>
        <v>45.67121687416266</v>
      </c>
      <c r="J79" s="141">
        <f>(365/4)/('P&amp;L'!J10/BS!J29)</f>
        <v>48.438061930450161</v>
      </c>
      <c r="K79" s="141">
        <f>(365/4)/('P&amp;L'!K10/BS!K29)</f>
        <v>43.522178158429696</v>
      </c>
      <c r="L79" s="141">
        <f>(365/4)/('P&amp;L'!L10/BS!L29)</f>
        <v>49.566288266175782</v>
      </c>
      <c r="M79" s="142">
        <f>(365)/('P&amp;L'!M10/BS!M29)</f>
        <v>47.378192334324467</v>
      </c>
      <c r="N79" s="39"/>
      <c r="O79" s="143">
        <f>(365/4)/('P&amp;L'!O10/BS!O29)</f>
        <v>46.171656428658309</v>
      </c>
      <c r="P79" s="141">
        <f>(365/4)/('P&amp;L'!P10/BS!P29)</f>
        <v>61.572497854866384</v>
      </c>
      <c r="Q79" s="141">
        <f>(365/4)/('P&amp;L'!Q10/BS!Q29)</f>
        <v>84.003891669201209</v>
      </c>
      <c r="R79" s="141">
        <f>(365/4)/('P&amp;L'!R10/BS!R29)</f>
        <v>58.022316301183224</v>
      </c>
      <c r="S79" s="142">
        <f>(365)/('P&amp;L'!S10/BS!S29)</f>
        <v>62.45733960121332</v>
      </c>
      <c r="T79" s="39"/>
      <c r="U79" s="143">
        <f>(365/4)/('P&amp;L'!U10/BS!U29)</f>
        <v>50.290753679775996</v>
      </c>
      <c r="V79" s="141">
        <f>(365/4)/('P&amp;L'!V10/BS!V29)</f>
        <v>44.585798638670418</v>
      </c>
      <c r="W79" s="141">
        <f>(365/4)/('P&amp;L'!W10/BS!W29)</f>
        <v>63.735501528750369</v>
      </c>
      <c r="X79" s="141">
        <f>(365/4)/('P&amp;L'!X10/BS!X29)</f>
        <v>63.339471738980954</v>
      </c>
      <c r="Y79" s="142">
        <f>(365)/('P&amp;L'!Y10/BS!Y29)</f>
        <v>77.827013354596474</v>
      </c>
      <c r="Z79" s="39"/>
      <c r="AA79" s="143">
        <f>(365/4)/('P&amp;L'!AA10/BS!AA29)</f>
        <v>62.914858903310488</v>
      </c>
      <c r="AB79" s="141">
        <f>(365/4)/('P&amp;L'!AB10/BS!AB29)</f>
        <v>62.384734986015324</v>
      </c>
      <c r="AC79" s="141">
        <f>(365/4)/('P&amp;L'!AC10/BS!AC29)</f>
        <v>58.238238121821119</v>
      </c>
      <c r="AD79" s="141">
        <f>(365/4)/('P&amp;L'!AD10/BS!AD29)</f>
        <v>68.266261221238338</v>
      </c>
      <c r="AE79" s="142">
        <f>(365)/('P&amp;L'!AE10/BS!AE29)</f>
        <v>73.60133782026135</v>
      </c>
      <c r="AF79" s="39"/>
      <c r="AG79" s="143">
        <f>(365/4)/('P&amp;L'!AG10/BS!AG29)</f>
        <v>58.322551816870011</v>
      </c>
      <c r="AH79" s="141">
        <f>(365/4)/('P&amp;L'!AH10/BS!AH29)</f>
        <v>52.659691629955951</v>
      </c>
      <c r="AI79" s="141">
        <f>(365/4)/('P&amp;L'!AI10/BS!AI29)</f>
        <v>54.386287341180484</v>
      </c>
      <c r="AJ79" s="141">
        <f>(365/4)/('P&amp;L'!AJ10/BS!AJ29)</f>
        <v>48.474209383039643</v>
      </c>
      <c r="AK79" s="142">
        <f>(365)/('P&amp;L'!AK10/BS!AK29)</f>
        <v>56.870479654887667</v>
      </c>
      <c r="AL79" s="39"/>
      <c r="AM79" s="143">
        <f>(365/4)/('P&amp;L'!AM10/BS!AM29)</f>
        <v>55.333790185224601</v>
      </c>
      <c r="AN79" s="141">
        <f>(365/4)/('P&amp;L'!AN10/BS!AN29)</f>
        <v>60.177208929917093</v>
      </c>
      <c r="AO79" s="141">
        <f>(365/4)/('P&amp;L'!AO10/BS!AO29)</f>
        <v>76.318672313842427</v>
      </c>
      <c r="AP79" s="141">
        <f>(365/4)/('P&amp;L'!AP10/BS!AP29)</f>
        <v>54.114030245136952</v>
      </c>
      <c r="AQ79" s="142">
        <f>(365)/('P&amp;L'!AQ10/BS!AQ29)</f>
        <v>56.67376384111423</v>
      </c>
      <c r="AR79" s="39"/>
      <c r="AS79" s="143">
        <f>(365/4)/('P&amp;L'!AS10/BS!AS29)</f>
        <v>64.689089842737673</v>
      </c>
      <c r="AT79" s="141">
        <f>(365/4)/('P&amp;L'!AT10/BS!AT29)</f>
        <v>59.155937777894025</v>
      </c>
      <c r="AU79" s="141">
        <f>(365/4)/('P&amp;L'!AU10/BS!AU29)</f>
        <v>49.811253084993858</v>
      </c>
      <c r="AV79" s="141">
        <f>(365/4)/('P&amp;L'!AV10/BS!AV29)</f>
        <v>51.911882129277572</v>
      </c>
      <c r="AW79" s="142">
        <f>(365)/('P&amp;L'!AW10/BS!AW29)</f>
        <v>64.774788131823811</v>
      </c>
      <c r="AX79" s="39"/>
      <c r="AY79" s="143">
        <f>(365/4)/('P&amp;L'!AY10/BS!AY29)</f>
        <v>44.332891912477493</v>
      </c>
      <c r="AZ79" s="141">
        <f>(365/4)/('P&amp;L'!AZ10/BS!AZ29)</f>
        <v>62.836287001213982</v>
      </c>
      <c r="BA79" s="141">
        <f>(365/4)/('P&amp;L'!BA10/BS!BA29)</f>
        <v>59.701205500863153</v>
      </c>
      <c r="BB79" s="141">
        <f>(365/4)/('P&amp;L'!BB10/BS!BB29)</f>
        <v>48.264890370996525</v>
      </c>
      <c r="BC79" s="142">
        <f>(365)/('P&amp;L'!BC10/BS!BC29)</f>
        <v>52.38276573845139</v>
      </c>
      <c r="BD79" s="39"/>
      <c r="BE79" s="143">
        <f>(365/4)/('P&amp;L'!BE10/BS!BE29)</f>
        <v>44.087455401064446</v>
      </c>
      <c r="BF79" s="141">
        <f>(365/4)/('P&amp;L'!BF10/BS!BF29)</f>
        <v>42.650448401561341</v>
      </c>
      <c r="BG79" s="141">
        <f>(365/4)/('P&amp;L'!BG10/BS!BG29)</f>
        <v>40.071212668791269</v>
      </c>
      <c r="BH79" s="141">
        <f>(365/4)/('P&amp;L'!BH10/BS!BH29)</f>
        <v>47.258213536682206</v>
      </c>
      <c r="BI79" s="142">
        <f>(365)/('P&amp;L'!BI10/BS!BI29)</f>
        <v>50.606539236235079</v>
      </c>
      <c r="BJ79" s="39"/>
      <c r="BK79" s="143">
        <f>(365/4)/('P&amp;L'!BK10/BS!BK29)</f>
        <v>42.657329678487812</v>
      </c>
      <c r="BL79" s="141">
        <f>(365/4)/('P&amp;L'!BL10/BS!BL29)</f>
        <v>42.72315562478807</v>
      </c>
      <c r="BM79" s="141">
        <f>(365/4)/('P&amp;L'!BM10/BS!BM29)</f>
        <v>41.360149488591652</v>
      </c>
      <c r="BN79" s="141">
        <f>(365/4)/('P&amp;L'!BN10/BS!BN29)</f>
        <v>36.086279923177166</v>
      </c>
      <c r="BO79" s="142">
        <f>(365)/('P&amp;L'!BO10/BS!BO29)</f>
        <v>43.019742524365128</v>
      </c>
      <c r="BP79" s="39"/>
      <c r="BQ79" s="143">
        <f>(365/4)/('P&amp;L'!BQ10/BS!BQ29)</f>
        <v>50.993745118216644</v>
      </c>
      <c r="BR79" s="141">
        <f>(365/4)/('P&amp;L'!BR10/BS!BR29)</f>
        <v>41.096384288702033</v>
      </c>
      <c r="BS79" s="141">
        <f>(365/4)/('P&amp;L'!BS10/BS!BS29)</f>
        <v>41.499132462180775</v>
      </c>
      <c r="BT79" s="141">
        <f>(365/4)/('P&amp;L'!BT10/BS!BT29)</f>
        <v>46.600104468722847</v>
      </c>
      <c r="BU79" s="142">
        <f>(365)/('P&amp;L'!BU10/BS!BU29)</f>
        <v>51.737454981016832</v>
      </c>
      <c r="BV79" s="39"/>
      <c r="BW79" s="143">
        <f>(365/4)/('P&amp;L'!BW10/BS!BW29)</f>
        <v>39.068720717946462</v>
      </c>
      <c r="BX79" s="141">
        <f>(365/4)/('P&amp;L'!BX10/BS!BX29)</f>
        <v>41.562106383829494</v>
      </c>
      <c r="BY79" s="141">
        <f>(365/4)/('P&amp;L'!BY10/BS!BY29)</f>
        <v>38.343930873538881</v>
      </c>
      <c r="BZ79" s="141">
        <f>(365/4)/('P&amp;L'!BZ10/BS!BZ29)</f>
        <v>44.213178881247224</v>
      </c>
      <c r="CA79" s="142">
        <f>(365)/('P&amp;L'!CA10/BS!CA29)</f>
        <v>47.455614842944833</v>
      </c>
      <c r="CB79" s="39"/>
      <c r="CC79" s="143">
        <f>(365/4)/('P&amp;L'!CC10/BS!CC29)</f>
        <v>44.815160145877634</v>
      </c>
      <c r="CD79" s="141">
        <f>(365/4)/('P&amp;L'!CD10/BS!CD29)</f>
        <v>43.050826848249024</v>
      </c>
      <c r="CE79" s="141">
        <f>(365/4)/('P&amp;L'!CE10/BS!CE29)</f>
        <v>43.639427625354784</v>
      </c>
      <c r="CF79" s="141">
        <f>(365/4)/('P&amp;L'!CF10/BS!CF29)</f>
        <v>46.214339178785281</v>
      </c>
      <c r="CG79" s="142">
        <f>(365)/('P&amp;L'!CG10/BS!CG29)</f>
        <v>51.926598119477802</v>
      </c>
      <c r="CH79" s="39"/>
      <c r="CI79" s="503">
        <f>CC79+1</f>
        <v>45.815160145877634</v>
      </c>
      <c r="CJ79" s="501">
        <f t="shared" ref="CJ79:CL79" si="119">CD79+1</f>
        <v>44.050826848249024</v>
      </c>
      <c r="CK79" s="501">
        <f t="shared" si="119"/>
        <v>44.639427625354784</v>
      </c>
      <c r="CL79" s="501">
        <f t="shared" si="119"/>
        <v>47.214339178785281</v>
      </c>
      <c r="CM79" s="502">
        <f>(365)/('P&amp;L'!CM10/BS!CM29)</f>
        <v>53.373836287178683</v>
      </c>
      <c r="CN79" s="39"/>
      <c r="CO79" s="503">
        <f t="shared" ref="CO79" si="120">CI79+1</f>
        <v>46.815160145877634</v>
      </c>
      <c r="CP79" s="501">
        <f t="shared" ref="CP79" si="121">CJ79+1</f>
        <v>45.050826848249024</v>
      </c>
      <c r="CQ79" s="501">
        <f t="shared" ref="CQ79" si="122">CK79+1</f>
        <v>45.639427625354784</v>
      </c>
      <c r="CR79" s="501">
        <f t="shared" ref="CR79" si="123">CL79+1</f>
        <v>48.214339178785281</v>
      </c>
      <c r="CS79" s="502">
        <f>(365)/('P&amp;L'!CS10/BS!CS29)</f>
        <v>54.407179799513173</v>
      </c>
      <c r="CT79" s="39"/>
      <c r="CU79" s="503">
        <f t="shared" ref="CU79" si="124">CO79+1</f>
        <v>47.815160145877634</v>
      </c>
      <c r="CV79" s="501">
        <f t="shared" ref="CV79" si="125">CP79+1</f>
        <v>46.050826848249024</v>
      </c>
      <c r="CW79" s="501">
        <f t="shared" ref="CW79" si="126">CQ79+1</f>
        <v>46.639427625354784</v>
      </c>
      <c r="CX79" s="501">
        <f t="shared" ref="CX79" si="127">CR79+1</f>
        <v>49.214339178785281</v>
      </c>
      <c r="CY79" s="502">
        <f>(365)/('P&amp;L'!CY10/BS!CY29)</f>
        <v>55.281554035041346</v>
      </c>
      <c r="CZ79" s="504"/>
      <c r="DA79" s="504"/>
      <c r="DB79" s="504"/>
    </row>
    <row r="80" spans="1:106" ht="11.25" customHeight="1" x14ac:dyDescent="0.2">
      <c r="A80" s="505" t="s">
        <v>345</v>
      </c>
      <c r="B80" s="240"/>
      <c r="C80" s="506"/>
      <c r="D80" s="507"/>
      <c r="E80" s="507"/>
      <c r="F80" s="507"/>
      <c r="G80" s="508">
        <f>G77+G78-G79</f>
        <v>179.59266861373047</v>
      </c>
      <c r="H80" s="240"/>
      <c r="I80" s="506">
        <f>I77+I78-I79</f>
        <v>178.39287267130362</v>
      </c>
      <c r="J80" s="507">
        <f>J77+J78-J79</f>
        <v>149.25150935598987</v>
      </c>
      <c r="K80" s="507">
        <f>K77+K78-K79</f>
        <v>168.03585434575876</v>
      </c>
      <c r="L80" s="507">
        <f>L77+L78-L79</f>
        <v>172.89758923559441</v>
      </c>
      <c r="M80" s="508">
        <f>M77+M78-M79</f>
        <v>170.36576221019266</v>
      </c>
      <c r="N80" s="240"/>
      <c r="O80" s="506">
        <f>O77+O78-O79</f>
        <v>164.51128940138545</v>
      </c>
      <c r="P80" s="507">
        <f>P77+P78-P79</f>
        <v>161.34737569720801</v>
      </c>
      <c r="Q80" s="507">
        <f>Q77+Q78-Q79</f>
        <v>125.84396077753382</v>
      </c>
      <c r="R80" s="507">
        <f>R77+R78-R79</f>
        <v>156.46955086583594</v>
      </c>
      <c r="S80" s="508">
        <f>S77+S78-S79</f>
        <v>168.70283491303377</v>
      </c>
      <c r="T80" s="240"/>
      <c r="U80" s="506">
        <f>U77+U78-U79</f>
        <v>166.55388589179177</v>
      </c>
      <c r="V80" s="507">
        <f>V77+V78-V79</f>
        <v>164.96624887224954</v>
      </c>
      <c r="W80" s="507">
        <f>W77+W78-W79</f>
        <v>159.35490007253159</v>
      </c>
      <c r="X80" s="507">
        <f>X77+X78-X79</f>
        <v>134.58134259421556</v>
      </c>
      <c r="Y80" s="508">
        <f>Y77+Y78-Y79</f>
        <v>169.24516269351221</v>
      </c>
      <c r="Z80" s="240"/>
      <c r="AA80" s="506">
        <f>AA77+AA78-AA79</f>
        <v>169.09710393402062</v>
      </c>
      <c r="AB80" s="507">
        <f>AB77+AB78-AB79</f>
        <v>170.71528896694088</v>
      </c>
      <c r="AC80" s="507">
        <f>AC77+AC78-AC79</f>
        <v>162.71719490300023</v>
      </c>
      <c r="AD80" s="507">
        <f>AD77+AD78-AD79</f>
        <v>144.44662663056801</v>
      </c>
      <c r="AE80" s="508">
        <f>AE77+AE78-AE79</f>
        <v>154.77702167493754</v>
      </c>
      <c r="AF80" s="240"/>
      <c r="AG80" s="506">
        <f>AG77+AG78-AG79</f>
        <v>172.28355981546233</v>
      </c>
      <c r="AH80" s="507">
        <f>AH77+AH78-AH79</f>
        <v>174.49315960240347</v>
      </c>
      <c r="AI80" s="507">
        <f>AI77+AI78-AI79</f>
        <v>182.1671239952378</v>
      </c>
      <c r="AJ80" s="507">
        <f>AJ77+AJ78-AJ79</f>
        <v>157.57852597709561</v>
      </c>
      <c r="AK80" s="508">
        <f>AK77+AK78-AK79</f>
        <v>183.15115972408694</v>
      </c>
      <c r="AL80" s="240"/>
      <c r="AM80" s="506">
        <f>AM77+AM78-AM79</f>
        <v>162.24308250694207</v>
      </c>
      <c r="AN80" s="507">
        <f>AN77+AN78-AN79</f>
        <v>150.46109858936961</v>
      </c>
      <c r="AO80" s="507">
        <f>AO77+AO78-AO79</f>
        <v>149.1130496174826</v>
      </c>
      <c r="AP80" s="507">
        <f>AP77+AP78-AP79</f>
        <v>152.21760514430818</v>
      </c>
      <c r="AQ80" s="508">
        <f>AQ77+AQ78-AQ79</f>
        <v>159.72245782466109</v>
      </c>
      <c r="AR80" s="240"/>
      <c r="AS80" s="506">
        <f>AS77+AS78-AS79</f>
        <v>170.35773741092564</v>
      </c>
      <c r="AT80" s="507">
        <f>AT77+AT78-AT79</f>
        <v>174.50586021733281</v>
      </c>
      <c r="AU80" s="507">
        <f>AU77+AU78-AU79</f>
        <v>178.31451279509321</v>
      </c>
      <c r="AV80" s="507">
        <f>AV77+AV78-AV79</f>
        <v>125.75703269413951</v>
      </c>
      <c r="AW80" s="508">
        <f>AW77+AW78-AW79</f>
        <v>150.35502341765732</v>
      </c>
      <c r="AX80" s="240"/>
      <c r="AY80" s="506">
        <f>AY77+AY78-AY79</f>
        <v>168.5554272132259</v>
      </c>
      <c r="AZ80" s="507">
        <f>AZ77+AZ78-AZ79</f>
        <v>146.3046778713661</v>
      </c>
      <c r="BA80" s="507">
        <f>BA77+BA78-BA79</f>
        <v>158.95543787755608</v>
      </c>
      <c r="BB80" s="507">
        <f>BB77+BB78-BB79</f>
        <v>145.01918001868648</v>
      </c>
      <c r="BC80" s="508">
        <f>BC77+BC78-BC79</f>
        <v>158.68899168964538</v>
      </c>
      <c r="BD80" s="240"/>
      <c r="BE80" s="506">
        <f>BE77+BE78-BE79</f>
        <v>170.67282413313728</v>
      </c>
      <c r="BF80" s="507">
        <f>BF77+BF78-BF79</f>
        <v>159.01517033899972</v>
      </c>
      <c r="BG80" s="507">
        <f>BG77+BG78-BG79</f>
        <v>169.61532434330152</v>
      </c>
      <c r="BH80" s="507">
        <f>BH77+BH78-BH79</f>
        <v>137.10614747025761</v>
      </c>
      <c r="BI80" s="508">
        <f>BI77+BI78-BI79</f>
        <v>149.39177936246691</v>
      </c>
      <c r="BJ80" s="240"/>
      <c r="BK80" s="506">
        <f>BK77+BK78-BK79</f>
        <v>166.77703907264817</v>
      </c>
      <c r="BL80" s="507">
        <f>BL77+BL78-BL79</f>
        <v>156.95922418152227</v>
      </c>
      <c r="BM80" s="507">
        <f>BM77+BM78-BM79</f>
        <v>157.65814141695725</v>
      </c>
      <c r="BN80" s="507">
        <f>BN77+BN78-BN79</f>
        <v>134.48096580666802</v>
      </c>
      <c r="BO80" s="508">
        <f>BO77+BO78-BO79</f>
        <v>152.26801490537656</v>
      </c>
      <c r="BP80" s="240"/>
      <c r="BQ80" s="506">
        <f>BQ77+BQ78-BQ79</f>
        <v>173.74139589526425</v>
      </c>
      <c r="BR80" s="507">
        <f>BR77+BR78-BR79</f>
        <v>163.8924474785087</v>
      </c>
      <c r="BS80" s="507">
        <f>BS77+BS78-BS79</f>
        <v>162.11371874298024</v>
      </c>
      <c r="BT80" s="507">
        <f>BT77+BT78-BT79</f>
        <v>146.79085740971863</v>
      </c>
      <c r="BU80" s="508">
        <f>BU77+BU78-BU79</f>
        <v>161.37886241248881</v>
      </c>
      <c r="BV80" s="240"/>
      <c r="BW80" s="506">
        <f>BW77+BW78-BW79</f>
        <v>188.67680104750289</v>
      </c>
      <c r="BX80" s="507">
        <f>BX77+BX78-BX79</f>
        <v>155.7476253324937</v>
      </c>
      <c r="BY80" s="507">
        <f>BY77+BY78-BY79</f>
        <v>167.46948086939935</v>
      </c>
      <c r="BZ80" s="507">
        <f>BZ77+BZ78-BZ79</f>
        <v>142.9367775654143</v>
      </c>
      <c r="CA80" s="508">
        <f>CA77+CA78-CA79</f>
        <v>154.96965570017812</v>
      </c>
      <c r="CB80" s="240"/>
      <c r="CC80" s="506">
        <f>CC77+CC78-CC79</f>
        <v>174.24291930257999</v>
      </c>
      <c r="CD80" s="507">
        <f>CD77+CD78-CD79</f>
        <v>167.78891842838772</v>
      </c>
      <c r="CE80" s="507">
        <f>CE77+CE78-CE79</f>
        <v>170.03321028943523</v>
      </c>
      <c r="CF80" s="507">
        <f>CF77+CF78-CF79</f>
        <v>151.12989174457539</v>
      </c>
      <c r="CG80" s="508">
        <f>CG77+CG78-CG79</f>
        <v>169.46806853584027</v>
      </c>
      <c r="CH80" s="240"/>
      <c r="CI80" s="506">
        <f>CI77+CI78-CI79</f>
        <v>166.24291930257999</v>
      </c>
      <c r="CJ80" s="507">
        <f>CJ77+CJ78-CJ79</f>
        <v>159.78891842838772</v>
      </c>
      <c r="CK80" s="507">
        <f>CK77+CK78-CK79</f>
        <v>167.03321028943523</v>
      </c>
      <c r="CL80" s="507">
        <f>CL77+CL78-CL79</f>
        <v>155.12989174457539</v>
      </c>
      <c r="CM80" s="508">
        <f>CM77+CM78-CM79</f>
        <v>172.79086791124462</v>
      </c>
      <c r="CN80" s="240"/>
      <c r="CO80" s="506">
        <f>CO77+CO78-CO79</f>
        <v>158.24291930257999</v>
      </c>
      <c r="CP80" s="507">
        <f>CP77+CP78-CP79</f>
        <v>151.78891842838772</v>
      </c>
      <c r="CQ80" s="507">
        <f>CQ77+CQ78-CQ79</f>
        <v>164.03321028943523</v>
      </c>
      <c r="CR80" s="507">
        <f>CR77+CR78-CR79</f>
        <v>154.12989174457539</v>
      </c>
      <c r="CS80" s="508">
        <f>CS77+CS78-CS79</f>
        <v>172.01302101247393</v>
      </c>
      <c r="CT80" s="240"/>
      <c r="CU80" s="506">
        <f>CU77+CU78-CU79</f>
        <v>150.24291930257999</v>
      </c>
      <c r="CV80" s="507">
        <f>CV77+CV78-CV79</f>
        <v>143.78891842838772</v>
      </c>
      <c r="CW80" s="507">
        <f>CW77+CW78-CW79</f>
        <v>161.03321028943523</v>
      </c>
      <c r="CX80" s="507">
        <f>CX77+CX78-CX79</f>
        <v>153.12989174457539</v>
      </c>
      <c r="CY80" s="508">
        <f>CY77+CY78-CY79</f>
        <v>170.26226187214175</v>
      </c>
      <c r="CZ80" s="141"/>
      <c r="DA80" s="141"/>
      <c r="DB80" s="141"/>
    </row>
    <row r="81" spans="1:106" ht="11.25" customHeight="1" x14ac:dyDescent="0.2">
      <c r="A81" s="509"/>
      <c r="B81" s="39"/>
      <c r="C81" s="20"/>
      <c r="D81" s="20"/>
      <c r="E81" s="20"/>
      <c r="F81" s="20"/>
      <c r="G81" s="20"/>
      <c r="H81" s="39"/>
      <c r="I81" s="20"/>
      <c r="J81" s="20"/>
      <c r="K81" s="20"/>
      <c r="L81" s="20"/>
      <c r="M81" s="20"/>
      <c r="N81" s="39"/>
      <c r="O81" s="20"/>
      <c r="P81" s="20"/>
      <c r="Q81" s="20"/>
      <c r="R81" s="20"/>
      <c r="S81" s="20"/>
      <c r="T81" s="39"/>
      <c r="U81" s="20"/>
      <c r="V81" s="20"/>
      <c r="W81" s="20"/>
      <c r="X81" s="20"/>
      <c r="Y81" s="20"/>
      <c r="Z81" s="39"/>
      <c r="AA81" s="20"/>
      <c r="AB81" s="20"/>
      <c r="AC81" s="20"/>
      <c r="AD81" s="20"/>
      <c r="AE81" s="20"/>
      <c r="AF81" s="39"/>
      <c r="AG81" s="20"/>
      <c r="AH81" s="20"/>
      <c r="AI81" s="20"/>
      <c r="AJ81" s="20"/>
      <c r="AK81" s="20"/>
      <c r="AL81" s="39"/>
      <c r="AM81" s="20"/>
      <c r="AN81" s="20"/>
      <c r="AO81" s="20"/>
      <c r="AP81" s="20"/>
      <c r="AQ81" s="20"/>
      <c r="AR81" s="39"/>
      <c r="AS81" s="20"/>
      <c r="AT81" s="20"/>
      <c r="AU81" s="20"/>
      <c r="AV81" s="20"/>
      <c r="AW81" s="20"/>
      <c r="AX81" s="39"/>
      <c r="AY81" s="20"/>
      <c r="AZ81" s="20"/>
      <c r="BA81" s="20"/>
      <c r="BB81" s="20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</row>
    <row r="82" spans="1:106" ht="11.25" customHeight="1" collapsed="1" x14ac:dyDescent="0.2">
      <c r="A82" s="63" t="s">
        <v>510</v>
      </c>
      <c r="B82" s="16"/>
      <c r="C82" s="133"/>
      <c r="D82" s="133"/>
      <c r="E82" s="133"/>
      <c r="F82" s="133"/>
      <c r="G82" s="133"/>
      <c r="H82" s="25"/>
      <c r="I82" s="133"/>
      <c r="J82" s="133"/>
      <c r="K82" s="133"/>
      <c r="L82" s="133"/>
      <c r="M82" s="133"/>
      <c r="N82" s="25"/>
      <c r="O82" s="133"/>
      <c r="P82" s="133"/>
      <c r="Q82" s="133"/>
      <c r="R82" s="133"/>
      <c r="S82" s="133"/>
      <c r="T82" s="25"/>
      <c r="U82" s="133"/>
      <c r="V82" s="133"/>
      <c r="W82" s="133"/>
      <c r="X82" s="133"/>
      <c r="Y82" s="133"/>
      <c r="Z82" s="25"/>
      <c r="AA82" s="133"/>
      <c r="AB82" s="133"/>
      <c r="AC82" s="133"/>
      <c r="AD82" s="133"/>
      <c r="AE82" s="133"/>
      <c r="AF82" s="25"/>
      <c r="AG82" s="133"/>
      <c r="AH82" s="133"/>
      <c r="AI82" s="133"/>
      <c r="AJ82" s="133"/>
      <c r="AK82" s="133"/>
      <c r="AL82" s="25"/>
      <c r="AM82" s="133"/>
      <c r="AN82" s="133"/>
      <c r="AO82" s="133"/>
      <c r="AP82" s="133"/>
      <c r="AQ82" s="133"/>
      <c r="AR82" s="25"/>
      <c r="AS82" s="133"/>
      <c r="AT82" s="133"/>
      <c r="AU82" s="133"/>
      <c r="AV82" s="133"/>
      <c r="AW82" s="133"/>
      <c r="AX82" s="25"/>
      <c r="AY82" s="133"/>
      <c r="AZ82" s="133"/>
      <c r="BA82" s="133"/>
      <c r="BB82" s="133"/>
      <c r="BC82" s="133"/>
      <c r="BD82" s="25"/>
      <c r="BE82" s="25"/>
      <c r="BF82" s="25"/>
      <c r="BG82" s="25"/>
      <c r="BH82" s="133"/>
      <c r="BI82" s="133"/>
      <c r="BJ82" s="25"/>
      <c r="BK82" s="25"/>
      <c r="BL82" s="25"/>
      <c r="BM82" s="25"/>
      <c r="BN82" s="133"/>
      <c r="BO82" s="133"/>
      <c r="BP82" s="25"/>
      <c r="BQ82" s="25"/>
      <c r="BR82" s="25"/>
      <c r="BS82" s="25"/>
      <c r="BT82" s="133"/>
      <c r="BU82" s="133"/>
      <c r="BV82" s="25"/>
      <c r="BW82" s="25"/>
      <c r="BX82" s="25"/>
      <c r="BY82" s="25"/>
      <c r="BZ82" s="25"/>
      <c r="CA82" s="47"/>
      <c r="CB82" s="25"/>
      <c r="CC82" s="25"/>
      <c r="CD82" s="25"/>
      <c r="CE82" s="25"/>
      <c r="CF82" s="25"/>
      <c r="CG82" s="47"/>
      <c r="CH82" s="25"/>
      <c r="CI82" s="25"/>
      <c r="CJ82" s="25"/>
      <c r="CK82" s="25"/>
      <c r="CL82" s="25"/>
      <c r="CM82" s="47"/>
      <c r="CN82" s="25"/>
      <c r="CO82" s="25"/>
      <c r="CP82" s="25"/>
      <c r="CQ82" s="25"/>
      <c r="CR82" s="25"/>
      <c r="CS82" s="47"/>
      <c r="CT82" s="25"/>
      <c r="CU82" s="25"/>
      <c r="CV82" s="25"/>
      <c r="CW82" s="25"/>
      <c r="CX82" s="25"/>
      <c r="CY82" s="47"/>
      <c r="CZ82" s="39"/>
      <c r="DA82" s="39"/>
      <c r="DB82" s="39"/>
    </row>
    <row r="83" spans="1:106" ht="11.25" customHeight="1" x14ac:dyDescent="0.2">
      <c r="A83" s="1218" t="s">
        <v>208</v>
      </c>
      <c r="B83" s="1219"/>
      <c r="C83" s="1220"/>
      <c r="D83" s="1221"/>
      <c r="E83" s="1221"/>
      <c r="F83" s="1221"/>
      <c r="G83" s="1222"/>
      <c r="H83" s="1219"/>
      <c r="I83" s="1220">
        <f>CFS!I53</f>
        <v>13.939000000000002</v>
      </c>
      <c r="J83" s="1221">
        <f>CFS!J53</f>
        <v>-53.318999999999996</v>
      </c>
      <c r="K83" s="1221">
        <f>CFS!K53</f>
        <v>14.197000000000001</v>
      </c>
      <c r="L83" s="1221">
        <f>CFS!L53</f>
        <v>20.508000000000006</v>
      </c>
      <c r="M83" s="1222">
        <f>CFS!M53</f>
        <v>-4.6749999999999954</v>
      </c>
      <c r="N83" s="1219"/>
      <c r="O83" s="1220">
        <f>CFS!O53</f>
        <v>6.0379999999999967</v>
      </c>
      <c r="P83" s="1221">
        <f>CFS!P53</f>
        <v>275.71899999999999</v>
      </c>
      <c r="Q83" s="1221">
        <f>CFS!Q53</f>
        <v>18.527000000000008</v>
      </c>
      <c r="R83" s="1221">
        <f>CFS!R53</f>
        <v>-61.62700000000001</v>
      </c>
      <c r="S83" s="1222">
        <f>CFS!S53</f>
        <v>238.65699999999998</v>
      </c>
      <c r="T83" s="1219"/>
      <c r="U83" s="1220">
        <f>CFS!U53</f>
        <v>-44.287000000000006</v>
      </c>
      <c r="V83" s="1221">
        <f>CFS!V53</f>
        <v>-5.6989999999999945</v>
      </c>
      <c r="W83" s="1221">
        <f>CFS!W53</f>
        <v>-71.685999999999908</v>
      </c>
      <c r="X83" s="1221">
        <f>CFS!X53</f>
        <v>38.635000000000019</v>
      </c>
      <c r="Y83" s="1222">
        <f>CFS!Y53</f>
        <v>-83.037000000000035</v>
      </c>
      <c r="Z83" s="1219"/>
      <c r="AA83" s="1220">
        <f>CFS!AA53</f>
        <v>4.2409999999999961</v>
      </c>
      <c r="AB83" s="1221">
        <f>CFS!AB53</f>
        <v>29.105999999999995</v>
      </c>
      <c r="AC83" s="1221">
        <f>CFS!AC53</f>
        <v>-54.63300000000001</v>
      </c>
      <c r="AD83" s="1221">
        <f>CFS!AD53</f>
        <v>7.2789999999999875</v>
      </c>
      <c r="AE83" s="1222">
        <f>CFS!AE53</f>
        <v>-14.007000000000014</v>
      </c>
      <c r="AF83" s="1219"/>
      <c r="AG83" s="1220">
        <f>CFS!AG53</f>
        <v>3.7230000000000043</v>
      </c>
      <c r="AH83" s="1221">
        <f>CFS!AH53</f>
        <v>53.275000000000013</v>
      </c>
      <c r="AI83" s="1221">
        <f>CFS!AI53</f>
        <v>470.96199999999999</v>
      </c>
      <c r="AJ83" s="1221">
        <f>CFS!AJ53</f>
        <v>-35.716000000000058</v>
      </c>
      <c r="AK83" s="1222">
        <f>CFS!AK53</f>
        <v>492.24399999999997</v>
      </c>
      <c r="AL83" s="1219"/>
      <c r="AM83" s="1220">
        <f>CFS!AM53</f>
        <v>-30.786999999999978</v>
      </c>
      <c r="AN83" s="1221">
        <f>CFS!AN53</f>
        <v>49.439</v>
      </c>
      <c r="AO83" s="1221">
        <f>CFS!AO53</f>
        <v>-36.457000000000001</v>
      </c>
      <c r="AP83" s="1221">
        <f>CFS!AP53</f>
        <v>20.65499999999999</v>
      </c>
      <c r="AQ83" s="1222">
        <f>CFS!AQ53</f>
        <v>2.8499999999999872</v>
      </c>
      <c r="AR83" s="1219"/>
      <c r="AS83" s="1220">
        <f>CFS!AS53</f>
        <v>-51.825999999999993</v>
      </c>
      <c r="AT83" s="1221">
        <f>CFS!AT53</f>
        <v>11.283999999999985</v>
      </c>
      <c r="AU83" s="1221">
        <f>CFS!AU53</f>
        <v>-394.0150000000001</v>
      </c>
      <c r="AV83" s="1221">
        <f>CFS!AV53</f>
        <v>-172.71700000000004</v>
      </c>
      <c r="AW83" s="1222">
        <f>CFS!AW53</f>
        <v>-607.274</v>
      </c>
      <c r="AX83" s="1219"/>
      <c r="AY83" s="1220">
        <f>CFS!AY53</f>
        <v>-1.2780000000000054</v>
      </c>
      <c r="AZ83" s="1221">
        <f>CFS!AZ53</f>
        <v>-5.8470000000000013</v>
      </c>
      <c r="BA83" s="1221">
        <f>CFS!BA53</f>
        <v>44.220999999999975</v>
      </c>
      <c r="BB83" s="1221">
        <f>CFS!BB53</f>
        <v>135.80799999999999</v>
      </c>
      <c r="BC83" s="1222">
        <f>CFS!BC53</f>
        <v>172.90399999999988</v>
      </c>
      <c r="BD83" s="1219"/>
      <c r="BE83" s="1220">
        <f>CFS!BE53</f>
        <v>-21.279999999999998</v>
      </c>
      <c r="BF83" s="1221">
        <f>CFS!BF53</f>
        <v>-72.938000000000017</v>
      </c>
      <c r="BG83" s="1221">
        <f>CFS!BG53</f>
        <v>-19.830999999999992</v>
      </c>
      <c r="BH83" s="1221">
        <f>CFS!BH53</f>
        <v>50.314999999999976</v>
      </c>
      <c r="BI83" s="1222">
        <f>CFS!BI53</f>
        <v>-63.733999999999995</v>
      </c>
      <c r="BJ83" s="1219"/>
      <c r="BK83" s="1220">
        <f>CFS!BK53</f>
        <v>233.96900000000008</v>
      </c>
      <c r="BL83" s="1221">
        <f>CFS!BL53</f>
        <v>-145.33800000000011</v>
      </c>
      <c r="BM83" s="1221">
        <f>CFS!BM53</f>
        <v>65.275999999999954</v>
      </c>
      <c r="BN83" s="1221">
        <f>CFS!BN53</f>
        <v>-91.542999999999935</v>
      </c>
      <c r="BO83" s="1222">
        <f>CFS!BO53</f>
        <v>62.363999999999933</v>
      </c>
      <c r="BP83" s="1219"/>
      <c r="BQ83" s="1220">
        <f>CFS!BQ53</f>
        <v>-104.85599999999997</v>
      </c>
      <c r="BR83" s="1221">
        <f>CFS!BR53</f>
        <v>-53.481000000000009</v>
      </c>
      <c r="BS83" s="1221">
        <f>CFS!BS53</f>
        <v>96.620999999999981</v>
      </c>
      <c r="BT83" s="1221">
        <f>CFS!BT53</f>
        <v>-40.939999999999962</v>
      </c>
      <c r="BU83" s="1222">
        <f>CFS!BU53</f>
        <v>-102.65599999999998</v>
      </c>
      <c r="BV83" s="1219"/>
      <c r="BW83" s="1220">
        <f>CFS!BW53</f>
        <v>65.774000000000001</v>
      </c>
      <c r="BX83" s="1221">
        <f>CFS!BX53</f>
        <v>-27.627999999999997</v>
      </c>
      <c r="BY83" s="1221">
        <f>CFS!BY53</f>
        <v>26.488999999999926</v>
      </c>
      <c r="BZ83" s="1221">
        <f>CFS!BZ53</f>
        <v>84.534000000000049</v>
      </c>
      <c r="CA83" s="1222">
        <f>CFS!CA53</f>
        <v>149.16900000000004</v>
      </c>
      <c r="CB83" s="1219"/>
      <c r="CC83" s="1220">
        <f>CFS!CC53</f>
        <v>-193.73400000000001</v>
      </c>
      <c r="CD83" s="1221">
        <f>CFS!CD53</f>
        <v>297.39499999999998</v>
      </c>
      <c r="CE83" s="1221">
        <f>CFS!CE53</f>
        <v>128.91</v>
      </c>
      <c r="CF83" s="1221">
        <f>CFS!CF53</f>
        <v>-14.036999999999821</v>
      </c>
      <c r="CG83" s="1222">
        <f>CFS!CG53</f>
        <v>218.53400000000016</v>
      </c>
      <c r="CH83" s="1219"/>
      <c r="CI83" s="1220">
        <f>CFS!CI53</f>
        <v>-4.6054845325757157</v>
      </c>
      <c r="CJ83" s="1221">
        <f>CFS!CJ53</f>
        <v>-20.67080724233654</v>
      </c>
      <c r="CK83" s="1221">
        <f>CFS!CK53</f>
        <v>-54.031869923958261</v>
      </c>
      <c r="CL83" s="1221">
        <f>CFS!CL53</f>
        <v>37.00960281233472</v>
      </c>
      <c r="CM83" s="1222">
        <f>CFS!CM53</f>
        <v>-42.29855888653583</v>
      </c>
      <c r="CN83" s="1219"/>
      <c r="CO83" s="1220">
        <f>CFS!CO53</f>
        <v>52.676432914620264</v>
      </c>
      <c r="CP83" s="1221">
        <f>CFS!CP53</f>
        <v>4.9091689188802263</v>
      </c>
      <c r="CQ83" s="1221">
        <f>CFS!CQ53</f>
        <v>-51.904826250999335</v>
      </c>
      <c r="CR83" s="1221">
        <f>CFS!CR53</f>
        <v>44.621348443242383</v>
      </c>
      <c r="CS83" s="1222">
        <f>CFS!CS53</f>
        <v>50.302124025743524</v>
      </c>
      <c r="CT83" s="1219"/>
      <c r="CU83" s="1220">
        <f>CFS!CU53</f>
        <v>87.629961999901269</v>
      </c>
      <c r="CV83" s="1221">
        <f>CFS!CV53</f>
        <v>35.253791729316205</v>
      </c>
      <c r="CW83" s="1221">
        <f>CFS!CW53</f>
        <v>-38.398708621167614</v>
      </c>
      <c r="CX83" s="1221">
        <f>CFS!CX53</f>
        <v>74.037217995982445</v>
      </c>
      <c r="CY83" s="1222">
        <f>CFS!CY53</f>
        <v>158.52226310403228</v>
      </c>
      <c r="CZ83" s="504"/>
      <c r="DA83" s="504"/>
      <c r="DB83" s="504"/>
    </row>
    <row r="84" spans="1:106" ht="11.25" customHeight="1" x14ac:dyDescent="0.2">
      <c r="A84" s="1218" t="s">
        <v>511</v>
      </c>
      <c r="B84" s="1219"/>
      <c r="C84" s="1220"/>
      <c r="D84" s="1221"/>
      <c r="E84" s="1221"/>
      <c r="F84" s="1221"/>
      <c r="G84" s="1222"/>
      <c r="H84" s="1219"/>
      <c r="I84" s="1220">
        <f>CFS!I29</f>
        <v>20.716999999999999</v>
      </c>
      <c r="J84" s="1221">
        <f>CFS!J29</f>
        <v>24.917999999999999</v>
      </c>
      <c r="K84" s="1221">
        <f>CFS!K29</f>
        <v>19.234000000000002</v>
      </c>
      <c r="L84" s="1221">
        <f>CFS!L29</f>
        <v>26.367999999999995</v>
      </c>
      <c r="M84" s="1222">
        <f>CFS!M29</f>
        <v>91.237000000000009</v>
      </c>
      <c r="N84" s="1219"/>
      <c r="O84" s="1220">
        <f>CFS!O29</f>
        <v>22.327999999999999</v>
      </c>
      <c r="P84" s="1221">
        <f>CFS!P29</f>
        <v>23.548000000000002</v>
      </c>
      <c r="Q84" s="1221">
        <f>CFS!Q29</f>
        <v>23.650999999999996</v>
      </c>
      <c r="R84" s="1221">
        <f>CFS!R29</f>
        <v>31.952000000000012</v>
      </c>
      <c r="S84" s="1222">
        <f>CFS!S29</f>
        <v>101.479</v>
      </c>
      <c r="T84" s="1219"/>
      <c r="U84" s="1220">
        <f>CFS!U29</f>
        <v>21.18</v>
      </c>
      <c r="V84" s="1221">
        <f>CFS!V29</f>
        <v>13.935000000000006</v>
      </c>
      <c r="W84" s="1221">
        <f>CFS!W29</f>
        <v>27.581</v>
      </c>
      <c r="X84" s="1221">
        <f>CFS!X29</f>
        <v>22.114999999999977</v>
      </c>
      <c r="Y84" s="1222">
        <f>CFS!Y29</f>
        <v>84.810999999999979</v>
      </c>
      <c r="Z84" s="1219"/>
      <c r="AA84" s="1220">
        <f>CFS!AA29</f>
        <v>5.6779999999999973</v>
      </c>
      <c r="AB84" s="1221">
        <f>CFS!AB29</f>
        <v>47.319999999999993</v>
      </c>
      <c r="AC84" s="1221">
        <f>CFS!AC29</f>
        <v>31.475999999999992</v>
      </c>
      <c r="AD84" s="1221">
        <f>CFS!AD29</f>
        <v>88.524000000000001</v>
      </c>
      <c r="AE84" s="1222">
        <f>CFS!AE29</f>
        <v>172.99799999999999</v>
      </c>
      <c r="AF84" s="1219"/>
      <c r="AG84" s="1220">
        <f>CFS!AG29</f>
        <v>13.774000000000004</v>
      </c>
      <c r="AH84" s="1221">
        <f>CFS!AH29</f>
        <v>73.673000000000016</v>
      </c>
      <c r="AI84" s="1221">
        <f>CFS!AI29</f>
        <v>76.884</v>
      </c>
      <c r="AJ84" s="1221">
        <f>CFS!AJ29</f>
        <v>52.664000000000009</v>
      </c>
      <c r="AK84" s="1222">
        <f>CFS!AK29</f>
        <v>216.995</v>
      </c>
      <c r="AL84" s="1219"/>
      <c r="AM84" s="1220">
        <f>CFS!AM29</f>
        <v>29.554000000000013</v>
      </c>
      <c r="AN84" s="1221">
        <f>CFS!AN29</f>
        <v>46.926000000000002</v>
      </c>
      <c r="AO84" s="1221">
        <f>CFS!AO29</f>
        <v>88.449000000000012</v>
      </c>
      <c r="AP84" s="1221">
        <f>CFS!AP29</f>
        <v>85.822999999999979</v>
      </c>
      <c r="AQ84" s="1222">
        <f>CFS!AQ29</f>
        <v>250.75200000000001</v>
      </c>
      <c r="AR84" s="1219"/>
      <c r="AS84" s="1220">
        <f>CFS!AS29</f>
        <v>50.043000000000006</v>
      </c>
      <c r="AT84" s="1221">
        <f>CFS!AT29</f>
        <v>56.016999999999996</v>
      </c>
      <c r="AU84" s="1221">
        <f>CFS!AU29</f>
        <v>59.039999999999992</v>
      </c>
      <c r="AV84" s="1221">
        <f>CFS!AV29</f>
        <v>79.679000000000002</v>
      </c>
      <c r="AW84" s="1222">
        <f>CFS!AW29</f>
        <v>244.779</v>
      </c>
      <c r="AX84" s="1219"/>
      <c r="AY84" s="1220">
        <f>CFS!AY29</f>
        <v>11.122999999999998</v>
      </c>
      <c r="AZ84" s="1221">
        <f>CFS!AZ29</f>
        <v>88.915999999999997</v>
      </c>
      <c r="BA84" s="1221">
        <f>CFS!BA29</f>
        <v>74.926999999999992</v>
      </c>
      <c r="BB84" s="1221">
        <f>CFS!BB29</f>
        <v>69.914000000000016</v>
      </c>
      <c r="BC84" s="1222">
        <f>CFS!BC29</f>
        <v>244.87999999999997</v>
      </c>
      <c r="BD84" s="1219"/>
      <c r="BE84" s="1220">
        <f>CFS!BE29</f>
        <v>45.875</v>
      </c>
      <c r="BF84" s="1221">
        <f>CFS!BF29</f>
        <v>47.956999999999987</v>
      </c>
      <c r="BG84" s="1221">
        <f>CFS!BG29</f>
        <v>82.938000000000002</v>
      </c>
      <c r="BH84" s="1221">
        <f>CFS!BH29</f>
        <v>82.186999999999983</v>
      </c>
      <c r="BI84" s="1222">
        <f>CFS!BI29</f>
        <v>258.95699999999999</v>
      </c>
      <c r="BJ84" s="1219"/>
      <c r="BK84" s="1220">
        <f>CFS!BK29</f>
        <v>45.610000000000007</v>
      </c>
      <c r="BL84" s="1221">
        <f>CFS!BL29</f>
        <v>73.603999999999999</v>
      </c>
      <c r="BM84" s="1221">
        <f>CFS!BM29</f>
        <v>89.733999999999995</v>
      </c>
      <c r="BN84" s="1221">
        <f>CFS!BN29</f>
        <v>79.017000000000053</v>
      </c>
      <c r="BO84" s="1222">
        <f>CFS!BO29</f>
        <v>287.96500000000003</v>
      </c>
      <c r="BP84" s="1219"/>
      <c r="BQ84" s="1220">
        <f>CFS!BQ29</f>
        <v>62.843000000000004</v>
      </c>
      <c r="BR84" s="1221">
        <f>CFS!BR29</f>
        <v>71.83</v>
      </c>
      <c r="BS84" s="1221">
        <f>CFS!BS29</f>
        <v>96.061999999999998</v>
      </c>
      <c r="BT84" s="1221">
        <f>CFS!BT29</f>
        <v>86.762000000000029</v>
      </c>
      <c r="BU84" s="1222">
        <f>CFS!BU29</f>
        <v>317.49700000000001</v>
      </c>
      <c r="BV84" s="1219"/>
      <c r="BW84" s="1220">
        <f>CFS!BW29</f>
        <v>48.691000000000003</v>
      </c>
      <c r="BX84" s="1221">
        <f>CFS!BX29</f>
        <v>99.076999999999984</v>
      </c>
      <c r="BY84" s="1221">
        <f>CFS!BY29</f>
        <v>93.810999999999993</v>
      </c>
      <c r="BZ84" s="1221">
        <f>CFS!BZ29</f>
        <v>100.023</v>
      </c>
      <c r="CA84" s="1222">
        <f>CFS!CA29</f>
        <v>341.60200000000003</v>
      </c>
      <c r="CB84" s="1219"/>
      <c r="CC84" s="1220">
        <f>CFS!CC29</f>
        <v>60.156999999999996</v>
      </c>
      <c r="CD84" s="1221">
        <f>CFS!CD29</f>
        <v>69.358999999999995</v>
      </c>
      <c r="CE84" s="1221">
        <f>CFS!CE29</f>
        <v>81.196999999999989</v>
      </c>
      <c r="CF84" s="1221">
        <f>CFS!CF29</f>
        <v>76.066000000000017</v>
      </c>
      <c r="CG84" s="1222">
        <f>CFS!CG29</f>
        <v>286.779</v>
      </c>
      <c r="CH84" s="1219"/>
      <c r="CI84" s="1220">
        <f>CFS!CI29</f>
        <v>67.637318415670563</v>
      </c>
      <c r="CJ84" s="1221">
        <f>CFS!CJ29</f>
        <v>54.679696735279954</v>
      </c>
      <c r="CK84" s="1221">
        <f>CFS!CK29</f>
        <v>22.161753890577977</v>
      </c>
      <c r="CL84" s="1221">
        <f>CFS!CL29</f>
        <v>114.93098445084021</v>
      </c>
      <c r="CM84" s="1222">
        <f>CFS!CM29</f>
        <v>259.40975349236868</v>
      </c>
      <c r="CN84" s="1219"/>
      <c r="CO84" s="1220">
        <f>CFS!CO29</f>
        <v>127.3718247610731</v>
      </c>
      <c r="CP84" s="1221">
        <f>CFS!CP29</f>
        <v>82.174818430327264</v>
      </c>
      <c r="CQ84" s="1221">
        <f>CFS!CQ29</f>
        <v>25.853272704067827</v>
      </c>
      <c r="CR84" s="1221">
        <f>CFS!CR29</f>
        <v>125.01544238564317</v>
      </c>
      <c r="CS84" s="1222">
        <f>CFS!CS29</f>
        <v>360.41535828111137</v>
      </c>
      <c r="CT84" s="1219"/>
      <c r="CU84" s="1220">
        <f>CFS!CU29</f>
        <v>164.97173957973519</v>
      </c>
      <c r="CV84" s="1221">
        <f>CFS!CV29</f>
        <v>115.26462502513594</v>
      </c>
      <c r="CW84" s="1221">
        <f>CFS!CW29</f>
        <v>42.086697436812756</v>
      </c>
      <c r="CX84" s="1221">
        <f>CFS!CX29</f>
        <v>157.38827082332301</v>
      </c>
      <c r="CY84" s="1222">
        <f>CFS!CY29</f>
        <v>479.71133286500691</v>
      </c>
      <c r="CZ84" s="504"/>
      <c r="DA84" s="504"/>
      <c r="DB84" s="504"/>
    </row>
    <row r="85" spans="1:106" ht="11.25" customHeight="1" x14ac:dyDescent="0.2">
      <c r="A85" s="1218" t="s">
        <v>206</v>
      </c>
      <c r="B85" s="1219"/>
      <c r="C85" s="1220"/>
      <c r="D85" s="1221"/>
      <c r="E85" s="1221"/>
      <c r="F85" s="1221"/>
      <c r="G85" s="1222"/>
      <c r="H85" s="1219"/>
      <c r="I85" s="1220">
        <f>CFS!I61</f>
        <v>17.790999999999997</v>
      </c>
      <c r="J85" s="1221">
        <f>CFS!J61</f>
        <v>22.236999999999998</v>
      </c>
      <c r="K85" s="1221">
        <f>CFS!K61</f>
        <v>16.632000000000001</v>
      </c>
      <c r="L85" s="1221">
        <f>CFS!L61</f>
        <v>20.848999999999997</v>
      </c>
      <c r="M85" s="1222">
        <f>CFS!M61</f>
        <v>77.509000000000015</v>
      </c>
      <c r="N85" s="1219"/>
      <c r="O85" s="1220">
        <f>CFS!O61</f>
        <v>17.765000000000001</v>
      </c>
      <c r="P85" s="1221">
        <f>CFS!P61</f>
        <v>17.707000000000001</v>
      </c>
      <c r="Q85" s="1221">
        <f>CFS!Q61</f>
        <v>15.979999999999997</v>
      </c>
      <c r="R85" s="1221">
        <f>CFS!R61</f>
        <v>21.032000000000011</v>
      </c>
      <c r="S85" s="1222">
        <f>CFS!S61</f>
        <v>72.483999999999995</v>
      </c>
      <c r="T85" s="1219"/>
      <c r="U85" s="1220">
        <f>CFS!U61</f>
        <v>14.340999999999999</v>
      </c>
      <c r="V85" s="1221">
        <f>CFS!V61</f>
        <v>5.8210000000000068</v>
      </c>
      <c r="W85" s="1221">
        <f>CFS!W61</f>
        <v>18.697000000000003</v>
      </c>
      <c r="X85" s="1221">
        <f>CFS!X61</f>
        <v>11.459999999999974</v>
      </c>
      <c r="Y85" s="1222">
        <f>CFS!Y61</f>
        <v>50.318999999999981</v>
      </c>
      <c r="Z85" s="1219"/>
      <c r="AA85" s="1220">
        <f>CFS!AA61</f>
        <v>-3.8660000000000032</v>
      </c>
      <c r="AB85" s="1221">
        <f>CFS!AB61</f>
        <v>41.268999999999991</v>
      </c>
      <c r="AC85" s="1221">
        <f>CFS!AC61</f>
        <v>20.185999999999993</v>
      </c>
      <c r="AD85" s="1221">
        <f>CFS!AD61</f>
        <v>75.960999999999999</v>
      </c>
      <c r="AE85" s="1222">
        <f>CFS!AE61</f>
        <v>133.54999999999998</v>
      </c>
      <c r="AF85" s="1219"/>
      <c r="AG85" s="1220">
        <f>CFS!AG61</f>
        <v>3.8470000000000049</v>
      </c>
      <c r="AH85" s="1221">
        <f>CFS!AH61</f>
        <v>60.78400000000002</v>
      </c>
      <c r="AI85" s="1221">
        <f>CFS!AI61</f>
        <v>62.861000000000004</v>
      </c>
      <c r="AJ85" s="1221">
        <f>CFS!AJ61</f>
        <v>37.324000000000005</v>
      </c>
      <c r="AK85" s="1222">
        <f>CFS!AK61</f>
        <v>164.816</v>
      </c>
      <c r="AL85" s="1219"/>
      <c r="AM85" s="1220">
        <f>CFS!AM61</f>
        <v>12.346000000000014</v>
      </c>
      <c r="AN85" s="1221">
        <f>CFS!AN61</f>
        <v>28.752000000000002</v>
      </c>
      <c r="AO85" s="1221">
        <f>CFS!AO61</f>
        <v>66.50800000000001</v>
      </c>
      <c r="AP85" s="1221">
        <f>CFS!AP61</f>
        <v>63.479999999999983</v>
      </c>
      <c r="AQ85" s="1222">
        <f>CFS!AQ61</f>
        <v>171.08600000000001</v>
      </c>
      <c r="AR85" s="1219"/>
      <c r="AS85" s="1220">
        <f>CFS!AS61</f>
        <v>28.973000000000006</v>
      </c>
      <c r="AT85" s="1221">
        <f>CFS!AT61</f>
        <v>37.767999999999994</v>
      </c>
      <c r="AU85" s="1221">
        <f>CFS!AU61</f>
        <v>41.876999999999995</v>
      </c>
      <c r="AV85" s="1221">
        <f>CFS!AV61</f>
        <v>49.355999999999987</v>
      </c>
      <c r="AW85" s="1222">
        <f>CFS!AW61</f>
        <v>157.97399999999999</v>
      </c>
      <c r="AX85" s="1219"/>
      <c r="AY85" s="1220">
        <f>CFS!AY61</f>
        <v>-7.730000000000004</v>
      </c>
      <c r="AZ85" s="1221">
        <f>CFS!AZ61</f>
        <v>65.932999999999993</v>
      </c>
      <c r="BA85" s="1221">
        <f>CFS!BA61</f>
        <v>48.831999999999994</v>
      </c>
      <c r="BB85" s="1221">
        <f>CFS!BB61</f>
        <v>35.849000000000018</v>
      </c>
      <c r="BC85" s="1222">
        <f>CFS!BC61</f>
        <v>142.88399999999996</v>
      </c>
      <c r="BD85" s="1219"/>
      <c r="BE85" s="1220">
        <f>CFS!BE61</f>
        <v>30.100999999999999</v>
      </c>
      <c r="BF85" s="1221">
        <f>CFS!BF61</f>
        <v>30.035999999999987</v>
      </c>
      <c r="BG85" s="1221">
        <f>CFS!BG61</f>
        <v>60.797000000000004</v>
      </c>
      <c r="BH85" s="1221">
        <f>CFS!BH61</f>
        <v>53.554999999999978</v>
      </c>
      <c r="BI85" s="1222">
        <f>CFS!BI61</f>
        <v>174.48899999999998</v>
      </c>
      <c r="BJ85" s="1219"/>
      <c r="BK85" s="1220">
        <f>CFS!BK61</f>
        <v>28.266000000000005</v>
      </c>
      <c r="BL85" s="1221">
        <f>CFS!BL61</f>
        <v>48.457000000000001</v>
      </c>
      <c r="BM85" s="1221">
        <f>CFS!BM61</f>
        <v>71.954999999999984</v>
      </c>
      <c r="BN85" s="1221">
        <f>CFS!BN61</f>
        <v>52.696000000000062</v>
      </c>
      <c r="BO85" s="1222">
        <f>CFS!BO61</f>
        <v>201.37400000000002</v>
      </c>
      <c r="BP85" s="1219"/>
      <c r="BQ85" s="1220">
        <f>CFS!BQ61</f>
        <v>39.745000000000005</v>
      </c>
      <c r="BR85" s="1221">
        <f>CFS!BR61</f>
        <v>44.344999999999999</v>
      </c>
      <c r="BS85" s="1221">
        <f>CFS!BS61</f>
        <v>78.961999999999989</v>
      </c>
      <c r="BT85" s="1221">
        <f>CFS!BT61</f>
        <v>56.66700000000003</v>
      </c>
      <c r="BU85" s="1222">
        <f>CFS!BU61</f>
        <v>219.71899999999999</v>
      </c>
      <c r="BV85" s="1219"/>
      <c r="BW85" s="1220">
        <f>CFS!BW61</f>
        <v>30.328000000000003</v>
      </c>
      <c r="BX85" s="1221">
        <f>CFS!BX61</f>
        <v>77.59999999999998</v>
      </c>
      <c r="BY85" s="1221">
        <f>CFS!BY61</f>
        <v>78.805000000000007</v>
      </c>
      <c r="BZ85" s="1221">
        <f>CFS!BZ61</f>
        <v>80.332999999999998</v>
      </c>
      <c r="CA85" s="1222">
        <f>CFS!CA61</f>
        <v>267.06600000000003</v>
      </c>
      <c r="CB85" s="1219"/>
      <c r="CC85" s="1220">
        <f>CFS!CC61</f>
        <v>44.179999999999993</v>
      </c>
      <c r="CD85" s="1221">
        <f>CFS!CD61</f>
        <v>47.429000000000002</v>
      </c>
      <c r="CE85" s="1221">
        <f>CFS!CE61</f>
        <v>54.498999999999981</v>
      </c>
      <c r="CF85" s="1221">
        <f>CFS!CF61</f>
        <v>50.590000000000018</v>
      </c>
      <c r="CG85" s="1222">
        <f>CFS!CG61</f>
        <v>196.69799999999998</v>
      </c>
      <c r="CH85" s="1219"/>
      <c r="CI85" s="1220">
        <f>CFS!CI61</f>
        <v>45.394515467424284</v>
      </c>
      <c r="CJ85" s="1221">
        <f>CFS!CJ61</f>
        <v>29.32919275766346</v>
      </c>
      <c r="CK85" s="1221">
        <f>CFS!CK61</f>
        <v>-4.0318699239582614</v>
      </c>
      <c r="CL85" s="1221">
        <f>CFS!CL61</f>
        <v>87.00960281233472</v>
      </c>
      <c r="CM85" s="1222">
        <f>CFS!CM61</f>
        <v>157.70144111346417</v>
      </c>
      <c r="CN85" s="1219"/>
      <c r="CO85" s="1220">
        <f>CFS!CO61</f>
        <v>102.67643291462026</v>
      </c>
      <c r="CP85" s="1221">
        <f>CFS!CP61</f>
        <v>54.909168918880226</v>
      </c>
      <c r="CQ85" s="1221">
        <f>CFS!CQ61</f>
        <v>-1.904826250999335</v>
      </c>
      <c r="CR85" s="1221">
        <f>CFS!CR61</f>
        <v>94.621348443242383</v>
      </c>
      <c r="CS85" s="1222">
        <f>CFS!CS61</f>
        <v>250.30212402574352</v>
      </c>
      <c r="CT85" s="1219"/>
      <c r="CU85" s="1220">
        <f>CFS!CU61</f>
        <v>137.62996199990127</v>
      </c>
      <c r="CV85" s="1221">
        <f>CFS!CV61</f>
        <v>85.253791729316205</v>
      </c>
      <c r="CW85" s="1221">
        <f>CFS!CW61</f>
        <v>11.601291378832386</v>
      </c>
      <c r="CX85" s="1221">
        <f>CFS!CX61</f>
        <v>124.03721799598245</v>
      </c>
      <c r="CY85" s="1222">
        <f>CFS!CY61</f>
        <v>358.52226310403228</v>
      </c>
      <c r="CZ85" s="504"/>
      <c r="DA85" s="504"/>
      <c r="DB85" s="504"/>
    </row>
    <row r="86" spans="1:106" ht="11.25" customHeight="1" x14ac:dyDescent="0.2">
      <c r="A86" s="1223" t="s">
        <v>512</v>
      </c>
      <c r="B86" s="1224"/>
      <c r="C86" s="1226"/>
      <c r="D86" s="1227"/>
      <c r="E86" s="1227"/>
      <c r="F86" s="1227"/>
      <c r="G86" s="1225"/>
      <c r="H86" s="1224"/>
      <c r="I86" s="1226">
        <f>CFS!I62</f>
        <v>0.119358626010533</v>
      </c>
      <c r="J86" s="1227">
        <f>CFS!J62</f>
        <v>0.14878228288505282</v>
      </c>
      <c r="K86" s="1227">
        <f>CFS!K62</f>
        <v>0.11081720358463537</v>
      </c>
      <c r="L86" s="1227">
        <f>CFS!L62</f>
        <v>0.13923839290484585</v>
      </c>
      <c r="M86" s="1225">
        <f>CFS!M62</f>
        <v>0.51613483205923882</v>
      </c>
      <c r="N86" s="1224"/>
      <c r="O86" s="1226">
        <f>CFS!O62</f>
        <v>0.11666163201513023</v>
      </c>
      <c r="P86" s="1227">
        <f>CFS!P62</f>
        <v>0.11555604863182213</v>
      </c>
      <c r="Q86" s="1227">
        <f>CFS!Q62</f>
        <v>0.10393157946083052</v>
      </c>
      <c r="R86" s="1227">
        <f>CFS!R62</f>
        <v>0.13588055535814664</v>
      </c>
      <c r="S86" s="1225">
        <f>CFS!S62</f>
        <v>0.47215617814313721</v>
      </c>
      <c r="T86" s="1224"/>
      <c r="U86" s="1226">
        <f>CFS!U62</f>
        <v>9.1812367556770524E-2</v>
      </c>
      <c r="V86" s="1227">
        <f>CFS!V62</f>
        <v>3.7099590827395494E-2</v>
      </c>
      <c r="W86" s="1227">
        <f>CFS!W62</f>
        <v>0.10508714639808003</v>
      </c>
      <c r="X86" s="1227">
        <f>CFS!X62</f>
        <v>5.5838973264533354E-2</v>
      </c>
      <c r="Y86" s="1225">
        <f>CFS!Y62</f>
        <v>0.28597002710858771</v>
      </c>
      <c r="Z86" s="1224"/>
      <c r="AA86" s="1226">
        <f>CFS!AA62</f>
        <v>-1.8846952604740515E-2</v>
      </c>
      <c r="AB86" s="1227">
        <f>CFS!AB62</f>
        <v>0.20084681834773083</v>
      </c>
      <c r="AC86" s="1227">
        <f>CFS!AC62</f>
        <v>9.8660801564027345E-2</v>
      </c>
      <c r="AD86" s="1227">
        <f>CFS!AD62</f>
        <v>0.37597196580858155</v>
      </c>
      <c r="AE86" s="1225">
        <f>CFS!AE62</f>
        <v>0.65382675916361088</v>
      </c>
      <c r="AF86" s="1224"/>
      <c r="AG86" s="1226">
        <f>CFS!AG62</f>
        <v>1.8935068514726754E-2</v>
      </c>
      <c r="AH86" s="1227">
        <f>CFS!AH62</f>
        <v>0.29827514292023466</v>
      </c>
      <c r="AI86" s="1227">
        <f>CFS!AI62</f>
        <v>0.30175790625780069</v>
      </c>
      <c r="AJ86" s="1227">
        <f>CFS!AJ62</f>
        <v>0.1548598030022654</v>
      </c>
      <c r="AK86" s="1225">
        <f>CFS!AK62</f>
        <v>0.77156714042282271</v>
      </c>
      <c r="AL86" s="1224"/>
      <c r="AM86" s="1226">
        <f>CFS!AM62</f>
        <v>5.1032555678642941E-2</v>
      </c>
      <c r="AN86" s="1227">
        <f>CFS!AN62</f>
        <v>0.11898889238358525</v>
      </c>
      <c r="AO86" s="1227">
        <f>CFS!AO62</f>
        <v>0.27830293291823066</v>
      </c>
      <c r="AP86" s="1227">
        <f>CFS!AP62</f>
        <v>0.26396876286473464</v>
      </c>
      <c r="AQ86" s="1225">
        <f>CFS!AQ62</f>
        <v>0.71142658732633912</v>
      </c>
      <c r="AR86" s="1224"/>
      <c r="AS86" s="1226">
        <f>CFS!AS62</f>
        <v>0.12052899135542597</v>
      </c>
      <c r="AT86" s="1227">
        <f>CFS!AT62</f>
        <v>0.15672474821875398</v>
      </c>
      <c r="AU86" s="1227">
        <f>CFS!AU62</f>
        <v>0.17578611996121343</v>
      </c>
      <c r="AV86" s="1227">
        <f>CFS!AV62</f>
        <v>0.20854442280146526</v>
      </c>
      <c r="AW86" s="1225">
        <f>CFS!AW62</f>
        <v>0.66080212830037144</v>
      </c>
      <c r="AX86" s="1224"/>
      <c r="AY86" s="1226">
        <f>CFS!AY62</f>
        <v>-3.2358666303870083E-2</v>
      </c>
      <c r="AZ86" s="1227">
        <f>CFS!AZ62</f>
        <v>0.27445666878962327</v>
      </c>
      <c r="BA86" s="1227">
        <f>CFS!BA62</f>
        <v>0.20170344240762</v>
      </c>
      <c r="BB86" s="1227">
        <f>CFS!BB62</f>
        <v>0.14828403492734507</v>
      </c>
      <c r="BC86" s="1225">
        <f>CFS!BC62</f>
        <v>0.59350518804050723</v>
      </c>
      <c r="BD86" s="1224"/>
      <c r="BE86" s="1226">
        <f>CFS!BE62</f>
        <v>0.12466763305032098</v>
      </c>
      <c r="BF86" s="1227">
        <f>CFS!BF62</f>
        <v>0.12491006857660904</v>
      </c>
      <c r="BG86" s="1227">
        <f>CFS!BG62</f>
        <v>0.25080753284791985</v>
      </c>
      <c r="BH86" s="1227">
        <f>CFS!BH62</f>
        <v>0.21914461785237857</v>
      </c>
      <c r="BI86" s="1225">
        <f>CFS!BI62</f>
        <v>0.72050789718178987</v>
      </c>
      <c r="BJ86" s="1224"/>
      <c r="BK86" s="1226">
        <f>CFS!BK62</f>
        <v>0.11634684250821173</v>
      </c>
      <c r="BL86" s="1227">
        <f>CFS!BL62</f>
        <v>0.20136718750000002</v>
      </c>
      <c r="BM86" s="1227">
        <f>CFS!BM62</f>
        <v>0.29804040144639987</v>
      </c>
      <c r="BN86" s="1227">
        <f>CFS!BN62</f>
        <v>0.21853046803075443</v>
      </c>
      <c r="BO86" s="1225">
        <f>CFS!BO62</f>
        <v>0.83371560582599846</v>
      </c>
      <c r="BP86" s="1224"/>
      <c r="BQ86" s="1226">
        <f>CFS!BQ62</f>
        <v>0.16634718408893057</v>
      </c>
      <c r="BR86" s="1227">
        <f>CFS!BR62</f>
        <v>0.18590719103855652</v>
      </c>
      <c r="BS86" s="1227">
        <f>CFS!BS62</f>
        <v>0.33099568660163731</v>
      </c>
      <c r="BT86" s="1227">
        <f>CFS!BT62</f>
        <v>0.23751681818753392</v>
      </c>
      <c r="BU86" s="1225">
        <f>CFS!BU62</f>
        <v>0.92068620179595806</v>
      </c>
      <c r="BV86" s="1224"/>
      <c r="BW86" s="1226">
        <f>CFS!BW62</f>
        <v>0.12723451206772865</v>
      </c>
      <c r="BX86" s="1227">
        <f>CFS!BX62</f>
        <v>0.32513921069942631</v>
      </c>
      <c r="BY86" s="1227">
        <f>CFS!BY62</f>
        <v>0.32931879630751748</v>
      </c>
      <c r="BZ86" s="1227">
        <f>CFS!BZ62</f>
        <v>0.33521247830150885</v>
      </c>
      <c r="CA86" s="1225">
        <f>CFS!CA62</f>
        <v>1.1168484760239297</v>
      </c>
      <c r="CB86" s="1224"/>
      <c r="CC86" s="1226">
        <f>CFS!CC62</f>
        <v>0.18809524823208346</v>
      </c>
      <c r="CD86" s="1227">
        <f>CFS!CD62</f>
        <v>0.20382036957455954</v>
      </c>
      <c r="CE86" s="1227">
        <f>CFS!CE62</f>
        <v>0.23418170255370155</v>
      </c>
      <c r="CF86" s="1227">
        <f>CFS!CF62</f>
        <v>0.21829463519035525</v>
      </c>
      <c r="CG86" s="1225">
        <f>CFS!CG62</f>
        <v>0.84509078342801236</v>
      </c>
      <c r="CH86" s="1224"/>
      <c r="CI86" s="1226">
        <f>CFS!CI62</f>
        <v>0.19592395252541012</v>
      </c>
      <c r="CJ86" s="1227">
        <f>CFS!CJ62</f>
        <v>0.12743260469905071</v>
      </c>
      <c r="CK86" s="1227">
        <f>CFS!CK62</f>
        <v>-1.7633748712472211E-2</v>
      </c>
      <c r="CL86" s="1227">
        <f>CFS!CL62</f>
        <v>0.38307287942834667</v>
      </c>
      <c r="CM86" s="1225">
        <f>CFS!CM62</f>
        <v>0.68839843605044759</v>
      </c>
      <c r="CN86" s="1224"/>
      <c r="CO86" s="1226">
        <f>CFS!CO62</f>
        <v>0.4553004384272803</v>
      </c>
      <c r="CP86" s="1227">
        <f>CFS!CP62</f>
        <v>0.24507891463597631</v>
      </c>
      <c r="CQ86" s="1227">
        <f>CFS!CQ62</f>
        <v>-8.5568130395352257E-3</v>
      </c>
      <c r="CR86" s="1227">
        <f>CFS!CR62</f>
        <v>0.42781794893150765</v>
      </c>
      <c r="CS86" s="1225">
        <f>CFS!CS62</f>
        <v>1.1220583790785514</v>
      </c>
      <c r="CT86" s="1224"/>
      <c r="CU86" s="1226">
        <f>CFS!CU62</f>
        <v>0.62665339894399241</v>
      </c>
      <c r="CV86" s="1227">
        <f>CFS!CV62</f>
        <v>0.39066012965494834</v>
      </c>
      <c r="CW86" s="1227">
        <f>CFS!CW62</f>
        <v>5.3496450278695977E-2</v>
      </c>
      <c r="CX86" s="1227">
        <f>CFS!CX62</f>
        <v>0.57559988464711298</v>
      </c>
      <c r="CY86" s="1225">
        <f>CFS!CY62</f>
        <v>1.6496487401858539</v>
      </c>
      <c r="CZ86" s="141"/>
      <c r="DA86" s="141"/>
      <c r="DB86" s="141"/>
    </row>
    <row r="87" spans="1:106" ht="11.25" customHeight="1" x14ac:dyDescent="0.2">
      <c r="A87" s="509"/>
      <c r="B87" s="39"/>
      <c r="C87" s="20"/>
      <c r="D87" s="20"/>
      <c r="E87" s="20"/>
      <c r="F87" s="20"/>
      <c r="G87" s="20"/>
      <c r="H87" s="39"/>
      <c r="I87" s="20"/>
      <c r="J87" s="20"/>
      <c r="K87" s="20"/>
      <c r="L87" s="20"/>
      <c r="M87" s="20"/>
      <c r="N87" s="39"/>
      <c r="O87" s="20"/>
      <c r="P87" s="20"/>
      <c r="Q87" s="20"/>
      <c r="R87" s="20"/>
      <c r="S87" s="20"/>
      <c r="T87" s="39"/>
      <c r="U87" s="20"/>
      <c r="V87" s="20"/>
      <c r="W87" s="20"/>
      <c r="X87" s="20"/>
      <c r="Y87" s="20"/>
      <c r="Z87" s="39"/>
      <c r="AA87" s="20"/>
      <c r="AB87" s="20"/>
      <c r="AC87" s="20"/>
      <c r="AD87" s="20"/>
      <c r="AE87" s="20"/>
      <c r="AF87" s="39"/>
      <c r="AG87" s="20"/>
      <c r="AH87" s="20"/>
      <c r="AI87" s="20"/>
      <c r="AJ87" s="20"/>
      <c r="AK87" s="20"/>
      <c r="AL87" s="39"/>
      <c r="AM87" s="20"/>
      <c r="AN87" s="20"/>
      <c r="AO87" s="20"/>
      <c r="AP87" s="20"/>
      <c r="AQ87" s="20"/>
      <c r="AR87" s="39"/>
      <c r="AS87" s="20"/>
      <c r="AT87" s="20"/>
      <c r="AU87" s="20"/>
      <c r="AV87" s="20"/>
      <c r="AW87" s="20"/>
      <c r="AX87" s="39"/>
      <c r="AY87" s="20"/>
      <c r="AZ87" s="20"/>
      <c r="BA87" s="20"/>
      <c r="BB87" s="20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</row>
    <row r="88" spans="1:106" ht="11.25" customHeight="1" x14ac:dyDescent="0.2">
      <c r="A88" s="61" t="s">
        <v>346</v>
      </c>
      <c r="B88" s="10"/>
      <c r="C88" s="176"/>
      <c r="D88" s="176"/>
      <c r="E88" s="176"/>
      <c r="F88" s="176"/>
      <c r="G88" s="176"/>
      <c r="H88" s="41"/>
      <c r="I88" s="176"/>
      <c r="J88" s="176"/>
      <c r="K88" s="176"/>
      <c r="L88" s="176"/>
      <c r="M88" s="176"/>
      <c r="N88" s="41"/>
      <c r="O88" s="176"/>
      <c r="P88" s="176"/>
      <c r="Q88" s="176"/>
      <c r="R88" s="176"/>
      <c r="S88" s="176"/>
      <c r="T88" s="41"/>
      <c r="U88" s="176"/>
      <c r="V88" s="176"/>
      <c r="W88" s="176"/>
      <c r="X88" s="176"/>
      <c r="Y88" s="176"/>
      <c r="Z88" s="41"/>
      <c r="AA88" s="176"/>
      <c r="AB88" s="176"/>
      <c r="AC88" s="176"/>
      <c r="AD88" s="176"/>
      <c r="AE88" s="176"/>
      <c r="AF88" s="41"/>
      <c r="AG88" s="176"/>
      <c r="AH88" s="176"/>
      <c r="AI88" s="176"/>
      <c r="AJ88" s="176"/>
      <c r="AK88" s="176"/>
      <c r="AL88" s="41"/>
      <c r="AM88" s="176"/>
      <c r="AN88" s="176"/>
      <c r="AO88" s="176"/>
      <c r="AP88" s="176"/>
      <c r="AQ88" s="176"/>
      <c r="AR88" s="41"/>
      <c r="AS88" s="176"/>
      <c r="AT88" s="176"/>
      <c r="AU88" s="176"/>
      <c r="AV88" s="176"/>
      <c r="AW88" s="176"/>
      <c r="AX88" s="41"/>
      <c r="AY88" s="176"/>
      <c r="AZ88" s="176"/>
      <c r="BA88" s="176"/>
      <c r="BB88" s="176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7"/>
      <c r="BV88" s="41"/>
      <c r="BW88" s="41"/>
      <c r="BX88" s="41"/>
      <c r="BY88" s="41"/>
      <c r="BZ88" s="41"/>
      <c r="CA88" s="47"/>
      <c r="CB88" s="41"/>
      <c r="CC88" s="41"/>
      <c r="CD88" s="41"/>
      <c r="CE88" s="41"/>
      <c r="CF88" s="41"/>
      <c r="CG88" s="47"/>
      <c r="CH88" s="41"/>
      <c r="CI88" s="41"/>
      <c r="CJ88" s="41"/>
      <c r="CK88" s="41"/>
      <c r="CL88" s="41"/>
      <c r="CM88" s="47"/>
      <c r="CN88" s="41"/>
      <c r="CO88" s="41"/>
      <c r="CP88" s="41"/>
      <c r="CQ88" s="41"/>
      <c r="CR88" s="41"/>
      <c r="CS88" s="47"/>
      <c r="CT88" s="41"/>
      <c r="CU88" s="41"/>
      <c r="CV88" s="41"/>
      <c r="CW88" s="41"/>
      <c r="CX88" s="41"/>
      <c r="CY88" s="47"/>
      <c r="CZ88" s="39"/>
      <c r="DA88" s="39"/>
      <c r="DB88" s="39"/>
    </row>
    <row r="89" spans="1:106" ht="11.25" customHeight="1" x14ac:dyDescent="0.2">
      <c r="A89" s="418" t="s">
        <v>385</v>
      </c>
      <c r="B89" s="39"/>
      <c r="C89" s="100"/>
      <c r="D89" s="80"/>
      <c r="E89" s="80"/>
      <c r="F89" s="80"/>
      <c r="G89" s="101">
        <f>G15/('P&amp;L'!G9)</f>
        <v>4.980702994254247E-2</v>
      </c>
      <c r="H89" s="39"/>
      <c r="I89" s="100">
        <f>I15/('P&amp;L'!I9*4)</f>
        <v>4.7119179163378058E-2</v>
      </c>
      <c r="J89" s="80">
        <f>J15/('P&amp;L'!J9*4)</f>
        <v>5.9043486059349892E-2</v>
      </c>
      <c r="K89" s="80">
        <f>K15/('P&amp;L'!K9*4)</f>
        <v>6.3113782164972501E-2</v>
      </c>
      <c r="L89" s="80">
        <f>L15/('P&amp;L'!L9*4)</f>
        <v>7.3285734821984791E-2</v>
      </c>
      <c r="M89" s="101">
        <f>M15/('P&amp;L'!M9)</f>
        <v>7.6778072013956006E-2</v>
      </c>
      <c r="N89" s="39"/>
      <c r="O89" s="100">
        <f>O15/('P&amp;L'!O9*4)</f>
        <v>7.019960447040427E-2</v>
      </c>
      <c r="P89" s="80">
        <f>P15/('P&amp;L'!P9*4)</f>
        <v>9.7270671977250464E-2</v>
      </c>
      <c r="Q89" s="80">
        <f>Q15/('P&amp;L'!Q9*4)</f>
        <v>8.1222072427271724E-2</v>
      </c>
      <c r="R89" s="80">
        <f>R15/('P&amp;L'!R9*4)</f>
        <v>6.7538584966359783E-2</v>
      </c>
      <c r="S89" s="101">
        <f>S15/('P&amp;L'!S9)</f>
        <v>7.3017617835106005E-2</v>
      </c>
      <c r="T89" s="39"/>
      <c r="U89" s="100">
        <f>U15/('P&amp;L'!U9*4)</f>
        <v>7.8226292041695691E-2</v>
      </c>
      <c r="V89" s="80">
        <f>V15/('P&amp;L'!V9*4)</f>
        <v>7.1312731877457639E-2</v>
      </c>
      <c r="W89" s="80">
        <f>W15/('P&amp;L'!W9*4)</f>
        <v>5.7909948367226773E-2</v>
      </c>
      <c r="X89" s="80">
        <f>X15/('P&amp;L'!X9*4)</f>
        <v>4.6179313494177629E-2</v>
      </c>
      <c r="Y89" s="101">
        <f>Y15/('P&amp;L'!Y9)</f>
        <v>5.9762317359574255E-2</v>
      </c>
      <c r="Z89" s="39"/>
      <c r="AA89" s="100">
        <f>AA15/('P&amp;L'!AA9*4)</f>
        <v>5.1509854856933178E-2</v>
      </c>
      <c r="AB89" s="80">
        <f>AB15/('P&amp;L'!AB9*4)</f>
        <v>4.7913377515053604E-2</v>
      </c>
      <c r="AC89" s="80">
        <f>AC15/('P&amp;L'!AC9*4)</f>
        <v>4.5512348353552862E-2</v>
      </c>
      <c r="AD89" s="80">
        <f>AD15/('P&amp;L'!AD9*4)</f>
        <v>6.4743803255741389E-2</v>
      </c>
      <c r="AE89" s="101">
        <f>AE15/('P&amp;L'!AE9)</f>
        <v>6.8785800274363776E-2</v>
      </c>
      <c r="AF89" s="39"/>
      <c r="AG89" s="100">
        <f>AG15/('P&amp;L'!AG9*4)</f>
        <v>7.6032100229481328E-2</v>
      </c>
      <c r="AH89" s="80">
        <f>AH15/('P&amp;L'!AH9*4)</f>
        <v>6.5756216792418276E-2</v>
      </c>
      <c r="AI89" s="80">
        <f>AI15/('P&amp;L'!AI9*4)</f>
        <v>0.13016302150127668</v>
      </c>
      <c r="AJ89" s="80">
        <f>AJ15/('P&amp;L'!AJ9*4)</f>
        <v>8.3795148005548659E-2</v>
      </c>
      <c r="AK89" s="101">
        <f>AK15/('P&amp;L'!AK9)</f>
        <v>9.5950288416309759E-2</v>
      </c>
      <c r="AL89" s="39"/>
      <c r="AM89" s="100">
        <f>AM15/('P&amp;L'!AM9*4)</f>
        <v>8.2101761208031365E-2</v>
      </c>
      <c r="AN89" s="80">
        <f>AN15/('P&amp;L'!AN9*4)</f>
        <v>7.656117966793291E-2</v>
      </c>
      <c r="AO89" s="80">
        <f>AO15/('P&amp;L'!AO9*4)</f>
        <v>6.8226723097729994E-2</v>
      </c>
      <c r="AP89" s="80">
        <f>AP15/('P&amp;L'!AP9*4)</f>
        <v>5.6289156458018678E-2</v>
      </c>
      <c r="AQ89" s="101">
        <f>AQ15/('P&amp;L'!AQ9)</f>
        <v>5.9223987544956877E-2</v>
      </c>
      <c r="AR89" s="39"/>
      <c r="AS89" s="100">
        <f>AS15/('P&amp;L'!AS9*4)</f>
        <v>7.2487843641798957E-2</v>
      </c>
      <c r="AT89" s="80">
        <f>AT15/('P&amp;L'!AT9*4)</f>
        <v>6.2573313912898637E-2</v>
      </c>
      <c r="AU89" s="80">
        <f>AU15/('P&amp;L'!AU9*4)</f>
        <v>7.7897779393184138E-2</v>
      </c>
      <c r="AV89" s="80">
        <f>AV15/('P&amp;L'!AV9*4)</f>
        <v>4.4147329705161165E-2</v>
      </c>
      <c r="AW89" s="101">
        <f>AW15/('P&amp;L'!AW9)</f>
        <v>5.0485275875894527E-2</v>
      </c>
      <c r="AX89" s="39"/>
      <c r="AY89" s="100">
        <f>AY15/('P&amp;L'!AY9*4)</f>
        <v>5.4577595455128157E-2</v>
      </c>
      <c r="AZ89" s="80">
        <f>AZ15/('P&amp;L'!AZ9*4)</f>
        <v>4.9477072910326055E-2</v>
      </c>
      <c r="BA89" s="80">
        <f>BA15/('P&amp;L'!BA9*4)</f>
        <v>4.5779669984784201E-2</v>
      </c>
      <c r="BB89" s="80">
        <f>BB15/('P&amp;L'!BB9*4)</f>
        <v>3.9940755832073238E-2</v>
      </c>
      <c r="BC89" s="101">
        <f>BC15/('P&amp;L'!BC9)</f>
        <v>4.4133074416320701E-2</v>
      </c>
      <c r="BD89" s="39"/>
      <c r="BE89" s="100">
        <f>BE15/('P&amp;L'!BE9*4)</f>
        <v>6.7368632566474282E-2</v>
      </c>
      <c r="BF89" s="80">
        <f>BF15/('P&amp;L'!BF9*4)</f>
        <v>6.0576874454824722E-2</v>
      </c>
      <c r="BG89" s="80">
        <f>BG15/('P&amp;L'!BG9*4)</f>
        <v>5.2387812643795308E-2</v>
      </c>
      <c r="BH89" s="80">
        <f>BH15/('P&amp;L'!BH9*4)</f>
        <v>4.5706523987478806E-2</v>
      </c>
      <c r="BI89" s="101">
        <f>BI15/('P&amp;L'!BI9)</f>
        <v>5.0743119940231972E-2</v>
      </c>
      <c r="BJ89" s="39"/>
      <c r="BK89" s="100">
        <f>BK15/('P&amp;L'!BK9*4)</f>
        <v>5.7552942436817252E-2</v>
      </c>
      <c r="BL89" s="80">
        <f>BL15/('P&amp;L'!BL9*4)</f>
        <v>6.0131416478231607E-2</v>
      </c>
      <c r="BM89" s="80">
        <f>BM15/('P&amp;L'!BM9*4)</f>
        <v>7.7185477955914794E-2</v>
      </c>
      <c r="BN89" s="80">
        <f>BN15/('P&amp;L'!BN9*4)</f>
        <v>7.8830270779634712E-2</v>
      </c>
      <c r="BO89" s="101">
        <f>BO15/('P&amp;L'!BO9)</f>
        <v>8.4514146356682668E-2</v>
      </c>
      <c r="BP89" s="39"/>
      <c r="BQ89" s="100">
        <f>BQ15/('P&amp;L'!BQ9*4)</f>
        <v>0.10743935138536935</v>
      </c>
      <c r="BR89" s="80">
        <f>BR15/('P&amp;L'!BR9*4)</f>
        <v>7.2772150155263934E-2</v>
      </c>
      <c r="BS89" s="80">
        <f>BS15/('P&amp;L'!BS9*4)</f>
        <v>6.282883129186391E-2</v>
      </c>
      <c r="BT89" s="80">
        <f>BT15/('P&amp;L'!BT9*4)</f>
        <v>5.0458393113342895E-2</v>
      </c>
      <c r="BU89" s="101">
        <f>BU15/('P&amp;L'!BU9)</f>
        <v>5.4898903099014559E-2</v>
      </c>
      <c r="BV89" s="39"/>
      <c r="BW89" s="100">
        <f>BW15/('P&amp;L'!BW9*4)</f>
        <v>6.8858733355899704E-2</v>
      </c>
      <c r="BX89" s="80">
        <f>BX15/('P&amp;L'!BX9*4)</f>
        <v>5.3753304307261711E-2</v>
      </c>
      <c r="BY89" s="80">
        <f>BY15/('P&amp;L'!BY9*4)</f>
        <v>4.9846465004355078E-2</v>
      </c>
      <c r="BZ89" s="80">
        <f>BZ15/('P&amp;L'!BZ9*4)</f>
        <v>4.556361949715565E-2</v>
      </c>
      <c r="CA89" s="101">
        <f>CA15/('P&amp;L'!CA9)</f>
        <v>4.9924850017675756E-2</v>
      </c>
      <c r="CB89" s="39"/>
      <c r="CC89" s="100">
        <f>CC15/('P&amp;L'!CC9*4)</f>
        <v>5.6361212561545991E-2</v>
      </c>
      <c r="CD89" s="80">
        <f>CD15/('P&amp;L'!CD9*4)</f>
        <v>6.0681881889898912E-2</v>
      </c>
      <c r="CE89" s="80">
        <f>CE15/('P&amp;L'!CE9*4)</f>
        <v>7.1377607025246995E-2</v>
      </c>
      <c r="CF89" s="80">
        <f>CF15/('P&amp;L'!CF9*4)</f>
        <v>6.703822337722512E-2</v>
      </c>
      <c r="CG89" s="101">
        <f>CG15/('P&amp;L'!CG9)</f>
        <v>7.502122338270778E-2</v>
      </c>
      <c r="CH89" s="39"/>
      <c r="CI89" s="511">
        <f>+CC89</f>
        <v>5.6361212561545991E-2</v>
      </c>
      <c r="CJ89" s="510">
        <f>+CD89</f>
        <v>6.0681881889898912E-2</v>
      </c>
      <c r="CK89" s="510">
        <f>+CE89</f>
        <v>7.1377607025246995E-2</v>
      </c>
      <c r="CL89" s="510">
        <v>0.04</v>
      </c>
      <c r="CM89" s="101">
        <f>CM15/('P&amp;L'!CM9)</f>
        <v>4.3923853986662702E-2</v>
      </c>
      <c r="CN89" s="39"/>
      <c r="CO89" s="511">
        <f t="shared" ref="CO89:CR89" si="128">+CI89</f>
        <v>5.6361212561545991E-2</v>
      </c>
      <c r="CP89" s="510">
        <f t="shared" si="128"/>
        <v>6.0681881889898912E-2</v>
      </c>
      <c r="CQ89" s="510">
        <f t="shared" si="128"/>
        <v>7.1377607025246995E-2</v>
      </c>
      <c r="CR89" s="510">
        <f t="shared" si="128"/>
        <v>0.04</v>
      </c>
      <c r="CS89" s="101">
        <f>CS15/('P&amp;L'!CS9)</f>
        <v>4.4164128532507077E-2</v>
      </c>
      <c r="CT89" s="39"/>
      <c r="CU89" s="511">
        <f t="shared" ref="CU89:CX89" si="129">+CO89</f>
        <v>5.6361212561545991E-2</v>
      </c>
      <c r="CV89" s="510">
        <f t="shared" si="129"/>
        <v>6.0681881889898912E-2</v>
      </c>
      <c r="CW89" s="510">
        <f t="shared" si="129"/>
        <v>7.1377607025246995E-2</v>
      </c>
      <c r="CX89" s="510">
        <f t="shared" si="129"/>
        <v>0.04</v>
      </c>
      <c r="CY89" s="101">
        <f>CY15/('P&amp;L'!CY9)</f>
        <v>4.4031763449452997E-2</v>
      </c>
      <c r="CZ89" s="80"/>
      <c r="DA89" s="80"/>
      <c r="DB89" s="80"/>
    </row>
    <row r="90" spans="1:106" ht="11.25" customHeight="1" x14ac:dyDescent="0.2">
      <c r="A90" s="201" t="s">
        <v>653</v>
      </c>
      <c r="B90" s="39"/>
      <c r="C90" s="100"/>
      <c r="D90" s="80"/>
      <c r="E90" s="80"/>
      <c r="F90" s="80"/>
      <c r="G90" s="101">
        <f>(G16+G23)/('P&amp;L'!G9)</f>
        <v>3.9143102601220614E-2</v>
      </c>
      <c r="H90" s="39"/>
      <c r="I90" s="100">
        <f>(I16+I23)/('P&amp;L'!I9*4)</f>
        <v>3.1112865035516968E-2</v>
      </c>
      <c r="J90" s="80">
        <f>(J16+J23)/('P&amp;L'!J9*4)</f>
        <v>4.3789983458556704E-2</v>
      </c>
      <c r="K90" s="80">
        <f>(K16+K23)/('P&amp;L'!K9*4)</f>
        <v>4.9525696506572348E-2</v>
      </c>
      <c r="L90" s="80">
        <f>(L16+L23)/('P&amp;L'!L9*4)</f>
        <v>4.3037519766160347E-2</v>
      </c>
      <c r="M90" s="101">
        <f>(M16+M23)/('P&amp;L'!M9)</f>
        <v>4.5088417274313189E-2</v>
      </c>
      <c r="N90" s="39"/>
      <c r="O90" s="100">
        <f>(O16+O23)/('P&amp;L'!O9*4)</f>
        <v>3.7492526330313199E-2</v>
      </c>
      <c r="P90" s="80">
        <f>(P16+P23)/('P&amp;L'!P9*4)</f>
        <v>3.5826569992846613E-2</v>
      </c>
      <c r="Q90" s="80">
        <f>(Q16+Q23)/('P&amp;L'!Q9*4)</f>
        <v>4.3679359668981427E-2</v>
      </c>
      <c r="R90" s="80">
        <f>(R16+R23)/('P&amp;L'!R9*4)</f>
        <v>4.1774233265285038E-2</v>
      </c>
      <c r="S90" s="101">
        <f>(S16+S23)/('P&amp;L'!S9)</f>
        <v>4.5163146391628627E-2</v>
      </c>
      <c r="T90" s="39"/>
      <c r="U90" s="100">
        <f>(U16+U23)/('P&amp;L'!U9*4)</f>
        <v>5.9826085596540492E-2</v>
      </c>
      <c r="V90" s="80">
        <f>(V16+V23)/('P&amp;L'!V9*4)</f>
        <v>6.3487214804612002E-2</v>
      </c>
      <c r="W90" s="80">
        <f>(W16+W23)/('P&amp;L'!W9*4)</f>
        <v>7.8899916209973275E-2</v>
      </c>
      <c r="X90" s="80">
        <f>(X16+X23)/('P&amp;L'!X9*4)</f>
        <v>0.11399745033868633</v>
      </c>
      <c r="Y90" s="101">
        <f>(Y16+Y23)/('P&amp;L'!Y9)</f>
        <v>0.14752821750331654</v>
      </c>
      <c r="Z90" s="39"/>
      <c r="AA90" s="100">
        <f>(AA16+AA23)/('P&amp;L'!AA9*4)</f>
        <v>0.13715681824766063</v>
      </c>
      <c r="AB90" s="80">
        <f>(AB16+AB23)/('P&amp;L'!AB9*4)</f>
        <v>0.1245284274489646</v>
      </c>
      <c r="AC90" s="80">
        <f>(AC16+AC23)/('P&amp;L'!AC9*4)</f>
        <v>0.13234727036395147</v>
      </c>
      <c r="AD90" s="80">
        <f>(AD16+AD23)/('P&amp;L'!AD9*4)</f>
        <v>0.10660634705140798</v>
      </c>
      <c r="AE90" s="101">
        <f>(AE16+AE23)/('P&amp;L'!AE9)</f>
        <v>0.11326184943587446</v>
      </c>
      <c r="AF90" s="39"/>
      <c r="AG90" s="100">
        <f>(AG16+AG23)/('P&amp;L'!AG9*4)</f>
        <v>8.1219193149054236E-2</v>
      </c>
      <c r="AH90" s="80">
        <f>(AH16+AH23)/('P&amp;L'!AH9*4)</f>
        <v>0.10979738170189378</v>
      </c>
      <c r="AI90" s="80">
        <f>(AI16+AI23)/('P&amp;L'!AI9*4)</f>
        <v>0.10644633923723038</v>
      </c>
      <c r="AJ90" s="80">
        <f>(AJ16+AJ23)/('P&amp;L'!AJ9*4)</f>
        <v>5.1813184722409582E-2</v>
      </c>
      <c r="AK90" s="101">
        <f>(AK16+AK23)/('P&amp;L'!AK9)</f>
        <v>5.9329091674299998E-2</v>
      </c>
      <c r="AL90" s="39"/>
      <c r="AM90" s="100">
        <f>(AM16+AM23)/('P&amp;L'!AM9*4)</f>
        <v>5.3070766064971034E-2</v>
      </c>
      <c r="AN90" s="80">
        <f>(AN16+AN23)/('P&amp;L'!AN9*4)</f>
        <v>5.7863374416674912E-2</v>
      </c>
      <c r="AO90" s="80">
        <f>(AO16+AO23)/('P&amp;L'!AO9*4)</f>
        <v>5.8819723166992924E-2</v>
      </c>
      <c r="AP90" s="80">
        <f>(AP16+AP23)/('P&amp;L'!AP9*4)</f>
        <v>5.9357869049616825E-2</v>
      </c>
      <c r="AQ90" s="101">
        <f>(AQ16+AQ23)/('P&amp;L'!AQ9)</f>
        <v>6.2452698148204353E-2</v>
      </c>
      <c r="AR90" s="39"/>
      <c r="AS90" s="100">
        <f>(AS16+AS23)/('P&amp;L'!AS9*4)</f>
        <v>5.310862202713186E-2</v>
      </c>
      <c r="AT90" s="80">
        <f>(AT16+AT23)/('P&amp;L'!AT9*4)</f>
        <v>4.5021387285285479E-2</v>
      </c>
      <c r="AU90" s="80">
        <f>(AU16+AU23)/('P&amp;L'!AU9*4)</f>
        <v>4.1216227910760336E-2</v>
      </c>
      <c r="AV90" s="80">
        <f>(AV16+AV23)/('P&amp;L'!AV9*4)</f>
        <v>4.3745888403803591E-2</v>
      </c>
      <c r="AW90" s="101">
        <f>(AW16+AW23)/('P&amp;L'!AW9)</f>
        <v>5.0026202247152589E-2</v>
      </c>
      <c r="AX90" s="39"/>
      <c r="AY90" s="100">
        <f>(AY16+AY23)/('P&amp;L'!AY9*4)</f>
        <v>5.1118844080398892E-2</v>
      </c>
      <c r="AZ90" s="80">
        <f>(AZ16+AZ23)/('P&amp;L'!AZ9*4)</f>
        <v>5.6842483879262919E-2</v>
      </c>
      <c r="BA90" s="80">
        <f>(BA16+BA23)/('P&amp;L'!BA9*4)</f>
        <v>6.2492400316804093E-2</v>
      </c>
      <c r="BB90" s="80">
        <f>(BB16+BB23)/('P&amp;L'!BB9*4)</f>
        <v>2.1586029573026449E-2</v>
      </c>
      <c r="BC90" s="101">
        <f>(BC16+BC23)/('P&amp;L'!BC9)</f>
        <v>2.3851773198900559E-2</v>
      </c>
      <c r="BD90" s="39"/>
      <c r="BE90" s="100">
        <f>(BE16+BE23)/('P&amp;L'!BE9*4)</f>
        <v>2.4856213929954935E-2</v>
      </c>
      <c r="BF90" s="80">
        <f>(BF16+BF23)/('P&amp;L'!BF9*4)</f>
        <v>2.6792599522142017E-2</v>
      </c>
      <c r="BG90" s="80">
        <f>(BG16+BG23)/('P&amp;L'!BG9*4)</f>
        <v>2.892273579341036E-2</v>
      </c>
      <c r="BH90" s="80">
        <f>(BH16+BH23)/('P&amp;L'!BH9*4)</f>
        <v>3.0870692389370773E-2</v>
      </c>
      <c r="BI90" s="101">
        <f>(BI16+BI23)/('P&amp;L'!BI9)</f>
        <v>3.4272465063870959E-2</v>
      </c>
      <c r="BJ90" s="39"/>
      <c r="BK90" s="100">
        <f>(BK16+BK23)/('P&amp;L'!BK9*4)</f>
        <v>3.2073459304981844E-2</v>
      </c>
      <c r="BL90" s="80">
        <f>(BL16+BL23)/('P&amp;L'!BL9*4)</f>
        <v>2.8973967280225336E-2</v>
      </c>
      <c r="BM90" s="80">
        <f>(BM16+BM23)/('P&amp;L'!BM9*4)</f>
        <v>2.810557761234362E-2</v>
      </c>
      <c r="BN90" s="80">
        <f>(BN16+BN23)/('P&amp;L'!BN9*4)</f>
        <v>2.4774119342590283E-2</v>
      </c>
      <c r="BO90" s="101">
        <f>(BO16+BO23)/('P&amp;L'!BO9)</f>
        <v>2.6560400303971918E-2</v>
      </c>
      <c r="BP90" s="39"/>
      <c r="BQ90" s="100">
        <f>(BQ16+BQ23)/('P&amp;L'!BQ9*4)</f>
        <v>3.3109440328859943E-2</v>
      </c>
      <c r="BR90" s="80">
        <f>(BR16+BR23)/('P&amp;L'!BR9*4)</f>
        <v>3.1181915506360812E-2</v>
      </c>
      <c r="BS90" s="80">
        <f>(BS16+BS23)/('P&amp;L'!BS9*4)</f>
        <v>3.0666547982744208E-2</v>
      </c>
      <c r="BT90" s="80">
        <f>(BT16+BT23)/('P&amp;L'!BT9*4)</f>
        <v>2.5182209469153515E-2</v>
      </c>
      <c r="BU90" s="101">
        <f>(BU16+BU23)/('P&amp;L'!BU9)</f>
        <v>2.739832943868703E-2</v>
      </c>
      <c r="BV90" s="39"/>
      <c r="BW90" s="100">
        <f>(BW16+BW23)/('P&amp;L'!BW9*4)</f>
        <v>3.9605669299783161E-3</v>
      </c>
      <c r="BX90" s="80">
        <f>(BX16+BX23)/('P&amp;L'!BX9*4)</f>
        <v>4.4451156058993102E-3</v>
      </c>
      <c r="BY90" s="80">
        <f>(BY16+BY23)/('P&amp;L'!BY9*4)</f>
        <v>5.6623411134239781E-3</v>
      </c>
      <c r="BZ90" s="80">
        <f>(BZ16+BZ23)/('P&amp;L'!BZ9*4)</f>
        <v>4.6644748509610798E-2</v>
      </c>
      <c r="CA90" s="101">
        <f>(CA16+CA23)/('P&amp;L'!CA9)</f>
        <v>5.1109461872314535E-2</v>
      </c>
      <c r="CB90" s="39"/>
      <c r="CC90" s="100">
        <f>(CC16+CC23)/('P&amp;L'!CC9*4)</f>
        <v>5.1525919054445903E-2</v>
      </c>
      <c r="CD90" s="80">
        <f>(CD16+CD23)/('P&amp;L'!CD9*4)</f>
        <v>4.7251763413671391E-2</v>
      </c>
      <c r="CE90" s="80">
        <f>(CE16+CE23)/('P&amp;L'!CE9*4)</f>
        <v>4.8122255762897921E-2</v>
      </c>
      <c r="CF90" s="80">
        <f>(CF16+CF23)/('P&amp;L'!CF9*4)</f>
        <v>2.4774434480865647E-2</v>
      </c>
      <c r="CG90" s="101">
        <f>(CG16+CG23)/('P&amp;L'!CG9)</f>
        <v>2.7724606795005022E-2</v>
      </c>
      <c r="CH90" s="39"/>
      <c r="CI90" s="511">
        <v>0.05</v>
      </c>
      <c r="CJ90" s="510">
        <v>0.05</v>
      </c>
      <c r="CK90" s="510">
        <v>0.05</v>
      </c>
      <c r="CL90" s="510">
        <v>0.05</v>
      </c>
      <c r="CM90" s="101">
        <f>(CM16+CM23)/('P&amp;L'!CM9)</f>
        <v>5.4904817483328386E-2</v>
      </c>
      <c r="CN90" s="39"/>
      <c r="CO90" s="511">
        <v>0.05</v>
      </c>
      <c r="CP90" s="510">
        <v>0.05</v>
      </c>
      <c r="CQ90" s="510">
        <v>0.05</v>
      </c>
      <c r="CR90" s="510">
        <v>0.05</v>
      </c>
      <c r="CS90" s="101">
        <f>(CS16+CS23)/('P&amp;L'!CS9)</f>
        <v>5.520516066563385E-2</v>
      </c>
      <c r="CT90" s="39"/>
      <c r="CU90" s="511">
        <v>0.05</v>
      </c>
      <c r="CV90" s="510">
        <v>0.05</v>
      </c>
      <c r="CW90" s="510">
        <v>0.05</v>
      </c>
      <c r="CX90" s="510">
        <v>0.05</v>
      </c>
      <c r="CY90" s="101">
        <f>(CY16+CY23)/('P&amp;L'!CY9)</f>
        <v>5.5039704311816241E-2</v>
      </c>
      <c r="CZ90" s="80"/>
      <c r="DA90" s="80"/>
      <c r="DB90" s="80"/>
    </row>
    <row r="91" spans="1:106" ht="11.25" customHeight="1" x14ac:dyDescent="0.2">
      <c r="A91" s="201" t="s">
        <v>652</v>
      </c>
      <c r="B91" s="39"/>
      <c r="C91" s="100"/>
      <c r="D91" s="80"/>
      <c r="E91" s="80"/>
      <c r="F91" s="80"/>
      <c r="G91" s="101">
        <f>(G34+G39)/('P&amp;L'!G9)</f>
        <v>3.4516550236582073E-2</v>
      </c>
      <c r="H91" s="39"/>
      <c r="I91" s="100">
        <f>(I34+I39)/('P&amp;L'!I9*4)</f>
        <v>3.2717705866877132E-2</v>
      </c>
      <c r="J91" s="80">
        <f>(J34+J39)/('P&amp;L'!J9*4)</f>
        <v>4.8692628096538244E-2</v>
      </c>
      <c r="K91" s="80">
        <f>(K34+K39)/('P&amp;L'!K9*4)</f>
        <v>4.9325536378469877E-2</v>
      </c>
      <c r="L91" s="80">
        <f>(L34+L39)/('P&amp;L'!L9*4)</f>
        <v>4.4920695768843749E-2</v>
      </c>
      <c r="M91" s="101">
        <f>(M34+M39)/('P&amp;L'!M9)</f>
        <v>4.7061333601074312E-2</v>
      </c>
      <c r="N91" s="39"/>
      <c r="O91" s="100">
        <f>(O34+O39)/('P&amp;L'!O9*4)</f>
        <v>4.7017430897300282E-2</v>
      </c>
      <c r="P91" s="80">
        <f>(P34+P39)/('P&amp;L'!P9*4)</f>
        <v>6.600549309830174E-2</v>
      </c>
      <c r="Q91" s="80">
        <f>(Q34+Q39)/('P&amp;L'!Q9*4)</f>
        <v>6.3795690992801357E-2</v>
      </c>
      <c r="R91" s="80">
        <f>(R34+R39)/('P&amp;L'!R9*4)</f>
        <v>5.3746892152735287E-2</v>
      </c>
      <c r="S91" s="101">
        <f>(S34+S39)/('P&amp;L'!S9)</f>
        <v>5.8107081055781933E-2</v>
      </c>
      <c r="T91" s="39"/>
      <c r="U91" s="100">
        <f>(U34+U39)/('P&amp;L'!U9*4)</f>
        <v>5.5519279944322375E-2</v>
      </c>
      <c r="V91" s="80">
        <f>(V34+V39)/('P&amp;L'!V9*4)</f>
        <v>5.3103177600545025E-2</v>
      </c>
      <c r="W91" s="80">
        <f>(W34+W39)/('P&amp;L'!W9*4)</f>
        <v>0.2649647289279406</v>
      </c>
      <c r="X91" s="80">
        <f>(X34+X39)/('P&amp;L'!X9*4)</f>
        <v>0.2744643808509018</v>
      </c>
      <c r="Y91" s="101">
        <f>(Y34+Y39)/('P&amp;L'!Y9)</f>
        <v>0.35519426754533112</v>
      </c>
      <c r="Z91" s="39"/>
      <c r="AA91" s="100">
        <f>(AA34+AA39)/('P&amp;L'!AA9*4)</f>
        <v>0.28195344413005907</v>
      </c>
      <c r="AB91" s="80">
        <f>(AB34+AB39)/('P&amp;L'!AB9*4)</f>
        <v>0.25762891944485239</v>
      </c>
      <c r="AC91" s="80">
        <f>(AC34+AC39)/('P&amp;L'!AC9*4)</f>
        <v>0.26535095320623914</v>
      </c>
      <c r="AD91" s="80">
        <f>(AD34+AD39)/('P&amp;L'!AD9*4)</f>
        <v>0.23225195104160953</v>
      </c>
      <c r="AE91" s="101">
        <f>(AE34+AE39)/('P&amp;L'!AE9)</f>
        <v>0.24675158879027967</v>
      </c>
      <c r="AF91" s="39"/>
      <c r="AG91" s="100">
        <f>(AG34+AG39)/('P&amp;L'!AG9*4)</f>
        <v>0.22071736680351056</v>
      </c>
      <c r="AH91" s="80">
        <f>(AH34+AH39)/('P&amp;L'!AH9*4)</f>
        <v>0.22912294508569431</v>
      </c>
      <c r="AI91" s="80">
        <f>(AI34+AI39)/('P&amp;L'!AI9*4)</f>
        <v>0.2385686612056582</v>
      </c>
      <c r="AJ91" s="80">
        <f>(AJ34+AJ39)/('P&amp;L'!AJ9*4)</f>
        <v>0.20029438523300014</v>
      </c>
      <c r="AK91" s="101">
        <f>(AK34+AK39)/('P&amp;L'!AK9)</f>
        <v>0.22934864951848091</v>
      </c>
      <c r="AL91" s="39"/>
      <c r="AM91" s="100">
        <f>(AM34+AM39)/('P&amp;L'!AM9*4)</f>
        <v>0.21429922379749139</v>
      </c>
      <c r="AN91" s="80">
        <f>(AN34+AN39)/('P&amp;L'!AN9*4)</f>
        <v>0.20766848864562001</v>
      </c>
      <c r="AO91" s="80">
        <f>(AO34+AO39)/('P&amp;L'!AO9*4)</f>
        <v>0.20439856078915999</v>
      </c>
      <c r="AP91" s="80">
        <f>(AP34+AP39)/('P&amp;L'!AP9*4)</f>
        <v>0.20204994546064772</v>
      </c>
      <c r="AQ91" s="101">
        <f>(AQ34+AQ39)/('P&amp;L'!AQ9)</f>
        <v>0.2125845226041928</v>
      </c>
      <c r="AR91" s="39"/>
      <c r="AS91" s="100">
        <f>(AS34+AS39)/('P&amp;L'!AS9*4)</f>
        <v>0.20998713412672887</v>
      </c>
      <c r="AT91" s="80">
        <f>(AT34+AT39)/('P&amp;L'!AT9*4)</f>
        <v>0.18853946281943601</v>
      </c>
      <c r="AU91" s="80">
        <f>(AU34+AU39)/('P&amp;L'!AU9*4)</f>
        <v>0.22012392474514081</v>
      </c>
      <c r="AV91" s="80">
        <f>(AV34+AV39)/('P&amp;L'!AV9*4)</f>
        <v>0.17941136893726448</v>
      </c>
      <c r="AW91" s="101">
        <f>(AW34+AW39)/('P&amp;L'!AW9)</f>
        <v>0.20516829707620535</v>
      </c>
      <c r="AX91" s="39"/>
      <c r="AY91" s="100">
        <f>(AY34+AY39)/('P&amp;L'!AY9*4)</f>
        <v>0.20347426979104113</v>
      </c>
      <c r="AZ91" s="80">
        <f>(AZ34+AZ39)/('P&amp;L'!AZ9*4)</f>
        <v>0.20838636385830028</v>
      </c>
      <c r="BA91" s="80">
        <f>(BA34+BA39)/('P&amp;L'!BA9*4)</f>
        <v>0.19386011324760344</v>
      </c>
      <c r="BB91" s="80">
        <f>(BB34+BB39)/('P&amp;L'!BB9*4)</f>
        <v>0.14061399813004286</v>
      </c>
      <c r="BC91" s="101">
        <f>(BC34+BC39)/('P&amp;L'!BC9)</f>
        <v>0.15537332517043248</v>
      </c>
      <c r="BD91" s="39"/>
      <c r="BE91" s="100">
        <f>(BE34+BE39)/('P&amp;L'!BE9*4)</f>
        <v>0.15121584051440168</v>
      </c>
      <c r="BF91" s="80">
        <f>(BF34+BF39)/('P&amp;L'!BF9*4)</f>
        <v>0.15191980708696257</v>
      </c>
      <c r="BG91" s="80">
        <f>(BG34+BG39)/('P&amp;L'!BG9*4)</f>
        <v>0.14799991352980599</v>
      </c>
      <c r="BH91" s="80">
        <f>(BH34+BH39)/('P&amp;L'!BH9*4)</f>
        <v>0.10091082091095881</v>
      </c>
      <c r="BI91" s="101">
        <f>(BI34+BI39)/('P&amp;L'!BI9)</f>
        <v>0.11203061274479785</v>
      </c>
      <c r="BJ91" s="39"/>
      <c r="BK91" s="100">
        <f>(BK34+BK39)/('P&amp;L'!BK9*4)</f>
        <v>0.10761154855643047</v>
      </c>
      <c r="BL91" s="80">
        <f>(BL34+BL39)/('P&amp;L'!BL9*4)</f>
        <v>9.9846937389240928E-2</v>
      </c>
      <c r="BM91" s="80">
        <f>(BM34+BM39)/('P&amp;L'!BM9*4)</f>
        <v>9.0100576973901073E-2</v>
      </c>
      <c r="BN91" s="80">
        <f>(BN34+BN39)/('P&amp;L'!BN9*4)</f>
        <v>8.2113162052049549E-2</v>
      </c>
      <c r="BO91" s="101">
        <f>(BO34+BO39)/('P&amp;L'!BO9)</f>
        <v>8.8033742962478193E-2</v>
      </c>
      <c r="BP91" s="39"/>
      <c r="BQ91" s="100">
        <f>(BQ34+BQ39)/('P&amp;L'!BQ9*4)</f>
        <v>8.9261504574380132E-2</v>
      </c>
      <c r="BR91" s="80">
        <f>(BR34+BR39)/('P&amp;L'!BR9*4)</f>
        <v>8.6821815836922764E-2</v>
      </c>
      <c r="BS91" s="80">
        <f>(BS34+BS39)/('P&amp;L'!BS9*4)</f>
        <v>8.5406328184358532E-2</v>
      </c>
      <c r="BT91" s="80">
        <f>(BT34+BT39)/('P&amp;L'!BT9*4)</f>
        <v>5.6089670014347198E-2</v>
      </c>
      <c r="BU91" s="101">
        <f>(BU34+BU39)/('P&amp;L'!BU9)</f>
        <v>6.1025751495029056E-2</v>
      </c>
      <c r="BV91" s="39"/>
      <c r="BW91" s="100">
        <f>(BW34+BW39)/('P&amp;L'!BW9*4)</f>
        <v>3.8305309690025102E-2</v>
      </c>
      <c r="BX91" s="80">
        <f>(BX34+BX39)/('P&amp;L'!BX9*4)</f>
        <v>3.8114660957142693E-2</v>
      </c>
      <c r="BY91" s="80">
        <f>(BY34+BY39)/('P&amp;L'!BY9*4)</f>
        <v>2.9789479900202254E-2</v>
      </c>
      <c r="BZ91" s="80">
        <f>(BZ34+BZ39)/('P&amp;L'!BZ9*4)</f>
        <v>2.7707597233401091E-2</v>
      </c>
      <c r="CA91" s="101">
        <f>(CA34+CA39)/('P&amp;L'!CA9)</f>
        <v>3.0359695991976032E-2</v>
      </c>
      <c r="CB91" s="39"/>
      <c r="CC91" s="100">
        <f>(CC34+CC39)/('P&amp;L'!CC9*4)</f>
        <v>3.2836694712396121E-2</v>
      </c>
      <c r="CD91" s="80">
        <f>(CD34+CD39)/('P&amp;L'!CD9*4)</f>
        <v>2.9757069386681007E-2</v>
      </c>
      <c r="CE91" s="80">
        <f>(CE34+CE39)/('P&amp;L'!CE9*4)</f>
        <v>2.8534577387486281E-2</v>
      </c>
      <c r="CF91" s="80">
        <f>(CF34+CF39)/('P&amp;L'!CF9*4)</f>
        <v>4.830300191633112E-2</v>
      </c>
      <c r="CG91" s="101">
        <f>(CG34+CG39)/('P&amp;L'!CG9)</f>
        <v>5.4054987054617191E-2</v>
      </c>
      <c r="CH91" s="39"/>
      <c r="CI91" s="511">
        <v>0.03</v>
      </c>
      <c r="CJ91" s="510">
        <v>0.03</v>
      </c>
      <c r="CK91" s="510">
        <v>0.03</v>
      </c>
      <c r="CL91" s="510">
        <v>0.03</v>
      </c>
      <c r="CM91" s="101">
        <f>(CM34+CM39)/('P&amp;L'!CM9)</f>
        <v>3.2942890489997025E-2</v>
      </c>
      <c r="CN91" s="39"/>
      <c r="CO91" s="511">
        <v>0.03</v>
      </c>
      <c r="CP91" s="510">
        <v>0.03</v>
      </c>
      <c r="CQ91" s="510">
        <v>0.03</v>
      </c>
      <c r="CR91" s="510">
        <v>0.03</v>
      </c>
      <c r="CS91" s="101">
        <f>(CS34+CS39)/('P&amp;L'!CS9)</f>
        <v>3.3123096399380304E-2</v>
      </c>
      <c r="CT91" s="39"/>
      <c r="CU91" s="511">
        <v>0.03</v>
      </c>
      <c r="CV91" s="510">
        <v>0.03</v>
      </c>
      <c r="CW91" s="510">
        <v>0.03</v>
      </c>
      <c r="CX91" s="510">
        <v>0.03</v>
      </c>
      <c r="CY91" s="101">
        <f>(CY34+CY39)/('P&amp;L'!CY9)</f>
        <v>3.3023822587089739E-2</v>
      </c>
      <c r="CZ91" s="80"/>
      <c r="DA91" s="80"/>
      <c r="DB91" s="80"/>
    </row>
    <row r="92" spans="1:106" ht="11.25" customHeight="1" x14ac:dyDescent="0.2">
      <c r="A92" s="512" t="s">
        <v>416</v>
      </c>
      <c r="B92" s="39"/>
      <c r="C92" s="144"/>
      <c r="D92" s="81"/>
      <c r="E92" s="81"/>
      <c r="F92" s="81"/>
      <c r="G92" s="145">
        <f>G30/('P&amp;L'!G16)</f>
        <v>0.16542460587794086</v>
      </c>
      <c r="H92" s="240"/>
      <c r="I92" s="144">
        <f>I30/('P&amp;L'!I16*4)</f>
        <v>0.13652352238157323</v>
      </c>
      <c r="J92" s="81">
        <f>J30/('P&amp;L'!J16*4)</f>
        <v>0.17997108261920167</v>
      </c>
      <c r="K92" s="81">
        <f>K30/('P&amp;L'!K16*4)</f>
        <v>0.15209939721643653</v>
      </c>
      <c r="L92" s="81">
        <f>L30/('P&amp;L'!L16*4)</f>
        <v>0.17947329723948943</v>
      </c>
      <c r="M92" s="145">
        <f>M30/('P&amp;L'!M16)</f>
        <v>0.18101777413733244</v>
      </c>
      <c r="N92" s="240"/>
      <c r="O92" s="144">
        <f>O30/('P&amp;L'!O16*4)</f>
        <v>0.1650543612552508</v>
      </c>
      <c r="P92" s="81">
        <f>P30/('P&amp;L'!P16*4)</f>
        <v>0.18803947211984309</v>
      </c>
      <c r="Q92" s="81">
        <f>Q30/('P&amp;L'!Q16*4)</f>
        <v>0.15315462288775933</v>
      </c>
      <c r="R92" s="81">
        <f>R30/('P&amp;L'!R16*4)</f>
        <v>0.18054956896551722</v>
      </c>
      <c r="S92" s="145">
        <f>S30/('P&amp;L'!S16)</f>
        <v>0.19414944466653916</v>
      </c>
      <c r="T92" s="240"/>
      <c r="U92" s="144">
        <f>U30/('P&amp;L'!U16*4)</f>
        <v>0.19833626140105409</v>
      </c>
      <c r="V92" s="81">
        <f>V30/('P&amp;L'!V16*4)</f>
        <v>0.16908156465195179</v>
      </c>
      <c r="W92" s="81">
        <f>W30/('P&amp;L'!W16*4)</f>
        <v>0.25470499334571456</v>
      </c>
      <c r="X92" s="81">
        <f>X30/('P&amp;L'!X16*4)</f>
        <v>0.16882471376816172</v>
      </c>
      <c r="Y92" s="145">
        <f>Y30/('P&amp;L'!Y16)</f>
        <v>0.22036331431631417</v>
      </c>
      <c r="Z92" s="240"/>
      <c r="AA92" s="144">
        <f>AA30/('P&amp;L'!AA16*4)</f>
        <v>0.17272044256970742</v>
      </c>
      <c r="AB92" s="81">
        <f>AB30/('P&amp;L'!AB16*4)</f>
        <v>0.17744411809581934</v>
      </c>
      <c r="AC92" s="81">
        <f>AC30/('P&amp;L'!AC16*4)</f>
        <v>0.17294099710321692</v>
      </c>
      <c r="AD92" s="81">
        <f>AD30/('P&amp;L'!AD16*4)</f>
        <v>0.24386875084220455</v>
      </c>
      <c r="AE92" s="145">
        <f>AE30/('P&amp;L'!AE16)</f>
        <v>0.26000530951339867</v>
      </c>
      <c r="AF92" s="240"/>
      <c r="AG92" s="144">
        <f>AG30/('P&amp;L'!AG16*4)</f>
        <v>0.23100183658704007</v>
      </c>
      <c r="AH92" s="81">
        <f>AH30/('P&amp;L'!AH16*4)</f>
        <v>0.25053164632154201</v>
      </c>
      <c r="AI92" s="81">
        <f>AI30/('P&amp;L'!AI16*4)</f>
        <v>0.33774910756949716</v>
      </c>
      <c r="AJ92" s="81">
        <f>AJ30/('P&amp;L'!AJ16*4)</f>
        <v>0.30632885553762706</v>
      </c>
      <c r="AK92" s="145">
        <f>AK30/('P&amp;L'!AK16)</f>
        <v>0.35325256165414276</v>
      </c>
      <c r="AL92" s="240"/>
      <c r="AM92" s="144">
        <f>AM30/('P&amp;L'!AM16*4)</f>
        <v>0.27901297679905623</v>
      </c>
      <c r="AN92" s="81">
        <f>AN30/('P&amp;L'!AN16*4)</f>
        <v>0.2532594128572031</v>
      </c>
      <c r="AO92" s="81">
        <f>AO30/('P&amp;L'!AO16*4)</f>
        <v>0.27411220171924466</v>
      </c>
      <c r="AP92" s="81">
        <f>AP30/('P&amp;L'!AP16*4)</f>
        <v>0.25651175232027956</v>
      </c>
      <c r="AQ92" s="145">
        <f>AQ30/('P&amp;L'!AQ16)</f>
        <v>0.26829243251429025</v>
      </c>
      <c r="AR92" s="240"/>
      <c r="AS92" s="144">
        <f>AS30/('P&amp;L'!AS16*4)</f>
        <v>0.25549317225534984</v>
      </c>
      <c r="AT92" s="81">
        <f>AT30/('P&amp;L'!AT16*4)</f>
        <v>0.234443319937508</v>
      </c>
      <c r="AU92" s="81">
        <f>AU30/('P&amp;L'!AU16*4)</f>
        <v>0.22717922735317328</v>
      </c>
      <c r="AV92" s="81">
        <f>AV30/('P&amp;L'!AV16*4)</f>
        <v>0.22386532621216884</v>
      </c>
      <c r="AW92" s="145">
        <f>AW30/('P&amp;L'!AW16)</f>
        <v>0.25145951185313009</v>
      </c>
      <c r="AX92" s="240"/>
      <c r="AY92" s="144">
        <f>AY30/('P&amp;L'!AY16*4)</f>
        <v>0.23614554807194135</v>
      </c>
      <c r="AZ92" s="81">
        <f>AZ30/('P&amp;L'!AZ16*4)</f>
        <v>0.19477141796047032</v>
      </c>
      <c r="BA92" s="81">
        <f>BA30/('P&amp;L'!BA16*4)</f>
        <v>0.21329273766827325</v>
      </c>
      <c r="BB92" s="81">
        <f>BB30/('P&amp;L'!BB16*4)</f>
        <v>0.20420346439144466</v>
      </c>
      <c r="BC92" s="145">
        <f>BC30/('P&amp;L'!BC16)</f>
        <v>0.21875448901756631</v>
      </c>
      <c r="BD92" s="240"/>
      <c r="BE92" s="144">
        <f>BE30/('P&amp;L'!BE16*4)</f>
        <v>0.21904223763554498</v>
      </c>
      <c r="BF92" s="81">
        <f>BF30/('P&amp;L'!BF16*4)</f>
        <v>0.23588301196751427</v>
      </c>
      <c r="BG92" s="81">
        <f>BG30/('P&amp;L'!BG16*4)</f>
        <v>0.25739081082912613</v>
      </c>
      <c r="BH92" s="81">
        <f>BH30/('P&amp;L'!BH16*4)</f>
        <v>0.23921729291037494</v>
      </c>
      <c r="BI92" s="145">
        <f>BI30/('P&amp;L'!BI16)</f>
        <v>0.25799107894293888</v>
      </c>
      <c r="BJ92" s="240"/>
      <c r="BK92" s="144">
        <f>BK30/('P&amp;L'!BK16*4)</f>
        <v>0.22453361093360269</v>
      </c>
      <c r="BL92" s="81">
        <f>BL30/('P&amp;L'!BL16*4)</f>
        <v>0.19812433526057788</v>
      </c>
      <c r="BM92" s="81">
        <f>BM30/('P&amp;L'!BM16*4)</f>
        <v>0.20674246482925568</v>
      </c>
      <c r="BN92" s="81">
        <f>BN30/('P&amp;L'!BN16*4)</f>
        <v>0.19377960242005182</v>
      </c>
      <c r="BO92" s="145">
        <f>BO30/('P&amp;L'!BO16)</f>
        <v>0.21685424339967194</v>
      </c>
      <c r="BP92" s="240"/>
      <c r="BQ92" s="144">
        <f>BQ30/('P&amp;L'!BQ16*4)</f>
        <v>0.27579388234073732</v>
      </c>
      <c r="BR92" s="81">
        <f>BR30/('P&amp;L'!BR16*4)</f>
        <v>0.19548985461467486</v>
      </c>
      <c r="BS92" s="81">
        <f>BS30/('P&amp;L'!BS16*4)</f>
        <v>0.21043761425959778</v>
      </c>
      <c r="BT92" s="81">
        <f>BT30/('P&amp;L'!BT16*4)</f>
        <v>0.18781682703590705</v>
      </c>
      <c r="BU92" s="145">
        <f>BU30/('P&amp;L'!BU16)</f>
        <v>0.19925637676633862</v>
      </c>
      <c r="BV92" s="240"/>
      <c r="BW92" s="144">
        <f>BW30/('P&amp;L'!BW16*4)</f>
        <v>0.18895106901994546</v>
      </c>
      <c r="BX92" s="81">
        <f>BX30/('P&amp;L'!BX16*4)</f>
        <v>0.17335773991531847</v>
      </c>
      <c r="BY92" s="81">
        <f>BY30/('P&amp;L'!BY16*4)</f>
        <v>0.19544866375323988</v>
      </c>
      <c r="BZ92" s="81">
        <f>BZ30/('P&amp;L'!BZ16*4)</f>
        <v>0.22684068899762824</v>
      </c>
      <c r="CA92" s="145">
        <f>CA30/('P&amp;L'!CA16)</f>
        <v>0.22692405845310717</v>
      </c>
      <c r="CB92" s="240"/>
      <c r="CC92" s="144">
        <f>CC30/('P&amp;L'!CC16*4)</f>
        <v>0.2163904989017372</v>
      </c>
      <c r="CD92" s="81">
        <f>CD30/('P&amp;L'!CD16*4)</f>
        <v>0.23084206624014922</v>
      </c>
      <c r="CE92" s="81">
        <f>CE30/('P&amp;L'!CE16*4)</f>
        <v>0.2185039000799151</v>
      </c>
      <c r="CF92" s="81">
        <f>CF30/('P&amp;L'!CF16*4)</f>
        <v>0.22161156199502516</v>
      </c>
      <c r="CG92" s="145">
        <f>CG30/('P&amp;L'!CG16)</f>
        <v>0.23292231565508864</v>
      </c>
      <c r="CH92" s="240"/>
      <c r="CI92" s="514">
        <f>+CC92</f>
        <v>0.2163904989017372</v>
      </c>
      <c r="CJ92" s="513">
        <f>+CD92</f>
        <v>0.23084206624014922</v>
      </c>
      <c r="CK92" s="513">
        <f>+CE92</f>
        <v>0.2185039000799151</v>
      </c>
      <c r="CL92" s="513">
        <f>+CF92</f>
        <v>0.22161156199502516</v>
      </c>
      <c r="CM92" s="145">
        <f>CM30/('P&amp;L'!CM9)</f>
        <v>0.17370657518062313</v>
      </c>
      <c r="CN92" s="240"/>
      <c r="CO92" s="514">
        <f>+CI92</f>
        <v>0.2163904989017372</v>
      </c>
      <c r="CP92" s="513">
        <f>+CJ92</f>
        <v>0.23084206624014922</v>
      </c>
      <c r="CQ92" s="513">
        <f>+CK92</f>
        <v>0.2185039000799151</v>
      </c>
      <c r="CR92" s="513">
        <f>+CL92</f>
        <v>0.22161156199502516</v>
      </c>
      <c r="CS92" s="145">
        <f>CS30/('P&amp;L'!CS9)</f>
        <v>0.17212749018650148</v>
      </c>
      <c r="CT92" s="240"/>
      <c r="CU92" s="514">
        <f>+CO92</f>
        <v>0.2163904989017372</v>
      </c>
      <c r="CV92" s="513">
        <f>+CP92</f>
        <v>0.23084206624014922</v>
      </c>
      <c r="CW92" s="513">
        <f>+CQ92</f>
        <v>0.2185039000799151</v>
      </c>
      <c r="CX92" s="513">
        <f>+CR92</f>
        <v>0.22161156199502516</v>
      </c>
      <c r="CY92" s="145">
        <f>CY30/('P&amp;L'!CY9)</f>
        <v>0.1678734842431456</v>
      </c>
      <c r="CZ92" s="80"/>
      <c r="DA92" s="80"/>
      <c r="DB92" s="80"/>
    </row>
    <row r="93" spans="1:106" ht="11.25" customHeight="1" x14ac:dyDescent="0.2">
      <c r="A93" s="75"/>
      <c r="B93" s="39"/>
      <c r="C93" s="20"/>
      <c r="D93" s="20"/>
      <c r="E93" s="20"/>
      <c r="F93" s="20"/>
      <c r="G93" s="20"/>
      <c r="H93" s="39"/>
      <c r="I93" s="20"/>
      <c r="J93" s="20"/>
      <c r="K93" s="20"/>
      <c r="L93" s="20"/>
      <c r="M93" s="20"/>
      <c r="N93" s="39"/>
      <c r="O93" s="20"/>
      <c r="P93" s="20"/>
      <c r="Q93" s="20"/>
      <c r="R93" s="20"/>
      <c r="S93" s="20"/>
      <c r="T93" s="39"/>
      <c r="U93" s="20"/>
      <c r="V93" s="20"/>
      <c r="W93" s="20"/>
      <c r="X93" s="20"/>
      <c r="Y93" s="20"/>
      <c r="Z93" s="39"/>
      <c r="AA93" s="20"/>
      <c r="AB93" s="20"/>
      <c r="AC93" s="20"/>
      <c r="AD93" s="20"/>
      <c r="AE93" s="20"/>
      <c r="AF93" s="39"/>
      <c r="AG93" s="20"/>
      <c r="AH93" s="20"/>
      <c r="AI93" s="20"/>
      <c r="AJ93" s="20"/>
      <c r="AK93" s="20"/>
      <c r="AL93" s="39"/>
      <c r="AM93" s="20"/>
      <c r="AN93" s="20"/>
      <c r="AO93" s="20"/>
      <c r="AP93" s="20"/>
      <c r="AQ93" s="20"/>
      <c r="AR93" s="39"/>
      <c r="AS93" s="20"/>
      <c r="AT93" s="20"/>
      <c r="AU93" s="20"/>
      <c r="AV93" s="20"/>
      <c r="AW93" s="20"/>
      <c r="AX93" s="39"/>
      <c r="AY93" s="20"/>
      <c r="AZ93" s="20"/>
      <c r="BA93" s="20"/>
      <c r="BB93" s="20"/>
      <c r="BC93" s="39"/>
      <c r="BD93" s="39"/>
      <c r="BE93" s="39"/>
      <c r="BF93" s="39"/>
      <c r="BG93" s="39"/>
      <c r="BH93" s="20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</row>
    <row r="94" spans="1:106" ht="11.25" customHeight="1" x14ac:dyDescent="0.2">
      <c r="A94" s="61" t="s">
        <v>347</v>
      </c>
      <c r="B94" s="16"/>
      <c r="C94" s="147"/>
      <c r="D94" s="147"/>
      <c r="E94" s="147"/>
      <c r="F94" s="147"/>
      <c r="G94" s="147"/>
      <c r="H94" s="25"/>
      <c r="I94" s="147"/>
      <c r="J94" s="147"/>
      <c r="K94" s="147"/>
      <c r="L94" s="147"/>
      <c r="M94" s="147"/>
      <c r="N94" s="25"/>
      <c r="O94" s="147"/>
      <c r="P94" s="147"/>
      <c r="Q94" s="147"/>
      <c r="R94" s="147"/>
      <c r="S94" s="147"/>
      <c r="T94" s="25"/>
      <c r="U94" s="147"/>
      <c r="V94" s="147"/>
      <c r="W94" s="147"/>
      <c r="X94" s="147"/>
      <c r="Y94" s="147"/>
      <c r="Z94" s="25"/>
      <c r="AA94" s="147"/>
      <c r="AB94" s="147"/>
      <c r="AC94" s="147"/>
      <c r="AD94" s="147"/>
      <c r="AE94" s="147"/>
      <c r="AF94" s="25"/>
      <c r="AG94" s="147"/>
      <c r="AH94" s="147"/>
      <c r="AI94" s="147"/>
      <c r="AJ94" s="147"/>
      <c r="AK94" s="147"/>
      <c r="AL94" s="25"/>
      <c r="AM94" s="147"/>
      <c r="AN94" s="147"/>
      <c r="AO94" s="147"/>
      <c r="AP94" s="147"/>
      <c r="AQ94" s="147"/>
      <c r="AR94" s="25"/>
      <c r="AS94" s="147"/>
      <c r="AT94" s="147"/>
      <c r="AU94" s="147"/>
      <c r="AV94" s="147"/>
      <c r="AW94" s="147"/>
      <c r="AX94" s="25"/>
      <c r="AY94" s="147"/>
      <c r="AZ94" s="147"/>
      <c r="BA94" s="147"/>
      <c r="BB94" s="147"/>
      <c r="BC94" s="25"/>
      <c r="BD94" s="25"/>
      <c r="BE94" s="25"/>
      <c r="BF94" s="25"/>
      <c r="BG94" s="25"/>
      <c r="BH94" s="147"/>
      <c r="BI94" s="25"/>
      <c r="BJ94" s="25"/>
      <c r="BK94" s="25"/>
      <c r="BL94" s="25"/>
      <c r="BM94" s="25"/>
      <c r="BN94" s="25"/>
      <c r="BO94" s="47"/>
      <c r="BP94" s="25"/>
      <c r="BQ94" s="25"/>
      <c r="BR94" s="25"/>
      <c r="BS94" s="25"/>
      <c r="BT94" s="25"/>
      <c r="BU94" s="47"/>
      <c r="BV94" s="25"/>
      <c r="BW94" s="25"/>
      <c r="BX94" s="25"/>
      <c r="BY94" s="25"/>
      <c r="BZ94" s="25"/>
      <c r="CA94" s="47"/>
      <c r="CB94" s="25"/>
      <c r="CC94" s="25"/>
      <c r="CD94" s="25"/>
      <c r="CE94" s="25"/>
      <c r="CF94" s="25"/>
      <c r="CG94" s="47"/>
      <c r="CH94" s="25"/>
      <c r="CI94" s="25"/>
      <c r="CJ94" s="25"/>
      <c r="CK94" s="25"/>
      <c r="CL94" s="25"/>
      <c r="CM94" s="47"/>
      <c r="CN94" s="25"/>
      <c r="CO94" s="25"/>
      <c r="CP94" s="25"/>
      <c r="CQ94" s="25"/>
      <c r="CR94" s="25"/>
      <c r="CS94" s="47"/>
      <c r="CT94" s="25"/>
      <c r="CU94" s="25"/>
      <c r="CV94" s="25"/>
      <c r="CW94" s="25"/>
      <c r="CX94" s="25"/>
      <c r="CY94" s="47"/>
      <c r="CZ94" s="39"/>
      <c r="DA94" s="39"/>
      <c r="DB94" s="39"/>
    </row>
    <row r="95" spans="1:106" ht="11.25" customHeight="1" x14ac:dyDescent="0.2">
      <c r="A95" s="62" t="s">
        <v>348</v>
      </c>
      <c r="B95" s="39"/>
      <c r="C95" s="97"/>
      <c r="D95" s="83"/>
      <c r="E95" s="83"/>
      <c r="F95" s="83"/>
      <c r="G95" s="98"/>
      <c r="H95" s="39"/>
      <c r="I95" s="97">
        <f>G101</f>
        <v>400.37600000000003</v>
      </c>
      <c r="J95" s="83">
        <f>I101</f>
        <v>410.53</v>
      </c>
      <c r="K95" s="83">
        <f>J101</f>
        <v>412.952</v>
      </c>
      <c r="L95" s="83">
        <f>K101</f>
        <v>437.60899999999998</v>
      </c>
      <c r="M95" s="98">
        <f>G101</f>
        <v>400.37600000000003</v>
      </c>
      <c r="N95" s="39"/>
      <c r="O95" s="97">
        <f>M101</f>
        <v>450.45700000000011</v>
      </c>
      <c r="P95" s="83">
        <f>O101</f>
        <v>480.66500000000008</v>
      </c>
      <c r="Q95" s="83">
        <f>P101</f>
        <v>508.62000000000012</v>
      </c>
      <c r="R95" s="83">
        <f>Q101</f>
        <v>528.73900000000003</v>
      </c>
      <c r="S95" s="98">
        <f>M101</f>
        <v>450.45700000000011</v>
      </c>
      <c r="T95" s="39"/>
      <c r="U95" s="97">
        <f>S101</f>
        <v>566.16500000000019</v>
      </c>
      <c r="V95" s="83">
        <f>U101</f>
        <v>587.49400000000026</v>
      </c>
      <c r="W95" s="83">
        <f>V101</f>
        <v>617.24400000000026</v>
      </c>
      <c r="X95" s="83">
        <f>W101</f>
        <v>1327.9690000000001</v>
      </c>
      <c r="Y95" s="98">
        <f>S101</f>
        <v>566.16500000000019</v>
      </c>
      <c r="Z95" s="39"/>
      <c r="AA95" s="97">
        <f>Y101</f>
        <v>1391.575</v>
      </c>
      <c r="AB95" s="83">
        <f>AA101</f>
        <v>1451.0460000000003</v>
      </c>
      <c r="AC95" s="83">
        <f>AB101</f>
        <v>1479.029</v>
      </c>
      <c r="AD95" s="83">
        <f>AC101</f>
        <v>1457.7599999999998</v>
      </c>
      <c r="AE95" s="98">
        <f>Y101</f>
        <v>1391.575</v>
      </c>
      <c r="AF95" s="39"/>
      <c r="AG95" s="97">
        <f>AE101</f>
        <v>1453.8440000000001</v>
      </c>
      <c r="AH95" s="83">
        <f>AG101</f>
        <v>1462.4390000000001</v>
      </c>
      <c r="AI95" s="83">
        <f>AH101</f>
        <v>1534.6140000000003</v>
      </c>
      <c r="AJ95" s="83">
        <f>AI101</f>
        <v>2228.3090000000002</v>
      </c>
      <c r="AK95" s="98">
        <f>AE101</f>
        <v>1453.8440000000001</v>
      </c>
      <c r="AL95" s="39"/>
      <c r="AM95" s="97">
        <f>AK101</f>
        <v>2291.1690000000003</v>
      </c>
      <c r="AN95" s="83">
        <f>AM101</f>
        <v>2311.0650000000005</v>
      </c>
      <c r="AO95" s="83">
        <f>AN101</f>
        <v>2334.5430000000006</v>
      </c>
      <c r="AP95" s="83">
        <f>AO101</f>
        <v>2430.469000000001</v>
      </c>
      <c r="AQ95" s="98">
        <f>AK101</f>
        <v>2291.1690000000003</v>
      </c>
      <c r="AR95" s="39"/>
      <c r="AS95" s="97">
        <f>AQ101</f>
        <v>2476.3530000000005</v>
      </c>
      <c r="AT95" s="83">
        <f>AS101</f>
        <v>2536.2950000000001</v>
      </c>
      <c r="AU95" s="83">
        <f>AT101</f>
        <v>2594.2269999999999</v>
      </c>
      <c r="AV95" s="83">
        <f>AU101</f>
        <v>2542.7550000000001</v>
      </c>
      <c r="AW95" s="98">
        <f>AQ101</f>
        <v>2476.3530000000005</v>
      </c>
      <c r="AX95" s="39"/>
      <c r="AY95" s="97">
        <f>AW101</f>
        <v>2548.304000000001</v>
      </c>
      <c r="AZ95" s="83">
        <f>AY101</f>
        <v>2625.3540000000012</v>
      </c>
      <c r="BA95" s="83">
        <f>AZ101</f>
        <v>2632.1490000000013</v>
      </c>
      <c r="BB95" s="83">
        <f>BA101</f>
        <v>2702.1230000000014</v>
      </c>
      <c r="BC95" s="98">
        <f>AW101</f>
        <v>2548.304000000001</v>
      </c>
      <c r="BD95" s="39"/>
      <c r="BE95" s="97">
        <f>BC101</f>
        <v>2714.7040000000006</v>
      </c>
      <c r="BF95" s="83">
        <f>BE101</f>
        <v>2681.0150000000008</v>
      </c>
      <c r="BG95" s="83">
        <f>BF101</f>
        <v>2585.7700000000004</v>
      </c>
      <c r="BH95" s="83">
        <f>BG101</f>
        <v>2666.3680000000004</v>
      </c>
      <c r="BI95" s="98">
        <f>BC101</f>
        <v>2714.7040000000006</v>
      </c>
      <c r="BJ95" s="39"/>
      <c r="BK95" s="97">
        <f>BI101</f>
        <v>2714.3320000000008</v>
      </c>
      <c r="BL95" s="83">
        <f>BK101</f>
        <v>2723.6840000000007</v>
      </c>
      <c r="BM95" s="83">
        <f>BL101</f>
        <v>2745.7670000000007</v>
      </c>
      <c r="BN95" s="83">
        <f>BM101</f>
        <v>2705.3060000000005</v>
      </c>
      <c r="BO95" s="98">
        <f>BI101</f>
        <v>2714.3320000000008</v>
      </c>
      <c r="BP95" s="39"/>
      <c r="BQ95" s="97">
        <f>BO101</f>
        <v>2649.7440000000011</v>
      </c>
      <c r="BR95" s="83">
        <f>BQ101</f>
        <v>2471.1840000000011</v>
      </c>
      <c r="BS95" s="83">
        <f>BR101</f>
        <v>2533.708000000001</v>
      </c>
      <c r="BT95" s="83">
        <f>BS101</f>
        <v>2517.9810000000011</v>
      </c>
      <c r="BU95" s="98">
        <f>BO101</f>
        <v>2649.7440000000011</v>
      </c>
      <c r="BV95" s="39"/>
      <c r="BW95" s="97">
        <f>BU101</f>
        <v>2559.920000000001</v>
      </c>
      <c r="BX95" s="83">
        <f>BW101</f>
        <v>2624.5980000000009</v>
      </c>
      <c r="BY95" s="83">
        <f>BX101</f>
        <v>2621.0820000000008</v>
      </c>
      <c r="BZ95" s="83">
        <f>BY101</f>
        <v>2665.7000000000007</v>
      </c>
      <c r="CA95" s="98">
        <f>BU101</f>
        <v>2559.920000000001</v>
      </c>
      <c r="CB95" s="39"/>
      <c r="CC95" s="97">
        <f>CA101</f>
        <v>2607.0960000000009</v>
      </c>
      <c r="CD95" s="83">
        <f>CC101</f>
        <v>2429.804000000001</v>
      </c>
      <c r="CE95" s="83">
        <f>CD101</f>
        <v>2505.3740000000012</v>
      </c>
      <c r="CF95" s="83">
        <f>CE101</f>
        <v>2566.5960000000018</v>
      </c>
      <c r="CG95" s="98">
        <f>CA101</f>
        <v>2607.0960000000009</v>
      </c>
      <c r="CH95" s="39"/>
      <c r="CI95" s="97">
        <f>CG101</f>
        <v>2540.996000000001</v>
      </c>
      <c r="CJ95" s="83">
        <f>CI101</f>
        <v>2496.1134701694718</v>
      </c>
      <c r="CK95" s="83">
        <f>CJ101</f>
        <v>2472.8635889855836</v>
      </c>
      <c r="CL95" s="83">
        <f>CK101</f>
        <v>2452.0337432675442</v>
      </c>
      <c r="CM95" s="98">
        <f>CG101</f>
        <v>2540.996000000001</v>
      </c>
      <c r="CN95" s="39"/>
      <c r="CO95" s="97">
        <f>CM101</f>
        <v>2448.8866556724893</v>
      </c>
      <c r="CP95" s="83">
        <f>CO101</f>
        <v>2421.4417792075283</v>
      </c>
      <c r="CQ95" s="83">
        <f>CP101</f>
        <v>2409.0192524745926</v>
      </c>
      <c r="CR95" s="83">
        <f>CQ101</f>
        <v>2401.9167311733286</v>
      </c>
      <c r="CS95" s="98">
        <f>CM101</f>
        <v>2448.8866556724893</v>
      </c>
      <c r="CT95" s="39"/>
      <c r="CU95" s="97">
        <f>CS101</f>
        <v>2414.2492743189086</v>
      </c>
      <c r="CV95" s="83">
        <f>CU101</f>
        <v>2413.255772013491</v>
      </c>
      <c r="CW95" s="83">
        <f>CV101</f>
        <v>2430.2956155107086</v>
      </c>
      <c r="CX95" s="83">
        <f>CW101</f>
        <v>2453.5929921559236</v>
      </c>
      <c r="CY95" s="98">
        <f>CS101</f>
        <v>2414.2492743189086</v>
      </c>
      <c r="CZ95" s="83"/>
      <c r="DA95" s="83"/>
      <c r="DB95" s="83"/>
    </row>
    <row r="96" spans="1:106" ht="11.25" customHeight="1" x14ac:dyDescent="0.2">
      <c r="A96" s="67" t="s">
        <v>349</v>
      </c>
      <c r="B96" s="39"/>
      <c r="C96" s="99"/>
      <c r="D96" s="84"/>
      <c r="E96" s="84"/>
      <c r="F96" s="84"/>
      <c r="G96" s="86"/>
      <c r="H96" s="39"/>
      <c r="I96" s="99">
        <f>+I45+I46-G45-G46</f>
        <v>4.964999999999975</v>
      </c>
      <c r="J96" s="84">
        <f>+J45+J46-I45-I46</f>
        <v>1.4210000000000207</v>
      </c>
      <c r="K96" s="84">
        <f>+K45+K46-J45-J46</f>
        <v>3.5089999999999861</v>
      </c>
      <c r="L96" s="84">
        <f>+L45+L46-K45-K46</f>
        <v>1.6880000000000166</v>
      </c>
      <c r="M96" s="86">
        <f>SUM(I96:L96)</f>
        <v>11.582999999999998</v>
      </c>
      <c r="N96" s="39"/>
      <c r="O96" s="99">
        <f>+O45+O46-M45-M46</f>
        <v>7.4209999999999923</v>
      </c>
      <c r="P96" s="84">
        <f>+P45+P46-O45-O46</f>
        <v>2.0050000000000239</v>
      </c>
      <c r="Q96" s="84">
        <f>+Q45+Q46-P45-P46</f>
        <v>3.4129999999999825</v>
      </c>
      <c r="R96" s="84">
        <f>+R45+R46-Q45-Q46</f>
        <v>8.0430000000000064</v>
      </c>
      <c r="S96" s="86">
        <f>SUM(O96:R96)</f>
        <v>20.882000000000005</v>
      </c>
      <c r="T96" s="39"/>
      <c r="U96" s="99">
        <f>+U45+U46-S45-S46</f>
        <v>3.4849999999999852</v>
      </c>
      <c r="V96" s="84">
        <f>+V45+V46-U45-U46</f>
        <v>4.0620000000000118</v>
      </c>
      <c r="W96" s="84">
        <f>+W45+W46-V45-V46</f>
        <v>700.59799999999996</v>
      </c>
      <c r="X96" s="84">
        <f>+X45+X46-W45-W46</f>
        <v>39.435999999999922</v>
      </c>
      <c r="Y96" s="86">
        <f>SUM(U96:X96)</f>
        <v>747.5809999999999</v>
      </c>
      <c r="Z96" s="39"/>
      <c r="AA96" s="99">
        <f>+AA45+AA46-Y45-Y46</f>
        <v>11.661000000000172</v>
      </c>
      <c r="AB96" s="84">
        <f>+AB45+AB46-AA45-AA46</f>
        <v>5.460999999999899</v>
      </c>
      <c r="AC96" s="84">
        <f>+AC45+AC46-AB45-AB46</f>
        <v>13.080000000000041</v>
      </c>
      <c r="AD96" s="84">
        <f>+AD45+AD46-AC45-AC46</f>
        <v>2.9029999999999063</v>
      </c>
      <c r="AE96" s="86">
        <f>SUM(AA96:AD96)</f>
        <v>33.105000000000018</v>
      </c>
      <c r="AF96" s="39"/>
      <c r="AG96" s="99">
        <f>+AG45+AG46-AE45-AE46</f>
        <v>5.0449999999999591</v>
      </c>
      <c r="AH96" s="84">
        <f>+AH45+AH46-AG45-AG46</f>
        <v>10.798000000000002</v>
      </c>
      <c r="AI96" s="84">
        <f>+AI45+AI46-AH45-AH46</f>
        <v>632.19499999999994</v>
      </c>
      <c r="AJ96" s="84">
        <f>+AJ45+AJ46-AI45-AI46</f>
        <v>16.528999999999996</v>
      </c>
      <c r="AK96" s="86">
        <f>SUM(AG96:AJ96)</f>
        <v>664.56699999999989</v>
      </c>
      <c r="AL96" s="39"/>
      <c r="AM96" s="99">
        <f>+AM45+AM46-AK45-AK46</f>
        <v>6.7570000000000618</v>
      </c>
      <c r="AN96" s="84">
        <f>+AN45+AN46-AM45-AM46</f>
        <v>8.1749999999999545</v>
      </c>
      <c r="AO96" s="84">
        <f>+AO45+AO46-AN45-AN46</f>
        <v>4.8179999999999836</v>
      </c>
      <c r="AP96" s="84">
        <f>+AP45+AP46-AO45-AO46</f>
        <v>6.5149999999998727</v>
      </c>
      <c r="AQ96" s="86">
        <f>SUM(AM96:AP96)</f>
        <v>26.264999999999873</v>
      </c>
      <c r="AR96" s="39"/>
      <c r="AS96" s="99">
        <f>+AS45+AS46-AQ45-AQ46</f>
        <v>10.096000000000231</v>
      </c>
      <c r="AT96" s="84">
        <f>+AT45+AT46-AS45-AS46</f>
        <v>7.8589999999999236</v>
      </c>
      <c r="AU96" s="84">
        <f>+AU45+AU46-AT45-AT46</f>
        <v>7.6320000000000618</v>
      </c>
      <c r="AV96" s="84">
        <f>+AV45+AV46-AU45-AU46</f>
        <v>-0.82400000000006912</v>
      </c>
      <c r="AW96" s="86">
        <f>SUM(AS96:AV96)</f>
        <v>24.763000000000147</v>
      </c>
      <c r="AX96" s="39"/>
      <c r="AY96" s="99">
        <f>+AY45+AY46-AW45-AW46</f>
        <v>17.798999999999978</v>
      </c>
      <c r="AZ96" s="84">
        <f>+AZ45+AZ46-AY45-AY46</f>
        <v>10.949000000000069</v>
      </c>
      <c r="BA96" s="84">
        <f>+BA45+BA46-AZ45-AZ46</f>
        <v>11.027000000000044</v>
      </c>
      <c r="BB96" s="84">
        <f>+BB45+BB46-BA45-BA46</f>
        <v>-30.968000000000075</v>
      </c>
      <c r="BC96" s="86">
        <f>SUM(AY96:BB96)</f>
        <v>8.8070000000000164</v>
      </c>
      <c r="BD96" s="39"/>
      <c r="BE96" s="99">
        <f>+BE45+BE46-BC45-BC46</f>
        <v>-30.191000000000031</v>
      </c>
      <c r="BF96" s="84">
        <f>+BF45+BF46-BE45-BE46</f>
        <v>105.95399999999995</v>
      </c>
      <c r="BG96" s="84">
        <f>+BG45+BG46-BF45-BF46</f>
        <v>12.378999999999905</v>
      </c>
      <c r="BH96" s="84">
        <f>+BH45+BH46-BG45-BG46</f>
        <v>-109.32799999999997</v>
      </c>
      <c r="BI96" s="86">
        <f>SUM(BE96:BH96)</f>
        <v>-21.186000000000149</v>
      </c>
      <c r="BJ96" s="39"/>
      <c r="BK96" s="99">
        <f>+BK45+BK46-BI45-BI46</f>
        <v>-11.227000000000089</v>
      </c>
      <c r="BL96" s="84">
        <f>+BL45+BL46-BK45-BK46</f>
        <v>0.58400000000006003</v>
      </c>
      <c r="BM96" s="84">
        <f>+BM45+BM46-BL45-BL46</f>
        <v>161.31799999999998</v>
      </c>
      <c r="BN96" s="84">
        <f>+BN45+BN46-BM45-BM46</f>
        <v>-155.97499999999991</v>
      </c>
      <c r="BO96" s="86">
        <f>SUM(BK96:BN96)</f>
        <v>-5.2999999999999545</v>
      </c>
      <c r="BP96" s="39"/>
      <c r="BQ96" s="99">
        <f>+BQ45+BQ46-BO45-BO46</f>
        <v>-89.265999999999849</v>
      </c>
      <c r="BR96" s="84">
        <f>+BR45+BR46-BQ45-BQ46</f>
        <v>165.6869999999999</v>
      </c>
      <c r="BS96" s="84">
        <f>+BS45+BS46-BR45-BR46</f>
        <v>2.95900000000006</v>
      </c>
      <c r="BT96" s="84">
        <f>+BT45+BT46-BS45-BS46</f>
        <v>5.8059999999998126</v>
      </c>
      <c r="BU96" s="86">
        <f>SUM(BQ96:BT96)</f>
        <v>85.185999999999922</v>
      </c>
      <c r="BV96" s="39"/>
      <c r="BW96" s="99">
        <f>+BW45+BW46-BU45-BU46</f>
        <v>5.9760000000001128</v>
      </c>
      <c r="BX96" s="84">
        <f>+BX45+BX46-BW45-BW46</f>
        <v>7.9780000000000655</v>
      </c>
      <c r="BY96" s="84">
        <f>+BY45+BY46-BX45-BX46</f>
        <v>9.5319999999999254</v>
      </c>
      <c r="BZ96" s="84">
        <f>+BZ45+BZ46-BY45-BY46</f>
        <v>30.011999999999944</v>
      </c>
      <c r="CA96" s="86">
        <f>SUM(BW96:BZ96)</f>
        <v>53.498000000000047</v>
      </c>
      <c r="CB96" s="39"/>
      <c r="CC96" s="99">
        <f>+CC45+CC46-CA45-CA46</f>
        <v>-235.47199999999975</v>
      </c>
      <c r="CD96" s="84">
        <f>+CD45+CD46-CC45-CC46</f>
        <v>10.100999999999885</v>
      </c>
      <c r="CE96" s="84">
        <f>+CE45+CE46-CD45-CD46</f>
        <v>53.941000000000031</v>
      </c>
      <c r="CF96" s="84">
        <f>+CF45+CF46-CE45-CE46</f>
        <v>6.75</v>
      </c>
      <c r="CG96" s="86">
        <f>SUM(CC96:CF96)</f>
        <v>-164.67999999999984</v>
      </c>
      <c r="CH96" s="39"/>
      <c r="CI96" s="99">
        <f>+CI45+CI46-CG45-CG46</f>
        <v>-41.445075789136126</v>
      </c>
      <c r="CJ96" s="84">
        <f>+CJ45+CJ46-CI45-CI46</f>
        <v>-40.249806162455116</v>
      </c>
      <c r="CK96" s="84">
        <f>+CK45+CK46-CJ45-CJ46</f>
        <v>-39.925529302101495</v>
      </c>
      <c r="CL96" s="84">
        <f>+CL45+CL46-CK45-CK46</f>
        <v>-39.261007062113322</v>
      </c>
      <c r="CM96" s="86">
        <f>SUM(CI96:CL96)</f>
        <v>-160.88141831580606</v>
      </c>
      <c r="CN96" s="39"/>
      <c r="CO96" s="99">
        <f>+CO45+CO46-CM45-CM46</f>
        <v>-40.50177236674881</v>
      </c>
      <c r="CP96" s="84">
        <f>+CP45+CP46-CO45-CO46</f>
        <v>-39.513211726366535</v>
      </c>
      <c r="CQ96" s="84">
        <f>+CQ45+CQ46-CP45-CP46</f>
        <v>-39.323808094204878</v>
      </c>
      <c r="CR96" s="84">
        <f>+CR45+CR46-CQ45-CQ46</f>
        <v>-38.309963868307477</v>
      </c>
      <c r="CS96" s="86">
        <f>SUM(CO96:CR96)</f>
        <v>-157.6487560556277</v>
      </c>
      <c r="CT96" s="39"/>
      <c r="CU96" s="99">
        <f>+CU45+CU46-CS45-CS46</f>
        <v>-39.483931700063977</v>
      </c>
      <c r="CV96" s="84">
        <f>+CV45+CV46-CU45-CU46</f>
        <v>-38.457371809300184</v>
      </c>
      <c r="CW96" s="84">
        <f>+CW45+CW46-CV45-CV46</f>
        <v>-38.274843823853644</v>
      </c>
      <c r="CX96" s="84">
        <f>+CX45+CX46-CW45-CW46</f>
        <v>-37.172671989484343</v>
      </c>
      <c r="CY96" s="86">
        <f>SUM(CU96:CX96)</f>
        <v>-153.38881932270215</v>
      </c>
      <c r="CZ96" s="84"/>
      <c r="DA96" s="84"/>
      <c r="DB96" s="84"/>
    </row>
    <row r="97" spans="1:106" ht="11.25" customHeight="1" x14ac:dyDescent="0.2">
      <c r="A97" s="67" t="s">
        <v>402</v>
      </c>
      <c r="B97" s="39"/>
      <c r="C97" s="99"/>
      <c r="D97" s="84"/>
      <c r="E97" s="84"/>
      <c r="F97" s="84"/>
      <c r="G97" s="86"/>
      <c r="H97" s="39"/>
      <c r="I97" s="864">
        <f>'P&amp;L'!I30</f>
        <v>13.948</v>
      </c>
      <c r="J97" s="865">
        <f>'P&amp;L'!J30</f>
        <v>13.777000000000008</v>
      </c>
      <c r="K97" s="865">
        <f>'P&amp;L'!K30</f>
        <v>17.639999999999983</v>
      </c>
      <c r="L97" s="865">
        <f>'P&amp;L'!L30</f>
        <v>16.860000000000007</v>
      </c>
      <c r="M97" s="86">
        <f>SUM(I97:L97)</f>
        <v>62.225000000000001</v>
      </c>
      <c r="N97" s="39"/>
      <c r="O97" s="864">
        <f>'P&amp;L'!O30</f>
        <v>17.580000000000005</v>
      </c>
      <c r="P97" s="865">
        <f>'P&amp;L'!P30</f>
        <v>14.154000000000007</v>
      </c>
      <c r="Q97" s="865">
        <f>'P&amp;L'!Q30</f>
        <v>19.358000000000011</v>
      </c>
      <c r="R97" s="865">
        <f>'P&amp;L'!R30</f>
        <v>19.446999999999999</v>
      </c>
      <c r="S97" s="86">
        <f>SUM(O97:R97)</f>
        <v>70.53900000000003</v>
      </c>
      <c r="T97" s="39"/>
      <c r="U97" s="864">
        <f>'P&amp;L'!U30</f>
        <v>19.866999999999976</v>
      </c>
      <c r="V97" s="865">
        <f>'P&amp;L'!V30</f>
        <v>22.582999999999991</v>
      </c>
      <c r="W97" s="865">
        <f>'P&amp;L'!W30</f>
        <v>-7.3280000000000136</v>
      </c>
      <c r="X97" s="865">
        <f>'P&amp;L'!X30</f>
        <v>15.000000000000071</v>
      </c>
      <c r="Y97" s="86">
        <f>SUM(U97:X97)</f>
        <v>50.122000000000028</v>
      </c>
      <c r="Z97" s="39"/>
      <c r="AA97" s="864">
        <f>'P&amp;L'!AA30</f>
        <v>20.332999999999956</v>
      </c>
      <c r="AB97" s="865">
        <f>'P&amp;L'!AB30</f>
        <v>23.225000000000012</v>
      </c>
      <c r="AC97" s="865">
        <f>'P&amp;L'!AC30</f>
        <v>20.790999999999997</v>
      </c>
      <c r="AD97" s="865">
        <f>'P&amp;L'!AD30</f>
        <v>24.684000000000012</v>
      </c>
      <c r="AE97" s="86">
        <f>SUM(AA97:AD97)</f>
        <v>89.032999999999973</v>
      </c>
      <c r="AF97" s="39"/>
      <c r="AG97" s="864">
        <f>'P&amp;L'!AG30</f>
        <v>24.684000000000026</v>
      </c>
      <c r="AH97" s="865">
        <f>'P&amp;L'!AH30</f>
        <v>30.928999999999981</v>
      </c>
      <c r="AI97" s="865">
        <f>'P&amp;L'!AI30</f>
        <v>37.690000000000005</v>
      </c>
      <c r="AJ97" s="865">
        <f>'P&amp;L'!AJ30</f>
        <v>44.464000000000084</v>
      </c>
      <c r="AK97" s="86">
        <f>SUM(AG97:AJ97)</f>
        <v>137.76700000000011</v>
      </c>
      <c r="AL97" s="39"/>
      <c r="AM97" s="864">
        <f>'P&amp;L'!AM30</f>
        <v>33.013999999999953</v>
      </c>
      <c r="AN97" s="865">
        <f>'P&amp;L'!AN30</f>
        <v>38.519999999999996</v>
      </c>
      <c r="AO97" s="865">
        <f>'P&amp;L'!AO30</f>
        <v>36.487999999999985</v>
      </c>
      <c r="AP97" s="865">
        <f>'P&amp;L'!AP30</f>
        <v>36.29000000000002</v>
      </c>
      <c r="AQ97" s="86">
        <f>SUM(AM97:AP97)</f>
        <v>144.31199999999995</v>
      </c>
      <c r="AR97" s="39"/>
      <c r="AS97" s="864">
        <f>'P&amp;L'!AS30</f>
        <v>27.980999999999966</v>
      </c>
      <c r="AT97" s="865">
        <f>'P&amp;L'!AT30</f>
        <v>33.288000000000025</v>
      </c>
      <c r="AU97" s="865">
        <f>'P&amp;L'!AU30</f>
        <v>35.144999999999996</v>
      </c>
      <c r="AV97" s="865">
        <f>'P&amp;L'!AV30</f>
        <v>-0.37799999999987222</v>
      </c>
      <c r="AW97" s="86">
        <f>SUM(AS97:AV97)</f>
        <v>96.036000000000115</v>
      </c>
      <c r="AX97" s="39"/>
      <c r="AY97" s="864">
        <f>'P&amp;L'!AY30</f>
        <v>28.591999999999995</v>
      </c>
      <c r="AZ97" s="865">
        <f>'P&amp;L'!AZ30</f>
        <v>33.333000000000027</v>
      </c>
      <c r="BA97" s="865">
        <f>'P&amp;L'!BA30</f>
        <v>29.162999999999982</v>
      </c>
      <c r="BB97" s="865">
        <f>'P&amp;L'!BB30</f>
        <v>38.418999999999997</v>
      </c>
      <c r="BC97" s="86">
        <f>SUM(AY97:BB97)</f>
        <v>129.50700000000001</v>
      </c>
      <c r="BD97" s="39"/>
      <c r="BE97" s="864">
        <f>'P&amp;L'!BE30</f>
        <v>19.983000000000011</v>
      </c>
      <c r="BF97" s="865">
        <f>'P&amp;L'!BF30</f>
        <v>-51.749000000000052</v>
      </c>
      <c r="BG97" s="865">
        <f>'P&amp;L'!BG30</f>
        <v>40.695999999999948</v>
      </c>
      <c r="BH97" s="865">
        <f>'P&amp;L'!BH30</f>
        <v>60.210999999999949</v>
      </c>
      <c r="BI97" s="86">
        <f>SUM(BE97:BH97)</f>
        <v>69.140999999999849</v>
      </c>
      <c r="BJ97" s="39"/>
      <c r="BK97" s="864">
        <f>'P&amp;L'!BK30</f>
        <v>23.281999999999982</v>
      </c>
      <c r="BL97" s="865">
        <f>'P&amp;L'!BL30</f>
        <v>32.680999999999983</v>
      </c>
      <c r="BM97" s="865">
        <f>'P&amp;L'!BM30</f>
        <v>34.706999999999987</v>
      </c>
      <c r="BN97" s="865">
        <f>'P&amp;L'!BN30</f>
        <v>25.833999999999946</v>
      </c>
      <c r="BO97" s="86">
        <f>SUM(BK97:BN97)</f>
        <v>116.50399999999991</v>
      </c>
      <c r="BP97" s="39"/>
      <c r="BQ97" s="864">
        <f>'P&amp;L'!BQ30</f>
        <v>19.424999999999976</v>
      </c>
      <c r="BR97" s="865">
        <f>'P&amp;L'!BR30</f>
        <v>25.077000000000034</v>
      </c>
      <c r="BS97" s="865">
        <f>'P&amp;L'!BS30</f>
        <v>33.915999999999983</v>
      </c>
      <c r="BT97" s="865">
        <f>'P&amp;L'!BT30</f>
        <v>50.910000000000004</v>
      </c>
      <c r="BU97" s="86">
        <f>SUM(BQ97:BT97)</f>
        <v>129.328</v>
      </c>
      <c r="BV97" s="39"/>
      <c r="BW97" s="864">
        <f>'P&amp;L'!BW30</f>
        <v>15.98299999999999</v>
      </c>
      <c r="BX97" s="865">
        <f>'P&amp;L'!BX30</f>
        <v>21.012999999999991</v>
      </c>
      <c r="BY97" s="865">
        <f>'P&amp;L'!BY30</f>
        <v>33.820999999999991</v>
      </c>
      <c r="BZ97" s="865">
        <f>'P&amp;L'!BZ30</f>
        <v>8.613000000000028</v>
      </c>
      <c r="CA97" s="86">
        <f>SUM(BW97:BZ97)</f>
        <v>79.430000000000007</v>
      </c>
      <c r="CB97" s="39"/>
      <c r="CC97" s="864">
        <f>'P&amp;L'!CC30</f>
        <v>17.66100000000003</v>
      </c>
      <c r="CD97" s="865">
        <f>'P&amp;L'!CD30</f>
        <v>13.952000000000005</v>
      </c>
      <c r="CE97" s="865">
        <f>'P&amp;L'!CE30</f>
        <v>48.521000000000008</v>
      </c>
      <c r="CF97" s="865">
        <f>'P&amp;L'!CF30</f>
        <v>-39.653999999999996</v>
      </c>
      <c r="CG97" s="86">
        <f>SUM(CC97:CF97)</f>
        <v>40.480000000000047</v>
      </c>
      <c r="CH97" s="39"/>
      <c r="CI97" s="864">
        <f>'P&amp;L'!CI30</f>
        <v>-3.4374540413930106</v>
      </c>
      <c r="CJ97" s="865">
        <f>'P&amp;L'!CJ30</f>
        <v>16.999924978567108</v>
      </c>
      <c r="CK97" s="865">
        <f>'P&amp;L'!CK30</f>
        <v>19.095683584062144</v>
      </c>
      <c r="CL97" s="865">
        <f>'P&amp;L'!CL30</f>
        <v>36.113919467058246</v>
      </c>
      <c r="CM97" s="86">
        <f>SUM(CI97:CL97)</f>
        <v>68.772073988294494</v>
      </c>
      <c r="CN97" s="39"/>
      <c r="CO97" s="864">
        <f>'P&amp;L'!CO30</f>
        <v>13.056895901787733</v>
      </c>
      <c r="CP97" s="865">
        <f>'P&amp;L'!CP30</f>
        <v>27.090684993430919</v>
      </c>
      <c r="CQ97" s="865">
        <f>'P&amp;L'!CQ30</f>
        <v>32.221286792940518</v>
      </c>
      <c r="CR97" s="865">
        <f>'P&amp;L'!CR30</f>
        <v>50.642507013887865</v>
      </c>
      <c r="CS97" s="86">
        <f>SUM(CO97:CR97)</f>
        <v>123.01137470204704</v>
      </c>
      <c r="CT97" s="39"/>
      <c r="CU97" s="864">
        <f>'P&amp;L'!CU30</f>
        <v>38.490429394646739</v>
      </c>
      <c r="CV97" s="865">
        <f>'P&amp;L'!CV30</f>
        <v>55.497215306517631</v>
      </c>
      <c r="CW97" s="865">
        <f>'P&amp;L'!CW30</f>
        <v>61.572220469068732</v>
      </c>
      <c r="CX97" s="865">
        <f>'P&amp;L'!CX30</f>
        <v>81.867221229251939</v>
      </c>
      <c r="CY97" s="86">
        <f>SUM(CU97:CX97)</f>
        <v>237.42708639948506</v>
      </c>
      <c r="CZ97" s="84"/>
      <c r="DA97" s="84"/>
      <c r="DB97" s="84"/>
    </row>
    <row r="98" spans="1:106" ht="11.25" customHeight="1" x14ac:dyDescent="0.2">
      <c r="A98" s="67" t="s">
        <v>350</v>
      </c>
      <c r="B98" s="39"/>
      <c r="C98" s="102"/>
      <c r="D98" s="82"/>
      <c r="E98" s="82"/>
      <c r="F98" s="82"/>
      <c r="G98" s="87"/>
      <c r="H98" s="39"/>
      <c r="I98" s="102">
        <v>0</v>
      </c>
      <c r="J98" s="82">
        <v>0</v>
      </c>
      <c r="K98" s="82">
        <v>0</v>
      </c>
      <c r="L98" s="82">
        <v>0</v>
      </c>
      <c r="M98" s="86">
        <f>SUM(I98:L98)</f>
        <v>0</v>
      </c>
      <c r="N98" s="39"/>
      <c r="O98" s="102">
        <v>0</v>
      </c>
      <c r="P98" s="82">
        <v>0</v>
      </c>
      <c r="Q98" s="82">
        <v>0</v>
      </c>
      <c r="R98" s="82">
        <v>0</v>
      </c>
      <c r="S98" s="86">
        <f>SUM(O98:R98)</f>
        <v>0</v>
      </c>
      <c r="T98" s="39"/>
      <c r="U98" s="102">
        <v>0</v>
      </c>
      <c r="V98" s="82">
        <v>0</v>
      </c>
      <c r="W98" s="82">
        <v>0</v>
      </c>
      <c r="X98" s="82">
        <v>0</v>
      </c>
      <c r="Y98" s="86">
        <f>SUM(U98:X98)</f>
        <v>0</v>
      </c>
      <c r="Z98" s="39"/>
      <c r="AA98" s="102">
        <v>0</v>
      </c>
      <c r="AB98" s="82">
        <v>0</v>
      </c>
      <c r="AC98" s="82">
        <v>0</v>
      </c>
      <c r="AD98" s="82">
        <v>0</v>
      </c>
      <c r="AE98" s="86">
        <f>SUM(AA98:AD98)</f>
        <v>0</v>
      </c>
      <c r="AF98" s="39"/>
      <c r="AG98" s="102">
        <v>0</v>
      </c>
      <c r="AH98" s="82">
        <v>0</v>
      </c>
      <c r="AI98" s="82">
        <v>0</v>
      </c>
      <c r="AJ98" s="82">
        <v>0</v>
      </c>
      <c r="AK98" s="86">
        <f>SUM(AG98:AJ98)</f>
        <v>0</v>
      </c>
      <c r="AL98" s="39"/>
      <c r="AM98" s="102">
        <v>0</v>
      </c>
      <c r="AN98" s="82">
        <v>0</v>
      </c>
      <c r="AO98" s="82">
        <v>0</v>
      </c>
      <c r="AP98" s="82">
        <v>0</v>
      </c>
      <c r="AQ98" s="86">
        <f>SUM(AM98:AP98)</f>
        <v>0</v>
      </c>
      <c r="AR98" s="39"/>
      <c r="AS98" s="102">
        <v>0</v>
      </c>
      <c r="AT98" s="82">
        <v>0</v>
      </c>
      <c r="AU98" s="82">
        <v>0</v>
      </c>
      <c r="AV98" s="82">
        <v>0</v>
      </c>
      <c r="AW98" s="86">
        <f>SUM(AS98:AV98)</f>
        <v>0</v>
      </c>
      <c r="AX98" s="39"/>
      <c r="AY98" s="102">
        <v>0</v>
      </c>
      <c r="AZ98" s="82">
        <v>0</v>
      </c>
      <c r="BA98" s="82">
        <v>0</v>
      </c>
      <c r="BB98" s="82">
        <v>0</v>
      </c>
      <c r="BC98" s="86">
        <f>SUM(AY98:BB98)</f>
        <v>0</v>
      </c>
      <c r="BD98" s="39"/>
      <c r="BE98" s="102">
        <v>0</v>
      </c>
      <c r="BF98" s="82">
        <v>0</v>
      </c>
      <c r="BG98" s="82">
        <v>0</v>
      </c>
      <c r="BH98" s="82">
        <v>0</v>
      </c>
      <c r="BI98" s="86">
        <f>SUM(BE98:BH98)</f>
        <v>0</v>
      </c>
      <c r="BJ98" s="39"/>
      <c r="BK98" s="102">
        <v>0</v>
      </c>
      <c r="BL98" s="82">
        <v>0</v>
      </c>
      <c r="BM98" s="82">
        <v>0</v>
      </c>
      <c r="BN98" s="82">
        <v>0</v>
      </c>
      <c r="BO98" s="86">
        <f>SUM(BK98:BN98)</f>
        <v>0</v>
      </c>
      <c r="BP98" s="39"/>
      <c r="BQ98" s="102">
        <v>0</v>
      </c>
      <c r="BR98" s="82">
        <v>0</v>
      </c>
      <c r="BS98" s="82">
        <v>0</v>
      </c>
      <c r="BT98" s="82">
        <v>0</v>
      </c>
      <c r="BU98" s="86">
        <f>SUM(BQ98:BT98)</f>
        <v>0</v>
      </c>
      <c r="BV98" s="39"/>
      <c r="BW98" s="102">
        <v>0</v>
      </c>
      <c r="BX98" s="82">
        <v>0</v>
      </c>
      <c r="BY98" s="82">
        <v>0</v>
      </c>
      <c r="BZ98" s="82">
        <v>0</v>
      </c>
      <c r="CA98" s="86">
        <f>SUM(BW98:BZ98)</f>
        <v>0</v>
      </c>
      <c r="CB98" s="39"/>
      <c r="CC98" s="102">
        <v>0</v>
      </c>
      <c r="CD98" s="82">
        <v>0</v>
      </c>
      <c r="CE98" s="82">
        <v>0</v>
      </c>
      <c r="CF98" s="82">
        <v>0</v>
      </c>
      <c r="CG98" s="86">
        <f>SUM(CC98:CF98)</f>
        <v>0</v>
      </c>
      <c r="CH98" s="39"/>
      <c r="CI98" s="102">
        <v>0</v>
      </c>
      <c r="CJ98" s="82">
        <v>0</v>
      </c>
      <c r="CK98" s="82">
        <v>0</v>
      </c>
      <c r="CL98" s="82">
        <v>0</v>
      </c>
      <c r="CM98" s="86">
        <f>SUM(CI98:CL98)</f>
        <v>0</v>
      </c>
      <c r="CN98" s="39"/>
      <c r="CO98" s="102">
        <v>0</v>
      </c>
      <c r="CP98" s="82">
        <v>0</v>
      </c>
      <c r="CQ98" s="82">
        <v>0</v>
      </c>
      <c r="CR98" s="82">
        <v>0</v>
      </c>
      <c r="CS98" s="86">
        <f>SUM(CO98:CR98)</f>
        <v>0</v>
      </c>
      <c r="CT98" s="39"/>
      <c r="CU98" s="102">
        <v>0</v>
      </c>
      <c r="CV98" s="82">
        <v>0</v>
      </c>
      <c r="CW98" s="82">
        <v>0</v>
      </c>
      <c r="CX98" s="82">
        <v>0</v>
      </c>
      <c r="CY98" s="86">
        <f>SUM(CU98:CX98)</f>
        <v>0</v>
      </c>
      <c r="CZ98" s="82"/>
      <c r="DA98" s="82"/>
      <c r="DB98" s="82"/>
    </row>
    <row r="99" spans="1:106" ht="11.25" customHeight="1" x14ac:dyDescent="0.2">
      <c r="A99" s="67" t="s">
        <v>351</v>
      </c>
      <c r="B99" s="39"/>
      <c r="C99" s="99"/>
      <c r="D99" s="84"/>
      <c r="E99" s="84"/>
      <c r="F99" s="84"/>
      <c r="G99" s="86"/>
      <c r="H99" s="39"/>
      <c r="I99" s="99">
        <f>I48-G48</f>
        <v>-8.7589999999999968</v>
      </c>
      <c r="J99" s="84">
        <f>J48-I48</f>
        <v>-12.776</v>
      </c>
      <c r="K99" s="84">
        <f>K48-J48</f>
        <v>3.5079999999999991</v>
      </c>
      <c r="L99" s="84">
        <f>L48-K48</f>
        <v>-5.6999999999999993</v>
      </c>
      <c r="M99" s="86">
        <f>SUM(I99:L99)</f>
        <v>-23.726999999999997</v>
      </c>
      <c r="N99" s="39"/>
      <c r="O99" s="99">
        <f>O48-M48</f>
        <v>5.2070000000000007</v>
      </c>
      <c r="P99" s="84">
        <f>P48-O48</f>
        <v>11.795999999999999</v>
      </c>
      <c r="Q99" s="84">
        <f>Q48-P48</f>
        <v>-2.652000000000001</v>
      </c>
      <c r="R99" s="84">
        <f>R48-Q48</f>
        <v>9.9359999999999999</v>
      </c>
      <c r="S99" s="86">
        <f>SUM(O99:R99)</f>
        <v>24.286999999999999</v>
      </c>
      <c r="T99" s="39"/>
      <c r="U99" s="99">
        <f>U48-S48</f>
        <v>4.9609999999999985</v>
      </c>
      <c r="V99" s="84">
        <f>V48-U48</f>
        <v>2.203000000000003</v>
      </c>
      <c r="W99" s="84">
        <f>W48-V48</f>
        <v>17.454999999999998</v>
      </c>
      <c r="X99" s="84">
        <f>X48-W48</f>
        <v>9.1700000000000017</v>
      </c>
      <c r="Y99" s="86">
        <f>SUM(U99:X99)</f>
        <v>33.789000000000001</v>
      </c>
      <c r="Z99" s="39"/>
      <c r="AA99" s="99">
        <f>AA48-Y48</f>
        <v>27.477000000000004</v>
      </c>
      <c r="AB99" s="84">
        <f>AB48-AA48</f>
        <v>-0.70400000000000773</v>
      </c>
      <c r="AC99" s="84">
        <f>AC48-AB48</f>
        <v>-55.14</v>
      </c>
      <c r="AD99" s="84">
        <f>AD48-AC48</f>
        <v>-31.501999999999995</v>
      </c>
      <c r="AE99" s="86">
        <f>SUM(AA99:AD99)</f>
        <v>-59.869</v>
      </c>
      <c r="AF99" s="39"/>
      <c r="AG99" s="99">
        <f>AG48-AE48</f>
        <v>-21.134</v>
      </c>
      <c r="AH99" s="84">
        <f>AH48-AG48</f>
        <v>30.448</v>
      </c>
      <c r="AI99" s="84">
        <f>AI48-AH48</f>
        <v>23.810000000000002</v>
      </c>
      <c r="AJ99" s="84">
        <f>AJ48-AI48</f>
        <v>1.8669999999999973</v>
      </c>
      <c r="AK99" s="86">
        <f>SUM(AG99:AJ99)</f>
        <v>34.991</v>
      </c>
      <c r="AL99" s="39"/>
      <c r="AM99" s="99">
        <f>AM48-AK48</f>
        <v>-19.875</v>
      </c>
      <c r="AN99" s="84">
        <f>AN48-AM48</f>
        <v>-23.216000000000001</v>
      </c>
      <c r="AO99" s="84">
        <f>AO48-AN48</f>
        <v>54.619</v>
      </c>
      <c r="AP99" s="84">
        <f>AP48-AO48</f>
        <v>3.0800000000000054</v>
      </c>
      <c r="AQ99" s="86">
        <f>SUM(AM99:AP99)</f>
        <v>14.608000000000004</v>
      </c>
      <c r="AR99" s="39"/>
      <c r="AS99" s="99">
        <f>AS48-AQ48</f>
        <v>21.864999999999995</v>
      </c>
      <c r="AT99" s="84">
        <f>AT48-AS48</f>
        <v>16.784999999999997</v>
      </c>
      <c r="AU99" s="84">
        <f>AU48-AT48</f>
        <v>-94.248999999999995</v>
      </c>
      <c r="AV99" s="84">
        <f>AV48-AU48</f>
        <v>6.7490000000000006</v>
      </c>
      <c r="AW99" s="86">
        <f>SUM(AS99:AV99)</f>
        <v>-48.85</v>
      </c>
      <c r="AX99" s="39"/>
      <c r="AY99" s="99">
        <f>AY48-AW48</f>
        <v>30.659000000000002</v>
      </c>
      <c r="AZ99" s="84">
        <f>AZ48-AY48</f>
        <v>-37.486000000000004</v>
      </c>
      <c r="BA99" s="84">
        <f>BA48-AZ48</f>
        <v>29.783999999999999</v>
      </c>
      <c r="BB99" s="84">
        <f>BB48-BA48</f>
        <v>5.1300000000000026</v>
      </c>
      <c r="BC99" s="86">
        <f>SUM(AY99:BB99)</f>
        <v>28.087</v>
      </c>
      <c r="BD99" s="39"/>
      <c r="BE99" s="99">
        <f>BE48-BC48</f>
        <v>-23.480999999999998</v>
      </c>
      <c r="BF99" s="84">
        <f>BF48-BE48</f>
        <v>-149.43799999999999</v>
      </c>
      <c r="BG99" s="84">
        <f>BG48-BF48</f>
        <v>27.518000000000001</v>
      </c>
      <c r="BH99" s="84">
        <f>BH48-BG48</f>
        <v>97.217999999999989</v>
      </c>
      <c r="BI99" s="86">
        <f>SUM(BE99:BH99)</f>
        <v>-48.182999999999993</v>
      </c>
      <c r="BJ99" s="39"/>
      <c r="BK99" s="99">
        <f>BK48-BI48</f>
        <v>11.82</v>
      </c>
      <c r="BL99" s="84">
        <f>BL48-BK48</f>
        <v>5.4390000000000001</v>
      </c>
      <c r="BM99" s="84">
        <f>BM48-BL48</f>
        <v>-223.92500000000001</v>
      </c>
      <c r="BN99" s="84">
        <f>BN48-BM48</f>
        <v>76.12299999999999</v>
      </c>
      <c r="BO99" s="86">
        <f>SUM(BK99:BN99)</f>
        <v>-130.54300000000001</v>
      </c>
      <c r="BP99" s="39"/>
      <c r="BQ99" s="99">
        <f>BQ48-BO48</f>
        <v>-100.57899999999998</v>
      </c>
      <c r="BR99" s="84">
        <f>BR48-BQ48</f>
        <v>-114.74100000000001</v>
      </c>
      <c r="BS99" s="84">
        <f>BS48-BR48</f>
        <v>-51.272999999999968</v>
      </c>
      <c r="BT99" s="84">
        <f>BT48-BS48</f>
        <v>-10.240000000000009</v>
      </c>
      <c r="BU99" s="86">
        <f>SUM(BQ99:BT99)</f>
        <v>-276.83299999999997</v>
      </c>
      <c r="BV99" s="39"/>
      <c r="BW99" s="99">
        <f>BW48-BU48</f>
        <v>50.543999999999983</v>
      </c>
      <c r="BX99" s="84">
        <f>BX48-BW48</f>
        <v>-19.715000000000032</v>
      </c>
      <c r="BY99" s="84">
        <f>BY48-BX48</f>
        <v>5.3690000000000282</v>
      </c>
      <c r="BZ99" s="84">
        <f>BZ48-BY48</f>
        <v>-78.475000000000023</v>
      </c>
      <c r="CA99" s="86">
        <f>SUM(BW99:BZ99)</f>
        <v>-42.277000000000044</v>
      </c>
      <c r="CB99" s="39"/>
      <c r="CC99" s="99">
        <f>CC48-CA48</f>
        <v>81.159999999999968</v>
      </c>
      <c r="CD99" s="84">
        <f>CD48-CC48</f>
        <v>64.189000000000078</v>
      </c>
      <c r="CE99" s="84">
        <f>CE48-CD48</f>
        <v>-40.55800000000005</v>
      </c>
      <c r="CF99" s="84">
        <f>CF48-CE48</f>
        <v>9.3080000000000496</v>
      </c>
      <c r="CG99" s="86">
        <f>SUM(CC99:CF99)</f>
        <v>114.09900000000005</v>
      </c>
      <c r="CH99" s="39"/>
      <c r="CI99" s="99">
        <f>CI48-CG48</f>
        <v>0</v>
      </c>
      <c r="CJ99" s="84">
        <f>CJ48-CI48</f>
        <v>0</v>
      </c>
      <c r="CK99" s="84">
        <f>CK48-CJ48</f>
        <v>0</v>
      </c>
      <c r="CL99" s="84">
        <f>CL48-CK48</f>
        <v>0</v>
      </c>
      <c r="CM99" s="86">
        <f>SUM(CI99:CL99)</f>
        <v>0</v>
      </c>
      <c r="CN99" s="39"/>
      <c r="CO99" s="99">
        <f>CO48-CM48</f>
        <v>0</v>
      </c>
      <c r="CP99" s="84">
        <f>CP48-CO48</f>
        <v>0</v>
      </c>
      <c r="CQ99" s="84">
        <f>CQ48-CP48</f>
        <v>0</v>
      </c>
      <c r="CR99" s="84">
        <f>CR48-CQ48</f>
        <v>0</v>
      </c>
      <c r="CS99" s="86">
        <f>SUM(CO99:CR99)</f>
        <v>0</v>
      </c>
      <c r="CT99" s="39"/>
      <c r="CU99" s="99">
        <f>CU48-CS48</f>
        <v>0</v>
      </c>
      <c r="CV99" s="84">
        <f>CV48-CU48</f>
        <v>0</v>
      </c>
      <c r="CW99" s="84">
        <f>CW48-CV48</f>
        <v>0</v>
      </c>
      <c r="CX99" s="84">
        <f>CX48-CW48</f>
        <v>0</v>
      </c>
      <c r="CY99" s="86">
        <f>SUM(CU99:CX99)</f>
        <v>0</v>
      </c>
      <c r="CZ99" s="84"/>
      <c r="DA99" s="84"/>
      <c r="DB99" s="84"/>
    </row>
    <row r="100" spans="1:106" ht="11.25" customHeight="1" x14ac:dyDescent="0.2">
      <c r="A100" s="67" t="s">
        <v>352</v>
      </c>
      <c r="B100" s="39"/>
      <c r="C100" s="99"/>
      <c r="D100" s="84"/>
      <c r="E100" s="84"/>
      <c r="F100" s="84"/>
      <c r="G100" s="86"/>
      <c r="H100" s="39"/>
      <c r="I100" s="99">
        <f>I47-G47-I97-I98</f>
        <v>7.1054273576010019E-15</v>
      </c>
      <c r="J100" s="84">
        <f>J47-I47-J97-J98</f>
        <v>-2.1316282072803006E-14</v>
      </c>
      <c r="K100" s="84">
        <f>K47-J47-K97-K98</f>
        <v>3.5527136788005009E-15</v>
      </c>
      <c r="L100" s="84">
        <f>L47-K47-L97-L98</f>
        <v>7.1054273576010019E-15</v>
      </c>
      <c r="M100" s="86">
        <f>SUM(I100:L100)</f>
        <v>-3.5527136788005009E-15</v>
      </c>
      <c r="N100" s="39"/>
      <c r="O100" s="99">
        <f>O47-M47-O97-O98</f>
        <v>-2.1316282072803006E-14</v>
      </c>
      <c r="P100" s="84">
        <f>P47-O47-P97-P98</f>
        <v>4.6185277824406512E-14</v>
      </c>
      <c r="Q100" s="84">
        <f>Q47-P47-Q97-Q98</f>
        <v>-6.3948846218409017E-14</v>
      </c>
      <c r="R100" s="84">
        <f>R47-Q47-R97-R98</f>
        <v>3.5527136788005009E-15</v>
      </c>
      <c r="S100" s="86">
        <f>SUM(O100:R100)</f>
        <v>-3.5527136788005009E-14</v>
      </c>
      <c r="T100" s="39"/>
      <c r="U100" s="99">
        <f>U47-S47-U97-U98</f>
        <v>-6.9839999999999378</v>
      </c>
      <c r="V100" s="84">
        <f>V47-U47-V97-V98</f>
        <v>0.90200000000002234</v>
      </c>
      <c r="W100" s="84">
        <f>W47-V47-W97-W98</f>
        <v>-1.7763568394002505E-14</v>
      </c>
      <c r="X100" s="84">
        <f>X47-W47-X97-X98</f>
        <v>-7.1054273576010019E-14</v>
      </c>
      <c r="Y100" s="86">
        <f>SUM(U100:X100)</f>
        <v>-6.0820000000000043</v>
      </c>
      <c r="Z100" s="39"/>
      <c r="AA100" s="99">
        <f>AA47-Y47-AA97-AA98</f>
        <v>7.1054273576010019E-14</v>
      </c>
      <c r="AB100" s="84">
        <f>AB47-AA47-AB97-AB98</f>
        <v>9.9999999998701128E-4</v>
      </c>
      <c r="AC100" s="84">
        <f>AC47-AB47-AC97-AC98</f>
        <v>0</v>
      </c>
      <c r="AD100" s="84">
        <f>AD47-AC47-AD97-AD98</f>
        <v>-1.0000000000189857E-3</v>
      </c>
      <c r="AE100" s="86">
        <f>SUM(AA100:AD100)</f>
        <v>3.907985046680551E-14</v>
      </c>
      <c r="AF100" s="39"/>
      <c r="AG100" s="99">
        <f>AG47-AE47-AG97-AG98</f>
        <v>-5.6843418860808015E-14</v>
      </c>
      <c r="AH100" s="84">
        <f>AH47-AG47-AH97-AH98</f>
        <v>-7.1054273576010019E-15</v>
      </c>
      <c r="AI100" s="84">
        <f>AI47-AH47-AI97-AI98</f>
        <v>4.9737991503207013E-14</v>
      </c>
      <c r="AJ100" s="84">
        <f>AJ47-AI47-AJ97-AJ98</f>
        <v>-1.4210854715202004E-13</v>
      </c>
      <c r="AK100" s="86">
        <f>SUM(AG100:AJ100)</f>
        <v>-1.5631940186722204E-13</v>
      </c>
      <c r="AL100" s="39"/>
      <c r="AM100" s="99">
        <f>AM47-AK47-AM97-AM98</f>
        <v>5.6843418860808015E-14</v>
      </c>
      <c r="AN100" s="84">
        <f>AN47-AM47-AN97-AN98</f>
        <v>-9.9999999999056399E-4</v>
      </c>
      <c r="AO100" s="84">
        <f>AO47-AN47-AO97-AO98</f>
        <v>1.0000000000474074E-3</v>
      </c>
      <c r="AP100" s="84">
        <f>AP47-AO47-AP97-AP98</f>
        <v>-1.0000000000331966E-3</v>
      </c>
      <c r="AQ100" s="86">
        <f>SUM(AM100:AP100)</f>
        <v>-9.9999999991950972E-4</v>
      </c>
      <c r="AR100" s="39"/>
      <c r="AS100" s="99">
        <f>AS47-AQ47-AS97-AS98</f>
        <v>2.8421709430404007E-14</v>
      </c>
      <c r="AT100" s="84">
        <f>AT47-AS47-AT97-AT98</f>
        <v>-1.4210854715202004E-14</v>
      </c>
      <c r="AU100" s="84">
        <f>AU47-AT47-AU97-AU98</f>
        <v>-1.4210854715202004E-14</v>
      </c>
      <c r="AV100" s="84">
        <f>AV47-AU47-AV97-AV98</f>
        <v>1.9999999998958629E-3</v>
      </c>
      <c r="AW100" s="86">
        <f>SUM(AS100:AV100)</f>
        <v>1.9999999998958629E-3</v>
      </c>
      <c r="AX100" s="39"/>
      <c r="AY100" s="99">
        <f>AY47-AW47-AY97-AY98</f>
        <v>-1.0658141036401503E-14</v>
      </c>
      <c r="AZ100" s="84">
        <f>AZ47-AY47-AZ97-AZ98</f>
        <v>-1.0000000000331966E-3</v>
      </c>
      <c r="BA100" s="84">
        <f>BA47-AZ47-BA97-BA98</f>
        <v>2.8421709430404007E-14</v>
      </c>
      <c r="BB100" s="84">
        <f>BB47-BA47-BB97-BB98</f>
        <v>-1.4210854715202004E-14</v>
      </c>
      <c r="BC100" s="86">
        <f>SUM(AY100:BB100)</f>
        <v>-1.0000000000296438E-3</v>
      </c>
      <c r="BD100" s="39"/>
      <c r="BE100" s="99">
        <f>BE47-BC47-BE97-BE98</f>
        <v>4.9737991503207013E-14</v>
      </c>
      <c r="BF100" s="84">
        <f>BF47-BE47-BF97-BF98</f>
        <v>-1.2000000000028876E-2</v>
      </c>
      <c r="BG100" s="84">
        <f>BG47-BF47-BG97-BG98</f>
        <v>5.0000000000736122E-3</v>
      </c>
      <c r="BH100" s="84">
        <f>BH47-BG47-BH97-BH98</f>
        <v>-0.13699999999987966</v>
      </c>
      <c r="BI100" s="86">
        <f>SUM(BE100:BH100)</f>
        <v>-0.14399999999978519</v>
      </c>
      <c r="BJ100" s="39"/>
      <c r="BK100" s="99">
        <f>BK47-BI47-BK97-BK98</f>
        <v>-14.522999999999968</v>
      </c>
      <c r="BL100" s="84">
        <f>BL47-BK47-BL97-BL98</f>
        <v>-16.621000000000038</v>
      </c>
      <c r="BM100" s="84">
        <f>BM47-BL47-BM97-BM98</f>
        <v>-12.561000000000028</v>
      </c>
      <c r="BN100" s="84">
        <f>BN47-BM47-BN97-BN98</f>
        <v>-1.5439999999999827</v>
      </c>
      <c r="BO100" s="86">
        <f>SUM(BK100:BN100)</f>
        <v>-45.249000000000017</v>
      </c>
      <c r="BP100" s="39"/>
      <c r="BQ100" s="99">
        <f>BQ47-BO47-BQ97-BQ98</f>
        <v>-8.139999999999894</v>
      </c>
      <c r="BR100" s="84">
        <f>BR47-BQ47-BR97-BR98</f>
        <v>-13.499000000000059</v>
      </c>
      <c r="BS100" s="84">
        <f>BS47-BR47-BS97-BS98</f>
        <v>-1.3289999999999935</v>
      </c>
      <c r="BT100" s="84">
        <f>BT47-BS47-BT97-BT98</f>
        <v>-4.5369999999999564</v>
      </c>
      <c r="BU100" s="86">
        <f>SUM(BQ100:BT100)</f>
        <v>-27.504999999999903</v>
      </c>
      <c r="BV100" s="39"/>
      <c r="BW100" s="99">
        <f>BW47-BU47-BW97-BW98</f>
        <v>-7.8250000000000881</v>
      </c>
      <c r="BX100" s="84">
        <f>BX47-BW47-BX97-BX98</f>
        <v>-12.791999999999987</v>
      </c>
      <c r="BY100" s="84">
        <f>BY47-BX47-BY97-BY98</f>
        <v>-4.1039999999998926</v>
      </c>
      <c r="BZ100" s="84">
        <f>BZ47-BY47-BZ97-BZ98</f>
        <v>-18.754000000000104</v>
      </c>
      <c r="CA100" s="86">
        <f>SUM(BW100:BZ100)</f>
        <v>-43.475000000000072</v>
      </c>
      <c r="CB100" s="39"/>
      <c r="CC100" s="99">
        <f>CC47-CA47-CC97-CC98</f>
        <v>-40.641000000000048</v>
      </c>
      <c r="CD100" s="84">
        <f>CD47-CC47-CD97-CD98</f>
        <v>-12.672000000000033</v>
      </c>
      <c r="CE100" s="84">
        <f>CE47-CD47-CE97-CE98</f>
        <v>-0.68199999999983874</v>
      </c>
      <c r="CF100" s="84">
        <f>CF47-CE47-CF97-CF98</f>
        <v>-2.0040000000001328</v>
      </c>
      <c r="CG100" s="86">
        <f>SUM(CC100:CF100)</f>
        <v>-55.999000000000052</v>
      </c>
      <c r="CH100" s="39"/>
      <c r="CI100" s="102">
        <v>0</v>
      </c>
      <c r="CJ100" s="82">
        <v>0</v>
      </c>
      <c r="CK100" s="82">
        <v>0</v>
      </c>
      <c r="CL100" s="82">
        <v>0</v>
      </c>
      <c r="CM100" s="86">
        <f>SUM(CI100:CL100)</f>
        <v>0</v>
      </c>
      <c r="CN100" s="39"/>
      <c r="CO100" s="102">
        <v>0</v>
      </c>
      <c r="CP100" s="82">
        <v>0</v>
      </c>
      <c r="CQ100" s="82">
        <v>0</v>
      </c>
      <c r="CR100" s="82">
        <v>0</v>
      </c>
      <c r="CS100" s="86">
        <f>SUM(CO100:CR100)</f>
        <v>0</v>
      </c>
      <c r="CT100" s="39"/>
      <c r="CU100" s="102">
        <v>0</v>
      </c>
      <c r="CV100" s="82">
        <v>0</v>
      </c>
      <c r="CW100" s="82">
        <v>0</v>
      </c>
      <c r="CX100" s="82">
        <v>0</v>
      </c>
      <c r="CY100" s="86">
        <f>SUM(CU100:CX100)</f>
        <v>0</v>
      </c>
      <c r="CZ100" s="84"/>
      <c r="DA100" s="84"/>
      <c r="DB100" s="84"/>
    </row>
    <row r="101" spans="1:106" ht="11.25" customHeight="1" x14ac:dyDescent="0.2">
      <c r="A101" s="68" t="s">
        <v>353</v>
      </c>
      <c r="B101" s="240"/>
      <c r="C101" s="111"/>
      <c r="D101" s="85"/>
      <c r="E101" s="85"/>
      <c r="F101" s="85"/>
      <c r="G101" s="88">
        <f>G49</f>
        <v>400.37600000000003</v>
      </c>
      <c r="H101" s="240"/>
      <c r="I101" s="111">
        <f>SUM(I95:I100)</f>
        <v>410.53</v>
      </c>
      <c r="J101" s="85">
        <f>SUM(J95:J100)</f>
        <v>412.952</v>
      </c>
      <c r="K101" s="85">
        <f>SUM(K95:K100)</f>
        <v>437.60899999999998</v>
      </c>
      <c r="L101" s="85">
        <f>SUM(L95:L100)</f>
        <v>450.45700000000005</v>
      </c>
      <c r="M101" s="88">
        <f>SUM(M95:M100)</f>
        <v>450.45700000000011</v>
      </c>
      <c r="N101" s="240"/>
      <c r="O101" s="111">
        <f>SUM(O95:O100)</f>
        <v>480.66500000000008</v>
      </c>
      <c r="P101" s="85">
        <f>SUM(P95:P100)</f>
        <v>508.62000000000012</v>
      </c>
      <c r="Q101" s="85">
        <f>SUM(Q95:Q100)</f>
        <v>528.73900000000003</v>
      </c>
      <c r="R101" s="85">
        <f>SUM(R95:R100)</f>
        <v>566.16500000000008</v>
      </c>
      <c r="S101" s="88">
        <f>SUM(S95:S100)</f>
        <v>566.16500000000019</v>
      </c>
      <c r="T101" s="240"/>
      <c r="U101" s="111">
        <f>SUM(U95:U100)</f>
        <v>587.49400000000026</v>
      </c>
      <c r="V101" s="85">
        <f>SUM(V95:V100)</f>
        <v>617.24400000000026</v>
      </c>
      <c r="W101" s="85">
        <f>SUM(W95:W100)</f>
        <v>1327.9690000000001</v>
      </c>
      <c r="X101" s="85">
        <f>SUM(X95:X100)</f>
        <v>1391.575</v>
      </c>
      <c r="Y101" s="88">
        <f>SUM(Y95:Y100)</f>
        <v>1391.575</v>
      </c>
      <c r="Z101" s="240"/>
      <c r="AA101" s="111">
        <f>SUM(AA95:AA100)</f>
        <v>1451.0460000000003</v>
      </c>
      <c r="AB101" s="85">
        <f>SUM(AB95:AB100)</f>
        <v>1479.029</v>
      </c>
      <c r="AC101" s="85">
        <f>SUM(AC95:AC100)</f>
        <v>1457.7599999999998</v>
      </c>
      <c r="AD101" s="85">
        <f>SUM(AD95:AD100)</f>
        <v>1453.8439999999996</v>
      </c>
      <c r="AE101" s="88">
        <f>SUM(AE95:AE100)</f>
        <v>1453.8440000000001</v>
      </c>
      <c r="AF101" s="240"/>
      <c r="AG101" s="111">
        <f>SUM(AG95:AG100)</f>
        <v>1462.4390000000001</v>
      </c>
      <c r="AH101" s="85">
        <f>SUM(AH95:AH100)</f>
        <v>1534.6140000000003</v>
      </c>
      <c r="AI101" s="85">
        <f>SUM(AI95:AI100)</f>
        <v>2228.3090000000002</v>
      </c>
      <c r="AJ101" s="85">
        <f>SUM(AJ95:AJ100)</f>
        <v>2291.1690000000003</v>
      </c>
      <c r="AK101" s="88">
        <f>SUM(AK95:AK100)</f>
        <v>2291.1690000000003</v>
      </c>
      <c r="AL101" s="240"/>
      <c r="AM101" s="111">
        <f>SUM(AM95:AM100)</f>
        <v>2311.0650000000005</v>
      </c>
      <c r="AN101" s="85">
        <f>SUM(AN95:AN100)</f>
        <v>2334.5430000000006</v>
      </c>
      <c r="AO101" s="85">
        <f>SUM(AO95:AO100)</f>
        <v>2430.469000000001</v>
      </c>
      <c r="AP101" s="85">
        <f>SUM(AP95:AP100)</f>
        <v>2476.3530000000005</v>
      </c>
      <c r="AQ101" s="88">
        <f>SUM(AQ95:AQ100)</f>
        <v>2476.3530000000005</v>
      </c>
      <c r="AR101" s="240"/>
      <c r="AS101" s="111">
        <f>SUM(AS95:AS100)</f>
        <v>2536.2950000000001</v>
      </c>
      <c r="AT101" s="85">
        <f>SUM(AT95:AT100)</f>
        <v>2594.2269999999999</v>
      </c>
      <c r="AU101" s="85">
        <f>SUM(AU95:AU100)</f>
        <v>2542.7550000000001</v>
      </c>
      <c r="AV101" s="85">
        <f>SUM(AV95:AV100)</f>
        <v>2548.3040000000001</v>
      </c>
      <c r="AW101" s="88">
        <f>SUM(AW95:AW100)</f>
        <v>2548.304000000001</v>
      </c>
      <c r="AX101" s="240"/>
      <c r="AY101" s="111">
        <f>SUM(AY95:AY100)</f>
        <v>2625.3540000000012</v>
      </c>
      <c r="AZ101" s="85">
        <f>SUM(AZ95:AZ100)</f>
        <v>2632.1490000000013</v>
      </c>
      <c r="BA101" s="85">
        <f>SUM(BA95:BA100)</f>
        <v>2702.1230000000014</v>
      </c>
      <c r="BB101" s="85">
        <f>SUM(BB95:BB100)</f>
        <v>2714.7040000000015</v>
      </c>
      <c r="BC101" s="88">
        <f>SUM(BC95:BC100)</f>
        <v>2714.7040000000006</v>
      </c>
      <c r="BD101" s="240"/>
      <c r="BE101" s="111">
        <f>SUM(BE95:BE100)</f>
        <v>2681.0150000000008</v>
      </c>
      <c r="BF101" s="85">
        <f>SUM(BF95:BF100)</f>
        <v>2585.7700000000004</v>
      </c>
      <c r="BG101" s="85">
        <f>SUM(BG95:BG100)</f>
        <v>2666.3680000000004</v>
      </c>
      <c r="BH101" s="85">
        <f>SUM(BH95:BH100)</f>
        <v>2714.3320000000003</v>
      </c>
      <c r="BI101" s="88">
        <f>SUM(BI95:BI100)</f>
        <v>2714.3320000000008</v>
      </c>
      <c r="BJ101" s="240"/>
      <c r="BK101" s="111">
        <f>SUM(BK95:BK100)</f>
        <v>2723.6840000000007</v>
      </c>
      <c r="BL101" s="85">
        <f>SUM(BL95:BL100)</f>
        <v>2745.7670000000007</v>
      </c>
      <c r="BM101" s="85">
        <f>SUM(BM95:BM100)</f>
        <v>2705.3060000000005</v>
      </c>
      <c r="BN101" s="85">
        <f>SUM(BN95:BN100)</f>
        <v>2649.7440000000006</v>
      </c>
      <c r="BO101" s="88">
        <f>SUM(BO95:BO100)</f>
        <v>2649.7440000000011</v>
      </c>
      <c r="BP101" s="240"/>
      <c r="BQ101" s="111">
        <f>SUM(BQ95:BQ100)</f>
        <v>2471.1840000000011</v>
      </c>
      <c r="BR101" s="85">
        <f>SUM(BR95:BR100)</f>
        <v>2533.708000000001</v>
      </c>
      <c r="BS101" s="85">
        <f>SUM(BS95:BS100)</f>
        <v>2517.9810000000011</v>
      </c>
      <c r="BT101" s="85">
        <f>SUM(BT95:BT100)</f>
        <v>2559.9200000000014</v>
      </c>
      <c r="BU101" s="88">
        <f>SUM(BU95:BU100)</f>
        <v>2559.920000000001</v>
      </c>
      <c r="BV101" s="240"/>
      <c r="BW101" s="111">
        <f>SUM(BW95:BW100)</f>
        <v>2624.5980000000009</v>
      </c>
      <c r="BX101" s="85">
        <f>SUM(BX95:BX100)</f>
        <v>2621.0820000000008</v>
      </c>
      <c r="BY101" s="85">
        <f>SUM(BY95:BY100)</f>
        <v>2665.7000000000007</v>
      </c>
      <c r="BZ101" s="85">
        <f>SUM(BZ95:BZ100)</f>
        <v>2607.0960000000005</v>
      </c>
      <c r="CA101" s="88">
        <f>SUM(CA95:CA100)</f>
        <v>2607.0960000000009</v>
      </c>
      <c r="CB101" s="240"/>
      <c r="CC101" s="111">
        <f>SUM(CC95:CC100)</f>
        <v>2429.804000000001</v>
      </c>
      <c r="CD101" s="85">
        <f>SUM(CD95:CD100)</f>
        <v>2505.3740000000012</v>
      </c>
      <c r="CE101" s="85">
        <f>SUM(CE95:CE100)</f>
        <v>2566.5960000000018</v>
      </c>
      <c r="CF101" s="85">
        <f>SUM(CF95:CF100)</f>
        <v>2540.9960000000019</v>
      </c>
      <c r="CG101" s="88">
        <f>SUM(CG95:CG100)</f>
        <v>2540.996000000001</v>
      </c>
      <c r="CH101" s="240"/>
      <c r="CI101" s="111">
        <f>SUM(CI95:CI100)</f>
        <v>2496.1134701694718</v>
      </c>
      <c r="CJ101" s="85">
        <f>SUM(CJ95:CJ100)</f>
        <v>2472.8635889855836</v>
      </c>
      <c r="CK101" s="85">
        <f>SUM(CK95:CK100)</f>
        <v>2452.0337432675442</v>
      </c>
      <c r="CL101" s="85">
        <f>SUM(CL95:CL100)</f>
        <v>2448.8866556724893</v>
      </c>
      <c r="CM101" s="88">
        <f>SUM(CM95:CM100)</f>
        <v>2448.8866556724893</v>
      </c>
      <c r="CN101" s="240"/>
      <c r="CO101" s="111">
        <f>SUM(CO95:CO100)</f>
        <v>2421.4417792075283</v>
      </c>
      <c r="CP101" s="85">
        <f>SUM(CP95:CP100)</f>
        <v>2409.0192524745926</v>
      </c>
      <c r="CQ101" s="85">
        <f>SUM(CQ95:CQ100)</f>
        <v>2401.9167311733286</v>
      </c>
      <c r="CR101" s="85">
        <f>SUM(CR95:CR100)</f>
        <v>2414.2492743189091</v>
      </c>
      <c r="CS101" s="88">
        <f>SUM(CS95:CS100)</f>
        <v>2414.2492743189086</v>
      </c>
      <c r="CT101" s="240"/>
      <c r="CU101" s="111">
        <f>SUM(CU95:CU100)</f>
        <v>2413.255772013491</v>
      </c>
      <c r="CV101" s="85">
        <f>SUM(CV95:CV100)</f>
        <v>2430.2956155107086</v>
      </c>
      <c r="CW101" s="85">
        <f>SUM(CW95:CW100)</f>
        <v>2453.5929921559236</v>
      </c>
      <c r="CX101" s="85">
        <f>SUM(CX95:CX100)</f>
        <v>2498.2875413956913</v>
      </c>
      <c r="CY101" s="88">
        <f>SUM(CY95:CY100)</f>
        <v>2498.2875413956917</v>
      </c>
      <c r="CZ101" s="83"/>
      <c r="DA101" s="83"/>
      <c r="DB101" s="83"/>
    </row>
    <row r="102" spans="1:106" ht="11.25" customHeight="1" x14ac:dyDescent="0.2">
      <c r="A102" s="69"/>
      <c r="B102" s="39"/>
      <c r="C102" s="20"/>
      <c r="D102" s="20"/>
      <c r="E102" s="20"/>
      <c r="F102" s="20"/>
      <c r="G102" s="20"/>
      <c r="H102" s="39"/>
      <c r="I102" s="20"/>
      <c r="J102" s="20"/>
      <c r="K102" s="20"/>
      <c r="L102" s="20"/>
      <c r="M102" s="20"/>
      <c r="N102" s="39"/>
      <c r="O102" s="20"/>
      <c r="P102" s="20"/>
      <c r="Q102" s="20"/>
      <c r="R102" s="20"/>
      <c r="S102" s="490"/>
      <c r="T102" s="39"/>
      <c r="U102" s="20"/>
      <c r="V102" s="20"/>
      <c r="W102" s="20"/>
      <c r="X102" s="20"/>
      <c r="Y102" s="491"/>
      <c r="Z102" s="39"/>
      <c r="AA102" s="20"/>
      <c r="AB102" s="20"/>
      <c r="AC102" s="20"/>
      <c r="AD102" s="20"/>
      <c r="AE102" s="20"/>
      <c r="AF102" s="39"/>
      <c r="AG102" s="20"/>
      <c r="AH102" s="20"/>
      <c r="AI102" s="20"/>
      <c r="AJ102" s="20"/>
      <c r="AK102" s="39"/>
      <c r="AL102" s="39"/>
      <c r="AM102" s="20"/>
      <c r="AN102" s="20"/>
      <c r="AO102" s="20"/>
      <c r="AP102" s="20"/>
      <c r="AQ102" s="39"/>
      <c r="AR102" s="39"/>
      <c r="AS102" s="20"/>
      <c r="AT102" s="20"/>
      <c r="AU102" s="20"/>
      <c r="AV102" s="20"/>
      <c r="AW102" s="20"/>
      <c r="AX102" s="39"/>
      <c r="AY102" s="20"/>
      <c r="AZ102" s="20"/>
      <c r="BA102" s="20"/>
      <c r="BB102" s="20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39"/>
      <c r="DB102" s="39"/>
    </row>
    <row r="103" spans="1:106" ht="11.25" customHeight="1" x14ac:dyDescent="0.2">
      <c r="A103" s="61" t="s">
        <v>354</v>
      </c>
      <c r="B103" s="16"/>
      <c r="C103" s="147"/>
      <c r="D103" s="147"/>
      <c r="E103" s="147"/>
      <c r="F103" s="147"/>
      <c r="G103" s="147"/>
      <c r="H103" s="25"/>
      <c r="I103" s="147"/>
      <c r="J103" s="147"/>
      <c r="K103" s="147"/>
      <c r="L103" s="147"/>
      <c r="M103" s="147"/>
      <c r="N103" s="25"/>
      <c r="O103" s="147"/>
      <c r="P103" s="147"/>
      <c r="Q103" s="147"/>
      <c r="R103" s="147"/>
      <c r="S103" s="177"/>
      <c r="T103" s="25"/>
      <c r="U103" s="147"/>
      <c r="V103" s="147"/>
      <c r="W103" s="147"/>
      <c r="X103" s="147"/>
      <c r="Y103" s="178"/>
      <c r="Z103" s="25"/>
      <c r="AA103" s="147"/>
      <c r="AB103" s="147"/>
      <c r="AC103" s="147"/>
      <c r="AD103" s="147"/>
      <c r="AE103" s="147"/>
      <c r="AF103" s="25"/>
      <c r="AG103" s="147"/>
      <c r="AH103" s="147"/>
      <c r="AI103" s="147"/>
      <c r="AJ103" s="147"/>
      <c r="AK103" s="25"/>
      <c r="AL103" s="25"/>
      <c r="AM103" s="147"/>
      <c r="AN103" s="147"/>
      <c r="AO103" s="147"/>
      <c r="AP103" s="147"/>
      <c r="AQ103" s="25"/>
      <c r="AR103" s="25"/>
      <c r="AS103" s="147"/>
      <c r="AT103" s="147"/>
      <c r="AU103" s="147"/>
      <c r="AV103" s="147"/>
      <c r="AW103" s="147"/>
      <c r="AX103" s="25"/>
      <c r="AY103" s="147"/>
      <c r="AZ103" s="147"/>
      <c r="BA103" s="147"/>
      <c r="BB103" s="147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47"/>
      <c r="BP103" s="25"/>
      <c r="BQ103" s="25"/>
      <c r="BR103" s="25"/>
      <c r="BS103" s="25"/>
      <c r="BT103" s="25"/>
      <c r="BU103" s="47"/>
      <c r="BV103" s="25"/>
      <c r="BW103" s="25"/>
      <c r="BX103" s="25"/>
      <c r="BY103" s="25"/>
      <c r="BZ103" s="25"/>
      <c r="CA103" s="47"/>
      <c r="CB103" s="25"/>
      <c r="CC103" s="25"/>
      <c r="CD103" s="25"/>
      <c r="CE103" s="25"/>
      <c r="CF103" s="25"/>
      <c r="CG103" s="47"/>
      <c r="CH103" s="25"/>
      <c r="CI103" s="25"/>
      <c r="CJ103" s="25"/>
      <c r="CK103" s="25"/>
      <c r="CL103" s="25"/>
      <c r="CM103" s="47"/>
      <c r="CN103" s="25"/>
      <c r="CO103" s="25"/>
      <c r="CP103" s="25"/>
      <c r="CQ103" s="25"/>
      <c r="CR103" s="25"/>
      <c r="CS103" s="47"/>
      <c r="CT103" s="25"/>
      <c r="CU103" s="25"/>
      <c r="CV103" s="25"/>
      <c r="CW103" s="25"/>
      <c r="CX103" s="25"/>
      <c r="CY103" s="47"/>
      <c r="CZ103" s="39"/>
      <c r="DA103" s="39"/>
      <c r="DB103" s="39"/>
    </row>
    <row r="104" spans="1:106" ht="11.25" customHeight="1" outlineLevel="1" x14ac:dyDescent="0.2">
      <c r="A104" s="70" t="s">
        <v>355</v>
      </c>
      <c r="B104" s="39"/>
      <c r="C104" s="94"/>
      <c r="D104" s="95"/>
      <c r="E104" s="95"/>
      <c r="F104" s="95"/>
      <c r="G104" s="96"/>
      <c r="H104" s="39"/>
      <c r="I104" s="94"/>
      <c r="J104" s="95"/>
      <c r="K104" s="95"/>
      <c r="L104" s="95"/>
      <c r="M104" s="96"/>
      <c r="N104" s="39"/>
      <c r="O104" s="94"/>
      <c r="P104" s="95"/>
      <c r="Q104" s="95"/>
      <c r="R104" s="95"/>
      <c r="S104" s="96"/>
      <c r="T104" s="39"/>
      <c r="U104" s="94"/>
      <c r="V104" s="95"/>
      <c r="W104" s="95"/>
      <c r="X104" s="95"/>
      <c r="Y104" s="96"/>
      <c r="Z104" s="39"/>
      <c r="AA104" s="94"/>
      <c r="AB104" s="95"/>
      <c r="AC104" s="95"/>
      <c r="AD104" s="95"/>
      <c r="AE104" s="96"/>
      <c r="AF104" s="39"/>
      <c r="AG104" s="94"/>
      <c r="AH104" s="95"/>
      <c r="AI104" s="95"/>
      <c r="AJ104" s="95"/>
      <c r="AK104" s="96"/>
      <c r="AL104" s="39"/>
      <c r="AM104" s="94"/>
      <c r="AN104" s="95"/>
      <c r="AO104" s="95"/>
      <c r="AP104" s="95"/>
      <c r="AQ104" s="96"/>
      <c r="AR104" s="39"/>
      <c r="AS104" s="94"/>
      <c r="AT104" s="95"/>
      <c r="AU104" s="95"/>
      <c r="AV104" s="95"/>
      <c r="AW104" s="96"/>
      <c r="AX104" s="39"/>
      <c r="AY104" s="94"/>
      <c r="AZ104" s="95"/>
      <c r="BA104" s="95"/>
      <c r="BB104" s="95"/>
      <c r="BC104" s="96"/>
      <c r="BD104" s="39"/>
      <c r="BE104" s="94"/>
      <c r="BF104" s="95"/>
      <c r="BG104" s="95"/>
      <c r="BH104" s="95"/>
      <c r="BI104" s="96"/>
      <c r="BJ104" s="95"/>
      <c r="BK104" s="94"/>
      <c r="BL104" s="95"/>
      <c r="BM104" s="95"/>
      <c r="BN104" s="95"/>
      <c r="BO104" s="96"/>
      <c r="BP104" s="95"/>
      <c r="BQ104" s="94"/>
      <c r="BR104" s="95"/>
      <c r="BS104" s="95"/>
      <c r="BT104" s="95"/>
      <c r="BU104" s="96"/>
      <c r="BV104" s="95"/>
      <c r="BW104" s="94"/>
      <c r="BX104" s="95"/>
      <c r="BY104" s="95"/>
      <c r="BZ104" s="95"/>
      <c r="CA104" s="96"/>
      <c r="CB104" s="95"/>
      <c r="CC104" s="94"/>
      <c r="CD104" s="95"/>
      <c r="CE104" s="95"/>
      <c r="CF104" s="95"/>
      <c r="CG104" s="96"/>
      <c r="CH104" s="95"/>
      <c r="CI104" s="94"/>
      <c r="CJ104" s="95"/>
      <c r="CK104" s="95"/>
      <c r="CL104" s="95"/>
      <c r="CM104" s="96"/>
      <c r="CN104" s="95"/>
      <c r="CO104" s="94"/>
      <c r="CP104" s="95"/>
      <c r="CQ104" s="95"/>
      <c r="CR104" s="95"/>
      <c r="CS104" s="96"/>
      <c r="CT104" s="95"/>
      <c r="CU104" s="94"/>
      <c r="CV104" s="95"/>
      <c r="CW104" s="95"/>
      <c r="CX104" s="95"/>
      <c r="CY104" s="96"/>
      <c r="CZ104" s="95"/>
      <c r="DA104" s="95"/>
      <c r="DB104" s="95"/>
    </row>
    <row r="105" spans="1:106" ht="11.25" customHeight="1" outlineLevel="1" x14ac:dyDescent="0.2">
      <c r="A105" s="62" t="s">
        <v>356</v>
      </c>
      <c r="B105" s="39"/>
      <c r="C105" s="97"/>
      <c r="D105" s="83"/>
      <c r="E105" s="83"/>
      <c r="F105" s="83"/>
      <c r="G105" s="98"/>
      <c r="H105" s="39"/>
      <c r="I105" s="97">
        <f>G110</f>
        <v>317.464</v>
      </c>
      <c r="J105" s="83">
        <f>I110</f>
        <v>320.39</v>
      </c>
      <c r="K105" s="83">
        <f>J110</f>
        <v>323.07099999999997</v>
      </c>
      <c r="L105" s="83">
        <f>K110</f>
        <v>325.67299999999994</v>
      </c>
      <c r="M105" s="98">
        <f>G110</f>
        <v>317.464</v>
      </c>
      <c r="N105" s="39"/>
      <c r="O105" s="97">
        <f>M110</f>
        <v>300.38700000000006</v>
      </c>
      <c r="P105" s="83">
        <f>O110</f>
        <v>304.95000000000005</v>
      </c>
      <c r="Q105" s="83">
        <f>P110</f>
        <v>314.79100000000005</v>
      </c>
      <c r="R105" s="83">
        <f>Q110</f>
        <v>322.46200000000005</v>
      </c>
      <c r="S105" s="98">
        <f>M110</f>
        <v>300.38700000000006</v>
      </c>
      <c r="T105" s="39"/>
      <c r="U105" s="97">
        <f>S110</f>
        <v>352.92700000000002</v>
      </c>
      <c r="V105" s="83">
        <f>U110</f>
        <v>359.76600000000002</v>
      </c>
      <c r="W105" s="83">
        <f>V110</f>
        <v>367.88</v>
      </c>
      <c r="X105" s="83">
        <f>W110</f>
        <v>417.339</v>
      </c>
      <c r="Y105" s="98">
        <f>S110</f>
        <v>352.92700000000002</v>
      </c>
      <c r="Z105" s="39"/>
      <c r="AA105" s="97">
        <f>Y110</f>
        <v>449.97</v>
      </c>
      <c r="AB105" s="83">
        <f>AA110</f>
        <v>459.51400000000001</v>
      </c>
      <c r="AC105" s="83">
        <f>AB110</f>
        <v>465.565</v>
      </c>
      <c r="AD105" s="83">
        <f>AC110</f>
        <v>481.14699999999999</v>
      </c>
      <c r="AE105" s="98">
        <f>Y110</f>
        <v>449.97</v>
      </c>
      <c r="AF105" s="39"/>
      <c r="AG105" s="97">
        <f>AE110</f>
        <v>483.74200000000002</v>
      </c>
      <c r="AH105" s="83">
        <f>AG110</f>
        <v>493.66900000000004</v>
      </c>
      <c r="AI105" s="83">
        <f>AH110</f>
        <v>506.55800000000005</v>
      </c>
      <c r="AJ105" s="83">
        <f>AI110</f>
        <v>522.78</v>
      </c>
      <c r="AK105" s="98">
        <f>AE110</f>
        <v>483.74200000000002</v>
      </c>
      <c r="AL105" s="39"/>
      <c r="AM105" s="97">
        <f>AK110</f>
        <v>528.26800000000014</v>
      </c>
      <c r="AN105" s="83">
        <f>AM110</f>
        <v>545.47600000000011</v>
      </c>
      <c r="AO105" s="83">
        <f>AN110</f>
        <v>563.65000000000009</v>
      </c>
      <c r="AP105" s="83">
        <f>AO110</f>
        <v>585.59100000000012</v>
      </c>
      <c r="AQ105" s="98">
        <f>AK110</f>
        <v>528.26800000000014</v>
      </c>
      <c r="AR105" s="39"/>
      <c r="AS105" s="97">
        <f>AQ110</f>
        <v>595.36800000000017</v>
      </c>
      <c r="AT105" s="83">
        <f>AS110</f>
        <v>616.43800000000022</v>
      </c>
      <c r="AU105" s="83">
        <f>AT110</f>
        <v>634.68700000000024</v>
      </c>
      <c r="AV105" s="83">
        <f>AU110</f>
        <v>655.3910000000003</v>
      </c>
      <c r="AW105" s="98">
        <f>AQ110</f>
        <v>595.36800000000017</v>
      </c>
      <c r="AX105" s="39"/>
      <c r="AY105" s="97">
        <f>AW110</f>
        <v>661.85699999999997</v>
      </c>
      <c r="AZ105" s="83">
        <f>AY110</f>
        <v>680.70999999999992</v>
      </c>
      <c r="BA105" s="83">
        <f>AZ110</f>
        <v>703.95499999999981</v>
      </c>
      <c r="BB105" s="83">
        <f>BA110</f>
        <v>733.59099999999989</v>
      </c>
      <c r="BC105" s="98">
        <f>AW110</f>
        <v>661.85699999999997</v>
      </c>
      <c r="BD105" s="39"/>
      <c r="BE105" s="97">
        <f>BC110</f>
        <v>751.97600000000011</v>
      </c>
      <c r="BF105" s="83">
        <f>BE110</f>
        <v>767.75000000000011</v>
      </c>
      <c r="BG105" s="83">
        <f>BF110</f>
        <v>788.31900000000019</v>
      </c>
      <c r="BH105" s="83">
        <f>BG110</f>
        <v>813.10800000000017</v>
      </c>
      <c r="BI105" s="98">
        <f>BC110</f>
        <v>751.97600000000011</v>
      </c>
      <c r="BJ105" s="83"/>
      <c r="BK105" s="97">
        <f>BI110</f>
        <v>844.38800000000003</v>
      </c>
      <c r="BL105" s="83">
        <f>BK110</f>
        <v>861.73200000000008</v>
      </c>
      <c r="BM105" s="83">
        <f>BL110</f>
        <v>886.87900000000013</v>
      </c>
      <c r="BN105" s="83">
        <f>BM110</f>
        <v>904.65800000000013</v>
      </c>
      <c r="BO105" s="98">
        <f>BI110</f>
        <v>844.38800000000003</v>
      </c>
      <c r="BP105" s="83"/>
      <c r="BQ105" s="97">
        <f>BO110</f>
        <v>820.65599999999995</v>
      </c>
      <c r="BR105" s="83">
        <f>BQ110</f>
        <v>798.40199999999993</v>
      </c>
      <c r="BS105" s="83">
        <f>BR110</f>
        <v>839.33600000000001</v>
      </c>
      <c r="BT105" s="83">
        <f>BS110</f>
        <v>846.63300000000004</v>
      </c>
      <c r="BU105" s="98">
        <f>BO110</f>
        <v>820.65599999999995</v>
      </c>
      <c r="BV105" s="83"/>
      <c r="BW105" s="97">
        <f>BU110</f>
        <v>852.57799999999997</v>
      </c>
      <c r="BX105" s="83">
        <f>BW110</f>
        <v>893.221</v>
      </c>
      <c r="BY105" s="83">
        <f>BX110</f>
        <v>901.89599999999996</v>
      </c>
      <c r="BZ105" s="83">
        <f>BY110</f>
        <v>916.79899999999998</v>
      </c>
      <c r="CA105" s="98">
        <f>BU110</f>
        <v>852.57799999999997</v>
      </c>
      <c r="CB105" s="83"/>
      <c r="CC105" s="97">
        <f>CA110</f>
        <v>887.81500000000005</v>
      </c>
      <c r="CD105" s="83">
        <f>CC110</f>
        <v>916.37</v>
      </c>
      <c r="CE105" s="83">
        <f>CD110</f>
        <v>980.73800000000006</v>
      </c>
      <c r="CF105" s="83">
        <f>CE110</f>
        <v>1024.748</v>
      </c>
      <c r="CG105" s="98">
        <f>CA110</f>
        <v>887.81500000000005</v>
      </c>
      <c r="CH105" s="83"/>
      <c r="CI105" s="97">
        <f>CG110</f>
        <v>1058.9090000000001</v>
      </c>
      <c r="CJ105" s="83">
        <f>CI110</f>
        <v>1081.1518029482463</v>
      </c>
      <c r="CK105" s="83">
        <f>CJ110</f>
        <v>1106.5023069258627</v>
      </c>
      <c r="CL105" s="83">
        <f>CK110</f>
        <v>1132.695930740399</v>
      </c>
      <c r="CM105" s="98">
        <f>CG110</f>
        <v>1058.9090000000001</v>
      </c>
      <c r="CN105" s="83"/>
      <c r="CO105" s="97">
        <f>CM110</f>
        <v>1160.6173123789047</v>
      </c>
      <c r="CP105" s="83">
        <f>CO110</f>
        <v>1185.3127042253575</v>
      </c>
      <c r="CQ105" s="83">
        <f>CP110</f>
        <v>1212.5783537368045</v>
      </c>
      <c r="CR105" s="83">
        <f>CQ110</f>
        <v>1240.3364526918717</v>
      </c>
      <c r="CS105" s="98">
        <f>CM110</f>
        <v>1160.6173123789047</v>
      </c>
      <c r="CT105" s="83"/>
      <c r="CU105" s="97">
        <f>CS110</f>
        <v>1270.7305466342725</v>
      </c>
      <c r="CV105" s="83">
        <f>CU110</f>
        <v>1298.0723242141064</v>
      </c>
      <c r="CW105" s="83">
        <f>CV110</f>
        <v>1328.0831575099262</v>
      </c>
      <c r="CX105" s="83">
        <f>CW110</f>
        <v>1358.5685635679065</v>
      </c>
      <c r="CY105" s="98">
        <f>CS110</f>
        <v>1270.7305466342725</v>
      </c>
      <c r="CZ105" s="83"/>
      <c r="DA105" s="83"/>
      <c r="DB105" s="83"/>
    </row>
    <row r="106" spans="1:106" ht="11.25" customHeight="1" outlineLevel="1" x14ac:dyDescent="0.2">
      <c r="A106" s="67" t="s">
        <v>357</v>
      </c>
      <c r="B106" s="39"/>
      <c r="C106" s="99"/>
      <c r="D106" s="84"/>
      <c r="E106" s="84"/>
      <c r="F106" s="84"/>
      <c r="G106" s="86"/>
      <c r="H106" s="39"/>
      <c r="I106" s="864">
        <f>-CFS!I32</f>
        <v>2.9260000000000002</v>
      </c>
      <c r="J106" s="865">
        <f>-CFS!J32</f>
        <v>2.681</v>
      </c>
      <c r="K106" s="865">
        <f>-CFS!K32</f>
        <v>2.6019999999999994</v>
      </c>
      <c r="L106" s="865">
        <f>-CFS!L32</f>
        <v>5.5189999999999992</v>
      </c>
      <c r="M106" s="86">
        <f>SUM(I106:L106)</f>
        <v>13.727999999999998</v>
      </c>
      <c r="N106" s="39"/>
      <c r="O106" s="864">
        <f>-CFS!O32</f>
        <v>4.5629999999999997</v>
      </c>
      <c r="P106" s="865">
        <f>-CFS!P32</f>
        <v>5.8410000000000002</v>
      </c>
      <c r="Q106" s="865">
        <f>-CFS!Q32</f>
        <v>7.6710000000000003</v>
      </c>
      <c r="R106" s="865">
        <f>-CFS!R32</f>
        <v>10.920000000000002</v>
      </c>
      <c r="S106" s="86">
        <f>SUM(O106:R106)</f>
        <v>28.995000000000001</v>
      </c>
      <c r="T106" s="39"/>
      <c r="U106" s="864">
        <f>-CFS!U32</f>
        <v>6.8390000000000004</v>
      </c>
      <c r="V106" s="865">
        <f>-CFS!V32</f>
        <v>8.113999999999999</v>
      </c>
      <c r="W106" s="865">
        <f>-CFS!W32</f>
        <v>8.8839999999999986</v>
      </c>
      <c r="X106" s="865">
        <f>-CFS!X32</f>
        <v>10.655000000000003</v>
      </c>
      <c r="Y106" s="86">
        <f>SUM(U106:X106)</f>
        <v>34.491999999999997</v>
      </c>
      <c r="Z106" s="39"/>
      <c r="AA106" s="864">
        <f>-CFS!AA32</f>
        <v>9.5440000000000005</v>
      </c>
      <c r="AB106" s="865">
        <f>-CFS!AB32</f>
        <v>6.0510000000000002</v>
      </c>
      <c r="AC106" s="865">
        <f>-CFS!AC32</f>
        <v>11.290000000000001</v>
      </c>
      <c r="AD106" s="865">
        <f>-CFS!AD32</f>
        <v>12.563000000000001</v>
      </c>
      <c r="AE106" s="86">
        <f>SUM(AA106:AD106)</f>
        <v>39.448</v>
      </c>
      <c r="AF106" s="39"/>
      <c r="AG106" s="864">
        <f>-CFS!AG32</f>
        <v>9.9269999999999996</v>
      </c>
      <c r="AH106" s="865">
        <f>-CFS!AH32</f>
        <v>12.888999999999999</v>
      </c>
      <c r="AI106" s="865">
        <f>-CFS!AI32</f>
        <v>14.023</v>
      </c>
      <c r="AJ106" s="865">
        <f>-CFS!AJ32</f>
        <v>15.340000000000003</v>
      </c>
      <c r="AK106" s="86">
        <f>SUM(AG106:AJ106)</f>
        <v>52.179000000000002</v>
      </c>
      <c r="AL106" s="39"/>
      <c r="AM106" s="864">
        <f>-CFS!AM32</f>
        <v>17.207999999999998</v>
      </c>
      <c r="AN106" s="865">
        <f>-CFS!AN32</f>
        <v>18.173999999999999</v>
      </c>
      <c r="AO106" s="865">
        <f>-CFS!AO32</f>
        <v>21.941000000000003</v>
      </c>
      <c r="AP106" s="865">
        <f>-CFS!AP32</f>
        <v>22.342999999999996</v>
      </c>
      <c r="AQ106" s="86">
        <f>SUM(AM106:AP106)</f>
        <v>79.665999999999997</v>
      </c>
      <c r="AR106" s="39"/>
      <c r="AS106" s="864">
        <f>-CFS!AS32</f>
        <v>21.07</v>
      </c>
      <c r="AT106" s="865">
        <f>-CFS!AT32</f>
        <v>18.249000000000002</v>
      </c>
      <c r="AU106" s="865">
        <f>-CFS!AU32</f>
        <v>17.162999999999997</v>
      </c>
      <c r="AV106" s="865">
        <f>-CFS!AV32</f>
        <v>30.323000000000015</v>
      </c>
      <c r="AW106" s="86">
        <f>SUM(AS106:AV106)</f>
        <v>86.805000000000007</v>
      </c>
      <c r="AX106" s="39"/>
      <c r="AY106" s="864">
        <f>-CFS!AY32</f>
        <v>18.853000000000002</v>
      </c>
      <c r="AZ106" s="865">
        <f>-CFS!AZ32</f>
        <v>22.982999999999997</v>
      </c>
      <c r="BA106" s="865">
        <f>-CFS!BA32</f>
        <v>26.094999999999999</v>
      </c>
      <c r="BB106" s="865">
        <f>-CFS!BB32</f>
        <v>34.064999999999998</v>
      </c>
      <c r="BC106" s="86">
        <f>SUM(AY106:BB106)</f>
        <v>101.996</v>
      </c>
      <c r="BD106" s="39"/>
      <c r="BE106" s="864">
        <f>-CFS!BE32</f>
        <v>15.773999999999999</v>
      </c>
      <c r="BF106" s="865">
        <f>-CFS!BF32</f>
        <v>17.920999999999999</v>
      </c>
      <c r="BG106" s="865">
        <f>-CFS!BG32</f>
        <v>22.140999999999998</v>
      </c>
      <c r="BH106" s="865">
        <f>-CFS!BH32</f>
        <v>28.632000000000005</v>
      </c>
      <c r="BI106" s="86">
        <f>SUM(BE106:BH106)</f>
        <v>84.468000000000004</v>
      </c>
      <c r="BJ106" s="84"/>
      <c r="BK106" s="864">
        <f>-CFS!BK32</f>
        <v>17.344000000000001</v>
      </c>
      <c r="BL106" s="865">
        <f>-CFS!BL32</f>
        <v>25.146999999999998</v>
      </c>
      <c r="BM106" s="865">
        <f>-CFS!BM32</f>
        <v>17.779000000000003</v>
      </c>
      <c r="BN106" s="865">
        <f>-CFS!BN32</f>
        <v>26.320999999999991</v>
      </c>
      <c r="BO106" s="86">
        <f>SUM(BK106:BN106)</f>
        <v>86.590999999999994</v>
      </c>
      <c r="BP106" s="84"/>
      <c r="BQ106" s="864">
        <f>-CFS!BQ32</f>
        <v>23.097999999999999</v>
      </c>
      <c r="BR106" s="865">
        <f>-CFS!BR32</f>
        <v>27.484999999999999</v>
      </c>
      <c r="BS106" s="865">
        <f>-CFS!BS32</f>
        <v>17.100000000000009</v>
      </c>
      <c r="BT106" s="865">
        <f>-CFS!BT32</f>
        <v>30.094999999999999</v>
      </c>
      <c r="BU106" s="86">
        <f>SUM(BQ106:BT106)</f>
        <v>97.778000000000006</v>
      </c>
      <c r="BV106" s="84"/>
      <c r="BW106" s="864">
        <f>-CFS!BW32</f>
        <v>18.363</v>
      </c>
      <c r="BX106" s="865">
        <f>-CFS!BX32</f>
        <v>21.477000000000004</v>
      </c>
      <c r="BY106" s="865">
        <f>-CFS!BY32</f>
        <v>15.005999999999993</v>
      </c>
      <c r="BZ106" s="865">
        <f>-CFS!BZ32</f>
        <v>19.690000000000005</v>
      </c>
      <c r="CA106" s="86">
        <f>SUM(BW106:BZ106)</f>
        <v>74.536000000000001</v>
      </c>
      <c r="CB106" s="84"/>
      <c r="CC106" s="864">
        <f>-CFS!CC32</f>
        <v>15.977</v>
      </c>
      <c r="CD106" s="865">
        <f>-CFS!CD32</f>
        <v>21.929999999999996</v>
      </c>
      <c r="CE106" s="865">
        <f>-CFS!CE32</f>
        <v>26.698000000000008</v>
      </c>
      <c r="CF106" s="865">
        <f>-CFS!CF32</f>
        <v>25.475999999999999</v>
      </c>
      <c r="CG106" s="86">
        <f>SUM(CC106:CF106)</f>
        <v>90.081000000000003</v>
      </c>
      <c r="CH106" s="84"/>
      <c r="CI106" s="99">
        <f>'P&amp;L'!CI9*CI107</f>
        <v>22.242802948246279</v>
      </c>
      <c r="CJ106" s="84">
        <f>'P&amp;L'!CJ9*CJ107</f>
        <v>25.350503977616494</v>
      </c>
      <c r="CK106" s="84">
        <f>'P&amp;L'!CK9*CK107</f>
        <v>26.193623814536238</v>
      </c>
      <c r="CL106" s="84">
        <f>'P&amp;L'!CL9*CL107</f>
        <v>27.921381638505501</v>
      </c>
      <c r="CM106" s="86">
        <f>SUM(CI106:CL106)</f>
        <v>101.70831237890451</v>
      </c>
      <c r="CN106" s="84"/>
      <c r="CO106" s="99">
        <f>'P&amp;L'!CO9*CO107</f>
        <v>24.695391846452839</v>
      </c>
      <c r="CP106" s="84">
        <f>'P&amp;L'!CP9*CP107</f>
        <v>27.265649511447041</v>
      </c>
      <c r="CQ106" s="84">
        <f>'P&amp;L'!CQ9*CQ107</f>
        <v>27.758098955067162</v>
      </c>
      <c r="CR106" s="84">
        <f>'P&amp;L'!CR9*CR107</f>
        <v>30.39409394240079</v>
      </c>
      <c r="CS106" s="86">
        <f>SUM(CO106:CR106)</f>
        <v>110.11323425536783</v>
      </c>
      <c r="CT106" s="84"/>
      <c r="CU106" s="99">
        <f>'P&amp;L'!CU9*CU107</f>
        <v>27.341777579833927</v>
      </c>
      <c r="CV106" s="84">
        <f>'P&amp;L'!CV9*CV107</f>
        <v>30.010833295819737</v>
      </c>
      <c r="CW106" s="84">
        <f>'P&amp;L'!CW9*CW107</f>
        <v>30.48540605798037</v>
      </c>
      <c r="CX106" s="84">
        <f>'P&amp;L'!CX9*CX107</f>
        <v>33.35105282734056</v>
      </c>
      <c r="CY106" s="86">
        <f>SUM(CU106:CX106)</f>
        <v>121.1890697609746</v>
      </c>
      <c r="CZ106" s="84"/>
      <c r="DA106" s="84"/>
      <c r="DB106" s="84"/>
    </row>
    <row r="107" spans="1:106" ht="11.25" customHeight="1" outlineLevel="1" x14ac:dyDescent="0.2">
      <c r="A107" s="71" t="s">
        <v>315</v>
      </c>
      <c r="B107" s="39"/>
      <c r="C107" s="100"/>
      <c r="D107" s="80"/>
      <c r="E107" s="89"/>
      <c r="F107" s="89"/>
      <c r="G107" s="101"/>
      <c r="H107" s="39"/>
      <c r="I107" s="100">
        <f>I106/'P&amp;L'!I9</f>
        <v>3.0791896869244936E-2</v>
      </c>
      <c r="J107" s="80">
        <f>J106/'P&amp;L'!J9</f>
        <v>2.671542738704984E-2</v>
      </c>
      <c r="K107" s="80">
        <f>K106/'P&amp;L'!K9</f>
        <v>2.6370463459375094E-2</v>
      </c>
      <c r="L107" s="80">
        <f>L106/'P&amp;L'!L9</f>
        <v>5.2891849154247939E-2</v>
      </c>
      <c r="M107" s="101">
        <f>M106/'P&amp;L'!M9</f>
        <v>3.445826378343101E-2</v>
      </c>
      <c r="N107" s="39"/>
      <c r="O107" s="100">
        <f>O106/'P&amp;L'!O9</f>
        <v>4.1972128961044929E-2</v>
      </c>
      <c r="P107" s="80">
        <f>P106/'P&amp;L'!P9</f>
        <v>5.1583902219317697E-2</v>
      </c>
      <c r="Q107" s="80">
        <f>Q106/'P&amp;L'!Q9</f>
        <v>6.5042098033729304E-2</v>
      </c>
      <c r="R107" s="80">
        <f>R106/'P&amp;L'!R9</f>
        <v>8.674170512586285E-2</v>
      </c>
      <c r="S107" s="101">
        <f>S106/'P&amp;L'!S9</f>
        <v>6.2250685949100215E-2</v>
      </c>
      <c r="T107" s="39"/>
      <c r="U107" s="100">
        <f>U106/'P&amp;L'!U9</f>
        <v>5.3480243042250894E-2</v>
      </c>
      <c r="V107" s="80">
        <f>V106/'P&amp;L'!V9</f>
        <v>6.0086345426136153E-2</v>
      </c>
      <c r="W107" s="80">
        <f>W106/'P&amp;L'!W9</f>
        <v>5.0296661986503004E-2</v>
      </c>
      <c r="X107" s="80">
        <f>X106/'P&amp;L'!X9</f>
        <v>5.0684032270340212E-2</v>
      </c>
      <c r="Y107" s="101">
        <f>Y106/'P&amp;L'!Y9</f>
        <v>5.3083071960404689E-2</v>
      </c>
      <c r="Z107" s="39"/>
      <c r="AA107" s="100">
        <f>AA106/'P&amp;L'!AA9</f>
        <v>4.6082682297953717E-2</v>
      </c>
      <c r="AB107" s="80">
        <f>AB106/'P&amp;L'!AB9</f>
        <v>2.7771148479953003E-2</v>
      </c>
      <c r="AC107" s="80">
        <f>AC106/'P&amp;L'!AC9</f>
        <v>4.8916811091854424E-2</v>
      </c>
      <c r="AD107" s="80">
        <f>AD106/'P&amp;L'!AD9</f>
        <v>5.2967986474464643E-2</v>
      </c>
      <c r="AE107" s="101">
        <f>AE106/'P&amp;L'!AE9</f>
        <v>4.4175928777401383E-2</v>
      </c>
      <c r="AF107" s="39"/>
      <c r="AG107" s="100">
        <f>AG106/'P&amp;L'!AG9</f>
        <v>4.4932174007504537E-2</v>
      </c>
      <c r="AH107" s="80">
        <f>AH106/'P&amp;L'!AH9</f>
        <v>5.3669281633604828E-2</v>
      </c>
      <c r="AI107" s="80">
        <f>AI106/'P&amp;L'!AI9</f>
        <v>5.4005445603657103E-2</v>
      </c>
      <c r="AJ107" s="80">
        <f>AJ106/'P&amp;L'!AJ9</f>
        <v>5.3065446230589071E-2</v>
      </c>
      <c r="AK107" s="101">
        <f>AK106/'P&amp;L'!AK9</f>
        <v>5.1671329190701359E-2</v>
      </c>
      <c r="AL107" s="39"/>
      <c r="AM107" s="100">
        <f>AM106/'P&amp;L'!AM9</f>
        <v>6.5092070024662968E-2</v>
      </c>
      <c r="AN107" s="80">
        <f>AN106/'P&amp;L'!AN9</f>
        <v>6.9176835999056011E-2</v>
      </c>
      <c r="AO107" s="80">
        <f>AO106/'P&amp;L'!AO9</f>
        <v>7.9984105979578377E-2</v>
      </c>
      <c r="AP107" s="80">
        <f>AP106/'P&amp;L'!AP9</f>
        <v>7.8113637634949912E-2</v>
      </c>
      <c r="AQ107" s="101">
        <f>AQ106/'P&amp;L'!AQ9</f>
        <v>7.326074022167843E-2</v>
      </c>
      <c r="AR107" s="39"/>
      <c r="AS107" s="100">
        <f>AS106/'P&amp;L'!AS9</f>
        <v>7.9730573477380662E-2</v>
      </c>
      <c r="AT107" s="80">
        <f>AT106/'P&amp;L'!AT9</f>
        <v>6.467217384832924E-2</v>
      </c>
      <c r="AU107" s="80">
        <f>AU106/'P&amp;L'!AU9</f>
        <v>5.9411184381328204E-2</v>
      </c>
      <c r="AV107" s="80">
        <f>AV106/'P&amp;L'!AV9</f>
        <v>9.0673404700675822E-2</v>
      </c>
      <c r="AW107" s="101">
        <f>AW106/'P&amp;L'!AW9</f>
        <v>7.4208354456134537E-2</v>
      </c>
      <c r="AX107" s="39"/>
      <c r="AY107" s="100">
        <f>AY106/'P&amp;L'!AY9</f>
        <v>6.3601891897362539E-2</v>
      </c>
      <c r="AZ107" s="80">
        <f>AZ106/'P&amp;L'!AZ9</f>
        <v>7.4811287282764705E-2</v>
      </c>
      <c r="BA107" s="80">
        <f>BA106/'P&amp;L'!BA9</f>
        <v>8.5757289944756468E-2</v>
      </c>
      <c r="BB107" s="80">
        <f>BB106/'P&amp;L'!BB9</f>
        <v>9.8302609859984083E-2</v>
      </c>
      <c r="BC107" s="101">
        <f>BC106/'P&amp;L'!BC9</f>
        <v>8.1306956959829604E-2</v>
      </c>
      <c r="BD107" s="39"/>
      <c r="BE107" s="100">
        <f>BE106/'P&amp;L'!BE9</f>
        <v>5.196062929875879E-2</v>
      </c>
      <c r="BF107" s="80">
        <f>BF106/'P&amp;L'!BF9</f>
        <v>5.6638180599977245E-2</v>
      </c>
      <c r="BG107" s="80">
        <f>BG106/'P&amp;L'!BG9</f>
        <v>6.8376305931546491E-2</v>
      </c>
      <c r="BH107" s="80">
        <f>BH106/'P&amp;L'!BH9</f>
        <v>7.8966311347684004E-2</v>
      </c>
      <c r="BI107" s="101">
        <f>BI106/'P&amp;L'!BI9</f>
        <v>6.4657864762581299E-2</v>
      </c>
      <c r="BJ107" s="112"/>
      <c r="BK107" s="100">
        <f>BK106/'P&amp;L'!BK9</f>
        <v>5.4648631105985709E-2</v>
      </c>
      <c r="BL107" s="80">
        <f>BL106/'P&amp;L'!BL9</f>
        <v>7.5918451139214527E-2</v>
      </c>
      <c r="BM107" s="80">
        <f>BM106/'P&amp;L'!BM9</f>
        <v>5.2794745172334956E-2</v>
      </c>
      <c r="BN107" s="80">
        <f>BN106/'P&amp;L'!BN9</f>
        <v>7.294975194700809E-2</v>
      </c>
      <c r="BO107" s="101">
        <f>BO106/'P&amp;L'!BO9</f>
        <v>6.4323636490595221E-2</v>
      </c>
      <c r="BP107" s="112"/>
      <c r="BQ107" s="100">
        <f>BQ106/'P&amp;L'!BQ9</f>
        <v>7.7320916281981331E-2</v>
      </c>
      <c r="BR107" s="80">
        <f>BR106/'P&amp;L'!BR9</f>
        <v>8.6036887709105475E-2</v>
      </c>
      <c r="BS107" s="80">
        <f>BS106/'P&amp;L'!BS9</f>
        <v>5.4361475198769112E-2</v>
      </c>
      <c r="BT107" s="80">
        <f>BT106/'P&amp;L'!BT9</f>
        <v>8.6355810616929693E-2</v>
      </c>
      <c r="BU107" s="101">
        <f>BU106/'P&amp;L'!BU9</f>
        <v>7.6314774836370239E-2</v>
      </c>
      <c r="BV107" s="112"/>
      <c r="BW107" s="100">
        <f>BW106/'P&amp;L'!BW9</f>
        <v>6.1542534829864028E-2</v>
      </c>
      <c r="BX107" s="80">
        <f>BX106/'P&amp;L'!BX9</f>
        <v>6.4223173809552309E-2</v>
      </c>
      <c r="BY107" s="80">
        <f>BY106/'P&amp;L'!BY9</f>
        <v>4.4306656627840009E-2</v>
      </c>
      <c r="BZ107" s="80">
        <f>BZ106/'P&amp;L'!BZ9</f>
        <v>5.3722221464332989E-2</v>
      </c>
      <c r="CA107" s="101">
        <f>CA106/'P&amp;L'!CA9</f>
        <v>5.5707400124515041E-2</v>
      </c>
      <c r="CB107" s="112"/>
      <c r="CC107" s="100">
        <f>CC106/'P&amp;L'!CC9</f>
        <v>5.1821891237925952E-2</v>
      </c>
      <c r="CD107" s="80">
        <f>CD106/'P&amp;L'!CD9</f>
        <v>6.2727756388620326E-2</v>
      </c>
      <c r="CE107" s="80">
        <f>CE106/'P&amp;L'!CE9</f>
        <v>7.3265642151481916E-2</v>
      </c>
      <c r="CF107" s="80">
        <f>CF106/'P&amp;L'!CF9</f>
        <v>6.4153024453996718E-2</v>
      </c>
      <c r="CG107" s="101">
        <f>CG106/'P&amp;L'!CG9</f>
        <v>6.3463021998344402E-2</v>
      </c>
      <c r="CH107" s="112"/>
      <c r="CI107" s="184">
        <v>6.5000000000000002E-2</v>
      </c>
      <c r="CJ107" s="183">
        <f>+CI107</f>
        <v>6.5000000000000002E-2</v>
      </c>
      <c r="CK107" s="183">
        <f>+CJ107</f>
        <v>6.5000000000000002E-2</v>
      </c>
      <c r="CL107" s="183">
        <f>+CK107</f>
        <v>6.5000000000000002E-2</v>
      </c>
      <c r="CM107" s="101">
        <f>CM106/'P&amp;L'!CM9</f>
        <v>6.5000000000000002E-2</v>
      </c>
      <c r="CN107" s="112"/>
      <c r="CO107" s="184">
        <f>+CL107</f>
        <v>6.5000000000000002E-2</v>
      </c>
      <c r="CP107" s="183">
        <f>+CO107</f>
        <v>6.5000000000000002E-2</v>
      </c>
      <c r="CQ107" s="183">
        <f>+CP107</f>
        <v>6.5000000000000002E-2</v>
      </c>
      <c r="CR107" s="183">
        <f>+CQ107</f>
        <v>6.5000000000000002E-2</v>
      </c>
      <c r="CS107" s="101">
        <f>CS106/'P&amp;L'!CS9</f>
        <v>6.5000000000000002E-2</v>
      </c>
      <c r="CT107" s="112"/>
      <c r="CU107" s="184">
        <f>+CR107</f>
        <v>6.5000000000000002E-2</v>
      </c>
      <c r="CV107" s="183">
        <f>+CU107</f>
        <v>6.5000000000000002E-2</v>
      </c>
      <c r="CW107" s="183">
        <f>+CV107</f>
        <v>6.5000000000000002E-2</v>
      </c>
      <c r="CX107" s="183">
        <f>+CW107</f>
        <v>6.5000000000000002E-2</v>
      </c>
      <c r="CY107" s="101">
        <f>CY106/'P&amp;L'!CY9</f>
        <v>6.5000000000000002E-2</v>
      </c>
      <c r="CZ107" s="80"/>
      <c r="DA107" s="80"/>
      <c r="DB107" s="80"/>
    </row>
    <row r="108" spans="1:106" ht="11.25" customHeight="1" outlineLevel="1" x14ac:dyDescent="0.2">
      <c r="A108" s="67" t="s">
        <v>139</v>
      </c>
      <c r="B108" s="39"/>
      <c r="C108" s="102"/>
      <c r="D108" s="82"/>
      <c r="E108" s="84"/>
      <c r="F108" s="84"/>
      <c r="G108" s="86"/>
      <c r="H108" s="39"/>
      <c r="I108" s="102">
        <v>0</v>
      </c>
      <c r="J108" s="82">
        <v>0</v>
      </c>
      <c r="K108" s="82">
        <v>0</v>
      </c>
      <c r="L108" s="82">
        <v>0</v>
      </c>
      <c r="M108" s="86">
        <f>SUM(I108:L108)</f>
        <v>0</v>
      </c>
      <c r="N108" s="39"/>
      <c r="O108" s="102">
        <v>0</v>
      </c>
      <c r="P108" s="82">
        <v>4</v>
      </c>
      <c r="Q108" s="82">
        <v>0</v>
      </c>
      <c r="R108" s="82">
        <f>5.58-SUM(O108:Q108)</f>
        <v>1.58</v>
      </c>
      <c r="S108" s="86">
        <f>SUM(O108:R108)</f>
        <v>5.58</v>
      </c>
      <c r="T108" s="39"/>
      <c r="U108" s="102">
        <v>0</v>
      </c>
      <c r="V108" s="82">
        <v>0</v>
      </c>
      <c r="W108" s="82">
        <f>0.234+40.341</f>
        <v>40.575000000000003</v>
      </c>
      <c r="X108" s="82">
        <v>0</v>
      </c>
      <c r="Y108" s="86">
        <f>SUM(U108:X108)</f>
        <v>40.575000000000003</v>
      </c>
      <c r="Z108" s="39"/>
      <c r="AA108" s="102">
        <v>0</v>
      </c>
      <c r="AB108" s="82">
        <v>0</v>
      </c>
      <c r="AC108" s="82">
        <v>4.2919999999999998</v>
      </c>
      <c r="AD108" s="82">
        <v>0.23400000000000001</v>
      </c>
      <c r="AE108" s="86">
        <f>SUM(AA108:AD108)</f>
        <v>4.5259999999999998</v>
      </c>
      <c r="AF108" s="39"/>
      <c r="AG108" s="102">
        <v>0</v>
      </c>
      <c r="AH108" s="82">
        <v>0</v>
      </c>
      <c r="AI108" s="82">
        <v>2.1989999999999998</v>
      </c>
      <c r="AJ108" s="82">
        <v>2.2149999999999999</v>
      </c>
      <c r="AK108" s="86">
        <f>SUM(AG108:AJ108)</f>
        <v>4.4139999999999997</v>
      </c>
      <c r="AL108" s="39"/>
      <c r="AM108" s="102">
        <v>0</v>
      </c>
      <c r="AN108" s="82">
        <v>0</v>
      </c>
      <c r="AO108" s="82">
        <v>0</v>
      </c>
      <c r="AP108" s="82">
        <v>0</v>
      </c>
      <c r="AQ108" s="86">
        <f>SUM(AM108:AP108)</f>
        <v>0</v>
      </c>
      <c r="AR108" s="39"/>
      <c r="AS108" s="102">
        <v>0</v>
      </c>
      <c r="AT108" s="82">
        <v>0</v>
      </c>
      <c r="AU108" s="82">
        <f>1.112+2.429</f>
        <v>3.5409999999999999</v>
      </c>
      <c r="AV108" s="82">
        <v>0</v>
      </c>
      <c r="AW108" s="86">
        <f>SUM(AS108:AV108)</f>
        <v>3.5409999999999999</v>
      </c>
      <c r="AX108" s="39"/>
      <c r="AY108" s="102">
        <v>0</v>
      </c>
      <c r="AZ108" s="82">
        <v>0.26200000000000001</v>
      </c>
      <c r="BA108" s="82">
        <f>1.112+2.429</f>
        <v>3.5409999999999999</v>
      </c>
      <c r="BB108" s="82">
        <v>0</v>
      </c>
      <c r="BC108" s="86">
        <f>SUM(AY108:BB108)</f>
        <v>3.8029999999999999</v>
      </c>
      <c r="BD108" s="39"/>
      <c r="BE108" s="102">
        <v>0</v>
      </c>
      <c r="BF108" s="82">
        <v>2.6480000000000001</v>
      </c>
      <c r="BG108" s="82">
        <v>2.6480000000000001</v>
      </c>
      <c r="BH108" s="82">
        <v>2.6480000000000001</v>
      </c>
      <c r="BI108" s="86">
        <f>SUM(BE108:BH108)</f>
        <v>7.9440000000000008</v>
      </c>
      <c r="BJ108" s="84"/>
      <c r="BK108" s="102">
        <v>0</v>
      </c>
      <c r="BL108" s="82">
        <v>0</v>
      </c>
      <c r="BM108" s="82">
        <v>0</v>
      </c>
      <c r="BN108" s="82">
        <v>2.6480000000000001</v>
      </c>
      <c r="BO108" s="86">
        <f>SUM(BK108:BN108)</f>
        <v>2.6480000000000001</v>
      </c>
      <c r="BP108" s="84"/>
      <c r="BQ108" s="102">
        <v>1.3580000000000001</v>
      </c>
      <c r="BR108" s="82">
        <v>0</v>
      </c>
      <c r="BS108" s="82">
        <v>0</v>
      </c>
      <c r="BT108" s="82">
        <v>0</v>
      </c>
      <c r="BU108" s="86">
        <f>SUM(BQ108:BT108)</f>
        <v>1.3580000000000001</v>
      </c>
      <c r="BV108" s="84"/>
      <c r="BW108" s="102">
        <v>0</v>
      </c>
      <c r="BX108" s="82">
        <v>0</v>
      </c>
      <c r="BY108" s="82">
        <v>0</v>
      </c>
      <c r="BZ108" s="82">
        <v>0</v>
      </c>
      <c r="CA108" s="86">
        <f>SUM(BW108:BZ108)</f>
        <v>0</v>
      </c>
      <c r="CB108" s="84"/>
      <c r="CC108" s="102">
        <v>0</v>
      </c>
      <c r="CD108" s="82">
        <v>0</v>
      </c>
      <c r="CE108" s="82">
        <v>0</v>
      </c>
      <c r="CF108" s="82">
        <v>0</v>
      </c>
      <c r="CG108" s="86">
        <f>SUM(CC108:CF108)</f>
        <v>0</v>
      </c>
      <c r="CH108" s="84"/>
      <c r="CI108" s="99">
        <f>-CI139*CFS!CI38</f>
        <v>0</v>
      </c>
      <c r="CJ108" s="84">
        <f>-CJ139*CFS!CJ38</f>
        <v>0</v>
      </c>
      <c r="CK108" s="84">
        <f>-CK139*CFS!CK38</f>
        <v>0</v>
      </c>
      <c r="CL108" s="84">
        <f>-CL139*CFS!CL38</f>
        <v>0</v>
      </c>
      <c r="CM108" s="86">
        <f>SUM(CI108:CL108)</f>
        <v>0</v>
      </c>
      <c r="CN108" s="84"/>
      <c r="CO108" s="99">
        <f>-CO139*CFS!CO38</f>
        <v>0</v>
      </c>
      <c r="CP108" s="84">
        <f>-CP139*CFS!CP38</f>
        <v>0</v>
      </c>
      <c r="CQ108" s="84">
        <f>-CQ139*CFS!CQ38</f>
        <v>0</v>
      </c>
      <c r="CR108" s="84">
        <f>-CR139*CFS!CR38</f>
        <v>0</v>
      </c>
      <c r="CS108" s="86">
        <f>SUM(CO108:CR108)</f>
        <v>0</v>
      </c>
      <c r="CT108" s="84"/>
      <c r="CU108" s="99">
        <f>-CU139*CFS!CU38</f>
        <v>0</v>
      </c>
      <c r="CV108" s="84">
        <f>-CV139*CFS!CV38</f>
        <v>0</v>
      </c>
      <c r="CW108" s="84">
        <f>-CW139*CFS!CW38</f>
        <v>0</v>
      </c>
      <c r="CX108" s="84">
        <f>-CX139*CFS!CX38</f>
        <v>0</v>
      </c>
      <c r="CY108" s="86">
        <f>SUM(CU108:CX108)</f>
        <v>0</v>
      </c>
      <c r="CZ108" s="84"/>
      <c r="DA108" s="84"/>
      <c r="DB108" s="84"/>
    </row>
    <row r="109" spans="1:106" ht="11.25" customHeight="1" outlineLevel="1" x14ac:dyDescent="0.2">
      <c r="A109" s="67" t="s">
        <v>47</v>
      </c>
      <c r="B109" s="39"/>
      <c r="C109" s="102"/>
      <c r="D109" s="82"/>
      <c r="E109" s="90"/>
      <c r="F109" s="90"/>
      <c r="G109" s="86"/>
      <c r="H109" s="39"/>
      <c r="I109" s="102">
        <v>0</v>
      </c>
      <c r="J109" s="82">
        <v>0</v>
      </c>
      <c r="K109" s="82">
        <v>0</v>
      </c>
      <c r="L109" s="84">
        <f>+L110-L105-L106-L108</f>
        <v>-30.804999999999943</v>
      </c>
      <c r="M109" s="86">
        <f>SUM(I109:L109)</f>
        <v>-30.804999999999943</v>
      </c>
      <c r="N109" s="39"/>
      <c r="O109" s="102">
        <v>0</v>
      </c>
      <c r="P109" s="82">
        <v>0</v>
      </c>
      <c r="Q109" s="82">
        <v>0</v>
      </c>
      <c r="R109" s="84">
        <f>+R110-R105-R106-R108</f>
        <v>17.964999999999975</v>
      </c>
      <c r="S109" s="86">
        <f>SUM(O109:R109)</f>
        <v>17.964999999999975</v>
      </c>
      <c r="T109" s="39"/>
      <c r="U109" s="102">
        <v>0</v>
      </c>
      <c r="V109" s="82">
        <v>0</v>
      </c>
      <c r="W109" s="82">
        <v>0</v>
      </c>
      <c r="X109" s="84">
        <f>+X110-X105-X106-X108</f>
        <v>21.976000000000028</v>
      </c>
      <c r="Y109" s="86">
        <f>SUM(U109:X109)</f>
        <v>21.976000000000028</v>
      </c>
      <c r="Z109" s="39"/>
      <c r="AA109" s="102">
        <v>0</v>
      </c>
      <c r="AB109" s="82">
        <v>0</v>
      </c>
      <c r="AC109" s="82">
        <v>0</v>
      </c>
      <c r="AD109" s="84">
        <f>+AD110-AD105-AD106-AD108</f>
        <v>-10.201999999999973</v>
      </c>
      <c r="AE109" s="86">
        <f>SUM(AA109:AD109)</f>
        <v>-10.201999999999973</v>
      </c>
      <c r="AF109" s="39"/>
      <c r="AG109" s="102">
        <v>0</v>
      </c>
      <c r="AH109" s="82">
        <v>0</v>
      </c>
      <c r="AI109" s="82">
        <v>0</v>
      </c>
      <c r="AJ109" s="84">
        <f>+AJ110-AJ105-AJ106-AJ108</f>
        <v>-12.066999999999947</v>
      </c>
      <c r="AK109" s="86">
        <f>SUM(AG109:AJ109)</f>
        <v>-12.066999999999947</v>
      </c>
      <c r="AL109" s="39"/>
      <c r="AM109" s="102">
        <v>0</v>
      </c>
      <c r="AN109" s="82">
        <v>0</v>
      </c>
      <c r="AO109" s="82">
        <v>0</v>
      </c>
      <c r="AP109" s="84">
        <f>+AP110-AP105-AP106-AP108</f>
        <v>-12.566000000000066</v>
      </c>
      <c r="AQ109" s="86">
        <f>SUM(AM109:AP109)</f>
        <v>-12.566000000000066</v>
      </c>
      <c r="AR109" s="39"/>
      <c r="AS109" s="102">
        <v>0</v>
      </c>
      <c r="AT109" s="82">
        <v>0</v>
      </c>
      <c r="AU109" s="82">
        <v>0</v>
      </c>
      <c r="AV109" s="84">
        <f>+AV110-AV105-AV106-AV108</f>
        <v>-23.857000000000347</v>
      </c>
      <c r="AW109" s="86">
        <f>SUM(AS109:AV109)</f>
        <v>-23.857000000000347</v>
      </c>
      <c r="AX109" s="39"/>
      <c r="AY109" s="102">
        <v>0</v>
      </c>
      <c r="AZ109" s="82">
        <v>0</v>
      </c>
      <c r="BA109" s="82">
        <v>0</v>
      </c>
      <c r="BB109" s="84">
        <f>+BB110-BB105-BB106-BB108</f>
        <v>-15.679999999999893</v>
      </c>
      <c r="BC109" s="86">
        <f>SUM(AY109:BB109)</f>
        <v>-15.679999999999893</v>
      </c>
      <c r="BD109" s="39"/>
      <c r="BE109" s="102">
        <v>0</v>
      </c>
      <c r="BF109" s="82">
        <v>0</v>
      </c>
      <c r="BG109" s="82">
        <v>0</v>
      </c>
      <c r="BH109" s="82">
        <v>0</v>
      </c>
      <c r="BI109" s="86">
        <f>SUM(BE109:BH109)</f>
        <v>0</v>
      </c>
      <c r="BJ109" s="84"/>
      <c r="BK109" s="102">
        <v>0</v>
      </c>
      <c r="BL109" s="82">
        <v>0</v>
      </c>
      <c r="BM109" s="82">
        <v>0</v>
      </c>
      <c r="BN109" s="82">
        <v>0</v>
      </c>
      <c r="BO109" s="86">
        <f>SUM(BK109:BN109)</f>
        <v>0</v>
      </c>
      <c r="BP109" s="84"/>
      <c r="BQ109" s="102">
        <f>409.968+388.434-BQ105-BQ106-BQ108</f>
        <v>-46.709999999999901</v>
      </c>
      <c r="BR109" s="82">
        <f>444.872+394.464-BR105-BR106-BR108</f>
        <v>13.449000000000083</v>
      </c>
      <c r="BS109" s="82">
        <f>441.907+404.726-BS105-BS106-BS108</f>
        <v>-9.8029999999999831</v>
      </c>
      <c r="BT109" s="82">
        <f>442.944+409.634-BT105-BT106-BT108</f>
        <v>-24.150000000000063</v>
      </c>
      <c r="BU109" s="86">
        <f>SUM(BQ109:BT109)</f>
        <v>-67.213999999999857</v>
      </c>
      <c r="BV109" s="84"/>
      <c r="BW109" s="102">
        <f>433.59+459.631-BW105-BW106-BW108</f>
        <v>22.28000000000003</v>
      </c>
      <c r="BX109" s="82">
        <f>460.337+441.559-BX105-BX106-BX108</f>
        <v>-12.802000000000049</v>
      </c>
      <c r="BY109" s="82">
        <f>460.509+456.29-BY105-BY106-BY108</f>
        <v>-0.10299999999997311</v>
      </c>
      <c r="BZ109" s="82">
        <f>436.655+451.16-BZ105-BZ106-BZ108</f>
        <v>-48.673999999999928</v>
      </c>
      <c r="CA109" s="86">
        <f>SUM(BW109:BZ109)</f>
        <v>-39.298999999999921</v>
      </c>
      <c r="CB109" s="84"/>
      <c r="CC109" s="102">
        <f>441.849+474.521-CC105-CC106-CC108</f>
        <v>12.57799999999995</v>
      </c>
      <c r="CD109" s="82">
        <f>465.547+515.191-CD105-CD106-CD108</f>
        <v>42.438000000000059</v>
      </c>
      <c r="CE109" s="82">
        <f>484.398+540.35-CE105-CE106-CE108</f>
        <v>17.311999999999983</v>
      </c>
      <c r="CF109" s="82">
        <f>494.321+564.588-CF105-CF106-CF108</f>
        <v>8.6850000000000591</v>
      </c>
      <c r="CG109" s="86">
        <f>SUM(CC109:CF109)</f>
        <v>81.013000000000048</v>
      </c>
      <c r="CH109" s="84"/>
      <c r="CI109" s="864">
        <f>-CFS!CI33</f>
        <v>0</v>
      </c>
      <c r="CJ109" s="865">
        <f>-CFS!CJ33</f>
        <v>0</v>
      </c>
      <c r="CK109" s="865">
        <f>-CFS!CK33</f>
        <v>0</v>
      </c>
      <c r="CL109" s="865">
        <f>-CFS!CL33</f>
        <v>0</v>
      </c>
      <c r="CM109" s="86">
        <f>SUM(CI109:CL109)</f>
        <v>0</v>
      </c>
      <c r="CN109" s="84"/>
      <c r="CO109" s="864">
        <f>-CFS!CO33</f>
        <v>0</v>
      </c>
      <c r="CP109" s="865">
        <f>-CFS!CP33</f>
        <v>0</v>
      </c>
      <c r="CQ109" s="865">
        <f>-CFS!CQ33</f>
        <v>0</v>
      </c>
      <c r="CR109" s="865">
        <f>-CFS!CR33</f>
        <v>0</v>
      </c>
      <c r="CS109" s="86">
        <f>SUM(CO109:CR109)</f>
        <v>0</v>
      </c>
      <c r="CT109" s="84"/>
      <c r="CU109" s="864">
        <f>-CFS!CU33</f>
        <v>0</v>
      </c>
      <c r="CV109" s="865">
        <f>-CFS!CV33</f>
        <v>0</v>
      </c>
      <c r="CW109" s="865">
        <f>-CFS!CW33</f>
        <v>0</v>
      </c>
      <c r="CX109" s="865">
        <f>-CFS!CX33</f>
        <v>0</v>
      </c>
      <c r="CY109" s="86">
        <f>SUM(CU109:CX109)</f>
        <v>0</v>
      </c>
      <c r="CZ109" s="84"/>
      <c r="DA109" s="84"/>
      <c r="DB109" s="84"/>
    </row>
    <row r="110" spans="1:106" ht="11.25" customHeight="1" outlineLevel="1" x14ac:dyDescent="0.2">
      <c r="A110" s="72" t="s">
        <v>358</v>
      </c>
      <c r="B110" s="39"/>
      <c r="C110" s="103"/>
      <c r="D110" s="91"/>
      <c r="E110" s="91"/>
      <c r="F110" s="91"/>
      <c r="G110" s="126">
        <v>317.464</v>
      </c>
      <c r="H110" s="39"/>
      <c r="I110" s="103">
        <f>I105+I106+I108+I109</f>
        <v>320.39</v>
      </c>
      <c r="J110" s="91">
        <f>J105+J106+J108+J109</f>
        <v>323.07099999999997</v>
      </c>
      <c r="K110" s="91">
        <f>K105+K106+K108+K109</f>
        <v>325.67299999999994</v>
      </c>
      <c r="L110" s="123">
        <v>300.387</v>
      </c>
      <c r="M110" s="104">
        <f>M105+M106+M108+M109</f>
        <v>300.38700000000006</v>
      </c>
      <c r="N110" s="39"/>
      <c r="O110" s="103">
        <f>O105+O106+O108+O109</f>
        <v>304.95000000000005</v>
      </c>
      <c r="P110" s="91">
        <f>P105+P106+P108+P109</f>
        <v>314.79100000000005</v>
      </c>
      <c r="Q110" s="91">
        <f>Q105+Q106+Q108+Q109</f>
        <v>322.46200000000005</v>
      </c>
      <c r="R110" s="123">
        <v>352.92700000000002</v>
      </c>
      <c r="S110" s="104">
        <f>S105+S106+S108+S109</f>
        <v>352.92700000000002</v>
      </c>
      <c r="T110" s="39"/>
      <c r="U110" s="103">
        <f>U105+U106+U108+U109</f>
        <v>359.76600000000002</v>
      </c>
      <c r="V110" s="91">
        <f>V105+V106+V108+V109</f>
        <v>367.88</v>
      </c>
      <c r="W110" s="91">
        <f>W105+W106+W108+W109</f>
        <v>417.339</v>
      </c>
      <c r="X110" s="123">
        <v>449.97</v>
      </c>
      <c r="Y110" s="104">
        <f>Y105+Y106+Y108+Y109</f>
        <v>449.97</v>
      </c>
      <c r="Z110" s="39"/>
      <c r="AA110" s="103">
        <f>AA105+AA106+AA108+AA109</f>
        <v>459.51400000000001</v>
      </c>
      <c r="AB110" s="91">
        <f>AB105+AB106+AB108+AB109</f>
        <v>465.565</v>
      </c>
      <c r="AC110" s="91">
        <f>AC105+AC106+AC108+AC109</f>
        <v>481.14699999999999</v>
      </c>
      <c r="AD110" s="123">
        <v>483.74200000000002</v>
      </c>
      <c r="AE110" s="104">
        <f>AE105+AE106+AE108+AE109</f>
        <v>483.74200000000002</v>
      </c>
      <c r="AF110" s="39"/>
      <c r="AG110" s="103">
        <f>AG105+AG106+AG108+AG109</f>
        <v>493.66900000000004</v>
      </c>
      <c r="AH110" s="91">
        <f>AH105+AH106+AH108+AH109</f>
        <v>506.55800000000005</v>
      </c>
      <c r="AI110" s="91">
        <f>AI105+AI106+AI108+AI109</f>
        <v>522.78</v>
      </c>
      <c r="AJ110" s="123">
        <v>528.26800000000003</v>
      </c>
      <c r="AK110" s="104">
        <f>AK105+AK106+AK108+AK109</f>
        <v>528.26800000000014</v>
      </c>
      <c r="AL110" s="39"/>
      <c r="AM110" s="103">
        <f>AM105+AM106+AM108+AM109</f>
        <v>545.47600000000011</v>
      </c>
      <c r="AN110" s="91">
        <f>AN105+AN106+AN108+AN109</f>
        <v>563.65000000000009</v>
      </c>
      <c r="AO110" s="91">
        <f>AO105+AO106+AO108+AO109</f>
        <v>585.59100000000012</v>
      </c>
      <c r="AP110" s="123">
        <v>595.36800000000005</v>
      </c>
      <c r="AQ110" s="104">
        <f>AQ105+AQ106+AQ108+AQ109</f>
        <v>595.36800000000017</v>
      </c>
      <c r="AR110" s="39"/>
      <c r="AS110" s="103">
        <f>AS105+AS106+AS108+AS109</f>
        <v>616.43800000000022</v>
      </c>
      <c r="AT110" s="91">
        <f>AT105+AT106+AT108+AT109</f>
        <v>634.68700000000024</v>
      </c>
      <c r="AU110" s="91">
        <f>AU105+AU106+AU108+AU109</f>
        <v>655.3910000000003</v>
      </c>
      <c r="AV110" s="123">
        <v>661.85699999999997</v>
      </c>
      <c r="AW110" s="104">
        <f>AW105+AW106+AW108+AW109</f>
        <v>661.85699999999997</v>
      </c>
      <c r="AX110" s="39"/>
      <c r="AY110" s="103">
        <f>AY105+AY106+AY108+AY109</f>
        <v>680.70999999999992</v>
      </c>
      <c r="AZ110" s="91">
        <f>AZ105+AZ106+AZ108+AZ109</f>
        <v>703.95499999999981</v>
      </c>
      <c r="BA110" s="91">
        <f>BA105+BA106+BA108+BA109</f>
        <v>733.59099999999989</v>
      </c>
      <c r="BB110" s="123">
        <v>751.976</v>
      </c>
      <c r="BC110" s="104">
        <f>BC105+BC106+BC108+BC109</f>
        <v>751.97600000000011</v>
      </c>
      <c r="BD110" s="39"/>
      <c r="BE110" s="103">
        <f>BE105+BE106+BE108+BE109</f>
        <v>767.75000000000011</v>
      </c>
      <c r="BF110" s="91">
        <f>BF105+BF106+BF108+BF109</f>
        <v>788.31900000000019</v>
      </c>
      <c r="BG110" s="91">
        <f>BG105+BG106+BG108+BG109</f>
        <v>813.10800000000017</v>
      </c>
      <c r="BH110" s="91">
        <f>BH105+BH106+BH108+BH109</f>
        <v>844.38800000000026</v>
      </c>
      <c r="BI110" s="104">
        <f>BI105+BI106+BI108+BI109</f>
        <v>844.38800000000003</v>
      </c>
      <c r="BJ110" s="83"/>
      <c r="BK110" s="103">
        <f>BK105+BK106+BK108+BK109</f>
        <v>861.73200000000008</v>
      </c>
      <c r="BL110" s="91">
        <f>BL105+BL106+BL108+BL109</f>
        <v>886.87900000000013</v>
      </c>
      <c r="BM110" s="91">
        <f>BM105+BM106+BM108+BM109</f>
        <v>904.65800000000013</v>
      </c>
      <c r="BN110" s="91">
        <f>+BO110</f>
        <v>820.65599999999995</v>
      </c>
      <c r="BO110" s="1305">
        <v>820.65599999999995</v>
      </c>
      <c r="BP110" s="83"/>
      <c r="BQ110" s="103">
        <f>BQ105+BQ106+BQ108+BQ109</f>
        <v>798.40199999999993</v>
      </c>
      <c r="BR110" s="91">
        <f>BR105+BR106+BR108+BR109</f>
        <v>839.33600000000001</v>
      </c>
      <c r="BS110" s="91">
        <f>BS105+BS106+BS108+BS109</f>
        <v>846.63300000000004</v>
      </c>
      <c r="BT110" s="91">
        <f>BT105+BT106+BT108+BT109</f>
        <v>852.57799999999997</v>
      </c>
      <c r="BU110" s="1305">
        <v>852.57799999999997</v>
      </c>
      <c r="BV110" s="83"/>
      <c r="BW110" s="103">
        <f>BW105+BW106+BW108+BW109</f>
        <v>893.221</v>
      </c>
      <c r="BX110" s="91">
        <f>BX105+BX106+BX108+BX109</f>
        <v>901.89599999999996</v>
      </c>
      <c r="BY110" s="91">
        <f>BY105+BY106+BY108+BY109</f>
        <v>916.79899999999998</v>
      </c>
      <c r="BZ110" s="91">
        <f>BZ105+BZ106+BZ108+BZ109</f>
        <v>887.81500000000005</v>
      </c>
      <c r="CA110" s="104">
        <f>CA105+CA106+CA108+CA109</f>
        <v>887.81500000000005</v>
      </c>
      <c r="CB110" s="83"/>
      <c r="CC110" s="103">
        <f>CC105+CC106+CC108+CC109</f>
        <v>916.37</v>
      </c>
      <c r="CD110" s="91">
        <f>CD105+CD106+CD108+CD109</f>
        <v>980.73800000000006</v>
      </c>
      <c r="CE110" s="91">
        <f>CE105+CE106+CE108+CE109</f>
        <v>1024.748</v>
      </c>
      <c r="CF110" s="91">
        <f>CF105+CF106+CF108+CF109</f>
        <v>1058.9090000000001</v>
      </c>
      <c r="CG110" s="104">
        <f>CG105+CG106+CG108+CG109</f>
        <v>1058.9090000000001</v>
      </c>
      <c r="CH110" s="83"/>
      <c r="CI110" s="103">
        <f>CI105+CI106+CI108+CI109</f>
        <v>1081.1518029482463</v>
      </c>
      <c r="CJ110" s="91">
        <f>CJ105+CJ106+CJ108+CJ109</f>
        <v>1106.5023069258627</v>
      </c>
      <c r="CK110" s="91">
        <f>CK105+CK106+CK108+CK109</f>
        <v>1132.695930740399</v>
      </c>
      <c r="CL110" s="91">
        <f>CL105+CL106+CL108+CL109</f>
        <v>1160.6173123789044</v>
      </c>
      <c r="CM110" s="104">
        <f>CM105+CM106+CM108+CM109</f>
        <v>1160.6173123789047</v>
      </c>
      <c r="CN110" s="83"/>
      <c r="CO110" s="103">
        <f>CO105+CO106+CO108+CO109</f>
        <v>1185.3127042253575</v>
      </c>
      <c r="CP110" s="91">
        <f>CP105+CP106+CP108+CP109</f>
        <v>1212.5783537368045</v>
      </c>
      <c r="CQ110" s="91">
        <f>CQ105+CQ106+CQ108+CQ109</f>
        <v>1240.3364526918717</v>
      </c>
      <c r="CR110" s="91">
        <f>CR105+CR106+CR108+CR109</f>
        <v>1270.7305466342725</v>
      </c>
      <c r="CS110" s="104">
        <f>CS105+CS106+CS108+CS109</f>
        <v>1270.7305466342725</v>
      </c>
      <c r="CT110" s="83"/>
      <c r="CU110" s="103">
        <f>CU105+CU106+CU108+CU109</f>
        <v>1298.0723242141064</v>
      </c>
      <c r="CV110" s="91">
        <f>CV105+CV106+CV108+CV109</f>
        <v>1328.0831575099262</v>
      </c>
      <c r="CW110" s="91">
        <f>CW105+CW106+CW108+CW109</f>
        <v>1358.5685635679065</v>
      </c>
      <c r="CX110" s="91">
        <f>CX105+CX106+CX108+CX109</f>
        <v>1391.919616395247</v>
      </c>
      <c r="CY110" s="104">
        <f>CY105+CY106+CY108+CY109</f>
        <v>1391.9196163952472</v>
      </c>
      <c r="CZ110" s="91"/>
      <c r="DA110" s="91"/>
      <c r="DB110" s="91"/>
    </row>
    <row r="111" spans="1:106" ht="11.25" customHeight="1" outlineLevel="1" x14ac:dyDescent="0.2">
      <c r="A111" s="73"/>
      <c r="B111" s="39"/>
      <c r="C111" s="99"/>
      <c r="D111" s="84"/>
      <c r="E111" s="84"/>
      <c r="F111" s="84"/>
      <c r="G111" s="86"/>
      <c r="H111" s="39"/>
      <c r="I111" s="99"/>
      <c r="J111" s="84"/>
      <c r="K111" s="84"/>
      <c r="L111" s="84"/>
      <c r="M111" s="86"/>
      <c r="N111" s="39"/>
      <c r="O111" s="99"/>
      <c r="P111" s="84"/>
      <c r="Q111" s="84"/>
      <c r="R111" s="84"/>
      <c r="S111" s="86"/>
      <c r="T111" s="39"/>
      <c r="U111" s="99"/>
      <c r="V111" s="84"/>
      <c r="W111" s="84"/>
      <c r="X111" s="84"/>
      <c r="Y111" s="86"/>
      <c r="Z111" s="39"/>
      <c r="AA111" s="99"/>
      <c r="AB111" s="84"/>
      <c r="AC111" s="84"/>
      <c r="AD111" s="84"/>
      <c r="AE111" s="86"/>
      <c r="AF111" s="39"/>
      <c r="AG111" s="99"/>
      <c r="AH111" s="84"/>
      <c r="AI111" s="84"/>
      <c r="AJ111" s="84"/>
      <c r="AK111" s="86"/>
      <c r="AL111" s="39"/>
      <c r="AM111" s="99"/>
      <c r="AN111" s="84"/>
      <c r="AO111" s="84"/>
      <c r="AP111" s="84"/>
      <c r="AQ111" s="86"/>
      <c r="AR111" s="39"/>
      <c r="AS111" s="99"/>
      <c r="AT111" s="84"/>
      <c r="AU111" s="84"/>
      <c r="AV111" s="84"/>
      <c r="AW111" s="86"/>
      <c r="AX111" s="39"/>
      <c r="AY111" s="99"/>
      <c r="AZ111" s="84"/>
      <c r="BA111" s="84"/>
      <c r="BB111" s="84"/>
      <c r="BC111" s="86"/>
      <c r="BD111" s="39"/>
      <c r="BE111" s="99"/>
      <c r="BF111" s="84"/>
      <c r="BG111" s="84"/>
      <c r="BH111" s="84"/>
      <c r="BI111" s="86"/>
      <c r="BJ111" s="84"/>
      <c r="BK111" s="99"/>
      <c r="BL111" s="84"/>
      <c r="BM111" s="84"/>
      <c r="BN111" s="84"/>
      <c r="BO111" s="86"/>
      <c r="BP111" s="84"/>
      <c r="BQ111" s="99"/>
      <c r="BR111" s="84"/>
      <c r="BS111" s="84"/>
      <c r="BT111" s="84"/>
      <c r="BU111" s="86"/>
      <c r="BV111" s="84"/>
      <c r="BW111" s="99"/>
      <c r="BX111" s="84"/>
      <c r="BY111" s="84"/>
      <c r="BZ111" s="84"/>
      <c r="CA111" s="86"/>
      <c r="CB111" s="84"/>
      <c r="CC111" s="99"/>
      <c r="CD111" s="84"/>
      <c r="CE111" s="84"/>
      <c r="CF111" s="84"/>
      <c r="CG111" s="86"/>
      <c r="CH111" s="84"/>
      <c r="CI111" s="99"/>
      <c r="CJ111" s="84"/>
      <c r="CK111" s="84"/>
      <c r="CL111" s="84"/>
      <c r="CM111" s="86"/>
      <c r="CN111" s="84"/>
      <c r="CO111" s="99"/>
      <c r="CP111" s="84"/>
      <c r="CQ111" s="84"/>
      <c r="CR111" s="84"/>
      <c r="CS111" s="86"/>
      <c r="CT111" s="84"/>
      <c r="CU111" s="99"/>
      <c r="CV111" s="84"/>
      <c r="CW111" s="84"/>
      <c r="CX111" s="84"/>
      <c r="CY111" s="86"/>
      <c r="CZ111" s="84"/>
      <c r="DA111" s="84"/>
      <c r="DB111" s="84"/>
    </row>
    <row r="112" spans="1:106" ht="11.25" customHeight="1" outlineLevel="1" x14ac:dyDescent="0.2">
      <c r="A112" s="62" t="s">
        <v>359</v>
      </c>
      <c r="B112" s="39"/>
      <c r="C112" s="97"/>
      <c r="D112" s="83"/>
      <c r="E112" s="83"/>
      <c r="F112" s="83"/>
      <c r="G112" s="98"/>
      <c r="H112" s="39"/>
      <c r="I112" s="97">
        <f>G116</f>
        <v>-100.35599999999999</v>
      </c>
      <c r="J112" s="83">
        <f>I116</f>
        <v>-111.374</v>
      </c>
      <c r="K112" s="83">
        <f>J116</f>
        <v>-125.14899999999997</v>
      </c>
      <c r="L112" s="83">
        <f>K116</f>
        <v>-130.83499999999995</v>
      </c>
      <c r="M112" s="98">
        <f>G116</f>
        <v>-100.35599999999999</v>
      </c>
      <c r="N112" s="39"/>
      <c r="O112" s="97">
        <f>M116</f>
        <v>-89.295000000000044</v>
      </c>
      <c r="P112" s="83">
        <f>O116</f>
        <v>-104.73900000000003</v>
      </c>
      <c r="Q112" s="83">
        <f>P116</f>
        <v>-105.81100000000006</v>
      </c>
      <c r="R112" s="83">
        <f>Q116</f>
        <v>-112.05600000000004</v>
      </c>
      <c r="S112" s="98">
        <f>M116</f>
        <v>-89.295000000000044</v>
      </c>
      <c r="T112" s="39"/>
      <c r="U112" s="97">
        <f>S116</f>
        <v>-123.554</v>
      </c>
      <c r="V112" s="83">
        <f>U116</f>
        <v>-135.64200000000002</v>
      </c>
      <c r="W112" s="83">
        <f>V116</f>
        <v>-139.87100000000001</v>
      </c>
      <c r="X112" s="83">
        <f>W116</f>
        <v>-140.63</v>
      </c>
      <c r="Y112" s="98">
        <f>S116</f>
        <v>-123.554</v>
      </c>
      <c r="Z112" s="39"/>
      <c r="AA112" s="97">
        <f>Y116</f>
        <v>-167.31100000000004</v>
      </c>
      <c r="AB112" s="83">
        <f>AA116</f>
        <v>-159.91700000000003</v>
      </c>
      <c r="AC112" s="83">
        <f>AB116</f>
        <v>-164.52499999999998</v>
      </c>
      <c r="AD112" s="83">
        <f>AC116</f>
        <v>-196.93099999999998</v>
      </c>
      <c r="AE112" s="98">
        <f>Y116</f>
        <v>-167.31100000000004</v>
      </c>
      <c r="AF112" s="39"/>
      <c r="AG112" s="97">
        <f>AE116</f>
        <v>-191.67900000000006</v>
      </c>
      <c r="AH112" s="83">
        <f>AG116</f>
        <v>-212.22900000000004</v>
      </c>
      <c r="AI112" s="83">
        <f>AH116</f>
        <v>-210.55600000000004</v>
      </c>
      <c r="AJ112" s="83">
        <f>AI116</f>
        <v>-212.565</v>
      </c>
      <c r="AK112" s="98">
        <f>AE116</f>
        <v>-191.67900000000006</v>
      </c>
      <c r="AL112" s="39"/>
      <c r="AM112" s="97">
        <f>AK116</f>
        <v>-219.89800000000005</v>
      </c>
      <c r="AN112" s="83">
        <f>AM116</f>
        <v>-233.05200000000013</v>
      </c>
      <c r="AO112" s="83">
        <f>AN116</f>
        <v>-260.26900000000012</v>
      </c>
      <c r="AP112" s="83">
        <f>AO116</f>
        <v>-248.84500000000014</v>
      </c>
      <c r="AQ112" s="98">
        <f>AK116</f>
        <v>-219.89800000000005</v>
      </c>
      <c r="AR112" s="39"/>
      <c r="AS112" s="97">
        <f>AQ116</f>
        <v>-255.43199999999993</v>
      </c>
      <c r="AT112" s="83">
        <f>AS116</f>
        <v>-246.48300000000023</v>
      </c>
      <c r="AU112" s="83">
        <f>AT116</f>
        <v>-249.42000000000024</v>
      </c>
      <c r="AV112" s="83">
        <f>AU116</f>
        <v>-281.7710000000003</v>
      </c>
      <c r="AW112" s="98">
        <f>AQ116</f>
        <v>-255.43199999999993</v>
      </c>
      <c r="AX112" s="39"/>
      <c r="AY112" s="97">
        <f>AW116</f>
        <v>-304.30899999999963</v>
      </c>
      <c r="AZ112" s="83">
        <f>AY116</f>
        <v>-294.31399999999991</v>
      </c>
      <c r="BA112" s="83">
        <f>AZ116</f>
        <v>-320.13999999999982</v>
      </c>
      <c r="BB112" s="83">
        <f>BA116</f>
        <v>-326.06099999999992</v>
      </c>
      <c r="BC112" s="98">
        <f>AW116</f>
        <v>-304.30899999999963</v>
      </c>
      <c r="BD112" s="39"/>
      <c r="BE112" s="97">
        <f>BC116</f>
        <v>-333.0440000000001</v>
      </c>
      <c r="BF112" s="83">
        <f>BE116</f>
        <v>-351.75400000000013</v>
      </c>
      <c r="BG112" s="83">
        <f>BF116</f>
        <v>-375.9000000000002</v>
      </c>
      <c r="BH112" s="83">
        <f>BG116</f>
        <v>-384.57200000000017</v>
      </c>
      <c r="BI112" s="98">
        <f>BC116</f>
        <v>-333.0440000000001</v>
      </c>
      <c r="BJ112" s="83"/>
      <c r="BK112" s="97">
        <f>BI116</f>
        <v>-399.34400000000028</v>
      </c>
      <c r="BL112" s="83">
        <f>BK116</f>
        <v>-411.11800000000011</v>
      </c>
      <c r="BM112" s="83">
        <f>BL116</f>
        <v>-426.02200000000011</v>
      </c>
      <c r="BN112" s="83">
        <f>BM116</f>
        <v>-463.10000000000014</v>
      </c>
      <c r="BO112" s="98">
        <f>BI116</f>
        <v>-399.34400000000028</v>
      </c>
      <c r="BP112" s="83"/>
      <c r="BQ112" s="97">
        <f>BO116</f>
        <v>-392.56299999999999</v>
      </c>
      <c r="BR112" s="83">
        <f>BQ116</f>
        <v>-388.43400000000003</v>
      </c>
      <c r="BS112" s="83">
        <f>BR116</f>
        <v>-394.464</v>
      </c>
      <c r="BT112" s="83">
        <f>BS116</f>
        <v>-404.72600000000006</v>
      </c>
      <c r="BU112" s="98">
        <f>BO116</f>
        <v>-392.56299999999999</v>
      </c>
      <c r="BV112" s="83"/>
      <c r="BW112" s="97">
        <f>BU116</f>
        <v>-409.6339999999999</v>
      </c>
      <c r="BX112" s="83">
        <f>BW116</f>
        <v>-433.59000000000003</v>
      </c>
      <c r="BY112" s="83">
        <f>BX116</f>
        <v>-441.55899999999997</v>
      </c>
      <c r="BZ112" s="83">
        <f>BY116</f>
        <v>-456.28999999999996</v>
      </c>
      <c r="CA112" s="98">
        <f>BU116</f>
        <v>-409.6339999999999</v>
      </c>
      <c r="CB112" s="83"/>
      <c r="CC112" s="97">
        <f>CA116</f>
        <v>-451.16000000000008</v>
      </c>
      <c r="CD112" s="83">
        <f>CC116</f>
        <v>-474.52100000000002</v>
      </c>
      <c r="CE112" s="83">
        <f>CD116</f>
        <v>-515.19100000000003</v>
      </c>
      <c r="CF112" s="83">
        <f>CE116</f>
        <v>-540.35</v>
      </c>
      <c r="CG112" s="98">
        <f>CA116</f>
        <v>-451.16000000000008</v>
      </c>
      <c r="CH112" s="83"/>
      <c r="CI112" s="97">
        <f>CG116</f>
        <v>-564.58800000000019</v>
      </c>
      <c r="CJ112" s="83">
        <f>CI116</f>
        <v>-584.44254375000014</v>
      </c>
      <c r="CK112" s="83">
        <f>CJ116</f>
        <v>-604.71414005527981</v>
      </c>
      <c r="CL112" s="83">
        <f>CK116</f>
        <v>-625.46105831013972</v>
      </c>
      <c r="CM112" s="98">
        <f>CG116</f>
        <v>-564.58800000000019</v>
      </c>
      <c r="CN112" s="83"/>
      <c r="CO112" s="97">
        <f>CM116</f>
        <v>-646.69910701152219</v>
      </c>
      <c r="CP112" s="83">
        <f>CO116</f>
        <v>-668.46068161862661</v>
      </c>
      <c r="CQ112" s="83">
        <f>CP116</f>
        <v>-690.68529482285203</v>
      </c>
      <c r="CR112" s="83">
        <f>CQ116</f>
        <v>-713.42113895541706</v>
      </c>
      <c r="CS112" s="98">
        <f>CM116</f>
        <v>-646.69910701152219</v>
      </c>
      <c r="CT112" s="83"/>
      <c r="CU112" s="97">
        <f>CS116</f>
        <v>-736.67744744338972</v>
      </c>
      <c r="CV112" s="83">
        <f>CU116</f>
        <v>-760.5036451927823</v>
      </c>
      <c r="CW112" s="83">
        <f>CV116</f>
        <v>-784.84250127179678</v>
      </c>
      <c r="CX112" s="83">
        <f>CW116</f>
        <v>-809.74406047510786</v>
      </c>
      <c r="CY112" s="98">
        <f>CS116</f>
        <v>-736.67744744338972</v>
      </c>
      <c r="CZ112" s="83"/>
      <c r="DA112" s="83"/>
      <c r="DB112" s="83"/>
    </row>
    <row r="113" spans="1:112" ht="11.25" customHeight="1" outlineLevel="1" x14ac:dyDescent="0.2">
      <c r="A113" s="67" t="s">
        <v>96</v>
      </c>
      <c r="B113" s="39"/>
      <c r="C113" s="99"/>
      <c r="D113" s="84"/>
      <c r="E113" s="84"/>
      <c r="F113" s="84"/>
      <c r="G113" s="86"/>
      <c r="H113" s="39"/>
      <c r="I113" s="99">
        <f>-(CFS!I11+I125)</f>
        <v>-5.0179999999999998</v>
      </c>
      <c r="J113" s="84">
        <f>-(CFS!J11+J125)</f>
        <v>-4.8819999999999997</v>
      </c>
      <c r="K113" s="84">
        <f>-(CFS!K11+K125)</f>
        <v>-4.6859999999999999</v>
      </c>
      <c r="L113" s="84">
        <f>-(CFS!L11+L125)</f>
        <v>-4.4689999999999976</v>
      </c>
      <c r="M113" s="86">
        <f>SUM(I113:L113)</f>
        <v>-19.054999999999996</v>
      </c>
      <c r="N113" s="39"/>
      <c r="O113" s="99">
        <f>-(CFS!O11+O125)</f>
        <v>-4.72</v>
      </c>
      <c r="P113" s="84">
        <f>-(CFS!P11+P125)</f>
        <v>-4.9430000000000014</v>
      </c>
      <c r="Q113" s="84">
        <f>-(CFS!Q11+Q125)</f>
        <v>-5.0020000000000007</v>
      </c>
      <c r="R113" s="84">
        <f>-(CFS!R11+R125)</f>
        <v>-5.073000000000004</v>
      </c>
      <c r="S113" s="86">
        <f>SUM(O113:R113)</f>
        <v>-19.738000000000007</v>
      </c>
      <c r="T113" s="39"/>
      <c r="U113" s="99">
        <f>-(CFS!U11+U125)</f>
        <v>-5.3360000000000003</v>
      </c>
      <c r="V113" s="84">
        <f>-(CFS!V11+V125)</f>
        <v>-5.5880000000000019</v>
      </c>
      <c r="W113" s="84">
        <f>-(CFS!W11+W125)</f>
        <v>-6.9839999999999982</v>
      </c>
      <c r="X113" s="84">
        <f>-(CFS!X11+X125)</f>
        <v>-8.2749999999999915</v>
      </c>
      <c r="Y113" s="86">
        <f>SUM(U113:X113)</f>
        <v>-26.182999999999993</v>
      </c>
      <c r="Z113" s="39"/>
      <c r="AA113" s="99">
        <f>-(CFS!AA11+AA125)</f>
        <v>-9.0300000000000011</v>
      </c>
      <c r="AB113" s="84">
        <f>-(CFS!AB11+AB125)</f>
        <v>-8.6469999999999985</v>
      </c>
      <c r="AC113" s="84">
        <f>-(CFS!AC11+AC125)</f>
        <v>-9.5519999999999996</v>
      </c>
      <c r="AD113" s="84">
        <f>-(CFS!AD11+AD125)</f>
        <v>-9.0749999999999957</v>
      </c>
      <c r="AE113" s="86">
        <f>SUM(AA113:AD113)</f>
        <v>-36.303999999999995</v>
      </c>
      <c r="AF113" s="39"/>
      <c r="AG113" s="99">
        <f>-(CFS!AG11+AG125)</f>
        <v>-8.8659999999999997</v>
      </c>
      <c r="AH113" s="84">
        <f>-(CFS!AH11+AH125)</f>
        <v>-9.8430000000000035</v>
      </c>
      <c r="AI113" s="84">
        <f>-(CFS!AI11+AI125)</f>
        <v>-11.273999999999994</v>
      </c>
      <c r="AJ113" s="84">
        <f>-(CFS!AJ11+AJ125)</f>
        <v>-12.011000000000003</v>
      </c>
      <c r="AK113" s="86">
        <f>SUM(AG113:AJ113)</f>
        <v>-41.994</v>
      </c>
      <c r="AL113" s="39"/>
      <c r="AM113" s="99">
        <f>-(CFS!AM11+AM125)</f>
        <v>-10.741000000000003</v>
      </c>
      <c r="AN113" s="84">
        <f>-(CFS!AN11+AN125)</f>
        <v>-11.440000000000005</v>
      </c>
      <c r="AO113" s="84">
        <f>-(CFS!AO11+AO125)</f>
        <v>-12.493999999999993</v>
      </c>
      <c r="AP113" s="84">
        <f>-(CFS!AP11+AP125)</f>
        <v>-13.203999999999979</v>
      </c>
      <c r="AQ113" s="86">
        <f>SUM(AM113:AP113)</f>
        <v>-47.878999999999976</v>
      </c>
      <c r="AR113" s="39"/>
      <c r="AS113" s="99">
        <f>-(CFS!AS11+AS125)</f>
        <v>-12.691000000000003</v>
      </c>
      <c r="AT113" s="84">
        <f>-(CFS!AT11+AT125)</f>
        <v>-12.550000000000004</v>
      </c>
      <c r="AU113" s="84">
        <f>-(CFS!AU11+AU125)</f>
        <v>-14.756999999999994</v>
      </c>
      <c r="AV113" s="84">
        <f>-(CFS!AV11+AV125)</f>
        <v>-16.978999999999999</v>
      </c>
      <c r="AW113" s="86">
        <f>SUM(AS113:AV113)</f>
        <v>-56.977000000000004</v>
      </c>
      <c r="AX113" s="39"/>
      <c r="AY113" s="99">
        <f>-(CFS!AY11+AY125)</f>
        <v>-15.133000000000003</v>
      </c>
      <c r="AZ113" s="84">
        <f>-(CFS!AZ11+AZ125)</f>
        <v>-14.501999999999995</v>
      </c>
      <c r="BA113" s="84">
        <f>-(CFS!BA11+BA125)</f>
        <v>-21.940999999999992</v>
      </c>
      <c r="BB113" s="84">
        <f>-(CFS!BB11+BB125)</f>
        <v>-13.216000000000008</v>
      </c>
      <c r="BC113" s="86">
        <f>SUM(AY113:BB113)</f>
        <v>-64.792000000000002</v>
      </c>
      <c r="BD113" s="39"/>
      <c r="BE113" s="99">
        <f>-(CFS!BE11+BE125)</f>
        <v>-15.484999999999999</v>
      </c>
      <c r="BF113" s="84">
        <f>-(CFS!BF11+BF125)</f>
        <v>-60.145999999999987</v>
      </c>
      <c r="BG113" s="84">
        <f>-(CFS!BG11+BG125)</f>
        <v>24.366999999999983</v>
      </c>
      <c r="BH113" s="84">
        <f>-(CFS!BH11+BH125)</f>
        <v>8.3920000000000243</v>
      </c>
      <c r="BI113" s="86">
        <f>SUM(BE113:BH113)</f>
        <v>-42.871999999999979</v>
      </c>
      <c r="BJ113" s="84"/>
      <c r="BK113" s="99">
        <f>-(CFS!BK11+BK125)</f>
        <v>-16.049999999999997</v>
      </c>
      <c r="BL113" s="84">
        <f>-(CFS!BL11+BL125)</f>
        <v>-16.010000000000005</v>
      </c>
      <c r="BM113" s="84">
        <f>-(CFS!BM11+BM125)</f>
        <v>-17.287999999999997</v>
      </c>
      <c r="BN113" s="84">
        <f>-(CFS!BN11+BN125)</f>
        <v>-18.544000000000025</v>
      </c>
      <c r="BO113" s="86">
        <f>SUM(BK113:BN113)</f>
        <v>-67.892000000000024</v>
      </c>
      <c r="BP113" s="84"/>
      <c r="BQ113" s="99">
        <f>-(CFS!BQ11+BQ125)</f>
        <v>-13.500999999999998</v>
      </c>
      <c r="BR113" s="84">
        <f>-(CFS!BR11+BR125)</f>
        <v>-6.3330000000000055</v>
      </c>
      <c r="BS113" s="84">
        <f>-(CFS!BS11+BS125)</f>
        <v>-16.003999999999991</v>
      </c>
      <c r="BT113" s="84">
        <f>-(CFS!BT11+BT125)</f>
        <v>-23.682000000000016</v>
      </c>
      <c r="BU113" s="86">
        <f>SUM(BQ113:BT113)</f>
        <v>-59.52000000000001</v>
      </c>
      <c r="BV113" s="84"/>
      <c r="BW113" s="99">
        <f>-(CFS!BW11+BW125)</f>
        <v>-17.045000000000002</v>
      </c>
      <c r="BX113" s="84">
        <f>-(CFS!BX11+BX125)</f>
        <v>-18.367000000000004</v>
      </c>
      <c r="BY113" s="84">
        <f>-(CFS!BY11+BY125)</f>
        <v>-18.844999999999985</v>
      </c>
      <c r="BZ113" s="84">
        <f>-(CFS!BZ11+BZ125)</f>
        <v>-20.850000000000009</v>
      </c>
      <c r="CA113" s="86">
        <f>SUM(BW113:BZ113)</f>
        <v>-75.106999999999999</v>
      </c>
      <c r="CB113" s="84"/>
      <c r="CC113" s="99">
        <f>-(CFS!CC11+CC125)</f>
        <v>-19.347999999999999</v>
      </c>
      <c r="CD113" s="84">
        <f>-(CFS!CD11+CD125)</f>
        <v>-20.730999999999995</v>
      </c>
      <c r="CE113" s="84">
        <f>-(CFS!CE11+CE125)</f>
        <v>-19.829999999999998</v>
      </c>
      <c r="CF113" s="84">
        <f>-(CFS!CF11+CF125)</f>
        <v>-22.742000000000019</v>
      </c>
      <c r="CG113" s="86">
        <f>SUM(CC113:CF113)</f>
        <v>-82.65100000000001</v>
      </c>
      <c r="CH113" s="84"/>
      <c r="CI113" s="99">
        <f>-CI105*CI114/4</f>
        <v>-19.854543750000001</v>
      </c>
      <c r="CJ113" s="84">
        <f>-CJ105*CJ114/4</f>
        <v>-20.271596305279619</v>
      </c>
      <c r="CK113" s="84">
        <f>-CK105*CK114/4</f>
        <v>-20.746918254859924</v>
      </c>
      <c r="CL113" s="84">
        <f>-CL105*CL114/4</f>
        <v>-21.238048701382482</v>
      </c>
      <c r="CM113" s="86">
        <f>SUM(CI113:CL113)</f>
        <v>-82.111107011522023</v>
      </c>
      <c r="CN113" s="84"/>
      <c r="CO113" s="99">
        <f>-CO105*CO114/4</f>
        <v>-21.76157460710446</v>
      </c>
      <c r="CP113" s="84">
        <f>-CP105*CP114/4</f>
        <v>-22.224613204225452</v>
      </c>
      <c r="CQ113" s="84">
        <f>-CQ105*CQ114/4</f>
        <v>-22.735844132565084</v>
      </c>
      <c r="CR113" s="84">
        <f>-CR105*CR114/4</f>
        <v>-23.256308487972593</v>
      </c>
      <c r="CS113" s="86">
        <f>SUM(CO113:CR113)</f>
        <v>-89.978340431867579</v>
      </c>
      <c r="CT113" s="84"/>
      <c r="CU113" s="99">
        <f>-CU105*CU114/4</f>
        <v>-23.826197749392609</v>
      </c>
      <c r="CV113" s="84">
        <f>-CV105*CV114/4</f>
        <v>-24.338856079014494</v>
      </c>
      <c r="CW113" s="84">
        <f>-CW105*CW114/4</f>
        <v>-24.901559203311116</v>
      </c>
      <c r="CX113" s="84">
        <f>-CX105*CX114/4</f>
        <v>-25.473160566898247</v>
      </c>
      <c r="CY113" s="86">
        <f>SUM(CU113:CX113)</f>
        <v>-98.539773598616463</v>
      </c>
      <c r="CZ113" s="84"/>
      <c r="DA113" s="84"/>
      <c r="DB113" s="84"/>
    </row>
    <row r="114" spans="1:112" ht="11.25" customHeight="1" outlineLevel="1" x14ac:dyDescent="0.2">
      <c r="A114" s="71" t="s">
        <v>360</v>
      </c>
      <c r="B114" s="39"/>
      <c r="C114" s="100"/>
      <c r="D114" s="80"/>
      <c r="E114" s="89"/>
      <c r="F114" s="89"/>
      <c r="G114" s="101"/>
      <c r="H114" s="39"/>
      <c r="I114" s="100">
        <f>-(I113*4)/I105</f>
        <v>6.3226066577627693E-2</v>
      </c>
      <c r="J114" s="80">
        <f>-(J113*4)/J105</f>
        <v>6.0950716314491712E-2</v>
      </c>
      <c r="K114" s="80">
        <f>-(K113*4)/K105</f>
        <v>5.8018206524262476E-2</v>
      </c>
      <c r="L114" s="80">
        <f>-(L113*4)/L105</f>
        <v>5.4889413614269508E-2</v>
      </c>
      <c r="M114" s="101">
        <f>-(M113)/M105</f>
        <v>6.0022553738376623E-2</v>
      </c>
      <c r="N114" s="39"/>
      <c r="O114" s="100">
        <f>-(O113*4)/O105</f>
        <v>6.2852253925769069E-2</v>
      </c>
      <c r="P114" s="80">
        <f>-(P113*4)/P105</f>
        <v>6.4836858501393674E-2</v>
      </c>
      <c r="Q114" s="80">
        <f>-(Q113*4)/Q105</f>
        <v>6.3559631628604368E-2</v>
      </c>
      <c r="R114" s="80">
        <f>-(R113*4)/R105</f>
        <v>6.2928345045307699E-2</v>
      </c>
      <c r="S114" s="101">
        <f>-(S113)/S105</f>
        <v>6.5708569278963486E-2</v>
      </c>
      <c r="T114" s="39"/>
      <c r="U114" s="100">
        <f>-(U113*4)/U105</f>
        <v>6.0477095830015835E-2</v>
      </c>
      <c r="V114" s="80">
        <f>-(V113*4)/V105</f>
        <v>6.2129272916284492E-2</v>
      </c>
      <c r="W114" s="80">
        <f>-(W113*4)/W105</f>
        <v>7.593780580624114E-2</v>
      </c>
      <c r="X114" s="80">
        <f>-(X113*4)/X105</f>
        <v>7.9312022121105302E-2</v>
      </c>
      <c r="Y114" s="101">
        <f>-(Y113)/Y105</f>
        <v>7.4188146557220017E-2</v>
      </c>
      <c r="Z114" s="39"/>
      <c r="AA114" s="100">
        <f>-(AA113*4)/AA105</f>
        <v>8.0272018134542308E-2</v>
      </c>
      <c r="AB114" s="80">
        <f>-(AB113*4)/AB105</f>
        <v>7.5270829615637372E-2</v>
      </c>
      <c r="AC114" s="80">
        <f>-(AC113*4)/AC105</f>
        <v>8.206802487300377E-2</v>
      </c>
      <c r="AD114" s="80">
        <f>-(AD113*4)/AD105</f>
        <v>7.5444718557945878E-2</v>
      </c>
      <c r="AE114" s="101">
        <f>-(AE113)/AE105</f>
        <v>8.0680934284507844E-2</v>
      </c>
      <c r="AF114" s="39"/>
      <c r="AG114" s="100">
        <f>-(AG113*4)/AG105</f>
        <v>7.3311806706880936E-2</v>
      </c>
      <c r="AH114" s="80">
        <f>-(AH113*4)/AH105</f>
        <v>7.9753843162118768E-2</v>
      </c>
      <c r="AI114" s="80">
        <f>-(AI113*4)/AI105</f>
        <v>8.9024356539626204E-2</v>
      </c>
      <c r="AJ114" s="80">
        <f>-(AJ113*4)/AJ105</f>
        <v>9.1900990856574494E-2</v>
      </c>
      <c r="AK114" s="101">
        <f>-(AK113)/AK105</f>
        <v>8.6810737955356362E-2</v>
      </c>
      <c r="AL114" s="39"/>
      <c r="AM114" s="100">
        <f>-(AM113*4)/AM105</f>
        <v>8.1329931019861135E-2</v>
      </c>
      <c r="AN114" s="80">
        <f>-(AN113*4)/AN105</f>
        <v>8.3890033658676116E-2</v>
      </c>
      <c r="AO114" s="80">
        <f>-(AO113*4)/AO105</f>
        <v>8.8664951654395391E-2</v>
      </c>
      <c r="AP114" s="80">
        <f>-(AP113*4)/AP105</f>
        <v>9.0192642988023902E-2</v>
      </c>
      <c r="AQ114" s="101">
        <f>-(AQ113)/AQ105</f>
        <v>9.0633920661482362E-2</v>
      </c>
      <c r="AR114" s="39"/>
      <c r="AS114" s="100">
        <f>-(AS113*4)/AS105</f>
        <v>8.526491178565189E-2</v>
      </c>
      <c r="AT114" s="80">
        <f>-(AT113*4)/AT105</f>
        <v>8.1435602607237062E-2</v>
      </c>
      <c r="AU114" s="80">
        <f>-(AU113*4)/AU105</f>
        <v>9.3003322897743226E-2</v>
      </c>
      <c r="AV114" s="80">
        <f>-(AV113*4)/AV105</f>
        <v>0.10362669002168166</v>
      </c>
      <c r="AW114" s="101">
        <f>-(AW113)/AW105</f>
        <v>9.5700474328482527E-2</v>
      </c>
      <c r="AX114" s="39"/>
      <c r="AY114" s="100">
        <f>-(AY113*4)/AY105</f>
        <v>9.1457822460138685E-2</v>
      </c>
      <c r="AZ114" s="80">
        <f>-(AZ113*4)/AZ105</f>
        <v>8.5216905877686516E-2</v>
      </c>
      <c r="BA114" s="80">
        <f>-(BA113*4)/BA105</f>
        <v>0.12467274186560219</v>
      </c>
      <c r="BB114" s="80">
        <f>-(BB113*4)/BB105</f>
        <v>7.2061952777501409E-2</v>
      </c>
      <c r="BC114" s="101">
        <f>-(BC113)/BC105</f>
        <v>9.789425812524459E-2</v>
      </c>
      <c r="BD114" s="39"/>
      <c r="BE114" s="100">
        <f>-(BE113*4)/BE105</f>
        <v>8.2369650095215796E-2</v>
      </c>
      <c r="BF114" s="80">
        <f>-(BF113*4)/BF105</f>
        <v>0.31336242266362735</v>
      </c>
      <c r="BG114" s="80">
        <f>-(BG113*4)/BG105</f>
        <v>-0.12364030297379602</v>
      </c>
      <c r="BH114" s="80">
        <f>-(BH113*4)/BH105</f>
        <v>-4.1283568726417759E-2</v>
      </c>
      <c r="BI114" s="101">
        <f>-(BI113)/BI105</f>
        <v>5.7012457844399254E-2</v>
      </c>
      <c r="BJ114" s="112"/>
      <c r="BK114" s="100">
        <f>-(BK113*4)/BK105</f>
        <v>7.6031397888174618E-2</v>
      </c>
      <c r="BL114" s="80">
        <f>-(BL113*4)/BL105</f>
        <v>7.4315448422479391E-2</v>
      </c>
      <c r="BM114" s="80">
        <f>-(BM113*4)/BM105</f>
        <v>7.7972305128433506E-2</v>
      </c>
      <c r="BN114" s="80">
        <f>-(BN113*4)/BN105</f>
        <v>8.1993416296545316E-2</v>
      </c>
      <c r="BO114" s="101">
        <f>-(BO113)/BO105</f>
        <v>8.0403795411588069E-2</v>
      </c>
      <c r="BP114" s="112"/>
      <c r="BQ114" s="100">
        <f>-(BQ113*4)/BQ105</f>
        <v>6.5805891871868347E-2</v>
      </c>
      <c r="BR114" s="80">
        <f>-(BR113*4)/BR105</f>
        <v>3.1728377433924294E-2</v>
      </c>
      <c r="BS114" s="80">
        <f>-(BS113*4)/BS105</f>
        <v>7.6269813280974444E-2</v>
      </c>
      <c r="BT114" s="80">
        <f>-(BT113*4)/BT105</f>
        <v>0.11188791365325951</v>
      </c>
      <c r="BU114" s="101">
        <f>-(BU113)/BU105</f>
        <v>7.2527343978475767E-2</v>
      </c>
      <c r="BV114" s="112"/>
      <c r="BW114" s="100">
        <f>-(BW113*4)/BW105</f>
        <v>7.9969222757331301E-2</v>
      </c>
      <c r="BX114" s="80">
        <f>-(BX113*4)/BX105</f>
        <v>8.2250641218690579E-2</v>
      </c>
      <c r="BY114" s="80">
        <f>-(BY113*4)/BY105</f>
        <v>8.3579481447971768E-2</v>
      </c>
      <c r="BZ114" s="80">
        <f>-(BZ113*4)/BZ105</f>
        <v>9.0968685611568109E-2</v>
      </c>
      <c r="CA114" s="101">
        <f>-(CA113)/CA105</f>
        <v>8.8093992573113553E-2</v>
      </c>
      <c r="CB114" s="112"/>
      <c r="CC114" s="100">
        <f>-(CC113*4)/CC105</f>
        <v>8.7171313843537213E-2</v>
      </c>
      <c r="CD114" s="80">
        <f>-(CD113*4)/CD105</f>
        <v>9.0491831901960973E-2</v>
      </c>
      <c r="CE114" s="80">
        <f>-(CE113*4)/CE105</f>
        <v>8.0877869522747142E-2</v>
      </c>
      <c r="CF114" s="80">
        <f>-(CF113*4)/CF105</f>
        <v>8.8771092990667044E-2</v>
      </c>
      <c r="CG114" s="101">
        <f>-(CG113)/CG105</f>
        <v>9.3094845209869173E-2</v>
      </c>
      <c r="CH114" s="112"/>
      <c r="CI114" s="184">
        <v>7.4999999999999997E-2</v>
      </c>
      <c r="CJ114" s="183">
        <f>+CI114</f>
        <v>7.4999999999999997E-2</v>
      </c>
      <c r="CK114" s="183">
        <f>+CJ114</f>
        <v>7.4999999999999997E-2</v>
      </c>
      <c r="CL114" s="183">
        <f>+CK114</f>
        <v>7.4999999999999997E-2</v>
      </c>
      <c r="CM114" s="101">
        <f>-(CM113)/CM105</f>
        <v>7.7543119391299931E-2</v>
      </c>
      <c r="CN114" s="112"/>
      <c r="CO114" s="184">
        <f>+CI114</f>
        <v>7.4999999999999997E-2</v>
      </c>
      <c r="CP114" s="183">
        <f>+CO114</f>
        <v>7.4999999999999997E-2</v>
      </c>
      <c r="CQ114" s="183">
        <f>+CP114</f>
        <v>7.4999999999999997E-2</v>
      </c>
      <c r="CR114" s="183">
        <f>+CQ114</f>
        <v>7.4999999999999997E-2</v>
      </c>
      <c r="CS114" s="101">
        <f>-(CS113)/CS105</f>
        <v>7.7526278017893732E-2</v>
      </c>
      <c r="CT114" s="112"/>
      <c r="CU114" s="184">
        <f>+CR114</f>
        <v>7.4999999999999997E-2</v>
      </c>
      <c r="CV114" s="183">
        <f>+CU114</f>
        <v>7.4999999999999997E-2</v>
      </c>
      <c r="CW114" s="183">
        <f>+CV114</f>
        <v>7.4999999999999997E-2</v>
      </c>
      <c r="CX114" s="183">
        <f>+CW114</f>
        <v>7.4999999999999997E-2</v>
      </c>
      <c r="CY114" s="101">
        <f>-(CY113)/CY105</f>
        <v>7.7545765984468051E-2</v>
      </c>
      <c r="CZ114" s="80"/>
      <c r="DA114" s="80"/>
      <c r="DB114" s="80"/>
    </row>
    <row r="115" spans="1:112" s="271" customFormat="1" ht="11.25" customHeight="1" outlineLevel="1" x14ac:dyDescent="0.2">
      <c r="A115" s="67" t="s">
        <v>47</v>
      </c>
      <c r="B115" s="31"/>
      <c r="C115" s="99"/>
      <c r="D115" s="84"/>
      <c r="E115" s="84"/>
      <c r="F115" s="84"/>
      <c r="G115" s="86"/>
      <c r="H115" s="31"/>
      <c r="I115" s="99">
        <v>0</v>
      </c>
      <c r="J115" s="84">
        <v>0</v>
      </c>
      <c r="K115" s="84">
        <v>0</v>
      </c>
      <c r="L115" s="84">
        <f>+L116-L112-L113</f>
        <v>30.115999999999946</v>
      </c>
      <c r="M115" s="86">
        <f>SUM(I115:L115)</f>
        <v>30.115999999999946</v>
      </c>
      <c r="N115" s="31"/>
      <c r="O115" s="99">
        <v>0</v>
      </c>
      <c r="P115" s="84">
        <v>0</v>
      </c>
      <c r="Q115" s="84">
        <v>0</v>
      </c>
      <c r="R115" s="84">
        <f>+R116-R112-R113</f>
        <v>-14.520999999999962</v>
      </c>
      <c r="S115" s="86">
        <f>SUM(O115:R115)</f>
        <v>-14.520999999999962</v>
      </c>
      <c r="T115" s="31"/>
      <c r="U115" s="99">
        <v>0</v>
      </c>
      <c r="V115" s="84">
        <v>0</v>
      </c>
      <c r="W115" s="84">
        <v>0</v>
      </c>
      <c r="X115" s="84">
        <f>+X116-X112-X113</f>
        <v>-17.574000000000026</v>
      </c>
      <c r="Y115" s="86">
        <f>SUM(U115:X115)</f>
        <v>-17.574000000000026</v>
      </c>
      <c r="Z115" s="31"/>
      <c r="AA115" s="99">
        <v>0</v>
      </c>
      <c r="AB115" s="84">
        <v>0</v>
      </c>
      <c r="AC115" s="84">
        <v>0</v>
      </c>
      <c r="AD115" s="84">
        <f>+AD116-AD112-AD113</f>
        <v>11.935999999999986</v>
      </c>
      <c r="AE115" s="86">
        <f>SUM(AA115:AD115)</f>
        <v>11.935999999999986</v>
      </c>
      <c r="AF115" s="31"/>
      <c r="AG115" s="99">
        <v>0</v>
      </c>
      <c r="AH115" s="84">
        <v>0</v>
      </c>
      <c r="AI115" s="84">
        <v>0</v>
      </c>
      <c r="AJ115" s="84">
        <f>+AJ116-AJ112-AJ113</f>
        <v>13.775000000000013</v>
      </c>
      <c r="AK115" s="86">
        <f>SUM(AG115:AJ115)</f>
        <v>13.775000000000013</v>
      </c>
      <c r="AL115" s="31"/>
      <c r="AM115" s="99">
        <v>0</v>
      </c>
      <c r="AN115" s="84">
        <v>0</v>
      </c>
      <c r="AO115" s="84">
        <v>0</v>
      </c>
      <c r="AP115" s="84">
        <f>+AP116-AP112-AP113</f>
        <v>12.345000000000113</v>
      </c>
      <c r="AQ115" s="86">
        <f>SUM(AM115:AP115)</f>
        <v>12.345000000000113</v>
      </c>
      <c r="AR115" s="31"/>
      <c r="AS115" s="99">
        <v>0</v>
      </c>
      <c r="AT115" s="84">
        <v>0</v>
      </c>
      <c r="AU115" s="84">
        <v>0</v>
      </c>
      <c r="AV115" s="84">
        <f>+AV116-AV112-AV113</f>
        <v>8.1000000000003212</v>
      </c>
      <c r="AW115" s="86">
        <f>SUM(AS115:AV115)</f>
        <v>8.1000000000003212</v>
      </c>
      <c r="AX115" s="31"/>
      <c r="AY115" s="99">
        <f>AY116-AY112-AY113</f>
        <v>25.127999999999723</v>
      </c>
      <c r="AZ115" s="84">
        <f>AZ116-AZ112-AZ113</f>
        <v>-11.323999999999913</v>
      </c>
      <c r="BA115" s="84">
        <f>BA116-BA112-BA113</f>
        <v>16.019999999999886</v>
      </c>
      <c r="BB115" s="84">
        <f>+BB116-BB112-BB113</f>
        <v>6.2329999999999472</v>
      </c>
      <c r="BC115" s="86">
        <f>SUM(AY115:BB115)</f>
        <v>36.056999999999647</v>
      </c>
      <c r="BD115" s="31"/>
      <c r="BE115" s="99">
        <f>BE116-BE112-BE113</f>
        <v>-3.2250000000000369</v>
      </c>
      <c r="BF115" s="84">
        <f>BF116-BF112-BF113</f>
        <v>35.999999999999915</v>
      </c>
      <c r="BG115" s="84">
        <f>BG116-BG112-BG113</f>
        <v>-33.038999999999952</v>
      </c>
      <c r="BH115" s="84">
        <f>BH116-BH112-BH113</f>
        <v>-23.164000000000129</v>
      </c>
      <c r="BI115" s="86">
        <f>SUM(BE115:BH115)</f>
        <v>-23.428000000000203</v>
      </c>
      <c r="BJ115" s="84"/>
      <c r="BK115" s="99">
        <f>BK116-BK112-BK113</f>
        <v>4.2760000000001668</v>
      </c>
      <c r="BL115" s="84">
        <f>BL116-BL112-BL113</f>
        <v>1.1060000000000088</v>
      </c>
      <c r="BM115" s="84">
        <f>BM116-BM112-BM113</f>
        <v>-19.790000000000035</v>
      </c>
      <c r="BN115" s="84">
        <f>BN116-BN112-BN113</f>
        <v>89.08100000000023</v>
      </c>
      <c r="BO115" s="86">
        <f>SUM(BK115:BN115)</f>
        <v>74.673000000000371</v>
      </c>
      <c r="BP115" s="84"/>
      <c r="BQ115" s="99">
        <f>BQ116-BQ112-BQ113</f>
        <v>17.62999999999996</v>
      </c>
      <c r="BR115" s="84">
        <f>BR116-BR112-BR113</f>
        <v>0.3030000000000328</v>
      </c>
      <c r="BS115" s="84">
        <f>BS116-BS112-BS113</f>
        <v>5.7419999999999334</v>
      </c>
      <c r="BT115" s="84">
        <f>BT116-BT112-BT113</f>
        <v>18.774000000000115</v>
      </c>
      <c r="BU115" s="86">
        <f>SUM(BQ115:BT115)</f>
        <v>42.449000000000041</v>
      </c>
      <c r="BV115" s="84"/>
      <c r="BW115" s="99">
        <f>BW116-BW112-BW113</f>
        <v>-6.9110000000001293</v>
      </c>
      <c r="BX115" s="84">
        <f>BX116-BX112-BX113</f>
        <v>10.398000000000067</v>
      </c>
      <c r="BY115" s="84">
        <f>BY116-BY112-BY113</f>
        <v>4.1139999999999901</v>
      </c>
      <c r="BZ115" s="84">
        <f>BZ116-BZ112-BZ113</f>
        <v>25.97999999999989</v>
      </c>
      <c r="CA115" s="86">
        <f>SUM(BW115:BZ115)</f>
        <v>33.580999999999818</v>
      </c>
      <c r="CB115" s="84"/>
      <c r="CC115" s="99">
        <f>CC116-CC112-CC113</f>
        <v>-4.0129999999999342</v>
      </c>
      <c r="CD115" s="84">
        <f>CD116-CD112-CD113</f>
        <v>-19.939000000000021</v>
      </c>
      <c r="CE115" s="84">
        <f>CE116-CE112-CE113</f>
        <v>-5.3289999999999935</v>
      </c>
      <c r="CF115" s="84">
        <f>CF116-CF112-CF113</f>
        <v>-1.4960000000000377</v>
      </c>
      <c r="CG115" s="86">
        <f>SUM(CC115:CF115)</f>
        <v>-30.776999999999987</v>
      </c>
      <c r="CH115" s="84"/>
      <c r="CI115" s="99">
        <v>0</v>
      </c>
      <c r="CJ115" s="84">
        <v>0</v>
      </c>
      <c r="CK115" s="84">
        <v>0</v>
      </c>
      <c r="CL115" s="84">
        <v>0</v>
      </c>
      <c r="CM115" s="86">
        <f>SUM(CI115:CL115)</f>
        <v>0</v>
      </c>
      <c r="CN115" s="84"/>
      <c r="CO115" s="99">
        <v>0</v>
      </c>
      <c r="CP115" s="84">
        <v>0</v>
      </c>
      <c r="CQ115" s="84">
        <v>0</v>
      </c>
      <c r="CR115" s="84">
        <v>0</v>
      </c>
      <c r="CS115" s="86">
        <f>SUM(CO115:CR115)</f>
        <v>0</v>
      </c>
      <c r="CT115" s="84"/>
      <c r="CU115" s="99">
        <v>0</v>
      </c>
      <c r="CV115" s="84">
        <v>0</v>
      </c>
      <c r="CW115" s="84">
        <v>0</v>
      </c>
      <c r="CX115" s="84">
        <v>0</v>
      </c>
      <c r="CY115" s="86">
        <f>SUM(CU115:CX115)</f>
        <v>0</v>
      </c>
      <c r="CZ115" s="84"/>
      <c r="DA115" s="84"/>
      <c r="DB115" s="84"/>
      <c r="DC115"/>
      <c r="DD115"/>
      <c r="DE115"/>
      <c r="DF115"/>
      <c r="DG115"/>
      <c r="DH115"/>
    </row>
    <row r="116" spans="1:112" ht="11.25" customHeight="1" outlineLevel="1" x14ac:dyDescent="0.2">
      <c r="A116" s="72" t="s">
        <v>361</v>
      </c>
      <c r="B116" s="39"/>
      <c r="C116" s="97"/>
      <c r="D116" s="83"/>
      <c r="E116" s="83"/>
      <c r="F116" s="83"/>
      <c r="G116" s="127">
        <v>-100.35599999999999</v>
      </c>
      <c r="H116" s="39"/>
      <c r="I116" s="97">
        <f>I118-I110</f>
        <v>-111.374</v>
      </c>
      <c r="J116" s="83">
        <f>J118-J110</f>
        <v>-125.14899999999997</v>
      </c>
      <c r="K116" s="83">
        <f>K118-K110</f>
        <v>-130.83499999999995</v>
      </c>
      <c r="L116" s="125">
        <v>-105.188</v>
      </c>
      <c r="M116" s="98">
        <f>M112+M113+M115</f>
        <v>-89.295000000000044</v>
      </c>
      <c r="N116" s="39"/>
      <c r="O116" s="97">
        <f>O118-O110</f>
        <v>-104.73900000000003</v>
      </c>
      <c r="P116" s="83">
        <f>P118-P110</f>
        <v>-105.81100000000006</v>
      </c>
      <c r="Q116" s="83">
        <f>Q118-Q110</f>
        <v>-112.05600000000004</v>
      </c>
      <c r="R116" s="125">
        <v>-131.65</v>
      </c>
      <c r="S116" s="98">
        <f>S112+S113+S115</f>
        <v>-123.554</v>
      </c>
      <c r="T116" s="39"/>
      <c r="U116" s="97">
        <f>U118-U110</f>
        <v>-135.64200000000002</v>
      </c>
      <c r="V116" s="83">
        <f>V118-V110</f>
        <v>-139.87100000000001</v>
      </c>
      <c r="W116" s="83">
        <f>W118-W110</f>
        <v>-140.63</v>
      </c>
      <c r="X116" s="125">
        <v>-166.47900000000001</v>
      </c>
      <c r="Y116" s="98">
        <f>Y112+Y113+Y115</f>
        <v>-167.31100000000004</v>
      </c>
      <c r="Z116" s="39"/>
      <c r="AA116" s="97">
        <f>AA118-AA110</f>
        <v>-159.91700000000003</v>
      </c>
      <c r="AB116" s="83">
        <f>AB118-AB110</f>
        <v>-164.52499999999998</v>
      </c>
      <c r="AC116" s="83">
        <f>AC118-AC110</f>
        <v>-196.93099999999998</v>
      </c>
      <c r="AD116" s="125">
        <v>-194.07</v>
      </c>
      <c r="AE116" s="98">
        <f>AE112+AE113+AE115</f>
        <v>-191.67900000000006</v>
      </c>
      <c r="AF116" s="39"/>
      <c r="AG116" s="97">
        <f>AG118-AG110</f>
        <v>-212.22900000000004</v>
      </c>
      <c r="AH116" s="83">
        <f>AH118-AH110</f>
        <v>-210.55600000000004</v>
      </c>
      <c r="AI116" s="83">
        <f>AI118-AI110</f>
        <v>-212.565</v>
      </c>
      <c r="AJ116" s="125">
        <v>-210.80099999999999</v>
      </c>
      <c r="AK116" s="98">
        <f>AK112+AK113+AK115</f>
        <v>-219.89800000000005</v>
      </c>
      <c r="AL116" s="39"/>
      <c r="AM116" s="97">
        <f>AM118-AM110</f>
        <v>-233.05200000000013</v>
      </c>
      <c r="AN116" s="83">
        <f>AN118-AN110</f>
        <v>-260.26900000000012</v>
      </c>
      <c r="AO116" s="83">
        <f>AO118-AO110</f>
        <v>-248.84500000000014</v>
      </c>
      <c r="AP116" s="125">
        <v>-249.70400000000001</v>
      </c>
      <c r="AQ116" s="98">
        <f>AQ112+AQ113+AQ115</f>
        <v>-255.43199999999993</v>
      </c>
      <c r="AR116" s="39"/>
      <c r="AS116" s="97">
        <f>AS118-AS110</f>
        <v>-246.48300000000023</v>
      </c>
      <c r="AT116" s="83">
        <f>AT118-AT110</f>
        <v>-249.42000000000024</v>
      </c>
      <c r="AU116" s="83">
        <f>AU118-AU110</f>
        <v>-281.7710000000003</v>
      </c>
      <c r="AV116" s="125">
        <v>-290.64999999999998</v>
      </c>
      <c r="AW116" s="98">
        <f>AW112+AW113+AW115</f>
        <v>-304.30899999999963</v>
      </c>
      <c r="AX116" s="39"/>
      <c r="AY116" s="97">
        <f>AY118-AY110</f>
        <v>-294.31399999999991</v>
      </c>
      <c r="AZ116" s="83">
        <f>AZ118-AZ110</f>
        <v>-320.13999999999982</v>
      </c>
      <c r="BA116" s="83">
        <f>BA118-BA110</f>
        <v>-326.06099999999992</v>
      </c>
      <c r="BB116" s="125">
        <v>-333.04399999999998</v>
      </c>
      <c r="BC116" s="98">
        <f>BC118-BC110</f>
        <v>-333.0440000000001</v>
      </c>
      <c r="BD116" s="39"/>
      <c r="BE116" s="97">
        <f>BE118-BE110</f>
        <v>-351.75400000000013</v>
      </c>
      <c r="BF116" s="83">
        <f>BF118-BF110</f>
        <v>-375.9000000000002</v>
      </c>
      <c r="BG116" s="83">
        <f>BG118-BG110</f>
        <v>-384.57200000000017</v>
      </c>
      <c r="BH116" s="83">
        <f>BH118-BH110</f>
        <v>-399.34400000000028</v>
      </c>
      <c r="BI116" s="98">
        <f>BI112+BI113+BI115</f>
        <v>-399.34400000000028</v>
      </c>
      <c r="BJ116" s="83"/>
      <c r="BK116" s="97">
        <f>BK118-BK110</f>
        <v>-411.11800000000011</v>
      </c>
      <c r="BL116" s="83">
        <f>BL118-BL110</f>
        <v>-426.02200000000011</v>
      </c>
      <c r="BM116" s="83">
        <f>BM118-BM110</f>
        <v>-463.10000000000014</v>
      </c>
      <c r="BN116" s="83">
        <f>BN118-BN110</f>
        <v>-392.56299999999993</v>
      </c>
      <c r="BO116" s="98">
        <f>BO112+BO113+BO115</f>
        <v>-392.56299999999999</v>
      </c>
      <c r="BP116" s="83"/>
      <c r="BQ116" s="97">
        <v>-388.43400000000003</v>
      </c>
      <c r="BR116" s="83">
        <f>BR118-BR110</f>
        <v>-394.464</v>
      </c>
      <c r="BS116" s="83">
        <f>BS118-BS110</f>
        <v>-404.72600000000006</v>
      </c>
      <c r="BT116" s="83">
        <f>BT118-BT110</f>
        <v>-409.63399999999996</v>
      </c>
      <c r="BU116" s="98">
        <f>BU112+BU113+BU115</f>
        <v>-409.6339999999999</v>
      </c>
      <c r="BV116" s="83"/>
      <c r="BW116" s="97">
        <f>BW118-BW110</f>
        <v>-433.59000000000003</v>
      </c>
      <c r="BX116" s="83">
        <f>BX118-BX110</f>
        <v>-441.55899999999997</v>
      </c>
      <c r="BY116" s="83">
        <f>BY118-BY110</f>
        <v>-456.28999999999996</v>
      </c>
      <c r="BZ116" s="83">
        <f>BZ118-BZ110</f>
        <v>-451.16000000000008</v>
      </c>
      <c r="CA116" s="98">
        <f>CA112+CA113+CA115</f>
        <v>-451.16000000000008</v>
      </c>
      <c r="CB116" s="83"/>
      <c r="CC116" s="97">
        <f>CC118-CC110</f>
        <v>-474.52100000000002</v>
      </c>
      <c r="CD116" s="83">
        <f>CD118-CD110</f>
        <v>-515.19100000000003</v>
      </c>
      <c r="CE116" s="83">
        <f>CE118-CE110</f>
        <v>-540.35</v>
      </c>
      <c r="CF116" s="83">
        <f>CF118-CF110</f>
        <v>-564.58800000000008</v>
      </c>
      <c r="CG116" s="98">
        <f>CG112+CG113+CG115</f>
        <v>-564.58800000000019</v>
      </c>
      <c r="CH116" s="83"/>
      <c r="CI116" s="97">
        <f>CI112+CI113+CI115</f>
        <v>-584.44254375000014</v>
      </c>
      <c r="CJ116" s="83">
        <f>CJ112+CJ113+CJ115</f>
        <v>-604.71414005527981</v>
      </c>
      <c r="CK116" s="83">
        <f>CK112+CK113+CK115</f>
        <v>-625.46105831013972</v>
      </c>
      <c r="CL116" s="83">
        <f>CL112+CL113+CL115</f>
        <v>-646.69910701152219</v>
      </c>
      <c r="CM116" s="98">
        <f>CM112+CM113+CM115</f>
        <v>-646.69910701152219</v>
      </c>
      <c r="CN116" s="83"/>
      <c r="CO116" s="97">
        <f>CO112+CO113+CO115</f>
        <v>-668.46068161862661</v>
      </c>
      <c r="CP116" s="83">
        <f>CP112+CP113+CP115</f>
        <v>-690.68529482285203</v>
      </c>
      <c r="CQ116" s="83">
        <f>CQ112+CQ113+CQ115</f>
        <v>-713.42113895541706</v>
      </c>
      <c r="CR116" s="83">
        <f>CR112+CR113+CR115</f>
        <v>-736.67744744338961</v>
      </c>
      <c r="CS116" s="98">
        <f>CS112+CS113+CS115</f>
        <v>-736.67744744338972</v>
      </c>
      <c r="CT116" s="83"/>
      <c r="CU116" s="97">
        <f>CU112+CU113+CU115</f>
        <v>-760.5036451927823</v>
      </c>
      <c r="CV116" s="83">
        <f>CV112+CV113+CV115</f>
        <v>-784.84250127179678</v>
      </c>
      <c r="CW116" s="83">
        <f>CW112+CW113+CW115</f>
        <v>-809.74406047510786</v>
      </c>
      <c r="CX116" s="83">
        <f>CX112+CX113+CX115</f>
        <v>-835.21722104200614</v>
      </c>
      <c r="CY116" s="98">
        <f>CY112+CY113+CY115</f>
        <v>-835.21722104200614</v>
      </c>
      <c r="CZ116" s="83"/>
      <c r="DA116" s="83"/>
      <c r="DB116" s="83"/>
    </row>
    <row r="117" spans="1:112" ht="11.25" customHeight="1" outlineLevel="1" x14ac:dyDescent="0.2">
      <c r="A117" s="73"/>
      <c r="B117" s="39"/>
      <c r="C117" s="94"/>
      <c r="D117" s="95"/>
      <c r="E117" s="95"/>
      <c r="F117" s="95"/>
      <c r="G117" s="96"/>
      <c r="H117" s="39"/>
      <c r="I117" s="94"/>
      <c r="J117" s="95"/>
      <c r="K117" s="95"/>
      <c r="L117" s="95"/>
      <c r="M117" s="96"/>
      <c r="N117" s="39"/>
      <c r="O117" s="94"/>
      <c r="P117" s="95"/>
      <c r="Q117" s="95"/>
      <c r="R117" s="95"/>
      <c r="S117" s="96"/>
      <c r="T117" s="39"/>
      <c r="U117" s="94"/>
      <c r="V117" s="95"/>
      <c r="W117" s="95"/>
      <c r="X117" s="95"/>
      <c r="Y117" s="96"/>
      <c r="Z117" s="39"/>
      <c r="AA117" s="94"/>
      <c r="AB117" s="95"/>
      <c r="AC117" s="95"/>
      <c r="AD117" s="95"/>
      <c r="AE117" s="96"/>
      <c r="AF117" s="39"/>
      <c r="AG117" s="94"/>
      <c r="AH117" s="95"/>
      <c r="AI117" s="95"/>
      <c r="AJ117" s="95"/>
      <c r="AK117" s="96"/>
      <c r="AL117" s="39"/>
      <c r="AM117" s="94"/>
      <c r="AN117" s="95"/>
      <c r="AO117" s="95"/>
      <c r="AP117" s="95"/>
      <c r="AQ117" s="96"/>
      <c r="AR117" s="39"/>
      <c r="AS117" s="94"/>
      <c r="AT117" s="95"/>
      <c r="AU117" s="95"/>
      <c r="AV117" s="95"/>
      <c r="AW117" s="96"/>
      <c r="AX117" s="39"/>
      <c r="AY117" s="94"/>
      <c r="AZ117" s="95"/>
      <c r="BA117" s="95"/>
      <c r="BB117" s="95"/>
      <c r="BC117" s="96"/>
      <c r="BD117" s="39"/>
      <c r="BE117" s="94"/>
      <c r="BF117" s="95"/>
      <c r="BG117" s="95"/>
      <c r="BH117" s="95"/>
      <c r="BI117" s="96"/>
      <c r="BJ117" s="95"/>
      <c r="BK117" s="94"/>
      <c r="BL117" s="95"/>
      <c r="BM117" s="95"/>
      <c r="BN117" s="95"/>
      <c r="BO117" s="96"/>
      <c r="BP117" s="95"/>
      <c r="BQ117" s="94"/>
      <c r="BR117" s="95"/>
      <c r="BS117" s="95"/>
      <c r="BT117" s="95"/>
      <c r="BU117" s="96"/>
      <c r="BV117" s="95"/>
      <c r="BW117" s="94"/>
      <c r="BX117" s="95"/>
      <c r="BY117" s="95"/>
      <c r="BZ117" s="95"/>
      <c r="CA117" s="96"/>
      <c r="CB117" s="95"/>
      <c r="CC117" s="94"/>
      <c r="CD117" s="95"/>
      <c r="CE117" s="95"/>
      <c r="CF117" s="95"/>
      <c r="CG117" s="96"/>
      <c r="CH117" s="95"/>
      <c r="CI117" s="94"/>
      <c r="CJ117" s="95"/>
      <c r="CK117" s="95"/>
      <c r="CL117" s="95"/>
      <c r="CM117" s="96"/>
      <c r="CN117" s="95"/>
      <c r="CO117" s="94"/>
      <c r="CP117" s="95"/>
      <c r="CQ117" s="95"/>
      <c r="CR117" s="95"/>
      <c r="CS117" s="96"/>
      <c r="CT117" s="95"/>
      <c r="CU117" s="94"/>
      <c r="CV117" s="95"/>
      <c r="CW117" s="95"/>
      <c r="CX117" s="95"/>
      <c r="CY117" s="96"/>
      <c r="CZ117" s="95"/>
      <c r="DA117" s="95"/>
      <c r="DB117" s="95"/>
    </row>
    <row r="118" spans="1:112" ht="11.25" customHeight="1" outlineLevel="1" x14ac:dyDescent="0.2">
      <c r="A118" s="72" t="s">
        <v>362</v>
      </c>
      <c r="B118" s="39"/>
      <c r="C118" s="97"/>
      <c r="D118" s="83"/>
      <c r="E118" s="83"/>
      <c r="F118" s="83"/>
      <c r="G118" s="98">
        <f>G110+G116</f>
        <v>217.108</v>
      </c>
      <c r="H118" s="39"/>
      <c r="I118" s="97">
        <f>I20</f>
        <v>209.01599999999999</v>
      </c>
      <c r="J118" s="83">
        <f>J20</f>
        <v>197.922</v>
      </c>
      <c r="K118" s="83">
        <f>K20</f>
        <v>194.83799999999999</v>
      </c>
      <c r="L118" s="83">
        <f>L20</f>
        <v>195.19900000000001</v>
      </c>
      <c r="M118" s="98">
        <f>M110+M116</f>
        <v>211.09200000000001</v>
      </c>
      <c r="N118" s="39"/>
      <c r="O118" s="97">
        <f>O20</f>
        <v>200.21100000000001</v>
      </c>
      <c r="P118" s="83">
        <f>P20</f>
        <v>208.98</v>
      </c>
      <c r="Q118" s="83">
        <f>Q20</f>
        <v>210.40600000000001</v>
      </c>
      <c r="R118" s="83">
        <f>R20</f>
        <v>221.27699999999999</v>
      </c>
      <c r="S118" s="98">
        <f>S110+S116</f>
        <v>229.37300000000002</v>
      </c>
      <c r="T118" s="39"/>
      <c r="U118" s="97">
        <f>U20</f>
        <v>224.124</v>
      </c>
      <c r="V118" s="83">
        <f>V20</f>
        <v>228.00899999999999</v>
      </c>
      <c r="W118" s="83">
        <f>W20</f>
        <v>276.709</v>
      </c>
      <c r="X118" s="83">
        <f>X20</f>
        <v>283.49099999999999</v>
      </c>
      <c r="Y118" s="98">
        <f>Y110+Y116</f>
        <v>282.65899999999999</v>
      </c>
      <c r="Z118" s="39"/>
      <c r="AA118" s="97">
        <f>AA20</f>
        <v>299.59699999999998</v>
      </c>
      <c r="AB118" s="83">
        <f>AB20</f>
        <v>301.04000000000002</v>
      </c>
      <c r="AC118" s="83">
        <f>AC20</f>
        <v>284.21600000000001</v>
      </c>
      <c r="AD118" s="83">
        <f>AD20</f>
        <v>289.67200000000003</v>
      </c>
      <c r="AE118" s="98">
        <f>AE110+AE116</f>
        <v>292.06299999999999</v>
      </c>
      <c r="AF118" s="39"/>
      <c r="AG118" s="97">
        <f>AG20</f>
        <v>281.44</v>
      </c>
      <c r="AH118" s="83">
        <f>AH20</f>
        <v>296.00200000000001</v>
      </c>
      <c r="AI118" s="83">
        <f>AI20</f>
        <v>310.21499999999997</v>
      </c>
      <c r="AJ118" s="83">
        <f>AJ20</f>
        <v>317.46699999999998</v>
      </c>
      <c r="AK118" s="98">
        <f>AK110+AK116</f>
        <v>308.37000000000012</v>
      </c>
      <c r="AL118" s="39"/>
      <c r="AM118" s="97">
        <f>AM20</f>
        <v>312.42399999999998</v>
      </c>
      <c r="AN118" s="83">
        <f>AN20</f>
        <v>303.38099999999997</v>
      </c>
      <c r="AO118" s="83">
        <f>AO20</f>
        <v>336.74599999999998</v>
      </c>
      <c r="AP118" s="83">
        <f>AP20</f>
        <v>345.66399999999999</v>
      </c>
      <c r="AQ118" s="98">
        <f>AQ110+AQ116</f>
        <v>339.93600000000026</v>
      </c>
      <c r="AR118" s="39"/>
      <c r="AS118" s="97">
        <f>AS20</f>
        <v>369.95499999999998</v>
      </c>
      <c r="AT118" s="83">
        <f>AT20</f>
        <v>385.267</v>
      </c>
      <c r="AU118" s="83">
        <f>AU20</f>
        <v>373.62</v>
      </c>
      <c r="AV118" s="83">
        <f>AV20</f>
        <v>371.79199999999997</v>
      </c>
      <c r="AW118" s="98">
        <f>AW110+AW116</f>
        <v>357.54800000000034</v>
      </c>
      <c r="AX118" s="39"/>
      <c r="AY118" s="97">
        <f>AY20</f>
        <v>386.39600000000002</v>
      </c>
      <c r="AZ118" s="83">
        <f>AZ20</f>
        <v>383.815</v>
      </c>
      <c r="BA118" s="83">
        <f>BA20</f>
        <v>407.53</v>
      </c>
      <c r="BB118" s="83">
        <f>BB20</f>
        <v>418.93200000000002</v>
      </c>
      <c r="BC118" s="98">
        <f>BC20</f>
        <v>418.93200000000002</v>
      </c>
      <c r="BD118" s="39"/>
      <c r="BE118" s="97">
        <f>BE20</f>
        <v>415.99599999999998</v>
      </c>
      <c r="BF118" s="83">
        <f>BF20</f>
        <v>412.41899999999998</v>
      </c>
      <c r="BG118" s="83">
        <f>BG20</f>
        <v>428.536</v>
      </c>
      <c r="BH118" s="83">
        <f>BH20</f>
        <v>445.04399999999998</v>
      </c>
      <c r="BI118" s="98">
        <f>+BI110+BI116</f>
        <v>445.04399999999976</v>
      </c>
      <c r="BJ118" s="83"/>
      <c r="BK118" s="97">
        <f>BK20</f>
        <v>450.61399999999998</v>
      </c>
      <c r="BL118" s="83">
        <f>BL20</f>
        <v>460.85700000000003</v>
      </c>
      <c r="BM118" s="83">
        <f>BM20</f>
        <v>441.55799999999999</v>
      </c>
      <c r="BN118" s="83">
        <f>BN20</f>
        <v>428.09300000000002</v>
      </c>
      <c r="BO118" s="98">
        <f>+BO110+BO116</f>
        <v>428.09299999999996</v>
      </c>
      <c r="BP118" s="83"/>
      <c r="BQ118" s="97">
        <f>BQ20</f>
        <v>409.69799999999998</v>
      </c>
      <c r="BR118" s="83">
        <f>BR20</f>
        <v>444.87200000000001</v>
      </c>
      <c r="BS118" s="83">
        <f>BS20</f>
        <v>441.90699999999998</v>
      </c>
      <c r="BT118" s="83">
        <f>BT20</f>
        <v>442.94400000000002</v>
      </c>
      <c r="BU118" s="98">
        <f>+BU110+BU116</f>
        <v>442.94400000000007</v>
      </c>
      <c r="BV118" s="83"/>
      <c r="BW118" s="97">
        <f>BW20</f>
        <v>459.63099999999997</v>
      </c>
      <c r="BX118" s="83">
        <f>BX20</f>
        <v>460.33699999999999</v>
      </c>
      <c r="BY118" s="83">
        <f>BY20</f>
        <v>460.50900000000001</v>
      </c>
      <c r="BZ118" s="83">
        <f>BZ20</f>
        <v>436.65499999999997</v>
      </c>
      <c r="CA118" s="98">
        <f>+CA110+CA116</f>
        <v>436.65499999999997</v>
      </c>
      <c r="CB118" s="83"/>
      <c r="CC118" s="97">
        <f>CC20</f>
        <v>441.84899999999999</v>
      </c>
      <c r="CD118" s="83">
        <f>CD20</f>
        <v>465.54700000000003</v>
      </c>
      <c r="CE118" s="83">
        <f>CE20</f>
        <v>484.39800000000002</v>
      </c>
      <c r="CF118" s="83">
        <f>CF20</f>
        <v>494.32100000000003</v>
      </c>
      <c r="CG118" s="98">
        <f>+CG110+CG116</f>
        <v>494.32099999999991</v>
      </c>
      <c r="CH118" s="83"/>
      <c r="CI118" s="97">
        <f>+CI110+CI116</f>
        <v>496.70925919824617</v>
      </c>
      <c r="CJ118" s="83">
        <f>+CJ110+CJ116</f>
        <v>501.78816687058293</v>
      </c>
      <c r="CK118" s="83">
        <f>+CK110+CK116</f>
        <v>507.23487243025932</v>
      </c>
      <c r="CL118" s="83">
        <f>+CL110+CL116</f>
        <v>513.91820536738226</v>
      </c>
      <c r="CM118" s="98">
        <f>+CM110+CM116</f>
        <v>513.91820536738248</v>
      </c>
      <c r="CN118" s="83"/>
      <c r="CO118" s="97">
        <f>+CO110+CO116</f>
        <v>516.85202260673088</v>
      </c>
      <c r="CP118" s="83">
        <f>+CP110+CP116</f>
        <v>521.89305891395247</v>
      </c>
      <c r="CQ118" s="83">
        <f>+CQ110+CQ116</f>
        <v>526.91531373645466</v>
      </c>
      <c r="CR118" s="83">
        <f>+CR110+CR116</f>
        <v>534.0530991908829</v>
      </c>
      <c r="CS118" s="98">
        <f>+CS110+CS116</f>
        <v>534.05309919088279</v>
      </c>
      <c r="CT118" s="83"/>
      <c r="CU118" s="97">
        <f>+CU110+CU116</f>
        <v>537.5686790213241</v>
      </c>
      <c r="CV118" s="83">
        <f>+CV110+CV116</f>
        <v>543.24065623812942</v>
      </c>
      <c r="CW118" s="83">
        <f>+CW110+CW116</f>
        <v>548.82450309279864</v>
      </c>
      <c r="CX118" s="83">
        <f>+CX110+CX116</f>
        <v>556.70239535324083</v>
      </c>
      <c r="CY118" s="98">
        <f>+CY110+CY116</f>
        <v>556.70239535324106</v>
      </c>
      <c r="CZ118" s="83"/>
      <c r="DA118" s="83"/>
      <c r="DB118" s="83"/>
    </row>
    <row r="119" spans="1:112" ht="11.25" customHeight="1" outlineLevel="1" x14ac:dyDescent="0.2">
      <c r="A119" s="73"/>
      <c r="B119" s="39"/>
      <c r="C119" s="105"/>
      <c r="D119" s="106"/>
      <c r="E119" s="95"/>
      <c r="F119" s="95"/>
      <c r="G119" s="96"/>
      <c r="H119" s="39"/>
      <c r="I119" s="105"/>
      <c r="J119" s="106"/>
      <c r="K119" s="95"/>
      <c r="L119" s="95"/>
      <c r="M119" s="96"/>
      <c r="N119" s="39"/>
      <c r="O119" s="105"/>
      <c r="P119" s="106"/>
      <c r="Q119" s="95"/>
      <c r="R119" s="95"/>
      <c r="S119" s="96"/>
      <c r="T119" s="39"/>
      <c r="U119" s="105"/>
      <c r="V119" s="106"/>
      <c r="W119" s="95"/>
      <c r="X119" s="95"/>
      <c r="Y119" s="96"/>
      <c r="Z119" s="39"/>
      <c r="AA119" s="105"/>
      <c r="AB119" s="106"/>
      <c r="AC119" s="95"/>
      <c r="AD119" s="95"/>
      <c r="AE119" s="96"/>
      <c r="AF119" s="39"/>
      <c r="AG119" s="105"/>
      <c r="AH119" s="106"/>
      <c r="AI119" s="95"/>
      <c r="AJ119" s="95"/>
      <c r="AK119" s="96"/>
      <c r="AL119" s="39"/>
      <c r="AM119" s="105"/>
      <c r="AN119" s="106"/>
      <c r="AO119" s="95"/>
      <c r="AP119" s="95"/>
      <c r="AQ119" s="96"/>
      <c r="AR119" s="39"/>
      <c r="AS119" s="105"/>
      <c r="AT119" s="106"/>
      <c r="AU119" s="95"/>
      <c r="AV119" s="95"/>
      <c r="AW119" s="96"/>
      <c r="AX119" s="39"/>
      <c r="AY119" s="105"/>
      <c r="AZ119" s="106"/>
      <c r="BA119" s="95"/>
      <c r="BB119" s="95"/>
      <c r="BC119" s="96"/>
      <c r="BD119" s="39"/>
      <c r="BE119" s="105"/>
      <c r="BF119" s="95"/>
      <c r="BG119" s="95"/>
      <c r="BH119" s="95"/>
      <c r="BI119" s="96"/>
      <c r="BJ119" s="95"/>
      <c r="BK119" s="105"/>
      <c r="BL119" s="95"/>
      <c r="BM119" s="95"/>
      <c r="BN119" s="95"/>
      <c r="BO119" s="96"/>
      <c r="BP119" s="95"/>
      <c r="BQ119" s="94"/>
      <c r="BR119" s="95"/>
      <c r="BS119" s="95"/>
      <c r="BT119" s="95"/>
      <c r="BU119" s="96"/>
      <c r="BV119" s="95"/>
      <c r="BW119" s="94"/>
      <c r="BX119" s="95"/>
      <c r="BY119" s="95"/>
      <c r="BZ119" s="95"/>
      <c r="CA119" s="96"/>
      <c r="CB119" s="95"/>
      <c r="CC119" s="94"/>
      <c r="CD119" s="95"/>
      <c r="CE119" s="95"/>
      <c r="CF119" s="95"/>
      <c r="CG119" s="96"/>
      <c r="CH119" s="95"/>
      <c r="CI119" s="94"/>
      <c r="CJ119" s="95"/>
      <c r="CK119" s="95"/>
      <c r="CL119" s="95"/>
      <c r="CM119" s="96"/>
      <c r="CN119" s="95"/>
      <c r="CO119" s="94"/>
      <c r="CP119" s="95"/>
      <c r="CQ119" s="95"/>
      <c r="CR119" s="95"/>
      <c r="CS119" s="96"/>
      <c r="CT119" s="95"/>
      <c r="CU119" s="94"/>
      <c r="CV119" s="95"/>
      <c r="CW119" s="95"/>
      <c r="CX119" s="95"/>
      <c r="CY119" s="96"/>
      <c r="CZ119" s="95"/>
      <c r="DA119" s="95"/>
      <c r="DB119" s="95"/>
    </row>
    <row r="120" spans="1:112" ht="11.25" customHeight="1" outlineLevel="1" x14ac:dyDescent="0.2">
      <c r="A120" s="62" t="s">
        <v>363</v>
      </c>
      <c r="B120" s="39"/>
      <c r="C120" s="99"/>
      <c r="D120" s="84"/>
      <c r="E120" s="84"/>
      <c r="F120" s="84"/>
      <c r="G120" s="86"/>
      <c r="H120" s="39"/>
      <c r="I120" s="99">
        <f>-I110/(I113*4)</f>
        <v>15.962036667995218</v>
      </c>
      <c r="J120" s="84">
        <f>-J110/(J113*4)</f>
        <v>16.543988119623105</v>
      </c>
      <c r="K120" s="84">
        <f>-K110/(K113*4)</f>
        <v>17.374786598378144</v>
      </c>
      <c r="L120" s="84">
        <f>-L110/(L113*4)</f>
        <v>16.803927053032009</v>
      </c>
      <c r="M120" s="86">
        <f>-M110/(M113)</f>
        <v>15.764208869063244</v>
      </c>
      <c r="N120" s="39"/>
      <c r="O120" s="99">
        <f>-O110/(O113*4)</f>
        <v>16.152012711864408</v>
      </c>
      <c r="P120" s="84">
        <f>-P110/(P113*4)</f>
        <v>15.921049969654055</v>
      </c>
      <c r="Q120" s="84">
        <f>-Q110/(Q113*4)</f>
        <v>16.116653338664534</v>
      </c>
      <c r="R120" s="84">
        <f>-R110/(R113*4)</f>
        <v>17.392420658387529</v>
      </c>
      <c r="S120" s="86">
        <f>-S110/(S113)</f>
        <v>17.88058567230722</v>
      </c>
      <c r="T120" s="39"/>
      <c r="U120" s="99">
        <f>-U110/(U113*4)</f>
        <v>16.855603448275861</v>
      </c>
      <c r="V120" s="84">
        <f>-V110/(V113*4)</f>
        <v>16.458482462419465</v>
      </c>
      <c r="W120" s="84">
        <f>-W110/(W113*4)</f>
        <v>14.939110824742272</v>
      </c>
      <c r="X120" s="84">
        <f>-X110/(X113*4)</f>
        <v>13.594259818731132</v>
      </c>
      <c r="Y120" s="86">
        <f>-Y110/(Y113)</f>
        <v>17.185578428751487</v>
      </c>
      <c r="Z120" s="39"/>
      <c r="AA120" s="99">
        <f>-AA110/(AA113*4)</f>
        <v>12.721871539313398</v>
      </c>
      <c r="AB120" s="84">
        <f>-AB110/(AB113*4)</f>
        <v>13.460304151728925</v>
      </c>
      <c r="AC120" s="84">
        <f>-AC110/(AC113*4)</f>
        <v>12.592833961474037</v>
      </c>
      <c r="AD120" s="84">
        <f>-AD110/(AD113*4)</f>
        <v>13.326225895316812</v>
      </c>
      <c r="AE120" s="86">
        <f>-AE110/(AE113)</f>
        <v>13.324757602468051</v>
      </c>
      <c r="AF120" s="39"/>
      <c r="AG120" s="99">
        <f>-AG110/(AG113*4)</f>
        <v>13.92028535980149</v>
      </c>
      <c r="AH120" s="84">
        <f>-AH110/(AH113*4)</f>
        <v>12.865945341867313</v>
      </c>
      <c r="AI120" s="84">
        <f>-AI110/(AI113*4)</f>
        <v>11.592602448110704</v>
      </c>
      <c r="AJ120" s="84">
        <f>-AJ110/(AJ113*4)</f>
        <v>10.995504121222211</v>
      </c>
      <c r="AK120" s="86">
        <f>-AK110/(AK113)</f>
        <v>12.579606610468165</v>
      </c>
      <c r="AL120" s="39"/>
      <c r="AM120" s="99">
        <f>-AM110/(AM113*4)</f>
        <v>12.696117679918069</v>
      </c>
      <c r="AN120" s="84">
        <f>-AN110/(AN113*4)</f>
        <v>12.31752622377622</v>
      </c>
      <c r="AO120" s="84">
        <f>-AO110/(AO113*4)</f>
        <v>11.717444373299193</v>
      </c>
      <c r="AP120" s="84">
        <f>-AP110/(AP113*4)</f>
        <v>11.272493183883689</v>
      </c>
      <c r="AQ120" s="86">
        <f>-AQ110/(AQ113)</f>
        <v>12.434846174732147</v>
      </c>
      <c r="AR120" s="39"/>
      <c r="AS120" s="99">
        <f>-AS110/(AS113*4)</f>
        <v>12.143211724844379</v>
      </c>
      <c r="AT120" s="84">
        <f>-AT110/(AT113*4)</f>
        <v>12.643167330677292</v>
      </c>
      <c r="AU120" s="84">
        <f>-AU110/(AU113*4)</f>
        <v>11.103052788507158</v>
      </c>
      <c r="AV120" s="84">
        <f>-AV110/(AV113*4)</f>
        <v>9.7452294010247957</v>
      </c>
      <c r="AW120" s="86">
        <f>-AW110/(AW113)</f>
        <v>11.616213559857485</v>
      </c>
      <c r="AX120" s="39"/>
      <c r="AY120" s="99">
        <f>-AY110/(AY113*4)</f>
        <v>11.245456948390931</v>
      </c>
      <c r="AZ120" s="84">
        <f>-AZ110/(AZ113*4)</f>
        <v>12.135481312922357</v>
      </c>
      <c r="BA120" s="84">
        <f>-BA110/(BA113*4)</f>
        <v>8.3586778177840593</v>
      </c>
      <c r="BB120" s="84">
        <f>-BB110/(BB113*4)</f>
        <v>14.22472760290556</v>
      </c>
      <c r="BC120" s="86">
        <f>-BC110/BC113</f>
        <v>11.606000740832203</v>
      </c>
      <c r="BD120" s="39"/>
      <c r="BE120" s="99">
        <f>-BE110/(BE113*4)</f>
        <v>12.395059735227642</v>
      </c>
      <c r="BF120" s="84">
        <f>-BF110/(BF113*4)</f>
        <v>3.2766892228909668</v>
      </c>
      <c r="BG120" s="84">
        <f>-BG110/(BG113*4)</f>
        <v>-8.3423072187795047</v>
      </c>
      <c r="BH120" s="84">
        <f>-BH110/(BH113*4)</f>
        <v>-25.15455195424207</v>
      </c>
      <c r="BI120" s="86">
        <f>-BI110/BI113</f>
        <v>19.695558872924064</v>
      </c>
      <c r="BJ120" s="84"/>
      <c r="BK120" s="99">
        <f>-BK110/(BK113*4)</f>
        <v>13.42261682242991</v>
      </c>
      <c r="BL120" s="84">
        <f>-BL110/(BL113*4)</f>
        <v>13.848828856964396</v>
      </c>
      <c r="BM120" s="84">
        <f>-BM110/(BM113*4)</f>
        <v>13.082166820916246</v>
      </c>
      <c r="BN120" s="84">
        <f>-BN110/(BN113*4)</f>
        <v>11.063632441760122</v>
      </c>
      <c r="BO120" s="86">
        <f>-BO110/BO113</f>
        <v>12.087668650209151</v>
      </c>
      <c r="BP120" s="84"/>
      <c r="BQ120" s="99">
        <f>-BQ110/(BQ113*4)</f>
        <v>14.784127101696171</v>
      </c>
      <c r="BR120" s="84">
        <f>-BR110/(BR113*4)</f>
        <v>33.133428075161824</v>
      </c>
      <c r="BS120" s="84">
        <f>-BS110/(BS113*4)</f>
        <v>13.225334291427151</v>
      </c>
      <c r="BT120" s="84">
        <f>-BT110/(BT113*4)</f>
        <v>9.0002744700616439</v>
      </c>
      <c r="BU120" s="86">
        <f>-BU110/BU113</f>
        <v>14.324227150537631</v>
      </c>
      <c r="BV120" s="84"/>
      <c r="BW120" s="99">
        <f>-BW110/(BW113*4)</f>
        <v>13.100924024640657</v>
      </c>
      <c r="BX120" s="84">
        <f>-BX110/(BX113*4)</f>
        <v>12.27603854739478</v>
      </c>
      <c r="BY120" s="84">
        <f>-BY110/(BY113*4)</f>
        <v>12.162364022287088</v>
      </c>
      <c r="BZ120" s="84">
        <f>-BZ110/(BZ113*4)</f>
        <v>10.645263788968821</v>
      </c>
      <c r="CA120" s="86">
        <f>-CA110/CA113</f>
        <v>11.820669178638477</v>
      </c>
      <c r="CB120" s="84"/>
      <c r="CC120" s="99">
        <f>-CC110/(CC113*4)</f>
        <v>11.840629522431259</v>
      </c>
      <c r="CD120" s="84">
        <f>-CD110/(CD113*4)</f>
        <v>11.826949978293381</v>
      </c>
      <c r="CE120" s="84">
        <f>-CE110/(CE113*4)</f>
        <v>12.919162884518409</v>
      </c>
      <c r="CF120" s="84">
        <f>-CF110/(CF113*4)</f>
        <v>11.640455984522021</v>
      </c>
      <c r="CG120" s="86">
        <f>-CG110/CG113</f>
        <v>12.811811109363468</v>
      </c>
      <c r="CH120" s="84"/>
      <c r="CI120" s="99">
        <f>-CI110/(CI113*4)</f>
        <v>13.613405280947923</v>
      </c>
      <c r="CJ120" s="84">
        <f>-CJ110/(CJ113*4)</f>
        <v>13.645969097136183</v>
      </c>
      <c r="CK120" s="84">
        <f>-CK110/(CK113*4)</f>
        <v>13.648966039511281</v>
      </c>
      <c r="CL120" s="84">
        <f>-CL110/(CL113*4)</f>
        <v>13.662005025717765</v>
      </c>
      <c r="CM120" s="86">
        <f>-CM110/CM113</f>
        <v>14.134717635898443</v>
      </c>
      <c r="CN120" s="84"/>
      <c r="CO120" s="99">
        <f>-CO110/(CO113*4)</f>
        <v>13.61703743439584</v>
      </c>
      <c r="CP120" s="84">
        <f>-CP110/(CP113*4)</f>
        <v>13.640038890601065</v>
      </c>
      <c r="CQ120" s="84">
        <f>-CQ110/(CQ113*4)</f>
        <v>13.638557309109414</v>
      </c>
      <c r="CR120" s="84">
        <f>-CR110/(CR113*4)</f>
        <v>13.660062895315621</v>
      </c>
      <c r="CS120" s="86">
        <f>-CS110/CS113</f>
        <v>14.122627073750946</v>
      </c>
      <c r="CT120" s="84"/>
      <c r="CU120" s="99">
        <f>-CU110/(CU113*4)</f>
        <v>13.620221088855834</v>
      </c>
      <c r="CV120" s="84">
        <f>-CV110/(CV113*4)</f>
        <v>13.641593848930201</v>
      </c>
      <c r="CW120" s="84">
        <f>-CW110/(CW113*4)</f>
        <v>13.639392542408148</v>
      </c>
      <c r="CX120" s="84">
        <f>-CX110/(CX113*4)</f>
        <v>13.66064894793633</v>
      </c>
      <c r="CY120" s="86">
        <f>-CY110/CY113</f>
        <v>14.125459858117537</v>
      </c>
      <c r="CZ120" s="84"/>
      <c r="DA120" s="84"/>
      <c r="DB120" s="84"/>
    </row>
    <row r="121" spans="1:112" ht="11.25" customHeight="1" outlineLevel="1" x14ac:dyDescent="0.2">
      <c r="A121" s="74" t="s">
        <v>364</v>
      </c>
      <c r="B121" s="39"/>
      <c r="C121" s="107"/>
      <c r="D121" s="92"/>
      <c r="E121" s="92"/>
      <c r="F121" s="92"/>
      <c r="G121" s="108"/>
      <c r="H121" s="240"/>
      <c r="I121" s="107">
        <f>I116/(I113*4)</f>
        <v>5.5487245914707053</v>
      </c>
      <c r="J121" s="92">
        <f>J116/(J113*4)</f>
        <v>6.4086952068824239</v>
      </c>
      <c r="K121" s="92">
        <f>K116/(K113*4)</f>
        <v>6.9801002987622685</v>
      </c>
      <c r="L121" s="92">
        <f>L116/(L113*4)</f>
        <v>5.8843141642425634</v>
      </c>
      <c r="M121" s="108">
        <f>M116/(M113)</f>
        <v>4.6861716085017084</v>
      </c>
      <c r="N121" s="240"/>
      <c r="O121" s="107">
        <f>O116/(O113*4)</f>
        <v>5.5476165254237308</v>
      </c>
      <c r="P121" s="92">
        <f>P116/(P113*4)</f>
        <v>5.3515577584462894</v>
      </c>
      <c r="Q121" s="92">
        <f>Q116/(Q113*4)</f>
        <v>5.6005597760895656</v>
      </c>
      <c r="R121" s="92">
        <f>R116/(R113*4)</f>
        <v>6.487778434851168</v>
      </c>
      <c r="S121" s="108">
        <f>S116/(S113)</f>
        <v>6.2597020974769464</v>
      </c>
      <c r="T121" s="240"/>
      <c r="U121" s="107">
        <f>U116/(U113*4)</f>
        <v>6.355041229385308</v>
      </c>
      <c r="V121" s="92">
        <f>V116/(V113*4)</f>
        <v>6.257650322118824</v>
      </c>
      <c r="W121" s="92">
        <f>W116/(W113*4)</f>
        <v>5.034006300114549</v>
      </c>
      <c r="X121" s="92">
        <f>X116/(X113*4)</f>
        <v>5.0295770392749297</v>
      </c>
      <c r="Y121" s="108">
        <f>Y116/(Y113)</f>
        <v>6.3900622541343655</v>
      </c>
      <c r="Z121" s="240"/>
      <c r="AA121" s="107">
        <f>AA116/(AA113*4)</f>
        <v>4.4273809523809531</v>
      </c>
      <c r="AB121" s="92">
        <f>AB116/(AB113*4)</f>
        <v>4.7567075286226439</v>
      </c>
      <c r="AC121" s="92">
        <f>AC116/(AC113*4)</f>
        <v>5.1541823701842544</v>
      </c>
      <c r="AD121" s="92">
        <f>AD116/(AD113*4)</f>
        <v>5.3462809917355392</v>
      </c>
      <c r="AE121" s="108">
        <f>AE116/(AE113)</f>
        <v>5.2798314235345991</v>
      </c>
      <c r="AF121" s="240"/>
      <c r="AG121" s="107">
        <f>AG116/(AG113*4)</f>
        <v>5.9843503270922636</v>
      </c>
      <c r="AH121" s="92">
        <f>AH116/(AH113*4)</f>
        <v>5.34786142436249</v>
      </c>
      <c r="AI121" s="92">
        <f>AI116/(AI113*4)</f>
        <v>4.7136109632783425</v>
      </c>
      <c r="AJ121" s="92">
        <f>AJ116/(AJ113*4)</f>
        <v>4.387665473316126</v>
      </c>
      <c r="AK121" s="108">
        <f>AK116/(AK113)</f>
        <v>5.2364147259132272</v>
      </c>
      <c r="AL121" s="240"/>
      <c r="AM121" s="107">
        <f>AM116/(AM113*4)</f>
        <v>5.4243552741830383</v>
      </c>
      <c r="AN121" s="92">
        <f>AN116/(AN113*4)</f>
        <v>5.6876966783216787</v>
      </c>
      <c r="AO121" s="92">
        <f>AO116/(AO113*4)</f>
        <v>4.9792900592284353</v>
      </c>
      <c r="AP121" s="92">
        <f>AP116/(AP113*4)</f>
        <v>4.7278097546198197</v>
      </c>
      <c r="AQ121" s="108">
        <f>AQ116/(AQ113)</f>
        <v>5.3349485160508792</v>
      </c>
      <c r="AR121" s="240"/>
      <c r="AS121" s="107">
        <f>AS116/(AS113*4)</f>
        <v>4.85546844220314</v>
      </c>
      <c r="AT121" s="92">
        <f>AT116/(AT113*4)</f>
        <v>4.9685258964143459</v>
      </c>
      <c r="AU121" s="92">
        <f>AU116/(AU113*4)</f>
        <v>4.7735142644168942</v>
      </c>
      <c r="AV121" s="92">
        <f>AV116/(AV113*4)</f>
        <v>4.2795512103186288</v>
      </c>
      <c r="AW121" s="108">
        <f>AW116/(AW113)</f>
        <v>5.3409094897941207</v>
      </c>
      <c r="AX121" s="240"/>
      <c r="AY121" s="107">
        <f>AY116/(AY113*4)</f>
        <v>4.8621225137117534</v>
      </c>
      <c r="AZ121" s="92">
        <f>AZ116/(AZ113*4)</f>
        <v>5.5188939456626658</v>
      </c>
      <c r="BA121" s="92">
        <f>BA116/(BA113*4)</f>
        <v>3.7152021329930274</v>
      </c>
      <c r="BB121" s="92">
        <f>BB116/(BB113*4)</f>
        <v>6.3000151331719083</v>
      </c>
      <c r="BC121" s="108">
        <f>BC116/BC113</f>
        <v>5.1402024941350799</v>
      </c>
      <c r="BD121" s="240"/>
      <c r="BE121" s="107">
        <f>BE116/(BE113*4)</f>
        <v>5.6789473684210554</v>
      </c>
      <c r="BF121" s="92">
        <f>BF116/(BF113*4)</f>
        <v>1.5624480430951364</v>
      </c>
      <c r="BG121" s="92">
        <f>BG116/(BG113*4)</f>
        <v>-3.9456231788894862</v>
      </c>
      <c r="BH121" s="92">
        <f>BH116/(BH113*4)</f>
        <v>-11.8965681601525</v>
      </c>
      <c r="BI121" s="108">
        <f>BI116/BI113</f>
        <v>9.3147975368539022</v>
      </c>
      <c r="BJ121" s="92"/>
      <c r="BK121" s="107">
        <f>BK116/(BK113*4)</f>
        <v>6.4037071651090374</v>
      </c>
      <c r="BL121" s="92">
        <f>BL116/(BL113*4)</f>
        <v>6.6524359775140534</v>
      </c>
      <c r="BM121" s="92">
        <f>BM116/(BM113*4)</f>
        <v>6.696841739935218</v>
      </c>
      <c r="BN121" s="92">
        <f>BN116/(BN113*4)</f>
        <v>5.292318270060389</v>
      </c>
      <c r="BO121" s="108">
        <f>BO116/BO113</f>
        <v>5.7821687385848088</v>
      </c>
      <c r="BP121" s="92"/>
      <c r="BQ121" s="107">
        <f>BQ116/(BQ113*4)</f>
        <v>7.1926894304125639</v>
      </c>
      <c r="BR121" s="92">
        <f>BR116/(BR113*4)</f>
        <v>15.571766935101834</v>
      </c>
      <c r="BS121" s="92">
        <f>BS116/(BS113*4)</f>
        <v>6.3222631842039538</v>
      </c>
      <c r="BT121" s="92">
        <f>BT116/(BT113*4)</f>
        <v>4.3243180474622038</v>
      </c>
      <c r="BU121" s="108">
        <f>BU116/BU113</f>
        <v>6.8822916666666636</v>
      </c>
      <c r="BV121" s="92"/>
      <c r="BW121" s="107">
        <f>BW116/(BW113*4)</f>
        <v>6.3594895863889702</v>
      </c>
      <c r="BX121" s="92">
        <f>BX116/(BX113*4)</f>
        <v>6.0102221375292624</v>
      </c>
      <c r="BY121" s="92">
        <f>BY116/(BY113*4)</f>
        <v>6.0531971345184443</v>
      </c>
      <c r="BZ121" s="92">
        <f>BZ116/(BZ113*4)</f>
        <v>5.4095923261390872</v>
      </c>
      <c r="CA121" s="108">
        <f>CA116/CA113</f>
        <v>6.0068968271932057</v>
      </c>
      <c r="CB121" s="92"/>
      <c r="CC121" s="107">
        <f>CC116/(CC113*4)</f>
        <v>6.131396009923507</v>
      </c>
      <c r="CD121" s="92">
        <f>CD116/(CD113*4)</f>
        <v>6.212809319376781</v>
      </c>
      <c r="CE121" s="92">
        <f>CE116/(CE113*4)</f>
        <v>6.812279374684822</v>
      </c>
      <c r="CF121" s="92">
        <f>CF116/(CF113*4)</f>
        <v>6.2064462228475907</v>
      </c>
      <c r="CG121" s="108">
        <f>CG116/CG113</f>
        <v>6.8309881308151157</v>
      </c>
      <c r="CH121" s="92"/>
      <c r="CI121" s="107">
        <f>CI116/(CI113*4)</f>
        <v>7.3590528081261013</v>
      </c>
      <c r="CJ121" s="92">
        <f>CJ116/(CJ113*4)</f>
        <v>7.4576531979598659</v>
      </c>
      <c r="CK121" s="92">
        <f>CK116/(CK113*4)</f>
        <v>7.5367947497892454</v>
      </c>
      <c r="CL121" s="92">
        <f>CL116/(CL113*4)</f>
        <v>7.6125061688156119</v>
      </c>
      <c r="CM121" s="108">
        <f>CM116/CM113</f>
        <v>7.8759029143374706</v>
      </c>
      <c r="CN121" s="92"/>
      <c r="CO121" s="107">
        <f>CO116/(CO113*4)</f>
        <v>7.6793694124550562</v>
      </c>
      <c r="CP121" s="92">
        <f>CP116/(CP113*4)</f>
        <v>7.7693736272937199</v>
      </c>
      <c r="CQ121" s="92">
        <f>CQ116/(CQ113*4)</f>
        <v>7.8446739737888951</v>
      </c>
      <c r="CR121" s="92">
        <f>CR116/(CR113*4)</f>
        <v>7.91911416018986</v>
      </c>
      <c r="CS121" s="108">
        <f>CS116/CS113</f>
        <v>8.1872753365706785</v>
      </c>
      <c r="CT121" s="92"/>
      <c r="CU121" s="107">
        <f>CU116/(CU113*4)</f>
        <v>7.9797000468965882</v>
      </c>
      <c r="CV121" s="92">
        <f>CV116/(CV113*4)</f>
        <v>8.0616206727614603</v>
      </c>
      <c r="CW121" s="92">
        <f>CW116/(CW113*4)</f>
        <v>8.129451391616449</v>
      </c>
      <c r="CX121" s="92">
        <f>CX116/(CX113*4)</f>
        <v>8.1970317233361953</v>
      </c>
      <c r="CY121" s="108">
        <f>CY116/CY113</f>
        <v>8.4759401259039731</v>
      </c>
      <c r="CZ121" s="84"/>
      <c r="DA121" s="84"/>
      <c r="DB121" s="84"/>
    </row>
    <row r="122" spans="1:112" ht="11.25" customHeight="1" outlineLevel="1" x14ac:dyDescent="0.2">
      <c r="A122" s="70" t="s">
        <v>365</v>
      </c>
      <c r="B122" s="39"/>
      <c r="C122" s="94"/>
      <c r="D122" s="95"/>
      <c r="E122" s="95"/>
      <c r="F122" s="95"/>
      <c r="G122" s="96"/>
      <c r="H122" s="39"/>
      <c r="I122" s="94"/>
      <c r="J122" s="95"/>
      <c r="K122" s="95"/>
      <c r="L122" s="95"/>
      <c r="M122" s="96"/>
      <c r="N122" s="39"/>
      <c r="O122" s="94"/>
      <c r="P122" s="95"/>
      <c r="Q122" s="95"/>
      <c r="R122" s="95"/>
      <c r="S122" s="96"/>
      <c r="T122" s="39"/>
      <c r="U122" s="94"/>
      <c r="V122" s="95"/>
      <c r="W122" s="95"/>
      <c r="X122" s="95"/>
      <c r="Y122" s="96"/>
      <c r="Z122" s="39"/>
      <c r="AA122" s="94"/>
      <c r="AB122" s="95"/>
      <c r="AC122" s="95"/>
      <c r="AD122" s="95"/>
      <c r="AE122" s="96"/>
      <c r="AF122" s="39"/>
      <c r="AG122" s="94"/>
      <c r="AH122" s="95"/>
      <c r="AI122" s="95"/>
      <c r="AJ122" s="95"/>
      <c r="AK122" s="96"/>
      <c r="AL122" s="39"/>
      <c r="AM122" s="94"/>
      <c r="AN122" s="95"/>
      <c r="AO122" s="95"/>
      <c r="AP122" s="95"/>
      <c r="AQ122" s="96"/>
      <c r="AR122" s="39"/>
      <c r="AS122" s="94"/>
      <c r="AT122" s="95"/>
      <c r="AU122" s="95"/>
      <c r="AV122" s="95"/>
      <c r="AW122" s="96"/>
      <c r="AX122" s="39"/>
      <c r="AY122" s="94"/>
      <c r="AZ122" s="95"/>
      <c r="BA122" s="95"/>
      <c r="BB122" s="95"/>
      <c r="BC122" s="96"/>
      <c r="BD122" s="39"/>
      <c r="BE122" s="94"/>
      <c r="BF122" s="95"/>
      <c r="BG122" s="95"/>
      <c r="BH122" s="95"/>
      <c r="BI122" s="96"/>
      <c r="BJ122" s="95"/>
      <c r="BK122" s="94"/>
      <c r="BL122" s="95"/>
      <c r="BM122" s="95"/>
      <c r="BN122" s="95"/>
      <c r="BO122" s="96"/>
      <c r="BP122" s="95"/>
      <c r="BQ122" s="94"/>
      <c r="BR122" s="95"/>
      <c r="BS122" s="95"/>
      <c r="BT122" s="95"/>
      <c r="BU122" s="96"/>
      <c r="BV122" s="95"/>
      <c r="BW122" s="94"/>
      <c r="BX122" s="95"/>
      <c r="BY122" s="95"/>
      <c r="BZ122" s="95"/>
      <c r="CA122" s="96"/>
      <c r="CB122" s="95"/>
      <c r="CC122" s="94"/>
      <c r="CD122" s="95"/>
      <c r="CE122" s="95"/>
      <c r="CF122" s="95"/>
      <c r="CG122" s="96"/>
      <c r="CH122" s="95"/>
      <c r="CI122" s="94"/>
      <c r="CJ122" s="95"/>
      <c r="CK122" s="95"/>
      <c r="CL122" s="95"/>
      <c r="CM122" s="96"/>
      <c r="CN122" s="95"/>
      <c r="CO122" s="94"/>
      <c r="CP122" s="95"/>
      <c r="CQ122" s="95"/>
      <c r="CR122" s="95"/>
      <c r="CS122" s="96"/>
      <c r="CT122" s="95"/>
      <c r="CU122" s="94"/>
      <c r="CV122" s="95"/>
      <c r="CW122" s="95"/>
      <c r="CX122" s="95"/>
      <c r="CY122" s="96"/>
      <c r="CZ122" s="95"/>
      <c r="DA122" s="95"/>
      <c r="DB122" s="95"/>
    </row>
    <row r="123" spans="1:112" ht="11.25" customHeight="1" outlineLevel="1" x14ac:dyDescent="0.2">
      <c r="A123" s="62" t="s">
        <v>366</v>
      </c>
      <c r="B123" s="39"/>
      <c r="C123" s="97"/>
      <c r="D123" s="83"/>
      <c r="E123" s="83"/>
      <c r="F123" s="83"/>
      <c r="G123" s="128">
        <v>43.576000000000001</v>
      </c>
      <c r="H123" s="39"/>
      <c r="I123" s="97">
        <f>G128</f>
        <v>34.758000000000003</v>
      </c>
      <c r="J123" s="83">
        <f>I128</f>
        <v>32.908999999999999</v>
      </c>
      <c r="K123" s="83">
        <f>J128</f>
        <v>62.238999999999997</v>
      </c>
      <c r="L123" s="83">
        <f>K128</f>
        <v>65.367000000000004</v>
      </c>
      <c r="M123" s="98">
        <f>G128</f>
        <v>34.758000000000003</v>
      </c>
      <c r="N123" s="39"/>
      <c r="O123" s="97">
        <f>M128</f>
        <v>74.566000000000003</v>
      </c>
      <c r="P123" s="83">
        <f>O128</f>
        <v>84.414000000000001</v>
      </c>
      <c r="Q123" s="83">
        <f>P128</f>
        <v>107.94799999999999</v>
      </c>
      <c r="R123" s="83">
        <f>Q128</f>
        <v>106.539</v>
      </c>
      <c r="S123" s="98">
        <f>M128</f>
        <v>74.566000000000003</v>
      </c>
      <c r="T123" s="39"/>
      <c r="U123" s="97">
        <f>S128</f>
        <v>118.492</v>
      </c>
      <c r="V123" s="83">
        <f>U128</f>
        <v>131.38800000000001</v>
      </c>
      <c r="W123" s="83">
        <f>V128</f>
        <v>132.821</v>
      </c>
      <c r="X123" s="83">
        <f>W128</f>
        <v>648.86</v>
      </c>
      <c r="Y123" s="98">
        <f>S128</f>
        <v>118.492</v>
      </c>
      <c r="Z123" s="39"/>
      <c r="AA123" s="97">
        <f>Y128</f>
        <v>639.10699999999997</v>
      </c>
      <c r="AB123" s="83">
        <f>AA128</f>
        <v>631.07799999999997</v>
      </c>
      <c r="AC123" s="83">
        <f>AB128</f>
        <v>618.90800000000002</v>
      </c>
      <c r="AD123" s="83">
        <f>AC128</f>
        <v>633.173</v>
      </c>
      <c r="AE123" s="98">
        <f>Y128</f>
        <v>639.10699999999997</v>
      </c>
      <c r="AF123" s="39"/>
      <c r="AG123" s="97">
        <f>AE128</f>
        <v>640.30899999999997</v>
      </c>
      <c r="AH123" s="83">
        <f>AG128</f>
        <v>620.005</v>
      </c>
      <c r="AI123" s="83">
        <f>AH128</f>
        <v>619.38</v>
      </c>
      <c r="AJ123" s="83">
        <f>AI128</f>
        <v>693.77700000000004</v>
      </c>
      <c r="AK123" s="98">
        <f>AE128</f>
        <v>640.30899999999997</v>
      </c>
      <c r="AL123" s="39"/>
      <c r="AM123" s="97">
        <f>AK128</f>
        <v>752.29600000000005</v>
      </c>
      <c r="AN123" s="83">
        <f>AM128</f>
        <v>745.8</v>
      </c>
      <c r="AO123" s="83">
        <f>AN128</f>
        <v>713.66399999999999</v>
      </c>
      <c r="AP123" s="83">
        <f>AO128</f>
        <v>777.428</v>
      </c>
      <c r="AQ123" s="98">
        <f>AK128</f>
        <v>752.29600000000005</v>
      </c>
      <c r="AR123" s="39"/>
      <c r="AS123" s="97">
        <f>AQ128</f>
        <v>753.327</v>
      </c>
      <c r="AT123" s="83">
        <f>AS128</f>
        <v>752.54100000000005</v>
      </c>
      <c r="AU123" s="83">
        <f>AT128</f>
        <v>741.39</v>
      </c>
      <c r="AV123" s="83">
        <f>AU128</f>
        <v>854.19899999999996</v>
      </c>
      <c r="AW123" s="98">
        <f>AQ128</f>
        <v>753.327</v>
      </c>
      <c r="AX123" s="39"/>
      <c r="AY123" s="97">
        <f>AW128</f>
        <v>819.48699999999997</v>
      </c>
      <c r="AZ123" s="83">
        <f>AY128</f>
        <v>824.05899999999997</v>
      </c>
      <c r="BA123" s="83">
        <f>AZ128</f>
        <v>906.76300000000003</v>
      </c>
      <c r="BB123" s="83">
        <f>BA128</f>
        <v>886.899</v>
      </c>
      <c r="BC123" s="98">
        <f>AW128</f>
        <v>819.48699999999997</v>
      </c>
      <c r="BD123" s="39"/>
      <c r="BE123" s="963">
        <f>BC128</f>
        <v>853.87199999999996</v>
      </c>
      <c r="BF123" s="83">
        <f>BE128</f>
        <v>810.35900000000004</v>
      </c>
      <c r="BG123" s="83">
        <f>BF128</f>
        <v>798.226</v>
      </c>
      <c r="BH123" s="83">
        <f>BG128</f>
        <v>809.75900000000001</v>
      </c>
      <c r="BI123" s="98">
        <f>BC128</f>
        <v>853.87199999999996</v>
      </c>
      <c r="BJ123" s="83"/>
      <c r="BK123" s="963">
        <f>BI128</f>
        <v>790.40499999999997</v>
      </c>
      <c r="BL123" s="83">
        <f>BK128</f>
        <v>761.41099999999994</v>
      </c>
      <c r="BM123" s="83">
        <f>BL128</f>
        <v>768.05399999999997</v>
      </c>
      <c r="BN123" s="83">
        <f>BM128</f>
        <v>704.71</v>
      </c>
      <c r="BO123" s="98">
        <f>BI128</f>
        <v>790.40499999999997</v>
      </c>
      <c r="BP123" s="83"/>
      <c r="BQ123" s="97">
        <f>BO128</f>
        <v>726.91399999999999</v>
      </c>
      <c r="BR123" s="83">
        <f>BQ128</f>
        <v>670.88099999999997</v>
      </c>
      <c r="BS123" s="83">
        <f>BR128</f>
        <v>661.43700000000001</v>
      </c>
      <c r="BT123" s="83">
        <f>BS128</f>
        <v>635.35699999999997</v>
      </c>
      <c r="BU123" s="98">
        <f>BO128</f>
        <v>726.91399999999999</v>
      </c>
      <c r="BV123" s="83"/>
      <c r="BW123" s="97">
        <f>BU128</f>
        <v>636.42100000000005</v>
      </c>
      <c r="BX123" s="83">
        <f>BW128</f>
        <v>614.11300000000006</v>
      </c>
      <c r="BY123" s="83">
        <f>BX128</f>
        <v>593.67399999999998</v>
      </c>
      <c r="BZ123" s="83">
        <f>BY128</f>
        <v>623.27200000000005</v>
      </c>
      <c r="CA123" s="98">
        <f>BU128</f>
        <v>636.42100000000005</v>
      </c>
      <c r="CB123" s="83"/>
      <c r="CC123" s="97">
        <f>CA128</f>
        <v>557.15899999999999</v>
      </c>
      <c r="CD123" s="83">
        <f>CC128</f>
        <v>559.16099999999994</v>
      </c>
      <c r="CE123" s="83">
        <f>CD128</f>
        <v>546.84100000000001</v>
      </c>
      <c r="CF123" s="83">
        <f>CE128</f>
        <v>524.67200000000003</v>
      </c>
      <c r="CG123" s="98">
        <f>CA128</f>
        <v>557.15899999999999</v>
      </c>
      <c r="CH123" s="83"/>
      <c r="CI123" s="97">
        <f>CG128</f>
        <v>499.31799999999998</v>
      </c>
      <c r="CJ123" s="83">
        <f>CI128</f>
        <v>466.81799999999998</v>
      </c>
      <c r="CK123" s="83">
        <f>CJ128</f>
        <v>434.31799999999998</v>
      </c>
      <c r="CL123" s="83">
        <f>CK128</f>
        <v>401.81799999999998</v>
      </c>
      <c r="CM123" s="98">
        <f>CG128</f>
        <v>499.31799999999998</v>
      </c>
      <c r="CN123" s="83"/>
      <c r="CO123" s="97">
        <f>CM128</f>
        <v>369.31799999999998</v>
      </c>
      <c r="CP123" s="83">
        <f>CO128</f>
        <v>336.81799999999998</v>
      </c>
      <c r="CQ123" s="83">
        <f>CP128</f>
        <v>304.31799999999998</v>
      </c>
      <c r="CR123" s="83">
        <f>CQ128</f>
        <v>271.81799999999998</v>
      </c>
      <c r="CS123" s="98">
        <f>CM128</f>
        <v>369.31799999999998</v>
      </c>
      <c r="CT123" s="83"/>
      <c r="CU123" s="97">
        <f>CS128</f>
        <v>239.31799999999998</v>
      </c>
      <c r="CV123" s="83">
        <f>CU128</f>
        <v>206.81799999999998</v>
      </c>
      <c r="CW123" s="83">
        <f>CV128</f>
        <v>174.31799999999998</v>
      </c>
      <c r="CX123" s="83">
        <f>CW128</f>
        <v>141.81799999999998</v>
      </c>
      <c r="CY123" s="98">
        <f>CS128</f>
        <v>239.31799999999998</v>
      </c>
      <c r="CZ123" s="83"/>
      <c r="DA123" s="83"/>
      <c r="DB123" s="83"/>
    </row>
    <row r="124" spans="1:112" ht="11.25" customHeight="1" outlineLevel="1" x14ac:dyDescent="0.2">
      <c r="A124" s="67" t="s">
        <v>139</v>
      </c>
      <c r="B124" s="39"/>
      <c r="C124" s="99"/>
      <c r="D124" s="84"/>
      <c r="E124" s="84"/>
      <c r="F124" s="84"/>
      <c r="G124" s="87">
        <v>0</v>
      </c>
      <c r="H124" s="39"/>
      <c r="I124" s="102">
        <v>0</v>
      </c>
      <c r="J124" s="82">
        <v>0</v>
      </c>
      <c r="K124" s="82">
        <v>0</v>
      </c>
      <c r="L124" s="82">
        <v>0</v>
      </c>
      <c r="M124" s="86">
        <f>SUM(I124:L124)</f>
        <v>0</v>
      </c>
      <c r="N124" s="39"/>
      <c r="O124" s="102">
        <v>0</v>
      </c>
      <c r="P124" s="82">
        <v>31.9</v>
      </c>
      <c r="Q124" s="82">
        <v>0</v>
      </c>
      <c r="R124" s="82">
        <f>41.012+2.2-SUM(O124:Q124)</f>
        <v>11.312000000000005</v>
      </c>
      <c r="S124" s="86">
        <f>SUM(O124:R124)</f>
        <v>43.212000000000003</v>
      </c>
      <c r="T124" s="39"/>
      <c r="U124" s="102">
        <v>0</v>
      </c>
      <c r="V124" s="82">
        <v>0</v>
      </c>
      <c r="W124" s="82">
        <f>13.1+0.9+504+25</f>
        <v>543</v>
      </c>
      <c r="X124" s="82">
        <v>0</v>
      </c>
      <c r="Y124" s="86">
        <f>SUM(U124:X124)</f>
        <v>543</v>
      </c>
      <c r="Z124" s="39"/>
      <c r="AA124" s="102">
        <v>0</v>
      </c>
      <c r="AB124" s="82">
        <v>0</v>
      </c>
      <c r="AC124" s="82">
        <f>45.21+0.825</f>
        <v>46.035000000000004</v>
      </c>
      <c r="AD124" s="82">
        <v>15.3</v>
      </c>
      <c r="AE124" s="86">
        <f>SUM(AA124:AD124)</f>
        <v>61.335000000000008</v>
      </c>
      <c r="AF124" s="39"/>
      <c r="AG124" s="102">
        <v>0</v>
      </c>
      <c r="AH124" s="82">
        <v>0</v>
      </c>
      <c r="AI124" s="82">
        <f>4.2+49.4+1.356+17.045</f>
        <v>72.001000000000005</v>
      </c>
      <c r="AJ124" s="82">
        <f>1.9+8.4+1.7+26.4</f>
        <v>38.4</v>
      </c>
      <c r="AK124" s="86">
        <f>SUM(AG124:AJ124)</f>
        <v>110.40100000000001</v>
      </c>
      <c r="AL124" s="39"/>
      <c r="AM124" s="102">
        <v>0</v>
      </c>
      <c r="AN124" s="82">
        <v>0</v>
      </c>
      <c r="AO124" s="82">
        <v>0</v>
      </c>
      <c r="AP124" s="82">
        <v>0</v>
      </c>
      <c r="AQ124" s="86">
        <f>SUM(AM124:AP124)</f>
        <v>0</v>
      </c>
      <c r="AR124" s="39"/>
      <c r="AS124" s="102">
        <v>0</v>
      </c>
      <c r="AT124" s="82">
        <v>0</v>
      </c>
      <c r="AU124" s="82">
        <f>12+1.5+42.6+10.6+67.2+36.4</f>
        <v>170.3</v>
      </c>
      <c r="AV124" s="82">
        <v>0</v>
      </c>
      <c r="AW124" s="86">
        <f>SUM(AS124:AV124)</f>
        <v>170.3</v>
      </c>
      <c r="AX124" s="39"/>
      <c r="AY124" s="102">
        <v>0</v>
      </c>
      <c r="AZ124" s="82">
        <f>2.962+26.876+28.961</f>
        <v>58.798999999999999</v>
      </c>
      <c r="BA124" s="82">
        <f>12+1.5+42.6+10.6+67.2+36.4</f>
        <v>170.3</v>
      </c>
      <c r="BB124" s="82">
        <v>0</v>
      </c>
      <c r="BC124" s="86">
        <f>SUM(AY124:BB124)</f>
        <v>229.09900000000002</v>
      </c>
      <c r="BD124" s="39"/>
      <c r="BE124" s="102">
        <v>0</v>
      </c>
      <c r="BF124" s="82">
        <f>44.354-BE124</f>
        <v>44.353999999999999</v>
      </c>
      <c r="BG124" s="82">
        <f>71.549-BF124-BE124</f>
        <v>27.195000000000007</v>
      </c>
      <c r="BH124" s="82">
        <f>72.448-BG124-BF124-BE124</f>
        <v>0.8989999999999867</v>
      </c>
      <c r="BI124" s="86">
        <f>SUM(BE124:BH124)</f>
        <v>72.447999999999993</v>
      </c>
      <c r="BJ124" s="84"/>
      <c r="BK124" s="102">
        <v>0</v>
      </c>
      <c r="BL124" s="1067">
        <f>35.897-BK124</f>
        <v>35.896999999999998</v>
      </c>
      <c r="BM124" s="1067">
        <f>31.674-BL124-BK124</f>
        <v>-4.222999999999999</v>
      </c>
      <c r="BN124" s="82">
        <f>103.13-BM124-BL124-BK124</f>
        <v>71.455999999999989</v>
      </c>
      <c r="BO124" s="86">
        <f>SUM(BK124:BN124)</f>
        <v>103.13</v>
      </c>
      <c r="BP124" s="84"/>
      <c r="BQ124" s="102">
        <v>3.105</v>
      </c>
      <c r="BR124" s="1067">
        <f>5.767-BQ124</f>
        <v>2.6620000000000004</v>
      </c>
      <c r="BS124" s="1067">
        <f>5.463-SUM(BQ124:BR124)</f>
        <v>-0.30400000000000027</v>
      </c>
      <c r="BT124" s="82">
        <f>31.412-BS124-BR124-BQ124</f>
        <v>25.949000000000002</v>
      </c>
      <c r="BU124" s="86">
        <f>SUM(BQ124:BT124)</f>
        <v>31.412000000000003</v>
      </c>
      <c r="BV124" s="84"/>
      <c r="BW124" s="102">
        <v>0</v>
      </c>
      <c r="BX124" s="1067">
        <f>17.1-BW124</f>
        <v>17.100000000000001</v>
      </c>
      <c r="BY124" s="1067">
        <f>23.7-SUM(BW124:BX124)</f>
        <v>6.5999999999999979</v>
      </c>
      <c r="BZ124" s="82">
        <f>23.7-BY124-BX124-BW124</f>
        <v>0</v>
      </c>
      <c r="CA124" s="86">
        <f>SUM(BW124:BZ124)</f>
        <v>23.7</v>
      </c>
      <c r="CB124" s="84"/>
      <c r="CC124" s="102">
        <v>28.3</v>
      </c>
      <c r="CD124" s="1067">
        <f>28.4-CC124</f>
        <v>9.9999999999997868E-2</v>
      </c>
      <c r="CE124" s="1067">
        <f>28.7-SUM(CC124:CD124)</f>
        <v>0.30000000000000071</v>
      </c>
      <c r="CF124" s="82">
        <f>28.7-CE124-CD124-CC124</f>
        <v>0</v>
      </c>
      <c r="CG124" s="86">
        <f>SUM(CC124:CF124)</f>
        <v>28.7</v>
      </c>
      <c r="CH124" s="84"/>
      <c r="CI124" s="99">
        <f>-CI138*CFS!CI38</f>
        <v>0</v>
      </c>
      <c r="CJ124" s="84">
        <f>-CJ138*CFS!CJ38</f>
        <v>0</v>
      </c>
      <c r="CK124" s="84">
        <f>-CK138*CFS!CK38</f>
        <v>0</v>
      </c>
      <c r="CL124" s="84">
        <f>-CL138*CFS!CL38</f>
        <v>0</v>
      </c>
      <c r="CM124" s="86">
        <f>SUM(CI124:CL124)</f>
        <v>0</v>
      </c>
      <c r="CN124" s="84"/>
      <c r="CO124" s="99">
        <f>-CO138*CFS!CO38</f>
        <v>0</v>
      </c>
      <c r="CP124" s="84">
        <f>-CP138*CFS!CP38</f>
        <v>0</v>
      </c>
      <c r="CQ124" s="84">
        <f>-CQ138*CFS!CQ38</f>
        <v>0</v>
      </c>
      <c r="CR124" s="84">
        <f>-CR138*CFS!CR38</f>
        <v>0</v>
      </c>
      <c r="CS124" s="86">
        <f>SUM(CO124:CR124)</f>
        <v>0</v>
      </c>
      <c r="CT124" s="84"/>
      <c r="CU124" s="99">
        <f>-CU138*CFS!CU38</f>
        <v>0</v>
      </c>
      <c r="CV124" s="84">
        <f>-CV138*CFS!CV38</f>
        <v>0</v>
      </c>
      <c r="CW124" s="84">
        <f>-CW138*CFS!CW38</f>
        <v>0</v>
      </c>
      <c r="CX124" s="84">
        <f>-CX138*CFS!CX38</f>
        <v>0</v>
      </c>
      <c r="CY124" s="86">
        <f>SUM(CU124:CX124)</f>
        <v>0</v>
      </c>
      <c r="CZ124" s="84"/>
      <c r="DA124" s="84"/>
      <c r="DB124" s="84"/>
    </row>
    <row r="125" spans="1:112" ht="11.25" customHeight="1" outlineLevel="1" x14ac:dyDescent="0.2">
      <c r="A125" s="67" t="s">
        <v>97</v>
      </c>
      <c r="B125" s="39"/>
      <c r="C125" s="99"/>
      <c r="D125" s="84"/>
      <c r="E125" s="84"/>
      <c r="F125" s="84"/>
      <c r="G125" s="87">
        <v>-8.8179999999999996</v>
      </c>
      <c r="H125" s="39"/>
      <c r="I125" s="102">
        <v>-1</v>
      </c>
      <c r="J125" s="82">
        <v>-1.6</v>
      </c>
      <c r="K125" s="82">
        <v>-1.6</v>
      </c>
      <c r="L125" s="124">
        <f>-5.9-SUM(I125:K125)</f>
        <v>-1.7000000000000002</v>
      </c>
      <c r="M125" s="86">
        <f>SUM(I125:L125)</f>
        <v>-5.9</v>
      </c>
      <c r="N125" s="39"/>
      <c r="O125" s="102">
        <v>-2</v>
      </c>
      <c r="P125" s="82">
        <v>-2.4</v>
      </c>
      <c r="Q125" s="82">
        <v>-2.9</v>
      </c>
      <c r="R125" s="124">
        <f>-10.3-SUM(O125:Q125)</f>
        <v>-3</v>
      </c>
      <c r="S125" s="86">
        <f>SUM(O125:R125)</f>
        <v>-10.3</v>
      </c>
      <c r="T125" s="39"/>
      <c r="U125" s="102">
        <v>-3.4</v>
      </c>
      <c r="V125" s="82">
        <v>-3.8</v>
      </c>
      <c r="W125" s="82">
        <v>-12.8</v>
      </c>
      <c r="X125" s="124">
        <f>-36.4-SUM(U125:W125)</f>
        <v>-16.399999999999999</v>
      </c>
      <c r="Y125" s="86">
        <f>SUM(U125:X125)</f>
        <v>-36.4</v>
      </c>
      <c r="Z125" s="39"/>
      <c r="AA125" s="102">
        <v>-16.399999999999999</v>
      </c>
      <c r="AB125" s="82">
        <v>-16.600000000000001</v>
      </c>
      <c r="AC125" s="82">
        <v>-18.5</v>
      </c>
      <c r="AD125" s="124">
        <f>-69.4-SUM(AA125:AC125)</f>
        <v>-17.900000000000006</v>
      </c>
      <c r="AE125" s="86">
        <f>SUM(AA125:AD125)</f>
        <v>-69.400000000000006</v>
      </c>
      <c r="AF125" s="39"/>
      <c r="AG125" s="102">
        <v>-18.5</v>
      </c>
      <c r="AH125" s="82">
        <v>-19</v>
      </c>
      <c r="AI125" s="82">
        <v>-19.100000000000001</v>
      </c>
      <c r="AJ125" s="124">
        <f>-78.4-SUM(AG125:AI125)</f>
        <v>-21.800000000000004</v>
      </c>
      <c r="AK125" s="86">
        <f>SUM(AG125:AJ125)</f>
        <v>-78.400000000000006</v>
      </c>
      <c r="AL125" s="39"/>
      <c r="AM125" s="102">
        <v>-23.2</v>
      </c>
      <c r="AN125" s="82">
        <v>-23.4</v>
      </c>
      <c r="AO125" s="82">
        <v>-23.1</v>
      </c>
      <c r="AP125" s="124">
        <f>-94.9-SUM(AM125:AO125)</f>
        <v>-25.200000000000017</v>
      </c>
      <c r="AQ125" s="86">
        <f>SUM(AM125:AP125)</f>
        <v>-94.9</v>
      </c>
      <c r="AR125" s="39"/>
      <c r="AS125" s="102">
        <v>-26</v>
      </c>
      <c r="AT125" s="82">
        <v>-26.4</v>
      </c>
      <c r="AU125" s="82">
        <v>-28.2</v>
      </c>
      <c r="AV125" s="124">
        <f>-110.4-SUM(AS125:AU125)</f>
        <v>-29.800000000000011</v>
      </c>
      <c r="AW125" s="86">
        <f>SUM(AS125:AV125)</f>
        <v>-110.4</v>
      </c>
      <c r="AX125" s="39"/>
      <c r="AY125" s="102">
        <v>-30.1</v>
      </c>
      <c r="AZ125" s="82">
        <v>-33.700000000000003</v>
      </c>
      <c r="BA125" s="82">
        <v>-28.2</v>
      </c>
      <c r="BB125" s="124">
        <f>-133.1-SUM(AY125:BA125)</f>
        <v>-41.099999999999994</v>
      </c>
      <c r="BC125" s="86">
        <f>SUM(AY125:BB125)</f>
        <v>-133.1</v>
      </c>
      <c r="BD125" s="39"/>
      <c r="BE125" s="102">
        <v>-29.6</v>
      </c>
      <c r="BF125" s="82">
        <f>-61.802-BE125</f>
        <v>-32.201999999999998</v>
      </c>
      <c r="BG125" s="82">
        <f>-93.832-BF125-BE125</f>
        <v>-32.029999999999994</v>
      </c>
      <c r="BH125" s="82">
        <f>-126.883-BG125-BF125</f>
        <v>-62.65100000000001</v>
      </c>
      <c r="BI125" s="86">
        <f>SUM(BE125:BH125)</f>
        <v>-156.483</v>
      </c>
      <c r="BJ125" s="113"/>
      <c r="BK125" s="102">
        <v>-33.072000000000003</v>
      </c>
      <c r="BL125" s="1067">
        <f>-66.306-BK125</f>
        <v>-33.233999999999995</v>
      </c>
      <c r="BM125" s="1067">
        <f>-100.335-BL125-BK125</f>
        <v>-34.028999999999996</v>
      </c>
      <c r="BN125" s="82">
        <f>-132.89-BM125-BL125-BK125</f>
        <v>-32.554999999999993</v>
      </c>
      <c r="BO125" s="86">
        <f>SUM(BK125:BN125)</f>
        <v>-132.88999999999999</v>
      </c>
      <c r="BP125" s="113"/>
      <c r="BQ125" s="102">
        <v>-32.625</v>
      </c>
      <c r="BR125" s="1067">
        <f>-70.353-BQ125</f>
        <v>-37.727999999999994</v>
      </c>
      <c r="BS125" s="1067">
        <f>-103.828-SUM(BQ125:BR125)</f>
        <v>-33.475000000000009</v>
      </c>
      <c r="BT125" s="82">
        <f>-131.953-BS125-BR125-BQ125</f>
        <v>-28.125</v>
      </c>
      <c r="BU125" s="86">
        <f>SUM(BQ125:BT125)</f>
        <v>-131.953</v>
      </c>
      <c r="BV125" s="113"/>
      <c r="BW125" s="102">
        <v>-33.759</v>
      </c>
      <c r="BX125" s="1067">
        <f>-67.877-BW125</f>
        <v>-34.117999999999995</v>
      </c>
      <c r="BY125" s="1067">
        <f>-102.438-SUM(BW125:BX125)</f>
        <v>-34.561000000000007</v>
      </c>
      <c r="BZ125" s="82">
        <f>-137.949-BY125-BX125-BW125</f>
        <v>-35.51100000000001</v>
      </c>
      <c r="CA125" s="86">
        <f>SUM(BW125:BZ125)</f>
        <v>-137.94900000000001</v>
      </c>
      <c r="CB125" s="113"/>
      <c r="CC125" s="102">
        <v>-35.405000000000001</v>
      </c>
      <c r="CD125" s="1067">
        <f>-71.269-CC125</f>
        <v>-35.864000000000004</v>
      </c>
      <c r="CE125" s="1067">
        <f>-103.719-SUM(CC125:CD125)</f>
        <v>-32.449999999999989</v>
      </c>
      <c r="CF125" s="82">
        <f>-133.797-CE125-CD125-CC125</f>
        <v>-30.078000000000003</v>
      </c>
      <c r="CG125" s="86">
        <f>SUM(CC125:CF125)</f>
        <v>-133.797</v>
      </c>
      <c r="CH125" s="113"/>
      <c r="CI125" s="99">
        <f>CM125/4</f>
        <v>-32.5</v>
      </c>
      <c r="CJ125" s="84">
        <f>CI125</f>
        <v>-32.5</v>
      </c>
      <c r="CK125" s="84">
        <f>CJ125</f>
        <v>-32.5</v>
      </c>
      <c r="CL125" s="84">
        <f>CK125</f>
        <v>-32.5</v>
      </c>
      <c r="CM125" s="87">
        <v>-130</v>
      </c>
      <c r="CN125" s="113"/>
      <c r="CO125" s="99">
        <f>CS125/4</f>
        <v>-32.5</v>
      </c>
      <c r="CP125" s="84">
        <f>CO125</f>
        <v>-32.5</v>
      </c>
      <c r="CQ125" s="84">
        <f>CP125</f>
        <v>-32.5</v>
      </c>
      <c r="CR125" s="84">
        <f>CQ125</f>
        <v>-32.5</v>
      </c>
      <c r="CS125" s="87">
        <f>+CM125</f>
        <v>-130</v>
      </c>
      <c r="CT125" s="113"/>
      <c r="CU125" s="99">
        <f>CY125/4</f>
        <v>-32.5</v>
      </c>
      <c r="CV125" s="84">
        <f>CU125</f>
        <v>-32.5</v>
      </c>
      <c r="CW125" s="84">
        <f>CV125</f>
        <v>-32.5</v>
      </c>
      <c r="CX125" s="84">
        <f>CW125</f>
        <v>-32.5</v>
      </c>
      <c r="CY125" s="87">
        <f>+CS125</f>
        <v>-130</v>
      </c>
      <c r="CZ125" s="82"/>
      <c r="DA125" s="82"/>
      <c r="DB125" s="82"/>
    </row>
    <row r="126" spans="1:112" ht="11.25" customHeight="1" outlineLevel="1" x14ac:dyDescent="0.2">
      <c r="A126" s="71" t="s">
        <v>367</v>
      </c>
      <c r="B126" s="39"/>
      <c r="C126" s="109"/>
      <c r="D126" s="93"/>
      <c r="E126" s="93"/>
      <c r="F126" s="93"/>
      <c r="G126" s="110"/>
      <c r="H126" s="39"/>
      <c r="I126" s="109">
        <f>-(I125*4)/I123</f>
        <v>0.11508142010472408</v>
      </c>
      <c r="J126" s="93">
        <f>-(J125*4)/J123</f>
        <v>0.19447567534716947</v>
      </c>
      <c r="K126" s="93">
        <f>-(K125*4)/K123</f>
        <v>0.10282941563971144</v>
      </c>
      <c r="L126" s="93">
        <f>-(L125*4)/L123</f>
        <v>0.10402802637416433</v>
      </c>
      <c r="M126" s="129">
        <f>-(M125)/M123</f>
        <v>0.16974509465446802</v>
      </c>
      <c r="N126" s="39"/>
      <c r="O126" s="109">
        <f>-(O125*4)/O123</f>
        <v>0.10728750368800793</v>
      </c>
      <c r="P126" s="93">
        <f>-(P125*4)/P123</f>
        <v>0.11372521145781504</v>
      </c>
      <c r="Q126" s="93">
        <f>-(Q125*4)/Q123</f>
        <v>0.10745914699670212</v>
      </c>
      <c r="R126" s="93">
        <f>-(R125*4)/R123</f>
        <v>0.11263480978796497</v>
      </c>
      <c r="S126" s="129">
        <f>-(S125)/S123</f>
        <v>0.13813266099831023</v>
      </c>
      <c r="T126" s="39"/>
      <c r="U126" s="109">
        <f>-(U125*4)/U123</f>
        <v>0.11477568105863686</v>
      </c>
      <c r="V126" s="93">
        <f>-(V125*4)/V123</f>
        <v>0.11568788626054129</v>
      </c>
      <c r="W126" s="93">
        <f>-(W125*4)/W123</f>
        <v>0.38548121155540166</v>
      </c>
      <c r="X126" s="93">
        <f>-(X125*4)/X123</f>
        <v>0.10110039145578398</v>
      </c>
      <c r="Y126" s="129">
        <f>-(Y125)/Y123</f>
        <v>0.30719373459811633</v>
      </c>
      <c r="Z126" s="39"/>
      <c r="AA126" s="109">
        <f>-(AA125*4)/AA123</f>
        <v>0.10264321936702304</v>
      </c>
      <c r="AB126" s="93">
        <f>-(AB125*4)/AB123</f>
        <v>0.10521678778217591</v>
      </c>
      <c r="AC126" s="93">
        <f>-(AC125*4)/AC123</f>
        <v>0.11956542814117768</v>
      </c>
      <c r="AD126" s="93">
        <f>-(AD125*4)/AD123</f>
        <v>0.11308125899240812</v>
      </c>
      <c r="AE126" s="129">
        <f>-(AE125)/AE123</f>
        <v>0.10858901561084452</v>
      </c>
      <c r="AF126" s="39"/>
      <c r="AG126" s="109">
        <f>-(AG125*4)/AG123</f>
        <v>0.11556920174478261</v>
      </c>
      <c r="AH126" s="93">
        <f>-(AH125*4)/AH123</f>
        <v>0.12257965661567245</v>
      </c>
      <c r="AI126" s="93">
        <f>-(AI125*4)/AI123</f>
        <v>0.12334915560722014</v>
      </c>
      <c r="AJ126" s="93">
        <f>-(AJ125*4)/AJ123</f>
        <v>0.12568880202139882</v>
      </c>
      <c r="AK126" s="129">
        <f>-(AK125)/AK123</f>
        <v>0.1224408840106886</v>
      </c>
      <c r="AL126" s="39"/>
      <c r="AM126" s="109">
        <f>-(AM125*4)/AM123</f>
        <v>0.12335570041579377</v>
      </c>
      <c r="AN126" s="93">
        <f>-(AN125*4)/AN123</f>
        <v>0.12550281576830249</v>
      </c>
      <c r="AO126" s="93">
        <f>-(AO125*4)/AO123</f>
        <v>0.12947269303201508</v>
      </c>
      <c r="AP126" s="93">
        <f>-(AP125*4)/AP123</f>
        <v>0.12965830919390614</v>
      </c>
      <c r="AQ126" s="129">
        <f>-(AQ125)/AQ123</f>
        <v>0.12614715484330635</v>
      </c>
      <c r="AR126" s="39"/>
      <c r="AS126" s="109">
        <f>-(AS125*4)/AS123</f>
        <v>0.13805425797827503</v>
      </c>
      <c r="AT126" s="93">
        <f>-(AT125*4)/AT123</f>
        <v>0.14032458032186948</v>
      </c>
      <c r="AU126" s="93">
        <f>-(AU125*4)/AU123</f>
        <v>0.15214664346700119</v>
      </c>
      <c r="AV126" s="93">
        <f>-(AV125*4)/AV123</f>
        <v>0.1395459371879387</v>
      </c>
      <c r="AW126" s="129">
        <f>-(AW125)/AW123</f>
        <v>0.14654990462309198</v>
      </c>
      <c r="AX126" s="39"/>
      <c r="AY126" s="109">
        <f>-(AY125*4)/AY123</f>
        <v>0.1469211836185321</v>
      </c>
      <c r="AZ126" s="93">
        <f>-(AZ125*4)/AZ123</f>
        <v>0.16358052032682127</v>
      </c>
      <c r="BA126" s="93">
        <f>-(BA125*4)/BA123</f>
        <v>0.12439854736022532</v>
      </c>
      <c r="BB126" s="93">
        <f>-(BB125*4)/BB123</f>
        <v>0.18536496263948879</v>
      </c>
      <c r="BC126" s="129">
        <f>-(BC125)/BC123</f>
        <v>0.16241868388394204</v>
      </c>
      <c r="BD126" s="39"/>
      <c r="BE126" s="109">
        <f>-(BE125*4)/BE123</f>
        <v>0.13866246931624412</v>
      </c>
      <c r="BF126" s="93">
        <f>-(BF125*4)/BF123</f>
        <v>0.1589517732264342</v>
      </c>
      <c r="BG126" s="93">
        <f>-(BG125*4)/BG123</f>
        <v>0.16050592188177279</v>
      </c>
      <c r="BH126" s="93">
        <f>-(BH125*4)/BH123</f>
        <v>0.3094797340937242</v>
      </c>
      <c r="BI126" s="110">
        <f>-BI125/BI123</f>
        <v>0.18326283096295465</v>
      </c>
      <c r="BJ126" s="112"/>
      <c r="BK126" s="109">
        <f>-(BK125*4)/BK123</f>
        <v>0.1673673623016049</v>
      </c>
      <c r="BL126" s="93">
        <f>-(BL125*4)/BL123</f>
        <v>0.17459164629877949</v>
      </c>
      <c r="BM126" s="93">
        <f>-(BM125*4)/BM123</f>
        <v>0.17722191408416593</v>
      </c>
      <c r="BN126" s="93">
        <f>-(BN125*4)/BN123</f>
        <v>0.18478523080416054</v>
      </c>
      <c r="BO126" s="110">
        <f>-BO125/BO123</f>
        <v>0.16812899715968393</v>
      </c>
      <c r="BP126" s="112"/>
      <c r="BQ126" s="109">
        <f>-(BQ125*4)/BQ123</f>
        <v>0.17952605122476661</v>
      </c>
      <c r="BR126" s="93">
        <f>-(BR125*4)/BR123</f>
        <v>0.22494600383674598</v>
      </c>
      <c r="BS126" s="93">
        <f>-(BS125*4)/BS123</f>
        <v>0.20243802508780132</v>
      </c>
      <c r="BT126" s="93">
        <f>-(BT125*4)/BT123</f>
        <v>0.17706580709742711</v>
      </c>
      <c r="BU126" s="110">
        <f>-BU125/BU123</f>
        <v>0.18152491216292438</v>
      </c>
      <c r="BV126" s="112"/>
      <c r="BW126" s="109">
        <f>-(BW125*4)/BW123</f>
        <v>0.21218030203277388</v>
      </c>
      <c r="BX126" s="93">
        <f>-(BX125*4)/BX123</f>
        <v>0.22222620266954121</v>
      </c>
      <c r="BY126" s="93">
        <f>-(BY125*4)/BY123</f>
        <v>0.2328618063112079</v>
      </c>
      <c r="BZ126" s="93">
        <f>-(BZ125*4)/BZ123</f>
        <v>0.22790049930046596</v>
      </c>
      <c r="CA126" s="110">
        <f>-CA125/CA123</f>
        <v>0.21675746086317077</v>
      </c>
      <c r="CB126" s="112"/>
      <c r="CC126" s="109">
        <f>-(CC125*4)/CC123</f>
        <v>0.25418237881825478</v>
      </c>
      <c r="CD126" s="93">
        <f>-(CD125*4)/CD123</f>
        <v>0.25655580414227752</v>
      </c>
      <c r="CE126" s="93">
        <f>-(CE125*4)/CE123</f>
        <v>0.23736332864580373</v>
      </c>
      <c r="CF126" s="93">
        <f>-(CF125*4)/CF123</f>
        <v>0.2293089777994633</v>
      </c>
      <c r="CG126" s="110">
        <f>-CG125/CG123</f>
        <v>0.2401415035923318</v>
      </c>
      <c r="CH126" s="112"/>
      <c r="CI126" s="109">
        <f>-(CI125*4)/CI123</f>
        <v>0.26035512438966751</v>
      </c>
      <c r="CJ126" s="93">
        <f>-(CJ125*4)/CJ123</f>
        <v>0.2784811211221504</v>
      </c>
      <c r="CK126" s="93">
        <f>-(CK125*4)/CK123</f>
        <v>0.29931985319512433</v>
      </c>
      <c r="CL126" s="93">
        <f>-(CL125*4)/CL123</f>
        <v>0.32352955815817114</v>
      </c>
      <c r="CM126" s="110">
        <f>-CM125/CM123</f>
        <v>0.26035512438966751</v>
      </c>
      <c r="CN126" s="112"/>
      <c r="CO126" s="109">
        <f>-(CO125*4)/CO123</f>
        <v>0.35200017329239303</v>
      </c>
      <c r="CP126" s="93">
        <f>-(CP125*4)/CP123</f>
        <v>0.385965120628945</v>
      </c>
      <c r="CQ126" s="93">
        <f>-(CQ125*4)/CQ123</f>
        <v>0.42718472124553925</v>
      </c>
      <c r="CR126" s="93">
        <f>-(CR125*4)/CR123</f>
        <v>0.47826118947236756</v>
      </c>
      <c r="CS126" s="110">
        <f>-CS125/CS123</f>
        <v>0.35200017329239303</v>
      </c>
      <c r="CT126" s="112"/>
      <c r="CU126" s="109">
        <f>-(CU125*4)/CU123</f>
        <v>0.54321028923858639</v>
      </c>
      <c r="CV126" s="93">
        <f>-(CV125*4)/CV123</f>
        <v>0.62857198116218127</v>
      </c>
      <c r="CW126" s="93">
        <f>-(CW125*4)/CW123</f>
        <v>0.74576348971420059</v>
      </c>
      <c r="CX126" s="93">
        <f>-(CX125*4)/CX123</f>
        <v>0.91666784188184869</v>
      </c>
      <c r="CY126" s="110">
        <f>-CY125/CY123</f>
        <v>0.54321028923858639</v>
      </c>
      <c r="CZ126" s="112"/>
      <c r="DA126" s="112"/>
      <c r="DB126" s="112"/>
    </row>
    <row r="127" spans="1:112" ht="11.25" customHeight="1" outlineLevel="1" x14ac:dyDescent="0.2">
      <c r="A127" s="67" t="s">
        <v>47</v>
      </c>
      <c r="B127" s="39"/>
      <c r="C127" s="99"/>
      <c r="D127" s="84"/>
      <c r="E127" s="90"/>
      <c r="F127" s="90"/>
      <c r="G127" s="87">
        <v>0</v>
      </c>
      <c r="H127" s="39"/>
      <c r="I127" s="99">
        <f>I128-I123-I124-I125</f>
        <v>-0.84900000000000375</v>
      </c>
      <c r="J127" s="84">
        <f>J128-J123-J124-J125</f>
        <v>30.93</v>
      </c>
      <c r="K127" s="84">
        <f>K128-K123-K124-K125</f>
        <v>4.7280000000000069</v>
      </c>
      <c r="L127" s="84">
        <f>L128-L123-L124-L125</f>
        <v>10.898999999999997</v>
      </c>
      <c r="M127" s="86">
        <f>SUM(I127:L127)</f>
        <v>45.707999999999998</v>
      </c>
      <c r="N127" s="39"/>
      <c r="O127" s="99">
        <f>O128-O123-O124-O125</f>
        <v>11.847999999999999</v>
      </c>
      <c r="P127" s="84">
        <f>P128-P123-P124-P125</f>
        <v>-5.9660000000000064</v>
      </c>
      <c r="Q127" s="84">
        <f>Q128-Q123-Q124-Q125</f>
        <v>1.4910000000000081</v>
      </c>
      <c r="R127" s="84">
        <f>R128-R123-R124-R125</f>
        <v>3.6409999999999982</v>
      </c>
      <c r="S127" s="86">
        <f>SUM(O127:R127)</f>
        <v>11.013999999999999</v>
      </c>
      <c r="T127" s="39"/>
      <c r="U127" s="99">
        <f>U128-U123-U124-U125</f>
        <v>16.295999999999999</v>
      </c>
      <c r="V127" s="84">
        <f>V128-V123-V124-V125</f>
        <v>5.2329999999999925</v>
      </c>
      <c r="W127" s="84">
        <f>W128-W123-W124-W125</f>
        <v>-14.161000000000012</v>
      </c>
      <c r="X127" s="84">
        <f>X128-X123-X124-X125</f>
        <v>6.6469999999999558</v>
      </c>
      <c r="Y127" s="86">
        <f>SUM(U127:X127)</f>
        <v>14.014999999999937</v>
      </c>
      <c r="Z127" s="39"/>
      <c r="AA127" s="99">
        <f>AA128-AA123-AA124-AA125</f>
        <v>8.3710000000000022</v>
      </c>
      <c r="AB127" s="84">
        <f>AB128-AB123-AB124-AB125</f>
        <v>4.4300000000000423</v>
      </c>
      <c r="AC127" s="84">
        <f>AC128-AC123-AC124-AC125</f>
        <v>-13.270000000000017</v>
      </c>
      <c r="AD127" s="84">
        <f>AD128-AD123-AD124-AD125</f>
        <v>9.7359999999999722</v>
      </c>
      <c r="AE127" s="86">
        <f>SUM(AA127:AD127)</f>
        <v>9.2669999999999995</v>
      </c>
      <c r="AF127" s="39"/>
      <c r="AG127" s="99">
        <f>AG128-AG123-AG124-AG125</f>
        <v>-1.8039999999999736</v>
      </c>
      <c r="AH127" s="84">
        <f>AH128-AH123-AH124-AH125</f>
        <v>18.375</v>
      </c>
      <c r="AI127" s="84">
        <f>AI128-AI123-AI124-AI125</f>
        <v>21.496000000000045</v>
      </c>
      <c r="AJ127" s="84">
        <f>AJ128-AJ123-AJ124-AJ125</f>
        <v>41.919000000000011</v>
      </c>
      <c r="AK127" s="86">
        <f>SUM(AG127:AJ127)</f>
        <v>79.986000000000075</v>
      </c>
      <c r="AL127" s="39"/>
      <c r="AM127" s="99">
        <f>AM128-AM123-AM124-AM125</f>
        <v>16.703999999999905</v>
      </c>
      <c r="AN127" s="84">
        <f>AN128-AN123-AN124-AN125</f>
        <v>-8.7359999999999687</v>
      </c>
      <c r="AO127" s="84">
        <f>AO128-AO123-AO124-AO125</f>
        <v>86.864000000000004</v>
      </c>
      <c r="AP127" s="84">
        <f>AP128-AP123-AP124-AP125</f>
        <v>1.099000000000018</v>
      </c>
      <c r="AQ127" s="86">
        <f>SUM(AM127:AP127)</f>
        <v>95.930999999999955</v>
      </c>
      <c r="AR127" s="39"/>
      <c r="AS127" s="99">
        <f>AS128-AS123-AS124-AS125</f>
        <v>25.214000000000055</v>
      </c>
      <c r="AT127" s="84">
        <f>AT128-AT123-AT124-AT125</f>
        <v>15.248999999999931</v>
      </c>
      <c r="AU127" s="84">
        <f>AU128-AU123-AU124-AU125</f>
        <v>-29.291000000000043</v>
      </c>
      <c r="AV127" s="84">
        <f>AV128-AV123-AV124-AV125</f>
        <v>-4.9119999999999777</v>
      </c>
      <c r="AW127" s="86">
        <f>SUM(AS127:AV127)</f>
        <v>6.259999999999966</v>
      </c>
      <c r="AX127" s="39"/>
      <c r="AY127" s="99">
        <f>AY128-AY123-AY124-AY125</f>
        <v>34.672000000000004</v>
      </c>
      <c r="AZ127" s="84">
        <f>AZ128-AZ123-AZ124-AZ125</f>
        <v>57.605000000000068</v>
      </c>
      <c r="BA127" s="84">
        <f>BA128-BA123-BA124-BA125</f>
        <v>-161.96400000000006</v>
      </c>
      <c r="BB127" s="84">
        <f>BB128-BB123-BB124-BB125</f>
        <v>8.0729999999999507</v>
      </c>
      <c r="BC127" s="86">
        <f>SUM(AY127:BB127)</f>
        <v>-61.614000000000033</v>
      </c>
      <c r="BD127" s="39"/>
      <c r="BE127" s="99">
        <f>BE128-BE123-BE124-BE125</f>
        <v>-13.912999999999919</v>
      </c>
      <c r="BF127" s="84">
        <f>BF128-BF123-BF124-BF125</f>
        <v>-24.285000000000039</v>
      </c>
      <c r="BG127" s="84">
        <f>BG128-BG123-BG124-BG125</f>
        <v>16.368000000000002</v>
      </c>
      <c r="BH127" s="84">
        <f>BH128-BH123-BH124-BH125</f>
        <v>42.397999999999982</v>
      </c>
      <c r="BI127" s="86">
        <f>SUM(BE127:BH127)</f>
        <v>20.568000000000026</v>
      </c>
      <c r="BJ127" s="84"/>
      <c r="BK127" s="99">
        <f>BK128-BK123-BK124-BK125</f>
        <v>4.0779999999999745</v>
      </c>
      <c r="BL127" s="84">
        <f>BL128-BL123-BL124-BL125</f>
        <v>3.9800000000000253</v>
      </c>
      <c r="BM127" s="84">
        <f>BM128-BM123-BM124-BM125</f>
        <v>-25.091999999999942</v>
      </c>
      <c r="BN127" s="84">
        <f>BN128-BN123-BN124-BN125</f>
        <v>-16.697000000000045</v>
      </c>
      <c r="BO127" s="86">
        <f>SUM(BK127:BN127)</f>
        <v>-33.730999999999987</v>
      </c>
      <c r="BP127" s="84"/>
      <c r="BQ127" s="99">
        <f>BQ128-BQ123-BQ124-BQ125</f>
        <v>-26.513000000000012</v>
      </c>
      <c r="BR127" s="84">
        <f>BR128-BR123-BR124-BR125</f>
        <v>25.622000000000035</v>
      </c>
      <c r="BS127" s="84">
        <f>BS128-BS123-BS124-BS125</f>
        <v>7.6989999999999696</v>
      </c>
      <c r="BT127" s="84">
        <f>BT128-BT123-BT124-BT125</f>
        <v>3.2400000000000766</v>
      </c>
      <c r="BU127" s="86">
        <f>SUM(BQ127:BT127)</f>
        <v>10.048000000000069</v>
      </c>
      <c r="BV127" s="84"/>
      <c r="BW127" s="99">
        <f>BW128-BW123-BW124-BW125</f>
        <v>11.451000000000008</v>
      </c>
      <c r="BX127" s="84">
        <f>BX128-BX123-BX124-BX125</f>
        <v>-3.4210000000000846</v>
      </c>
      <c r="BY127" s="84">
        <f>BY128-BY123-BY124-BY125</f>
        <v>57.559000000000083</v>
      </c>
      <c r="BZ127" s="84">
        <f>BZ128-BZ123-BZ124-BZ125</f>
        <v>-30.602000000000046</v>
      </c>
      <c r="CA127" s="86">
        <f>SUM(BW127:BZ127)</f>
        <v>34.986999999999952</v>
      </c>
      <c r="CB127" s="84"/>
      <c r="CC127" s="99">
        <f>CC128-CC123-CC124-CC125</f>
        <v>9.1069999999999531</v>
      </c>
      <c r="CD127" s="84">
        <f>CD128-CD123-CD124-CD125</f>
        <v>23.44400000000007</v>
      </c>
      <c r="CE127" s="84">
        <f>CE128-CE123-CE124-CE125</f>
        <v>9.9810000000000052</v>
      </c>
      <c r="CF127" s="84">
        <f>CF128-CF123-CF124-CF125</f>
        <v>4.7239999999999611</v>
      </c>
      <c r="CG127" s="86">
        <f>SUM(CC127:CF127)</f>
        <v>47.255999999999986</v>
      </c>
      <c r="CH127" s="84"/>
      <c r="CI127" s="99">
        <f>-CFS!CI13-CFS!CI14-CFS!CI34</f>
        <v>0</v>
      </c>
      <c r="CJ127" s="84">
        <f>-CFS!CJ13-CFS!CJ14-CFS!CJ34</f>
        <v>0</v>
      </c>
      <c r="CK127" s="84">
        <f>-CFS!CK13-CFS!CK14-CFS!CK34</f>
        <v>0</v>
      </c>
      <c r="CL127" s="84">
        <f>-CFS!CL13-CFS!CL14-CFS!CL34</f>
        <v>0</v>
      </c>
      <c r="CM127" s="86">
        <f>SUM(CI127:CL127)</f>
        <v>0</v>
      </c>
      <c r="CN127" s="84"/>
      <c r="CO127" s="99">
        <f>-CFS!CO13-CFS!CO14-CFS!CO34</f>
        <v>0</v>
      </c>
      <c r="CP127" s="84">
        <f>-CFS!CP13-CFS!CP14-CFS!CP34</f>
        <v>0</v>
      </c>
      <c r="CQ127" s="84">
        <f>-CFS!CQ13-CFS!CQ14-CFS!CQ34</f>
        <v>0</v>
      </c>
      <c r="CR127" s="84">
        <f>-CFS!CR13-CFS!CR14-CFS!CR34</f>
        <v>0</v>
      </c>
      <c r="CS127" s="86">
        <f>SUM(CO127:CR127)</f>
        <v>0</v>
      </c>
      <c r="CT127" s="84"/>
      <c r="CU127" s="99">
        <f>-CFS!CU13-CFS!CU14-CFS!CU34</f>
        <v>0</v>
      </c>
      <c r="CV127" s="84">
        <f>-CFS!CV13-CFS!CV14-CFS!CV34</f>
        <v>0</v>
      </c>
      <c r="CW127" s="84">
        <f>-CFS!CW13-CFS!CW14-CFS!CW34</f>
        <v>0</v>
      </c>
      <c r="CX127" s="84">
        <f>-CFS!CX13-CFS!CX14-CFS!CX34</f>
        <v>0</v>
      </c>
      <c r="CY127" s="86">
        <f>SUM(CU127:CX127)</f>
        <v>0</v>
      </c>
      <c r="CZ127" s="84"/>
      <c r="DA127" s="84"/>
      <c r="DB127" s="84"/>
    </row>
    <row r="128" spans="1:112" ht="11.25" customHeight="1" outlineLevel="1" x14ac:dyDescent="0.2">
      <c r="A128" s="68" t="s">
        <v>368</v>
      </c>
      <c r="B128" s="39"/>
      <c r="C128" s="111"/>
      <c r="D128" s="85"/>
      <c r="E128" s="85"/>
      <c r="F128" s="85"/>
      <c r="G128" s="88">
        <f>+G123+G125</f>
        <v>34.758000000000003</v>
      </c>
      <c r="H128" s="240"/>
      <c r="I128" s="111">
        <f>I22</f>
        <v>32.908999999999999</v>
      </c>
      <c r="J128" s="85">
        <f>J22</f>
        <v>62.238999999999997</v>
      </c>
      <c r="K128" s="85">
        <f>K22</f>
        <v>65.367000000000004</v>
      </c>
      <c r="L128" s="85">
        <f>L22</f>
        <v>74.566000000000003</v>
      </c>
      <c r="M128" s="88">
        <f>M22</f>
        <v>74.566000000000003</v>
      </c>
      <c r="N128" s="240"/>
      <c r="O128" s="111">
        <f>O22</f>
        <v>84.414000000000001</v>
      </c>
      <c r="P128" s="85">
        <f>P22</f>
        <v>107.94799999999999</v>
      </c>
      <c r="Q128" s="85">
        <f>Q22</f>
        <v>106.539</v>
      </c>
      <c r="R128" s="85">
        <f>R22</f>
        <v>118.492</v>
      </c>
      <c r="S128" s="88">
        <f>S22</f>
        <v>118.492</v>
      </c>
      <c r="T128" s="240"/>
      <c r="U128" s="111">
        <f>U22</f>
        <v>131.38800000000001</v>
      </c>
      <c r="V128" s="85">
        <f>V22</f>
        <v>132.821</v>
      </c>
      <c r="W128" s="85">
        <f>W22</f>
        <v>648.86</v>
      </c>
      <c r="X128" s="85">
        <f>X22</f>
        <v>639.10699999999997</v>
      </c>
      <c r="Y128" s="88">
        <f>Y22</f>
        <v>639.10699999999997</v>
      </c>
      <c r="Z128" s="240"/>
      <c r="AA128" s="111">
        <f>AA22</f>
        <v>631.07799999999997</v>
      </c>
      <c r="AB128" s="85">
        <f>AB22</f>
        <v>618.90800000000002</v>
      </c>
      <c r="AC128" s="85">
        <f>AC22</f>
        <v>633.173</v>
      </c>
      <c r="AD128" s="85">
        <f>AD22</f>
        <v>640.30899999999997</v>
      </c>
      <c r="AE128" s="88">
        <f>AE22</f>
        <v>640.30899999999997</v>
      </c>
      <c r="AF128" s="240"/>
      <c r="AG128" s="111">
        <f>AG22</f>
        <v>620.005</v>
      </c>
      <c r="AH128" s="85">
        <f>AH22</f>
        <v>619.38</v>
      </c>
      <c r="AI128" s="85">
        <f>AI22</f>
        <v>693.77700000000004</v>
      </c>
      <c r="AJ128" s="85">
        <f>AJ22</f>
        <v>752.29600000000005</v>
      </c>
      <c r="AK128" s="88">
        <f>AK22</f>
        <v>752.29600000000005</v>
      </c>
      <c r="AL128" s="240"/>
      <c r="AM128" s="111">
        <f>AM22</f>
        <v>745.8</v>
      </c>
      <c r="AN128" s="85">
        <f>AN22</f>
        <v>713.66399999999999</v>
      </c>
      <c r="AO128" s="85">
        <f>AO22</f>
        <v>777.428</v>
      </c>
      <c r="AP128" s="85">
        <f>AP22</f>
        <v>753.327</v>
      </c>
      <c r="AQ128" s="88">
        <f>AQ22</f>
        <v>753.327</v>
      </c>
      <c r="AR128" s="240"/>
      <c r="AS128" s="111">
        <f>AS22</f>
        <v>752.54100000000005</v>
      </c>
      <c r="AT128" s="85">
        <f>AT22</f>
        <v>741.39</v>
      </c>
      <c r="AU128" s="85">
        <f>AU22</f>
        <v>854.19899999999996</v>
      </c>
      <c r="AV128" s="85">
        <f>AV22</f>
        <v>819.48699999999997</v>
      </c>
      <c r="AW128" s="88">
        <f>AW22</f>
        <v>819.48699999999997</v>
      </c>
      <c r="AX128" s="240"/>
      <c r="AY128" s="111">
        <f>AY22</f>
        <v>824.05899999999997</v>
      </c>
      <c r="AZ128" s="85">
        <f>AZ22</f>
        <v>906.76300000000003</v>
      </c>
      <c r="BA128" s="85">
        <f>BA22</f>
        <v>886.899</v>
      </c>
      <c r="BB128" s="85">
        <f>BB22</f>
        <v>853.87199999999996</v>
      </c>
      <c r="BC128" s="88">
        <f>BC22</f>
        <v>853.87199999999996</v>
      </c>
      <c r="BD128" s="240"/>
      <c r="BE128" s="111">
        <f>BE22</f>
        <v>810.35900000000004</v>
      </c>
      <c r="BF128" s="85">
        <f>BF22</f>
        <v>798.226</v>
      </c>
      <c r="BG128" s="85">
        <f>BG22</f>
        <v>809.75900000000001</v>
      </c>
      <c r="BH128" s="85">
        <f>BH22</f>
        <v>790.40499999999997</v>
      </c>
      <c r="BI128" s="88">
        <f>BI22</f>
        <v>790.40499999999997</v>
      </c>
      <c r="BJ128" s="85"/>
      <c r="BK128" s="111">
        <f>BK22</f>
        <v>761.41099999999994</v>
      </c>
      <c r="BL128" s="85">
        <f>BL22</f>
        <v>768.05399999999997</v>
      </c>
      <c r="BM128" s="85">
        <f>BM22</f>
        <v>704.71</v>
      </c>
      <c r="BN128" s="85">
        <f>BN22</f>
        <v>726.91399999999999</v>
      </c>
      <c r="BO128" s="88">
        <f>BO22</f>
        <v>726.91399999999999</v>
      </c>
      <c r="BP128" s="85"/>
      <c r="BQ128" s="111">
        <f>BQ22</f>
        <v>670.88099999999997</v>
      </c>
      <c r="BR128" s="85">
        <f>BR22</f>
        <v>661.43700000000001</v>
      </c>
      <c r="BS128" s="85">
        <f>BS22</f>
        <v>635.35699999999997</v>
      </c>
      <c r="BT128" s="85">
        <f>BT22</f>
        <v>636.42100000000005</v>
      </c>
      <c r="BU128" s="88">
        <f>BU22</f>
        <v>636.42100000000005</v>
      </c>
      <c r="BV128" s="85"/>
      <c r="BW128" s="111">
        <f>BW22</f>
        <v>614.11300000000006</v>
      </c>
      <c r="BX128" s="85">
        <f>BX22</f>
        <v>593.67399999999998</v>
      </c>
      <c r="BY128" s="85">
        <f>BY22</f>
        <v>623.27200000000005</v>
      </c>
      <c r="BZ128" s="85">
        <f>BZ22</f>
        <v>557.15899999999999</v>
      </c>
      <c r="CA128" s="88">
        <f>CA22</f>
        <v>557.15899999999999</v>
      </c>
      <c r="CB128" s="85"/>
      <c r="CC128" s="111">
        <f>CC22</f>
        <v>559.16099999999994</v>
      </c>
      <c r="CD128" s="85">
        <f>CD22</f>
        <v>546.84100000000001</v>
      </c>
      <c r="CE128" s="85">
        <f>CE22</f>
        <v>524.67200000000003</v>
      </c>
      <c r="CF128" s="85">
        <f>CF22</f>
        <v>499.31799999999998</v>
      </c>
      <c r="CG128" s="88">
        <f>CG22</f>
        <v>499.31799999999998</v>
      </c>
      <c r="CH128" s="85"/>
      <c r="CI128" s="111">
        <f>CI123+CI124+CI125+CI127</f>
        <v>466.81799999999998</v>
      </c>
      <c r="CJ128" s="85">
        <f>CJ123+CJ124+CJ125+CJ127</f>
        <v>434.31799999999998</v>
      </c>
      <c r="CK128" s="85">
        <f>CK123+CK124+CK125+CK127</f>
        <v>401.81799999999998</v>
      </c>
      <c r="CL128" s="85">
        <f>CL123+CL124+CL125+CL127</f>
        <v>369.31799999999998</v>
      </c>
      <c r="CM128" s="88">
        <f>CM123+CM124+CM125+CM127</f>
        <v>369.31799999999998</v>
      </c>
      <c r="CN128" s="85"/>
      <c r="CO128" s="111">
        <f>CO123+CO124+CO125+CO127</f>
        <v>336.81799999999998</v>
      </c>
      <c r="CP128" s="85">
        <f>CP123+CP124+CP125+CP127</f>
        <v>304.31799999999998</v>
      </c>
      <c r="CQ128" s="85">
        <f>CQ123+CQ124+CQ125+CQ127</f>
        <v>271.81799999999998</v>
      </c>
      <c r="CR128" s="85">
        <f>CR123+CR124+CR125+CR127</f>
        <v>239.31799999999998</v>
      </c>
      <c r="CS128" s="88">
        <f>CS123+CS124+CS125+CS127</f>
        <v>239.31799999999998</v>
      </c>
      <c r="CT128" s="85"/>
      <c r="CU128" s="111">
        <f>CU123+CU124+CU125+CU127</f>
        <v>206.81799999999998</v>
      </c>
      <c r="CV128" s="85">
        <f>CV123+CV124+CV125+CV127</f>
        <v>174.31799999999998</v>
      </c>
      <c r="CW128" s="85">
        <f>CW123+CW124+CW125+CW127</f>
        <v>141.81799999999998</v>
      </c>
      <c r="CX128" s="85">
        <f>CX123+CX124+CX125+CX127</f>
        <v>109.31799999999998</v>
      </c>
      <c r="CY128" s="88">
        <f>CY123+CY124+CY125+CY127</f>
        <v>109.31799999999998</v>
      </c>
      <c r="CZ128" s="83"/>
      <c r="DA128" s="83"/>
      <c r="DB128" s="83"/>
    </row>
    <row r="129" spans="1:106" ht="11.25" customHeight="1" outlineLevel="1" x14ac:dyDescent="0.2">
      <c r="A129" s="70" t="s">
        <v>33</v>
      </c>
      <c r="B129" s="39"/>
      <c r="C129" s="94"/>
      <c r="D129" s="95"/>
      <c r="E129" s="95"/>
      <c r="F129" s="95"/>
      <c r="G129" s="96"/>
      <c r="H129" s="39"/>
      <c r="I129" s="94"/>
      <c r="J129" s="95"/>
      <c r="K129" s="95"/>
      <c r="L129" s="95"/>
      <c r="M129" s="96"/>
      <c r="N129" s="39"/>
      <c r="O129" s="94"/>
      <c r="P129" s="95"/>
      <c r="Q129" s="95"/>
      <c r="R129" s="95"/>
      <c r="S129" s="96"/>
      <c r="T129" s="39"/>
      <c r="U129" s="94"/>
      <c r="V129" s="95"/>
      <c r="W129" s="95"/>
      <c r="X129" s="95"/>
      <c r="Y129" s="96"/>
      <c r="Z129" s="39"/>
      <c r="AA129" s="94"/>
      <c r="AB129" s="95"/>
      <c r="AC129" s="95"/>
      <c r="AD129" s="95"/>
      <c r="AE129" s="96"/>
      <c r="AF129" s="39"/>
      <c r="AG129" s="94"/>
      <c r="AH129" s="95"/>
      <c r="AI129" s="95"/>
      <c r="AJ129" s="95"/>
      <c r="AK129" s="96"/>
      <c r="AL129" s="39"/>
      <c r="AM129" s="94"/>
      <c r="AN129" s="95"/>
      <c r="AO129" s="95"/>
      <c r="AP129" s="95"/>
      <c r="AQ129" s="96"/>
      <c r="AR129" s="39"/>
      <c r="AS129" s="94"/>
      <c r="AT129" s="95"/>
      <c r="AU129" s="95"/>
      <c r="AV129" s="95"/>
      <c r="AW129" s="96"/>
      <c r="AX129" s="39"/>
      <c r="AY129" s="94"/>
      <c r="AZ129" s="95"/>
      <c r="BA129" s="95"/>
      <c r="BB129" s="95"/>
      <c r="BC129" s="96"/>
      <c r="BD129" s="39"/>
      <c r="BE129" s="94"/>
      <c r="BF129" s="95"/>
      <c r="BG129" s="95"/>
      <c r="BH129" s="95"/>
      <c r="BI129" s="96"/>
      <c r="BJ129" s="95"/>
      <c r="BK129" s="94"/>
      <c r="BL129" s="95"/>
      <c r="BM129" s="95"/>
      <c r="BN129" s="95"/>
      <c r="BO129" s="96"/>
      <c r="BP129" s="95"/>
      <c r="BQ129" s="94"/>
      <c r="BR129" s="95"/>
      <c r="BS129" s="95"/>
      <c r="BT129" s="95"/>
      <c r="BU129" s="96"/>
      <c r="BV129" s="95"/>
      <c r="BW129" s="94"/>
      <c r="BX129" s="95"/>
      <c r="BY129" s="95"/>
      <c r="BZ129" s="95"/>
      <c r="CA129" s="96"/>
      <c r="CB129" s="95"/>
      <c r="CC129" s="94"/>
      <c r="CD129" s="95"/>
      <c r="CE129" s="95"/>
      <c r="CF129" s="95"/>
      <c r="CG129" s="96"/>
      <c r="CH129" s="95"/>
      <c r="CI129" s="94"/>
      <c r="CJ129" s="95"/>
      <c r="CK129" s="95"/>
      <c r="CL129" s="95"/>
      <c r="CM129" s="96"/>
      <c r="CN129" s="95"/>
      <c r="CO129" s="94"/>
      <c r="CP129" s="95"/>
      <c r="CQ129" s="95"/>
      <c r="CR129" s="95"/>
      <c r="CS129" s="96"/>
      <c r="CT129" s="95"/>
      <c r="CU129" s="94"/>
      <c r="CV129" s="95"/>
      <c r="CW129" s="95"/>
      <c r="CX129" s="95"/>
      <c r="CY129" s="96"/>
      <c r="CZ129" s="95"/>
      <c r="DA129" s="95"/>
      <c r="DB129" s="95"/>
    </row>
    <row r="130" spans="1:106" ht="11.25" customHeight="1" outlineLevel="1" x14ac:dyDescent="0.2">
      <c r="A130" s="62" t="s">
        <v>369</v>
      </c>
      <c r="B130" s="39"/>
      <c r="C130" s="97"/>
      <c r="D130" s="83"/>
      <c r="E130" s="83"/>
      <c r="F130" s="83"/>
      <c r="G130" s="128">
        <v>30.117000000000001</v>
      </c>
      <c r="H130" s="39"/>
      <c r="I130" s="97">
        <f>G133</f>
        <v>56.262999999999998</v>
      </c>
      <c r="J130" s="83">
        <f>I133</f>
        <v>54.164999999999999</v>
      </c>
      <c r="K130" s="83">
        <f>J133</f>
        <v>81.531999999999996</v>
      </c>
      <c r="L130" s="83">
        <f>K133</f>
        <v>83.188000000000002</v>
      </c>
      <c r="M130" s="98">
        <f>G133</f>
        <v>56.262999999999998</v>
      </c>
      <c r="N130" s="39"/>
      <c r="O130" s="97">
        <f>M133</f>
        <v>93.914000000000001</v>
      </c>
      <c r="P130" s="83">
        <f>O133</f>
        <v>100.74299999999999</v>
      </c>
      <c r="Q130" s="83">
        <f>P133</f>
        <v>132.68799999999999</v>
      </c>
      <c r="R130" s="83">
        <f>Q133</f>
        <v>140.411</v>
      </c>
      <c r="S130" s="98">
        <f>M133</f>
        <v>93.914000000000001</v>
      </c>
      <c r="T130" s="39"/>
      <c r="U130" s="97">
        <f>S133</f>
        <v>160.14099999999999</v>
      </c>
      <c r="V130" s="83">
        <f>U133</f>
        <v>153.38300000000001</v>
      </c>
      <c r="W130" s="83">
        <f>V133</f>
        <v>159.01300000000001</v>
      </c>
      <c r="X130" s="83">
        <f>W133</f>
        <v>1113.4970000000001</v>
      </c>
      <c r="Y130" s="98">
        <f>S133</f>
        <v>160.14099999999999</v>
      </c>
      <c r="Z130" s="39"/>
      <c r="AA130" s="97">
        <f>Y133</f>
        <v>1107.8820000000001</v>
      </c>
      <c r="AB130" s="83">
        <f>AA133</f>
        <v>1113.354</v>
      </c>
      <c r="AC130" s="83">
        <f>AB133</f>
        <v>1116.518</v>
      </c>
      <c r="AD130" s="83">
        <f>AC133</f>
        <v>1134.327</v>
      </c>
      <c r="AE130" s="98">
        <f>Y133</f>
        <v>1107.8820000000001</v>
      </c>
      <c r="AF130" s="39"/>
      <c r="AG130" s="97">
        <f>AE133</f>
        <v>1152.105</v>
      </c>
      <c r="AH130" s="83">
        <f>AG133</f>
        <v>1148.924</v>
      </c>
      <c r="AI130" s="83">
        <f>AH133</f>
        <v>1169.617</v>
      </c>
      <c r="AJ130" s="83">
        <f>AI133</f>
        <v>1273.7539999999999</v>
      </c>
      <c r="AK130" s="98">
        <f>AE133</f>
        <v>1152.105</v>
      </c>
      <c r="AL130" s="39"/>
      <c r="AM130" s="97">
        <f>AK133</f>
        <v>1337.0640000000001</v>
      </c>
      <c r="AN130" s="83">
        <f>AM133</f>
        <v>1328.16</v>
      </c>
      <c r="AO130" s="83">
        <f>AN133</f>
        <v>1316.9549999999999</v>
      </c>
      <c r="AP130" s="83">
        <f>AO133</f>
        <v>1348.4390000000001</v>
      </c>
      <c r="AQ130" s="98">
        <f>AK133</f>
        <v>1337.0640000000001</v>
      </c>
      <c r="AR130" s="39"/>
      <c r="AS130" s="97">
        <f>AQ133</f>
        <v>1352.2809999999999</v>
      </c>
      <c r="AT130" s="83">
        <f>AS133</f>
        <v>1364.183</v>
      </c>
      <c r="AU130" s="83">
        <f>AT133</f>
        <v>1370.749</v>
      </c>
      <c r="AV130" s="83">
        <f>AU133</f>
        <v>1658.598</v>
      </c>
      <c r="AW130" s="98">
        <f>AQ133</f>
        <v>1352.2809999999999</v>
      </c>
      <c r="AX130" s="39"/>
      <c r="AY130" s="97">
        <f>AW133</f>
        <v>1733.722</v>
      </c>
      <c r="AZ130" s="83">
        <f>AY133</f>
        <v>1743.0219999999999</v>
      </c>
      <c r="BA130" s="83">
        <f>AZ133</f>
        <v>1752.23</v>
      </c>
      <c r="BB130" s="83">
        <f>BA133</f>
        <v>1758.627</v>
      </c>
      <c r="BC130" s="98">
        <f>AW133</f>
        <v>1733.722</v>
      </c>
      <c r="BD130" s="39"/>
      <c r="BE130" s="97">
        <f>BC133</f>
        <v>1759.8979999999999</v>
      </c>
      <c r="BF130" s="83">
        <f>BE133</f>
        <v>1756.2339999999999</v>
      </c>
      <c r="BG130" s="83">
        <f>BF133</f>
        <v>1791.789</v>
      </c>
      <c r="BH130" s="83">
        <f>BG133</f>
        <v>1865.8219999999999</v>
      </c>
      <c r="BI130" s="98">
        <f>BC133</f>
        <v>1759.8979999999999</v>
      </c>
      <c r="BJ130" s="83"/>
      <c r="BK130" s="97">
        <f>BI133</f>
        <v>1855.691</v>
      </c>
      <c r="BL130" s="83">
        <f>BK133</f>
        <v>1864.0219999999999</v>
      </c>
      <c r="BM130" s="83">
        <f>BL133</f>
        <v>1882.4680000000001</v>
      </c>
      <c r="BN130" s="83">
        <f>BM133</f>
        <v>1833.473</v>
      </c>
      <c r="BO130" s="98">
        <f>BI133</f>
        <v>1855.691</v>
      </c>
      <c r="BP130" s="83"/>
      <c r="BQ130" s="97">
        <f>BO133</f>
        <v>1887.963</v>
      </c>
      <c r="BR130" s="83">
        <f>BQ133</f>
        <v>1862.3710000000001</v>
      </c>
      <c r="BS130" s="83">
        <f>BR133</f>
        <v>1872.067</v>
      </c>
      <c r="BT130" s="83">
        <f>BS133</f>
        <v>1846.471</v>
      </c>
      <c r="BU130" s="98">
        <f>BO133</f>
        <v>1887.963</v>
      </c>
      <c r="BV130" s="83"/>
      <c r="BW130" s="97">
        <f>BU133</f>
        <v>1875.6980000000001</v>
      </c>
      <c r="BX130" s="83">
        <f>BW133</f>
        <v>1898.934</v>
      </c>
      <c r="BY130" s="83">
        <f>BX133</f>
        <v>1971.884</v>
      </c>
      <c r="BZ130" s="83">
        <f>BY133</f>
        <v>1962.5139999999999</v>
      </c>
      <c r="CA130" s="98">
        <f>BU133</f>
        <v>1875.6980000000001</v>
      </c>
      <c r="CB130" s="83"/>
      <c r="CC130" s="97">
        <f>CA133</f>
        <v>1925.518</v>
      </c>
      <c r="CD130" s="83">
        <f>CC133</f>
        <v>1969.46</v>
      </c>
      <c r="CE130" s="83">
        <f>CD133</f>
        <v>1995.807</v>
      </c>
      <c r="CF130" s="83">
        <f>CE133</f>
        <v>2009.856</v>
      </c>
      <c r="CG130" s="98">
        <f>CA133</f>
        <v>1925.518</v>
      </c>
      <c r="CH130" s="83"/>
      <c r="CI130" s="97">
        <f>CG133</f>
        <v>2012.904</v>
      </c>
      <c r="CJ130" s="83">
        <f>CI133</f>
        <v>2012.904</v>
      </c>
      <c r="CK130" s="83">
        <f>CJ133</f>
        <v>2012.904</v>
      </c>
      <c r="CL130" s="83">
        <f>CK133</f>
        <v>2012.904</v>
      </c>
      <c r="CM130" s="98">
        <f>CG133</f>
        <v>2012.904</v>
      </c>
      <c r="CN130" s="83"/>
      <c r="CO130" s="97">
        <f>CM133</f>
        <v>2012.904</v>
      </c>
      <c r="CP130" s="83">
        <f>CO133</f>
        <v>2012.904</v>
      </c>
      <c r="CQ130" s="83">
        <f>CP133</f>
        <v>2012.904</v>
      </c>
      <c r="CR130" s="83">
        <f>CQ133</f>
        <v>2012.904</v>
      </c>
      <c r="CS130" s="98">
        <f>CM133</f>
        <v>2012.904</v>
      </c>
      <c r="CT130" s="83"/>
      <c r="CU130" s="97">
        <f>CS133</f>
        <v>2012.904</v>
      </c>
      <c r="CV130" s="83">
        <f>CU133</f>
        <v>2012.904</v>
      </c>
      <c r="CW130" s="83">
        <f>CV133</f>
        <v>2012.904</v>
      </c>
      <c r="CX130" s="83">
        <f>CW133</f>
        <v>2012.904</v>
      </c>
      <c r="CY130" s="98">
        <f>CS133</f>
        <v>2012.904</v>
      </c>
      <c r="CZ130" s="83"/>
      <c r="DA130" s="83"/>
      <c r="DB130" s="83"/>
    </row>
    <row r="131" spans="1:106" ht="11.25" customHeight="1" outlineLevel="1" x14ac:dyDescent="0.2">
      <c r="A131" s="67" t="s">
        <v>370</v>
      </c>
      <c r="B131" s="39"/>
      <c r="C131" s="99"/>
      <c r="D131" s="84"/>
      <c r="E131" s="84"/>
      <c r="F131" s="84"/>
      <c r="G131" s="86">
        <f>-CFS!G38-G124-G108</f>
        <v>13.391000000000002</v>
      </c>
      <c r="H131" s="39"/>
      <c r="I131" s="99">
        <f>-CFS!I38-I124-I108</f>
        <v>0</v>
      </c>
      <c r="J131" s="84">
        <f>-CFS!J38-J124-J108</f>
        <v>49.87</v>
      </c>
      <c r="K131" s="84">
        <f>-CFS!K38-K124-K108</f>
        <v>6.5429999999999993</v>
      </c>
      <c r="L131" s="84">
        <f>-CFS!L38-L124-L108</f>
        <v>24.825999999999993</v>
      </c>
      <c r="M131" s="86">
        <f>SUM(I131:L131)</f>
        <v>81.23899999999999</v>
      </c>
      <c r="N131" s="39"/>
      <c r="O131" s="99">
        <f>-CFS!O38-O124-O108</f>
        <v>17.096</v>
      </c>
      <c r="P131" s="84">
        <f>-CFS!P38-P124-P108</f>
        <v>0.64300000000000779</v>
      </c>
      <c r="Q131" s="84">
        <f>-CFS!Q38-Q124-Q108</f>
        <v>7.7029999999999887</v>
      </c>
      <c r="R131" s="84">
        <f>-CFS!R38-R124-R108</f>
        <v>20.493000000000002</v>
      </c>
      <c r="S131" s="86">
        <f>SUM(O131:R131)</f>
        <v>45.935000000000002</v>
      </c>
      <c r="T131" s="39"/>
      <c r="U131" s="99">
        <f>-CFS!U38-U124-U108</f>
        <v>3.153</v>
      </c>
      <c r="V131" s="84">
        <f>-CFS!V38-V124-V108</f>
        <v>3.4319999999999999</v>
      </c>
      <c r="W131" s="84">
        <f>-CFS!W38-W124-W108</f>
        <v>268.60999999999996</v>
      </c>
      <c r="X131" s="84">
        <f>-CFS!X38-X124-X108</f>
        <v>-4.1839999999999691</v>
      </c>
      <c r="Y131" s="86">
        <f>SUM(U131:X131)</f>
        <v>271.01099999999997</v>
      </c>
      <c r="Z131" s="39"/>
      <c r="AA131" s="99">
        <f>-CFS!AA38-AA124-AA108</f>
        <v>0.86899999999999999</v>
      </c>
      <c r="AB131" s="84">
        <f>-CFS!AB38-AB124-AB108</f>
        <v>1.22</v>
      </c>
      <c r="AC131" s="84">
        <f>-CFS!AC38-AC124-AC108</f>
        <v>47.339999999999996</v>
      </c>
      <c r="AD131" s="84">
        <f>-CFS!AD38-AD124-AD108</f>
        <v>35.241000000000007</v>
      </c>
      <c r="AE131" s="86">
        <f>SUM(AA131:AD131)</f>
        <v>84.67</v>
      </c>
      <c r="AF131" s="39"/>
      <c r="AG131" s="99">
        <f>-CFS!AG38-AG124-AG108</f>
        <v>2.3490000000000002</v>
      </c>
      <c r="AH131" s="84">
        <f>-CFS!AH38-AH124-AH108</f>
        <v>1.5349999999999997</v>
      </c>
      <c r="AI131" s="84">
        <f>-CFS!AI38-AI124-AI108</f>
        <v>32.86099999999999</v>
      </c>
      <c r="AJ131" s="84">
        <f>-CFS!AJ38-AJ124-AJ108</f>
        <v>83.172000000000025</v>
      </c>
      <c r="AK131" s="86">
        <f>SUM(AG131:AJ131)</f>
        <v>119.91700000000002</v>
      </c>
      <c r="AL131" s="39"/>
      <c r="AM131" s="99">
        <f>-CFS!AM38-AM124-AM108</f>
        <v>16.417999999999999</v>
      </c>
      <c r="AN131" s="84">
        <f>-CFS!AN38-AN124-AN108</f>
        <v>8.5869999999999997</v>
      </c>
      <c r="AO131" s="84">
        <f>-CFS!AO38-AO124-AO108</f>
        <v>2.0300000000000011</v>
      </c>
      <c r="AP131" s="84">
        <f>-CFS!AP38-AP124-AP108</f>
        <v>9.9499999999999993</v>
      </c>
      <c r="AQ131" s="86">
        <f>SUM(AM131:AP131)</f>
        <v>36.984999999999999</v>
      </c>
      <c r="AR131" s="39"/>
      <c r="AS131" s="99">
        <f>-CFS!AS38-AS124-AS108</f>
        <v>2.964</v>
      </c>
      <c r="AT131" s="84">
        <f>-CFS!AT38-AT124-AT108</f>
        <v>2.4430000000000001</v>
      </c>
      <c r="AU131" s="84">
        <f>-CFS!AU38-AU124-AU108</f>
        <v>253.35000000000002</v>
      </c>
      <c r="AV131" s="84">
        <f>-CFS!AV38-AV124-AV108</f>
        <v>24.884999999999991</v>
      </c>
      <c r="AW131" s="86">
        <f>SUM(AS131:AV131)</f>
        <v>283.642</v>
      </c>
      <c r="AX131" s="39"/>
      <c r="AY131" s="99">
        <f>-CFS!AY38-AY124-AY108</f>
        <v>2.0270000000000001</v>
      </c>
      <c r="AZ131" s="84">
        <f>-CFS!AZ38-AZ124-AZ108</f>
        <v>70.722000000000008</v>
      </c>
      <c r="BA131" s="84">
        <f>-CFS!BA38-BA124-BA108</f>
        <v>-173.654</v>
      </c>
      <c r="BB131" s="84">
        <f>-CFS!BB38-BB124-BB108</f>
        <v>0</v>
      </c>
      <c r="BC131" s="86">
        <f>SUM(AY131:BB131)</f>
        <v>-100.90499999999999</v>
      </c>
      <c r="BD131" s="39"/>
      <c r="BE131" s="99">
        <f>-CFS!BE38-BE124-BE108</f>
        <v>0</v>
      </c>
      <c r="BF131" s="84">
        <f>-CFS!BF38-BF124-BF108</f>
        <v>55.392999999999994</v>
      </c>
      <c r="BG131" s="84">
        <f>-CFS!BG38-BG124-BG108</f>
        <v>37.647999999999989</v>
      </c>
      <c r="BH131" s="84">
        <f>-CFS!BH38-BH124-BH108</f>
        <v>-2.8869999999999902</v>
      </c>
      <c r="BI131" s="86">
        <f>SUM(BE131:BH131)</f>
        <v>90.153999999999996</v>
      </c>
      <c r="BJ131" s="84"/>
      <c r="BK131" s="99">
        <f>-CFS!BK38-BK124-BK108</f>
        <v>0</v>
      </c>
      <c r="BL131" s="84">
        <f>-CFS!BL38-BL124-BL108</f>
        <v>5.8180000000000049</v>
      </c>
      <c r="BM131" s="84">
        <f>-CFS!BM38-BM124-BM108</f>
        <v>4.222999999999999</v>
      </c>
      <c r="BN131" s="84">
        <f>-CFS!BN38-BN124-BN108</f>
        <v>44.617000000000012</v>
      </c>
      <c r="BO131" s="86">
        <f>SUM(BK131:BN131)</f>
        <v>54.658000000000015</v>
      </c>
      <c r="BP131" s="84"/>
      <c r="BQ131" s="99">
        <f>-CFS!BQ38-BQ124-BQ108</f>
        <v>2.6349999999999998</v>
      </c>
      <c r="BR131" s="84">
        <f>-CFS!BR38-BR124-BR108</f>
        <v>-2.6629999999999998</v>
      </c>
      <c r="BS131" s="84">
        <f>-CFS!BS38-BS124-BS108</f>
        <v>-6.7930000000000001</v>
      </c>
      <c r="BT131" s="84">
        <f>-CFS!BT38-BT124-BT108</f>
        <v>40.981000000000009</v>
      </c>
      <c r="BU131" s="86">
        <f>SUM(BQ131:BT131)</f>
        <v>34.160000000000011</v>
      </c>
      <c r="BV131" s="84"/>
      <c r="BW131" s="99">
        <f>-CFS!BW38-BW124-BW108</f>
        <v>0</v>
      </c>
      <c r="BX131" s="84">
        <f>-CFS!BX38-BX124-BX108</f>
        <v>73.389999999999986</v>
      </c>
      <c r="BY131" s="84">
        <f>-CFS!BY38-BY124-BY108</f>
        <v>-6.5999999999999979</v>
      </c>
      <c r="BZ131" s="84">
        <f>-CFS!BZ38-BZ124-BZ108</f>
        <v>0</v>
      </c>
      <c r="CA131" s="86">
        <f>SUM(BW131:BZ131)</f>
        <v>66.789999999999992</v>
      </c>
      <c r="CB131" s="84"/>
      <c r="CC131" s="99">
        <f>-CFS!CC38-CC124-CC108</f>
        <v>21.377999999999997</v>
      </c>
      <c r="CD131" s="84">
        <f>-CFS!CD38-CD124-CD108</f>
        <v>-9.9999999999997868E-2</v>
      </c>
      <c r="CE131" s="84">
        <f>-CFS!CE38-CE124-CE108</f>
        <v>0.57100000000000151</v>
      </c>
      <c r="CF131" s="84">
        <f>-CFS!CF38-CF124-CF108</f>
        <v>0</v>
      </c>
      <c r="CG131" s="86">
        <f>SUM(CC131:CF131)</f>
        <v>21.849</v>
      </c>
      <c r="CH131" s="84"/>
      <c r="CI131" s="99">
        <f>-CI137*CFS!CI38</f>
        <v>0</v>
      </c>
      <c r="CJ131" s="84">
        <f>-CJ137*CFS!CJ38</f>
        <v>0</v>
      </c>
      <c r="CK131" s="84">
        <f>-CK137*CFS!CK38</f>
        <v>0</v>
      </c>
      <c r="CL131" s="84">
        <f>-CL137*CFS!CL38</f>
        <v>0</v>
      </c>
      <c r="CM131" s="86">
        <f>SUM(CI131:CL131)</f>
        <v>0</v>
      </c>
      <c r="CN131" s="84"/>
      <c r="CO131" s="99">
        <f>-CO137*CFS!CO38</f>
        <v>0</v>
      </c>
      <c r="CP131" s="84">
        <f>-CP137*CFS!CP38</f>
        <v>0</v>
      </c>
      <c r="CQ131" s="84">
        <f>-CQ137*CFS!CQ38</f>
        <v>0</v>
      </c>
      <c r="CR131" s="84">
        <f>-CR137*CFS!CR38</f>
        <v>0</v>
      </c>
      <c r="CS131" s="86">
        <f>SUM(CO131:CR131)</f>
        <v>0</v>
      </c>
      <c r="CT131" s="84"/>
      <c r="CU131" s="99">
        <f>-CU137*CFS!CU38</f>
        <v>0</v>
      </c>
      <c r="CV131" s="84">
        <f>-CV137*CFS!CV38</f>
        <v>0</v>
      </c>
      <c r="CW131" s="84">
        <f>-CW137*CFS!CW38</f>
        <v>0</v>
      </c>
      <c r="CX131" s="84">
        <f>-CX137*CFS!CX38</f>
        <v>0</v>
      </c>
      <c r="CY131" s="86">
        <f>SUM(CU131:CX131)</f>
        <v>0</v>
      </c>
      <c r="CZ131" s="84"/>
      <c r="DA131" s="84"/>
      <c r="DB131" s="84"/>
    </row>
    <row r="132" spans="1:106" ht="11.25" customHeight="1" outlineLevel="1" x14ac:dyDescent="0.2">
      <c r="A132" s="67" t="s">
        <v>195</v>
      </c>
      <c r="B132" s="39"/>
      <c r="C132" s="99"/>
      <c r="D132" s="84"/>
      <c r="E132" s="90"/>
      <c r="F132" s="90"/>
      <c r="G132" s="86">
        <f>+G133-G130-G131</f>
        <v>12.754999999999995</v>
      </c>
      <c r="H132" s="39"/>
      <c r="I132" s="99">
        <f>+I133-I130-I131</f>
        <v>-2.097999999999999</v>
      </c>
      <c r="J132" s="84">
        <f>+J133-J130-J131</f>
        <v>-22.503</v>
      </c>
      <c r="K132" s="84">
        <f>+K133-K130-K131</f>
        <v>-4.8869999999999933</v>
      </c>
      <c r="L132" s="84">
        <f>+L133-L130-L131</f>
        <v>-14.099999999999994</v>
      </c>
      <c r="M132" s="86">
        <f>SUM(I132:L132)</f>
        <v>-43.587999999999987</v>
      </c>
      <c r="N132" s="39"/>
      <c r="O132" s="99">
        <f>+O133-O130-O131</f>
        <v>-10.267000000000007</v>
      </c>
      <c r="P132" s="84">
        <f>+P133-P130-P131</f>
        <v>31.301999999999985</v>
      </c>
      <c r="Q132" s="84">
        <f>+Q133-Q130-Q131</f>
        <v>2.0000000000024443E-2</v>
      </c>
      <c r="R132" s="84">
        <f>+R133-R130-R131</f>
        <v>-0.76300000000001234</v>
      </c>
      <c r="S132" s="86">
        <f>SUM(O132:R132)</f>
        <v>20.291999999999991</v>
      </c>
      <c r="T132" s="39"/>
      <c r="U132" s="99">
        <f>+U133-U130-U131</f>
        <v>-9.9109999999999818</v>
      </c>
      <c r="V132" s="84">
        <f>+V133-V130-V131</f>
        <v>2.1979999999999955</v>
      </c>
      <c r="W132" s="84">
        <f>+W133-W130-W131</f>
        <v>685.87400000000002</v>
      </c>
      <c r="X132" s="84">
        <f>+X133-X130-X131</f>
        <v>-1.43100000000004</v>
      </c>
      <c r="Y132" s="86">
        <f>SUM(U132:X132)</f>
        <v>676.73</v>
      </c>
      <c r="Z132" s="39"/>
      <c r="AA132" s="99">
        <f>+AA133-AA130-AA131</f>
        <v>4.6029999999999802</v>
      </c>
      <c r="AB132" s="84">
        <f>+AB133-AB130-AB131</f>
        <v>1.9439999999999873</v>
      </c>
      <c r="AC132" s="84">
        <f>+AC133-AC130-AC131</f>
        <v>-29.531000000000027</v>
      </c>
      <c r="AD132" s="84">
        <f>+AD133-AD130-AD131</f>
        <v>-17.462999999999987</v>
      </c>
      <c r="AE132" s="86">
        <f>SUM(AA132:AD132)</f>
        <v>-40.447000000000045</v>
      </c>
      <c r="AF132" s="39"/>
      <c r="AG132" s="99">
        <f>+AG133-AG130-AG131</f>
        <v>-5.5300000000000402</v>
      </c>
      <c r="AH132" s="84">
        <f>+AH133-AH130-AH131</f>
        <v>19.157999999999983</v>
      </c>
      <c r="AI132" s="84">
        <f>+AI133-AI130-AI131</f>
        <v>71.275999999999954</v>
      </c>
      <c r="AJ132" s="84">
        <f>+AJ133-AJ130-AJ131</f>
        <v>-19.861999999999853</v>
      </c>
      <c r="AK132" s="86">
        <f>SUM(AG132:AJ132)</f>
        <v>65.042000000000044</v>
      </c>
      <c r="AL132" s="39"/>
      <c r="AM132" s="99">
        <f>+AM133-AM130-AM131</f>
        <v>-25.321999999999996</v>
      </c>
      <c r="AN132" s="84">
        <f>+AN133-AN130-AN131</f>
        <v>-19.792000000000154</v>
      </c>
      <c r="AO132" s="84">
        <f>+AO133-AO130-AO131</f>
        <v>29.45400000000015</v>
      </c>
      <c r="AP132" s="84">
        <f>+AP133-AP130-AP131</f>
        <v>-6.1080000000001284</v>
      </c>
      <c r="AQ132" s="86">
        <f>SUM(AM132:AP132)</f>
        <v>-21.768000000000125</v>
      </c>
      <c r="AR132" s="39"/>
      <c r="AS132" s="99">
        <f>+AS133-AS130-AS131</f>
        <v>8.9380000000000432</v>
      </c>
      <c r="AT132" s="84">
        <f>+AT133-AT130-AT131</f>
        <v>4.1230000000000313</v>
      </c>
      <c r="AU132" s="84">
        <f>+AU133-AU130-AU131</f>
        <v>34.49899999999991</v>
      </c>
      <c r="AV132" s="84">
        <f>+AV133-AV130-AV131</f>
        <v>50.239000000000033</v>
      </c>
      <c r="AW132" s="86">
        <f>SUM(AS132:AV132)</f>
        <v>97.799000000000021</v>
      </c>
      <c r="AX132" s="39"/>
      <c r="AY132" s="99">
        <f>AY133-AY130-AY131</f>
        <v>7.2729999999999544</v>
      </c>
      <c r="AZ132" s="84">
        <f>AZ133-AZ130-AZ131</f>
        <v>-61.513999999999925</v>
      </c>
      <c r="BA132" s="84">
        <f>+BA133-BA130-BA131</f>
        <v>180.05099999999993</v>
      </c>
      <c r="BB132" s="84">
        <f>+BB133-BB130-BB131</f>
        <v>1.2709999999999582</v>
      </c>
      <c r="BC132" s="86">
        <f>SUM(AY132:BB132)</f>
        <v>127.08099999999992</v>
      </c>
      <c r="BD132" s="39"/>
      <c r="BE132" s="99">
        <f>BE133-BE130-BE131</f>
        <v>-3.6639999999999873</v>
      </c>
      <c r="BF132" s="84">
        <f>+BF133-BF130-BF131</f>
        <v>-19.83799999999993</v>
      </c>
      <c r="BG132" s="84">
        <f>+BG133-BG130-BG131</f>
        <v>36.384999999999913</v>
      </c>
      <c r="BH132" s="84">
        <f>+BH133-BH130-BH131</f>
        <v>-7.2439999999998683</v>
      </c>
      <c r="BI132" s="86">
        <f>SUM(BE132:BH132)</f>
        <v>5.6390000000001272</v>
      </c>
      <c r="BJ132" s="84"/>
      <c r="BK132" s="99">
        <f>BK133-BK130-BK131</f>
        <v>8.3309999999999036</v>
      </c>
      <c r="BL132" s="84">
        <f>+BL133-BL130-BL131</f>
        <v>12.628000000000135</v>
      </c>
      <c r="BM132" s="84">
        <f>+BM133-BM130-BM131</f>
        <v>-53.218000000000117</v>
      </c>
      <c r="BN132" s="84">
        <f>+BN133-BN130-BN131</f>
        <v>9.8729999999999976</v>
      </c>
      <c r="BO132" s="86">
        <f>SUM(BK132:BN132)</f>
        <v>-22.386000000000081</v>
      </c>
      <c r="BP132" s="84"/>
      <c r="BQ132" s="99">
        <f>BQ133-BQ130-BQ131</f>
        <v>-28.226999999999869</v>
      </c>
      <c r="BR132" s="1108">
        <f>BR133-BR130-BR131</f>
        <v>12.358999999999913</v>
      </c>
      <c r="BS132" s="1108">
        <f>BS133-BS130-BS131</f>
        <v>-18.803000000000004</v>
      </c>
      <c r="BT132" s="84">
        <f>+BT133-BT130-BT131</f>
        <v>-11.75399999999992</v>
      </c>
      <c r="BU132" s="86">
        <f>SUM(BQ132:BT132)</f>
        <v>-46.424999999999883</v>
      </c>
      <c r="BV132" s="84"/>
      <c r="BW132" s="99">
        <f>BW133-BW130-BW131</f>
        <v>23.235999999999876</v>
      </c>
      <c r="BX132" s="1108">
        <f>BX133-BX130-BX131</f>
        <v>-0.43999999999994088</v>
      </c>
      <c r="BY132" s="1108">
        <f>BY133-BY130-BY131</f>
        <v>-2.7700000000001204</v>
      </c>
      <c r="BZ132" s="84">
        <f>+BZ133-BZ130-BZ131</f>
        <v>-36.995999999999867</v>
      </c>
      <c r="CA132" s="86">
        <f>SUM(BW132:BZ132)</f>
        <v>-16.970000000000052</v>
      </c>
      <c r="CB132" s="84"/>
      <c r="CC132" s="99">
        <f>CC133-CC130-CC131</f>
        <v>22.564000000000011</v>
      </c>
      <c r="CD132" s="1108">
        <f>CD133-CD130-CD131</f>
        <v>26.446999999999978</v>
      </c>
      <c r="CE132" s="1108">
        <f>CE133-CE130-CE131</f>
        <v>13.477999999999977</v>
      </c>
      <c r="CF132" s="84">
        <f>+CF133-CF130-CF131</f>
        <v>3.0480000000000018</v>
      </c>
      <c r="CG132" s="86">
        <f>SUM(CC132:CF132)</f>
        <v>65.536999999999964</v>
      </c>
      <c r="CH132" s="84"/>
      <c r="CI132" s="102">
        <v>0</v>
      </c>
      <c r="CJ132" s="82">
        <v>0</v>
      </c>
      <c r="CK132" s="82">
        <v>0</v>
      </c>
      <c r="CL132" s="82">
        <v>0</v>
      </c>
      <c r="CM132" s="86">
        <f>SUM(CI132:CL132)</f>
        <v>0</v>
      </c>
      <c r="CN132" s="84"/>
      <c r="CO132" s="102">
        <v>0</v>
      </c>
      <c r="CP132" s="82">
        <v>0</v>
      </c>
      <c r="CQ132" s="82">
        <v>0</v>
      </c>
      <c r="CR132" s="82">
        <v>0</v>
      </c>
      <c r="CS132" s="86">
        <f>SUM(CO132:CR132)</f>
        <v>0</v>
      </c>
      <c r="CT132" s="84"/>
      <c r="CU132" s="102">
        <v>0</v>
      </c>
      <c r="CV132" s="82">
        <v>0</v>
      </c>
      <c r="CW132" s="82">
        <v>0</v>
      </c>
      <c r="CX132" s="82">
        <v>0</v>
      </c>
      <c r="CY132" s="86">
        <f>SUM(CU132:CX132)</f>
        <v>0</v>
      </c>
      <c r="CZ132" s="84"/>
      <c r="DA132" s="84"/>
      <c r="DB132" s="84"/>
    </row>
    <row r="133" spans="1:106" ht="11.25" customHeight="1" outlineLevel="1" x14ac:dyDescent="0.2">
      <c r="A133" s="68" t="s">
        <v>371</v>
      </c>
      <c r="B133" s="240"/>
      <c r="C133" s="111"/>
      <c r="D133" s="85"/>
      <c r="E133" s="85"/>
      <c r="F133" s="85"/>
      <c r="G133" s="866">
        <v>56.262999999999998</v>
      </c>
      <c r="H133" s="240"/>
      <c r="I133" s="111">
        <f>I21</f>
        <v>54.164999999999999</v>
      </c>
      <c r="J133" s="85">
        <f>J21</f>
        <v>81.531999999999996</v>
      </c>
      <c r="K133" s="85">
        <f>K21</f>
        <v>83.188000000000002</v>
      </c>
      <c r="L133" s="85">
        <f>L21</f>
        <v>93.914000000000001</v>
      </c>
      <c r="M133" s="88">
        <f>M21</f>
        <v>93.914000000000001</v>
      </c>
      <c r="N133" s="240"/>
      <c r="O133" s="111">
        <f>O21</f>
        <v>100.74299999999999</v>
      </c>
      <c r="P133" s="85">
        <f>P21</f>
        <v>132.68799999999999</v>
      </c>
      <c r="Q133" s="85">
        <f>Q21</f>
        <v>140.411</v>
      </c>
      <c r="R133" s="85">
        <f>R21</f>
        <v>160.14099999999999</v>
      </c>
      <c r="S133" s="88">
        <f>S21</f>
        <v>160.14099999999999</v>
      </c>
      <c r="T133" s="240"/>
      <c r="U133" s="111">
        <f>U21</f>
        <v>153.38300000000001</v>
      </c>
      <c r="V133" s="85">
        <f>V21</f>
        <v>159.01300000000001</v>
      </c>
      <c r="W133" s="85">
        <f>W21</f>
        <v>1113.4970000000001</v>
      </c>
      <c r="X133" s="85">
        <f>X21</f>
        <v>1107.8820000000001</v>
      </c>
      <c r="Y133" s="88">
        <f>Y21</f>
        <v>1107.8820000000001</v>
      </c>
      <c r="Z133" s="240"/>
      <c r="AA133" s="111">
        <f>AA21</f>
        <v>1113.354</v>
      </c>
      <c r="AB133" s="85">
        <f>AB21</f>
        <v>1116.518</v>
      </c>
      <c r="AC133" s="85">
        <f>AC21</f>
        <v>1134.327</v>
      </c>
      <c r="AD133" s="85">
        <f>AD21</f>
        <v>1152.105</v>
      </c>
      <c r="AE133" s="88">
        <f>AE21</f>
        <v>1152.105</v>
      </c>
      <c r="AF133" s="240"/>
      <c r="AG133" s="111">
        <f>AG21</f>
        <v>1148.924</v>
      </c>
      <c r="AH133" s="85">
        <f>AH21</f>
        <v>1169.617</v>
      </c>
      <c r="AI133" s="85">
        <f>AI21</f>
        <v>1273.7539999999999</v>
      </c>
      <c r="AJ133" s="85">
        <f>AJ21</f>
        <v>1337.0640000000001</v>
      </c>
      <c r="AK133" s="88">
        <f>AK21</f>
        <v>1337.0640000000001</v>
      </c>
      <c r="AL133" s="240"/>
      <c r="AM133" s="111">
        <f>AM21</f>
        <v>1328.16</v>
      </c>
      <c r="AN133" s="85">
        <f>AN21</f>
        <v>1316.9549999999999</v>
      </c>
      <c r="AO133" s="85">
        <f>AO21</f>
        <v>1348.4390000000001</v>
      </c>
      <c r="AP133" s="85">
        <f>AP21</f>
        <v>1352.2809999999999</v>
      </c>
      <c r="AQ133" s="88">
        <f>AQ21</f>
        <v>1352.2809999999999</v>
      </c>
      <c r="AR133" s="240"/>
      <c r="AS133" s="111">
        <f>AS21</f>
        <v>1364.183</v>
      </c>
      <c r="AT133" s="85">
        <f>AT21</f>
        <v>1370.749</v>
      </c>
      <c r="AU133" s="85">
        <f>AU21</f>
        <v>1658.598</v>
      </c>
      <c r="AV133" s="85">
        <f>AV21</f>
        <v>1733.722</v>
      </c>
      <c r="AW133" s="88">
        <f>AW21</f>
        <v>1733.722</v>
      </c>
      <c r="AX133" s="240"/>
      <c r="AY133" s="111">
        <f>AY21</f>
        <v>1743.0219999999999</v>
      </c>
      <c r="AZ133" s="85">
        <f>AZ21</f>
        <v>1752.23</v>
      </c>
      <c r="BA133" s="85">
        <f>BA21</f>
        <v>1758.627</v>
      </c>
      <c r="BB133" s="85">
        <f>BB21</f>
        <v>1759.8979999999999</v>
      </c>
      <c r="BC133" s="88">
        <f>BC21</f>
        <v>1759.8979999999999</v>
      </c>
      <c r="BD133" s="240"/>
      <c r="BE133" s="111">
        <f>BE21</f>
        <v>1756.2339999999999</v>
      </c>
      <c r="BF133" s="85">
        <f>BF21</f>
        <v>1791.789</v>
      </c>
      <c r="BG133" s="85">
        <f>BG21</f>
        <v>1865.8219999999999</v>
      </c>
      <c r="BH133" s="85">
        <f>BH21</f>
        <v>1855.691</v>
      </c>
      <c r="BI133" s="88">
        <f>BI21</f>
        <v>1855.691</v>
      </c>
      <c r="BJ133" s="85"/>
      <c r="BK133" s="111">
        <f>BK21</f>
        <v>1864.0219999999999</v>
      </c>
      <c r="BL133" s="85">
        <f>BL21</f>
        <v>1882.4680000000001</v>
      </c>
      <c r="BM133" s="85">
        <f>BM21</f>
        <v>1833.473</v>
      </c>
      <c r="BN133" s="85">
        <f>BN21</f>
        <v>1887.963</v>
      </c>
      <c r="BO133" s="88">
        <f>BO21</f>
        <v>1887.963</v>
      </c>
      <c r="BP133" s="85"/>
      <c r="BQ133" s="111">
        <f>BQ21</f>
        <v>1862.3710000000001</v>
      </c>
      <c r="BR133" s="85">
        <f>BR21</f>
        <v>1872.067</v>
      </c>
      <c r="BS133" s="85">
        <f>BS21</f>
        <v>1846.471</v>
      </c>
      <c r="BT133" s="85">
        <f>BT21</f>
        <v>1875.6980000000001</v>
      </c>
      <c r="BU133" s="88">
        <f>BU21</f>
        <v>1875.6980000000001</v>
      </c>
      <c r="BV133" s="85"/>
      <c r="BW133" s="111">
        <f>BW21</f>
        <v>1898.934</v>
      </c>
      <c r="BX133" s="85">
        <f>BX21</f>
        <v>1971.884</v>
      </c>
      <c r="BY133" s="85">
        <f>BY21</f>
        <v>1962.5139999999999</v>
      </c>
      <c r="BZ133" s="85">
        <f>BZ21</f>
        <v>1925.518</v>
      </c>
      <c r="CA133" s="88">
        <f>CA21</f>
        <v>1925.518</v>
      </c>
      <c r="CB133" s="85"/>
      <c r="CC133" s="111">
        <f>CC21</f>
        <v>1969.46</v>
      </c>
      <c r="CD133" s="85">
        <f>CD21</f>
        <v>1995.807</v>
      </c>
      <c r="CE133" s="85">
        <f>CE21</f>
        <v>2009.856</v>
      </c>
      <c r="CF133" s="85">
        <f>CF21</f>
        <v>2012.904</v>
      </c>
      <c r="CG133" s="88">
        <f>CG21</f>
        <v>2012.904</v>
      </c>
      <c r="CH133" s="85"/>
      <c r="CI133" s="111">
        <f>CI130+CI131+CI132</f>
        <v>2012.904</v>
      </c>
      <c r="CJ133" s="85">
        <f>CJ130+CJ131+CJ132</f>
        <v>2012.904</v>
      </c>
      <c r="CK133" s="85">
        <f>CK130+CK131+CK132</f>
        <v>2012.904</v>
      </c>
      <c r="CL133" s="85">
        <f>CL130+CL131+CL132</f>
        <v>2012.904</v>
      </c>
      <c r="CM133" s="88">
        <f>CM130+CM131+CM132</f>
        <v>2012.904</v>
      </c>
      <c r="CN133" s="85"/>
      <c r="CO133" s="111">
        <f>CO130+CO131+CO132</f>
        <v>2012.904</v>
      </c>
      <c r="CP133" s="85">
        <f>CP130+CP131+CP132</f>
        <v>2012.904</v>
      </c>
      <c r="CQ133" s="85">
        <f>CQ130+CQ131+CQ132</f>
        <v>2012.904</v>
      </c>
      <c r="CR133" s="85">
        <f>CR130+CR131+CR132</f>
        <v>2012.904</v>
      </c>
      <c r="CS133" s="88">
        <f>CS130+CS131+CS132</f>
        <v>2012.904</v>
      </c>
      <c r="CT133" s="85"/>
      <c r="CU133" s="111">
        <f>CU130+CU131+CU132</f>
        <v>2012.904</v>
      </c>
      <c r="CV133" s="85">
        <f>CV130+CV131+CV132</f>
        <v>2012.904</v>
      </c>
      <c r="CW133" s="85">
        <f>CW130+CW131+CW132</f>
        <v>2012.904</v>
      </c>
      <c r="CX133" s="85">
        <f>CX130+CX131+CX132</f>
        <v>2012.904</v>
      </c>
      <c r="CY133" s="88">
        <f>CY130+CY131+CY132</f>
        <v>2012.904</v>
      </c>
      <c r="CZ133" s="83"/>
      <c r="DA133" s="83"/>
      <c r="DB133" s="83"/>
    </row>
    <row r="134" spans="1:106" ht="11.25" customHeight="1" x14ac:dyDescent="0.2">
      <c r="A134" s="75"/>
      <c r="B134" s="39"/>
      <c r="C134" s="20"/>
      <c r="D134" s="20"/>
      <c r="E134" s="20"/>
      <c r="F134" s="20"/>
      <c r="G134" s="20"/>
      <c r="H134" s="39"/>
      <c r="I134" s="20"/>
      <c r="J134" s="20"/>
      <c r="K134" s="20"/>
      <c r="L134" s="20"/>
      <c r="M134" s="20"/>
      <c r="N134" s="39"/>
      <c r="O134" s="20"/>
      <c r="P134" s="20"/>
      <c r="Q134" s="20"/>
      <c r="R134" s="20"/>
      <c r="S134" s="490"/>
      <c r="T134" s="39"/>
      <c r="U134" s="20"/>
      <c r="V134" s="20"/>
      <c r="W134" s="20"/>
      <c r="X134" s="20"/>
      <c r="Y134" s="491"/>
      <c r="Z134" s="39"/>
      <c r="AA134" s="20"/>
      <c r="AB134" s="20"/>
      <c r="AC134" s="20"/>
      <c r="AD134" s="20"/>
      <c r="AE134" s="20"/>
      <c r="AF134" s="39"/>
      <c r="AG134" s="20"/>
      <c r="AH134" s="20"/>
      <c r="AI134" s="20"/>
      <c r="AJ134" s="20"/>
      <c r="AK134" s="39"/>
      <c r="AL134" s="39"/>
      <c r="AM134" s="20"/>
      <c r="AN134" s="20"/>
      <c r="AO134" s="20"/>
      <c r="AP134" s="20"/>
      <c r="AQ134" s="39"/>
      <c r="AR134" s="39"/>
      <c r="AS134" s="20"/>
      <c r="AT134" s="20"/>
      <c r="AU134" s="20"/>
      <c r="AV134" s="20"/>
      <c r="AW134" s="20"/>
      <c r="AX134" s="39"/>
      <c r="AY134" s="20"/>
      <c r="AZ134" s="20"/>
      <c r="BA134" s="20"/>
      <c r="BB134" s="20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39"/>
      <c r="DB134" s="39"/>
    </row>
    <row r="135" spans="1:106" ht="11.25" customHeight="1" x14ac:dyDescent="0.2">
      <c r="A135" s="61" t="s">
        <v>372</v>
      </c>
      <c r="B135" s="16"/>
      <c r="C135" s="147"/>
      <c r="D135" s="147"/>
      <c r="E135" s="147"/>
      <c r="F135" s="147"/>
      <c r="G135" s="147"/>
      <c r="H135" s="25"/>
      <c r="I135" s="147"/>
      <c r="J135" s="147"/>
      <c r="K135" s="147"/>
      <c r="L135" s="147"/>
      <c r="M135" s="147"/>
      <c r="N135" s="25"/>
      <c r="O135" s="147"/>
      <c r="P135" s="147"/>
      <c r="Q135" s="147"/>
      <c r="R135" s="147"/>
      <c r="S135" s="177"/>
      <c r="T135" s="25"/>
      <c r="U135" s="147"/>
      <c r="V135" s="147"/>
      <c r="W135" s="147"/>
      <c r="X135" s="147"/>
      <c r="Y135" s="178"/>
      <c r="Z135" s="25"/>
      <c r="AA135" s="147"/>
      <c r="AB135" s="147"/>
      <c r="AC135" s="147"/>
      <c r="AD135" s="147"/>
      <c r="AE135" s="147"/>
      <c r="AF135" s="25"/>
      <c r="AG135" s="147"/>
      <c r="AH135" s="147"/>
      <c r="AI135" s="147"/>
      <c r="AJ135" s="147"/>
      <c r="AK135" s="25"/>
      <c r="AL135" s="25"/>
      <c r="AM135" s="147"/>
      <c r="AN135" s="147"/>
      <c r="AO135" s="147"/>
      <c r="AP135" s="147"/>
      <c r="AQ135" s="25"/>
      <c r="AR135" s="25"/>
      <c r="AS135" s="147"/>
      <c r="AT135" s="147"/>
      <c r="AU135" s="147"/>
      <c r="AV135" s="147"/>
      <c r="AW135" s="147"/>
      <c r="AX135" s="25"/>
      <c r="AY135" s="147"/>
      <c r="AZ135" s="147"/>
      <c r="BA135" s="147"/>
      <c r="BB135" s="147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47"/>
      <c r="BP135" s="25"/>
      <c r="BQ135" s="25"/>
      <c r="BR135" s="25"/>
      <c r="BS135" s="25"/>
      <c r="BT135" s="25"/>
      <c r="BU135" s="47"/>
      <c r="BV135" s="25"/>
      <c r="BW135" s="25"/>
      <c r="BX135" s="25"/>
      <c r="BY135" s="25"/>
      <c r="BZ135" s="25"/>
      <c r="CA135" s="47"/>
      <c r="CB135" s="25"/>
      <c r="CC135" s="25"/>
      <c r="CD135" s="25"/>
      <c r="CE135" s="25"/>
      <c r="CF135" s="25"/>
      <c r="CG135" s="47"/>
      <c r="CH135" s="25"/>
      <c r="CI135" s="25"/>
      <c r="CJ135" s="25"/>
      <c r="CK135" s="25"/>
      <c r="CL135" s="25"/>
      <c r="CM135" s="47"/>
      <c r="CN135" s="25"/>
      <c r="CO135" s="25"/>
      <c r="CP135" s="25"/>
      <c r="CQ135" s="25"/>
      <c r="CR135" s="25"/>
      <c r="CS135" s="47"/>
      <c r="CT135" s="25"/>
      <c r="CU135" s="25"/>
      <c r="CV135" s="25"/>
      <c r="CW135" s="25"/>
      <c r="CX135" s="25"/>
      <c r="CY135" s="47"/>
      <c r="CZ135" s="39"/>
      <c r="DA135" s="39"/>
      <c r="DB135" s="39"/>
    </row>
    <row r="136" spans="1:106" ht="11.25" customHeight="1" outlineLevel="1" x14ac:dyDescent="0.2">
      <c r="A136" s="62" t="s">
        <v>373</v>
      </c>
      <c r="B136" s="39"/>
      <c r="C136" s="99"/>
      <c r="D136" s="84"/>
      <c r="E136" s="84"/>
      <c r="F136" s="84"/>
      <c r="G136" s="86"/>
      <c r="H136" s="39"/>
      <c r="I136" s="99"/>
      <c r="J136" s="84"/>
      <c r="K136" s="84"/>
      <c r="L136" s="84"/>
      <c r="M136" s="86"/>
      <c r="N136" s="39"/>
      <c r="O136" s="99"/>
      <c r="P136" s="84"/>
      <c r="Q136" s="84"/>
      <c r="R136" s="84"/>
      <c r="S136" s="86"/>
      <c r="T136" s="39"/>
      <c r="U136" s="99"/>
      <c r="V136" s="84"/>
      <c r="W136" s="84"/>
      <c r="X136" s="84"/>
      <c r="Y136" s="86"/>
      <c r="Z136" s="39"/>
      <c r="AA136" s="99"/>
      <c r="AB136" s="84"/>
      <c r="AC136" s="84"/>
      <c r="AD136" s="84"/>
      <c r="AE136" s="86"/>
      <c r="AF136" s="39"/>
      <c r="AG136" s="99"/>
      <c r="AH136" s="84"/>
      <c r="AI136" s="84"/>
      <c r="AJ136" s="84"/>
      <c r="AK136" s="86"/>
      <c r="AL136" s="39"/>
      <c r="AM136" s="99"/>
      <c r="AN136" s="84"/>
      <c r="AO136" s="84"/>
      <c r="AP136" s="84"/>
      <c r="AQ136" s="86"/>
      <c r="AR136" s="39"/>
      <c r="AS136" s="99"/>
      <c r="AT136" s="84"/>
      <c r="AU136" s="84"/>
      <c r="AV136" s="84"/>
      <c r="AW136" s="86"/>
      <c r="AX136" s="39"/>
      <c r="AY136" s="99"/>
      <c r="AZ136" s="84"/>
      <c r="BA136" s="84"/>
      <c r="BB136" s="84"/>
      <c r="BC136" s="86"/>
      <c r="BD136" s="39"/>
      <c r="BE136" s="99"/>
      <c r="BF136" s="84"/>
      <c r="BG136" s="84"/>
      <c r="BH136" s="84"/>
      <c r="BI136" s="86"/>
      <c r="BJ136" s="84"/>
      <c r="BK136" s="99"/>
      <c r="BL136" s="84"/>
      <c r="BM136" s="84"/>
      <c r="BN136" s="84"/>
      <c r="BO136" s="86"/>
      <c r="BP136" s="84"/>
      <c r="BQ136" s="99"/>
      <c r="BR136" s="84"/>
      <c r="BS136" s="84"/>
      <c r="BT136" s="84"/>
      <c r="BU136" s="86"/>
      <c r="BV136" s="84"/>
      <c r="BW136" s="99"/>
      <c r="BX136" s="84"/>
      <c r="BY136" s="84"/>
      <c r="BZ136" s="84"/>
      <c r="CA136" s="86"/>
      <c r="CB136" s="84"/>
      <c r="CC136" s="99"/>
      <c r="CD136" s="84"/>
      <c r="CE136" s="84"/>
      <c r="CF136" s="84"/>
      <c r="CG136" s="86"/>
      <c r="CH136" s="84"/>
      <c r="CI136" s="99"/>
      <c r="CJ136" s="84"/>
      <c r="CK136" s="84"/>
      <c r="CL136" s="84"/>
      <c r="CM136" s="86"/>
      <c r="CN136" s="84"/>
      <c r="CO136" s="99"/>
      <c r="CP136" s="84"/>
      <c r="CQ136" s="84"/>
      <c r="CR136" s="84"/>
      <c r="CS136" s="86"/>
      <c r="CT136" s="84"/>
      <c r="CU136" s="99"/>
      <c r="CV136" s="84"/>
      <c r="CW136" s="84"/>
      <c r="CX136" s="84"/>
      <c r="CY136" s="86"/>
      <c r="CZ136" s="84"/>
      <c r="DA136" s="84"/>
      <c r="DB136" s="84"/>
    </row>
    <row r="137" spans="1:106" ht="11.25" customHeight="1" outlineLevel="1" x14ac:dyDescent="0.2">
      <c r="A137" s="515" t="s">
        <v>33</v>
      </c>
      <c r="B137" s="39"/>
      <c r="C137" s="114"/>
      <c r="D137" s="115"/>
      <c r="E137" s="148"/>
      <c r="F137" s="148"/>
      <c r="G137" s="96"/>
      <c r="H137" s="39"/>
      <c r="I137" s="114"/>
      <c r="J137" s="115"/>
      <c r="K137" s="148"/>
      <c r="L137" s="148"/>
      <c r="M137" s="96"/>
      <c r="N137" s="39"/>
      <c r="O137" s="114"/>
      <c r="P137" s="115"/>
      <c r="Q137" s="148"/>
      <c r="R137" s="148"/>
      <c r="S137" s="96"/>
      <c r="T137" s="39"/>
      <c r="U137" s="114"/>
      <c r="V137" s="115"/>
      <c r="W137" s="148"/>
      <c r="X137" s="148"/>
      <c r="Y137" s="96"/>
      <c r="Z137" s="39"/>
      <c r="AA137" s="114"/>
      <c r="AB137" s="115"/>
      <c r="AC137" s="148"/>
      <c r="AD137" s="148"/>
      <c r="AE137" s="96"/>
      <c r="AF137" s="39"/>
      <c r="AG137" s="114"/>
      <c r="AH137" s="115"/>
      <c r="AI137" s="148"/>
      <c r="AJ137" s="148"/>
      <c r="AK137" s="96"/>
      <c r="AL137" s="39"/>
      <c r="AM137" s="114"/>
      <c r="AN137" s="115"/>
      <c r="AO137" s="148"/>
      <c r="AP137" s="148"/>
      <c r="AQ137" s="96"/>
      <c r="AR137" s="39"/>
      <c r="AS137" s="114"/>
      <c r="AT137" s="115"/>
      <c r="AU137" s="148"/>
      <c r="AV137" s="148"/>
      <c r="AW137" s="96"/>
      <c r="AX137" s="39"/>
      <c r="AY137" s="114"/>
      <c r="AZ137" s="115"/>
      <c r="BA137" s="148"/>
      <c r="BB137" s="115"/>
      <c r="BC137" s="96"/>
      <c r="BD137" s="39"/>
      <c r="BE137" s="114"/>
      <c r="BF137" s="115"/>
      <c r="BG137" s="115"/>
      <c r="BH137" s="115"/>
      <c r="BI137" s="96"/>
      <c r="BJ137" s="95"/>
      <c r="BK137" s="114"/>
      <c r="BL137" s="115"/>
      <c r="BM137" s="115"/>
      <c r="BN137" s="115"/>
      <c r="BO137" s="96"/>
      <c r="BP137" s="95"/>
      <c r="BQ137" s="114"/>
      <c r="BR137" s="115"/>
      <c r="BS137" s="115"/>
      <c r="BT137" s="115"/>
      <c r="BU137" s="96"/>
      <c r="BV137" s="95"/>
      <c r="BW137" s="114"/>
      <c r="BX137" s="115"/>
      <c r="BY137" s="115"/>
      <c r="BZ137" s="115"/>
      <c r="CA137" s="96"/>
      <c r="CB137" s="95"/>
      <c r="CC137" s="114"/>
      <c r="CD137" s="115"/>
      <c r="CE137" s="115"/>
      <c r="CF137" s="115"/>
      <c r="CG137" s="96"/>
      <c r="CH137" s="95"/>
      <c r="CI137" s="114">
        <v>0.75</v>
      </c>
      <c r="CJ137" s="115">
        <v>0.75</v>
      </c>
      <c r="CK137" s="115">
        <v>0.75</v>
      </c>
      <c r="CL137" s="115">
        <v>0.75</v>
      </c>
      <c r="CM137" s="96"/>
      <c r="CN137" s="95"/>
      <c r="CO137" s="114">
        <v>0.75</v>
      </c>
      <c r="CP137" s="115">
        <v>0.75</v>
      </c>
      <c r="CQ137" s="115">
        <v>0.75</v>
      </c>
      <c r="CR137" s="115">
        <v>0.75</v>
      </c>
      <c r="CS137" s="96"/>
      <c r="CT137" s="95"/>
      <c r="CU137" s="114">
        <v>0.75</v>
      </c>
      <c r="CV137" s="115">
        <v>0.75</v>
      </c>
      <c r="CW137" s="115">
        <v>0.75</v>
      </c>
      <c r="CX137" s="115">
        <v>0.75</v>
      </c>
      <c r="CY137" s="96"/>
      <c r="CZ137" s="95"/>
      <c r="DA137" s="95"/>
      <c r="DB137" s="95"/>
    </row>
    <row r="138" spans="1:106" ht="11.25" customHeight="1" outlineLevel="1" x14ac:dyDescent="0.2">
      <c r="A138" s="515" t="s">
        <v>365</v>
      </c>
      <c r="B138" s="39"/>
      <c r="C138" s="114"/>
      <c r="D138" s="115"/>
      <c r="E138" s="148"/>
      <c r="F138" s="148"/>
      <c r="G138" s="96"/>
      <c r="H138" s="39"/>
      <c r="I138" s="114"/>
      <c r="J138" s="115"/>
      <c r="K138" s="148"/>
      <c r="L138" s="148"/>
      <c r="M138" s="96"/>
      <c r="N138" s="39"/>
      <c r="O138" s="114"/>
      <c r="P138" s="115"/>
      <c r="Q138" s="148"/>
      <c r="R138" s="148"/>
      <c r="S138" s="96"/>
      <c r="T138" s="39"/>
      <c r="U138" s="114"/>
      <c r="V138" s="115"/>
      <c r="W138" s="148"/>
      <c r="X138" s="148"/>
      <c r="Y138" s="96"/>
      <c r="Z138" s="39"/>
      <c r="AA138" s="114"/>
      <c r="AB138" s="115"/>
      <c r="AC138" s="148"/>
      <c r="AD138" s="148"/>
      <c r="AE138" s="96"/>
      <c r="AF138" s="39"/>
      <c r="AG138" s="114"/>
      <c r="AH138" s="115"/>
      <c r="AI138" s="148"/>
      <c r="AJ138" s="148"/>
      <c r="AK138" s="96"/>
      <c r="AL138" s="39"/>
      <c r="AM138" s="114"/>
      <c r="AN138" s="115"/>
      <c r="AO138" s="148"/>
      <c r="AP138" s="148"/>
      <c r="AQ138" s="96"/>
      <c r="AR138" s="39"/>
      <c r="AS138" s="114"/>
      <c r="AT138" s="115"/>
      <c r="AU138" s="148"/>
      <c r="AV138" s="148"/>
      <c r="AW138" s="96"/>
      <c r="AX138" s="39"/>
      <c r="AY138" s="114"/>
      <c r="AZ138" s="115"/>
      <c r="BA138" s="148"/>
      <c r="BB138" s="115"/>
      <c r="BC138" s="96"/>
      <c r="BD138" s="39"/>
      <c r="BE138" s="114"/>
      <c r="BF138" s="115"/>
      <c r="BG138" s="115"/>
      <c r="BH138" s="115"/>
      <c r="BI138" s="96"/>
      <c r="BJ138" s="95"/>
      <c r="BK138" s="114"/>
      <c r="BL138" s="115"/>
      <c r="BM138" s="115"/>
      <c r="BN138" s="115"/>
      <c r="BO138" s="96"/>
      <c r="BP138" s="95"/>
      <c r="BQ138" s="114"/>
      <c r="BR138" s="115"/>
      <c r="BS138" s="115"/>
      <c r="BT138" s="115"/>
      <c r="BU138" s="96"/>
      <c r="BV138" s="95"/>
      <c r="BW138" s="114"/>
      <c r="BX138" s="115"/>
      <c r="BY138" s="115"/>
      <c r="BZ138" s="115"/>
      <c r="CA138" s="96"/>
      <c r="CB138" s="95"/>
      <c r="CC138" s="114"/>
      <c r="CD138" s="115"/>
      <c r="CE138" s="115"/>
      <c r="CF138" s="115"/>
      <c r="CG138" s="96"/>
      <c r="CH138" s="95"/>
      <c r="CI138" s="114">
        <v>0.15</v>
      </c>
      <c r="CJ138" s="115">
        <v>0.15</v>
      </c>
      <c r="CK138" s="115">
        <v>0.15</v>
      </c>
      <c r="CL138" s="115">
        <v>0.15</v>
      </c>
      <c r="CM138" s="96"/>
      <c r="CN138" s="95"/>
      <c r="CO138" s="114">
        <v>0.15</v>
      </c>
      <c r="CP138" s="115">
        <v>0.15</v>
      </c>
      <c r="CQ138" s="115">
        <v>0.15</v>
      </c>
      <c r="CR138" s="115">
        <v>0.15</v>
      </c>
      <c r="CS138" s="96"/>
      <c r="CT138" s="95"/>
      <c r="CU138" s="114">
        <v>0.15</v>
      </c>
      <c r="CV138" s="115">
        <v>0.15</v>
      </c>
      <c r="CW138" s="115">
        <v>0.15</v>
      </c>
      <c r="CX138" s="115">
        <v>0.15</v>
      </c>
      <c r="CY138" s="96"/>
      <c r="CZ138" s="95"/>
      <c r="DA138" s="95"/>
      <c r="DB138" s="95"/>
    </row>
    <row r="139" spans="1:106" ht="11.25" customHeight="1" outlineLevel="1" x14ac:dyDescent="0.2">
      <c r="A139" s="516" t="s">
        <v>355</v>
      </c>
      <c r="B139" s="240"/>
      <c r="C139" s="116"/>
      <c r="D139" s="117"/>
      <c r="E139" s="149"/>
      <c r="F139" s="149"/>
      <c r="G139" s="118"/>
      <c r="H139" s="240"/>
      <c r="I139" s="116"/>
      <c r="J139" s="117"/>
      <c r="K139" s="149"/>
      <c r="L139" s="149"/>
      <c r="M139" s="118"/>
      <c r="N139" s="240"/>
      <c r="O139" s="116"/>
      <c r="P139" s="117"/>
      <c r="Q139" s="149"/>
      <c r="R139" s="149"/>
      <c r="S139" s="118"/>
      <c r="T139" s="240"/>
      <c r="U139" s="116"/>
      <c r="V139" s="117"/>
      <c r="W139" s="149"/>
      <c r="X139" s="149"/>
      <c r="Y139" s="118"/>
      <c r="Z139" s="240"/>
      <c r="AA139" s="116"/>
      <c r="AB139" s="117"/>
      <c r="AC139" s="149"/>
      <c r="AD139" s="149"/>
      <c r="AE139" s="118"/>
      <c r="AF139" s="240"/>
      <c r="AG139" s="116"/>
      <c r="AH139" s="117"/>
      <c r="AI139" s="149"/>
      <c r="AJ139" s="149"/>
      <c r="AK139" s="118"/>
      <c r="AL139" s="240"/>
      <c r="AM139" s="116"/>
      <c r="AN139" s="117"/>
      <c r="AO139" s="149"/>
      <c r="AP139" s="149"/>
      <c r="AQ139" s="118"/>
      <c r="AR139" s="240"/>
      <c r="AS139" s="116"/>
      <c r="AT139" s="117"/>
      <c r="AU139" s="149"/>
      <c r="AV139" s="149"/>
      <c r="AW139" s="118"/>
      <c r="AX139" s="240"/>
      <c r="AY139" s="116"/>
      <c r="AZ139" s="117"/>
      <c r="BA139" s="149"/>
      <c r="BB139" s="117"/>
      <c r="BC139" s="118"/>
      <c r="BD139" s="240"/>
      <c r="BE139" s="116"/>
      <c r="BF139" s="117"/>
      <c r="BG139" s="117"/>
      <c r="BH139" s="117"/>
      <c r="BI139" s="118"/>
      <c r="BJ139" s="119"/>
      <c r="BK139" s="116"/>
      <c r="BL139" s="117"/>
      <c r="BM139" s="117"/>
      <c r="BN139" s="117"/>
      <c r="BO139" s="118"/>
      <c r="BP139" s="119"/>
      <c r="BQ139" s="116"/>
      <c r="BR139" s="117"/>
      <c r="BS139" s="117"/>
      <c r="BT139" s="117"/>
      <c r="BU139" s="118"/>
      <c r="BV139" s="119"/>
      <c r="BW139" s="116"/>
      <c r="BX139" s="117"/>
      <c r="BY139" s="117"/>
      <c r="BZ139" s="117"/>
      <c r="CA139" s="118"/>
      <c r="CB139" s="119"/>
      <c r="CC139" s="116"/>
      <c r="CD139" s="117"/>
      <c r="CE139" s="117"/>
      <c r="CF139" s="117"/>
      <c r="CG139" s="118"/>
      <c r="CH139" s="119"/>
      <c r="CI139" s="116">
        <v>0.1</v>
      </c>
      <c r="CJ139" s="117">
        <v>0.1</v>
      </c>
      <c r="CK139" s="117">
        <v>0.1</v>
      </c>
      <c r="CL139" s="117">
        <v>0.1</v>
      </c>
      <c r="CM139" s="118"/>
      <c r="CN139" s="119"/>
      <c r="CO139" s="116">
        <v>0.1</v>
      </c>
      <c r="CP139" s="117">
        <v>0.1</v>
      </c>
      <c r="CQ139" s="117">
        <v>0.1</v>
      </c>
      <c r="CR139" s="117">
        <v>0.1</v>
      </c>
      <c r="CS139" s="118"/>
      <c r="CT139" s="119"/>
      <c r="CU139" s="116">
        <v>0.1</v>
      </c>
      <c r="CV139" s="117">
        <v>0.1</v>
      </c>
      <c r="CW139" s="117">
        <v>0.1</v>
      </c>
      <c r="CX139" s="117">
        <v>0.1</v>
      </c>
      <c r="CY139" s="118"/>
      <c r="CZ139" s="95"/>
      <c r="DA139" s="95"/>
      <c r="DB139" s="95"/>
    </row>
    <row r="140" spans="1:106" ht="11.25" customHeight="1" x14ac:dyDescent="0.2">
      <c r="A140" s="517"/>
      <c r="B140" s="39"/>
      <c r="C140" s="20"/>
      <c r="D140" s="20"/>
      <c r="E140" s="20"/>
      <c r="F140" s="20"/>
      <c r="G140" s="20"/>
      <c r="H140" s="39"/>
      <c r="I140" s="20"/>
      <c r="J140" s="20"/>
      <c r="K140" s="20"/>
      <c r="L140" s="20"/>
      <c r="M140" s="20"/>
      <c r="N140" s="39"/>
      <c r="O140" s="20"/>
      <c r="P140" s="20"/>
      <c r="Q140" s="20"/>
      <c r="R140" s="20"/>
      <c r="S140" s="490"/>
      <c r="T140" s="39"/>
      <c r="U140" s="20"/>
      <c r="V140" s="20"/>
      <c r="W140" s="20"/>
      <c r="X140" s="20"/>
      <c r="Y140" s="491"/>
      <c r="Z140" s="39"/>
      <c r="AA140" s="20"/>
      <c r="AB140" s="20"/>
      <c r="AC140" s="20"/>
      <c r="AD140" s="20"/>
      <c r="AE140" s="20"/>
      <c r="AF140" s="39"/>
      <c r="AG140" s="20"/>
      <c r="AH140" s="20"/>
      <c r="AI140" s="20"/>
      <c r="AJ140" s="20"/>
      <c r="AK140" s="39"/>
      <c r="AL140" s="39"/>
      <c r="AM140" s="20"/>
      <c r="AN140" s="20"/>
      <c r="AO140" s="20"/>
      <c r="AP140" s="20"/>
      <c r="AQ140" s="39"/>
      <c r="AR140" s="39"/>
      <c r="AS140" s="20"/>
      <c r="AT140" s="20"/>
      <c r="AU140" s="20"/>
      <c r="AV140" s="20"/>
      <c r="AW140" s="20"/>
      <c r="AX140" s="39"/>
      <c r="AY140" s="20"/>
      <c r="AZ140" s="20"/>
      <c r="BA140" s="20"/>
      <c r="BB140" s="20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39"/>
      <c r="DB140" s="39"/>
    </row>
    <row r="141" spans="1:106" ht="11.25" customHeight="1" x14ac:dyDescent="0.2">
      <c r="A141" s="878" t="s">
        <v>374</v>
      </c>
      <c r="B141" s="713"/>
      <c r="C141" s="879"/>
      <c r="D141" s="880"/>
      <c r="E141" s="880"/>
      <c r="F141" s="880"/>
      <c r="G141" s="881"/>
      <c r="H141" s="713"/>
      <c r="I141" s="879">
        <f>I147*I162</f>
        <v>0.15507095238095239</v>
      </c>
      <c r="J141" s="880">
        <f>J147*J162</f>
        <v>0.18364477280398975</v>
      </c>
      <c r="K141" s="880">
        <f>K147*K162</f>
        <v>0.17811544746946406</v>
      </c>
      <c r="L141" s="880">
        <f>L147*L162</f>
        <v>0.19060667574097717</v>
      </c>
      <c r="M141" s="881">
        <f>M147*M162</f>
        <v>0.18434835978835981</v>
      </c>
      <c r="N141" s="713"/>
      <c r="O141" s="879">
        <f>O147*O162</f>
        <v>0.17730665911022953</v>
      </c>
      <c r="P141" s="880">
        <f>P147*P162</f>
        <v>0.17580607183128186</v>
      </c>
      <c r="Q141" s="880">
        <f>Q147*Q162</f>
        <v>0.16581636754209692</v>
      </c>
      <c r="R141" s="880">
        <f>R147*R162</f>
        <v>0.17539509337790485</v>
      </c>
      <c r="S141" s="881">
        <f>S147*S162</f>
        <v>0.192435976197223</v>
      </c>
      <c r="T141" s="713"/>
      <c r="U141" s="879">
        <f>U147*U162</f>
        <v>0.16886514035326983</v>
      </c>
      <c r="V141" s="880">
        <f>V147*V162</f>
        <v>0.17897559006252625</v>
      </c>
      <c r="W141" s="880">
        <f>W147*W162</f>
        <v>0.20701461956184297</v>
      </c>
      <c r="X141" s="880">
        <f>X147*X162</f>
        <v>7.834493192133142E-2</v>
      </c>
      <c r="Y141" s="881">
        <f>Y147*Y162</f>
        <v>0.21125377880828772</v>
      </c>
      <c r="Z141" s="713"/>
      <c r="AA141" s="879">
        <f>AA147*AA162</f>
        <v>8.7792441135360375E-2</v>
      </c>
      <c r="AB141" s="880">
        <f>AB147*AB162</f>
        <v>8.8075867592671206E-2</v>
      </c>
      <c r="AC141" s="880">
        <f>AC147*AC162</f>
        <v>9.7186670187029853E-2</v>
      </c>
      <c r="AD141" s="880">
        <f>AD147*AD162</f>
        <v>9.5174991426933017E-2</v>
      </c>
      <c r="AE141" s="881">
        <f>AE147*AE162</f>
        <v>9.4453524350123802E-2</v>
      </c>
      <c r="AF141" s="713"/>
      <c r="AG141" s="879">
        <f>AG147*AG162</f>
        <v>8.5438369116706575E-2</v>
      </c>
      <c r="AH141" s="880">
        <f>AH147*AH162</f>
        <v>0.1033599642195263</v>
      </c>
      <c r="AI141" s="880">
        <f>AI147*AI162</f>
        <v>0.11663531809412039</v>
      </c>
      <c r="AJ141" s="880">
        <f>AJ147*AJ162</f>
        <v>0.10856697489676605</v>
      </c>
      <c r="AK141" s="881">
        <f>AK147*AK162</f>
        <v>0.10680733912974437</v>
      </c>
      <c r="AL141" s="713"/>
      <c r="AM141" s="879">
        <f>AM147*AM162</f>
        <v>9.3555208619328284E-2</v>
      </c>
      <c r="AN141" s="880">
        <f>AN147*AN162</f>
        <v>9.3116452026751534E-2</v>
      </c>
      <c r="AO141" s="880">
        <f>AO147*AO162</f>
        <v>0.10079231531524596</v>
      </c>
      <c r="AP141" s="880">
        <f>AP147*AP162</f>
        <v>0.10148396038964724</v>
      </c>
      <c r="AQ141" s="881">
        <f>AQ147*AQ162</f>
        <v>9.789794944773475E-2</v>
      </c>
      <c r="AR141" s="713"/>
      <c r="AS141" s="879">
        <f>AS147*AS162</f>
        <v>8.7669134013147618E-2</v>
      </c>
      <c r="AT141" s="880">
        <f t="shared" ref="AT141:BC141" si="130">AT147*AT162</f>
        <v>9.548139797981435E-2</v>
      </c>
      <c r="AU141" s="880">
        <f t="shared" si="130"/>
        <v>8.9186476801229597E-2</v>
      </c>
      <c r="AV141" s="880">
        <f t="shared" si="130"/>
        <v>9.9119855320953215E-2</v>
      </c>
      <c r="AW141" s="881">
        <f t="shared" si="130"/>
        <v>9.9270355608468322E-2</v>
      </c>
      <c r="AX141" s="713"/>
      <c r="AY141" s="879">
        <f>AY147*AY162</f>
        <v>8.3821285156643083E-2</v>
      </c>
      <c r="AZ141" s="880">
        <f t="shared" si="130"/>
        <v>8.7754495517683551E-2</v>
      </c>
      <c r="BA141" s="880">
        <f>BA147*BA162</f>
        <v>8.2734745266760418E-2</v>
      </c>
      <c r="BB141" s="880">
        <f t="shared" si="130"/>
        <v>0.11941522283672634</v>
      </c>
      <c r="BC141" s="881">
        <f t="shared" si="130"/>
        <v>9.7656898552993296E-2</v>
      </c>
      <c r="BD141" s="881"/>
      <c r="BE141" s="879">
        <f>BE147*BE162</f>
        <v>7.7173024800901005E-2</v>
      </c>
      <c r="BF141" s="880">
        <f>BF147*BF162</f>
        <v>8.2433916403294866E-2</v>
      </c>
      <c r="BG141" s="880">
        <f>BG147*BG162</f>
        <v>9.3608164251741122E-2</v>
      </c>
      <c r="BH141" s="880">
        <f>BH147*BH162</f>
        <v>0.11286657695496947</v>
      </c>
      <c r="BI141" s="881">
        <f>BI147*BI162</f>
        <v>9.2494144523893415E-2</v>
      </c>
      <c r="BJ141" s="881"/>
      <c r="BK141" s="879">
        <f>BK147*BK162</f>
        <v>7.286767964881101E-2</v>
      </c>
      <c r="BL141" s="880">
        <f>BL147*BL162</f>
        <v>7.8350562643660193E-2</v>
      </c>
      <c r="BM141" s="880">
        <f>BM147*BM162</f>
        <v>8.3297870219719114E-2</v>
      </c>
      <c r="BN141" s="880">
        <f>BN147*BN162</f>
        <v>8.1549153453247272E-2</v>
      </c>
      <c r="BO141" s="881">
        <f>BO147*BO162</f>
        <v>7.975332338473938E-2</v>
      </c>
      <c r="BP141" s="881"/>
      <c r="BQ141" s="879">
        <f>BQ147*BQ162</f>
        <v>6.7060047218943389E-2</v>
      </c>
      <c r="BR141" s="880">
        <f>BR147*BR162</f>
        <v>8.1639190419945343E-2</v>
      </c>
      <c r="BS141" s="880">
        <f>BS147*BS162</f>
        <v>8.1978195226834027E-2</v>
      </c>
      <c r="BT141" s="880">
        <f>BT147*BT162</f>
        <v>0.10005027703757108</v>
      </c>
      <c r="BU141" s="881">
        <f>BU147*BU162</f>
        <v>8.0844151017700885E-2</v>
      </c>
      <c r="BV141" s="881"/>
      <c r="BW141" s="879">
        <f>BW147*BW162</f>
        <v>5.7879631706029153E-2</v>
      </c>
      <c r="BX141" s="880">
        <f>BX147*BX162</f>
        <v>7.173457907240656E-2</v>
      </c>
      <c r="BY141" s="880">
        <f>BY147*BY162</f>
        <v>8.7417672541303587E-2</v>
      </c>
      <c r="BZ141" s="880">
        <f>BZ147*BZ162</f>
        <v>0.11662102283173054</v>
      </c>
      <c r="CA141" s="881">
        <f>CA147*CA162</f>
        <v>8.4891709336455429E-2</v>
      </c>
      <c r="CB141" s="881"/>
      <c r="CC141" s="879">
        <f>CC147*CC162</f>
        <v>6.6894384121704786E-2</v>
      </c>
      <c r="CD141" s="880">
        <f>CD147*CD162</f>
        <v>9.041694722619481E-2</v>
      </c>
      <c r="CE141" s="880">
        <f>CE147*CE162</f>
        <v>9.6195395635636533E-2</v>
      </c>
      <c r="CF141" s="880">
        <f>CF147*CF162</f>
        <v>0.12146281285537075</v>
      </c>
      <c r="CG141" s="881">
        <f>CG147*CG162</f>
        <v>9.7328638114383748E-2</v>
      </c>
      <c r="CH141" s="881"/>
      <c r="CI141" s="879">
        <f>CI147*CI162</f>
        <v>6.9677057856347077E-2</v>
      </c>
      <c r="CJ141" s="880">
        <f>CJ147*CJ162</f>
        <v>9.6088259881837959E-2</v>
      </c>
      <c r="CK141" s="880">
        <f>CK147*CK162</f>
        <v>9.9145387768800802E-2</v>
      </c>
      <c r="CL141" s="880">
        <f>CL147*CL162</f>
        <v>0.11945342805469687</v>
      </c>
      <c r="CM141" s="881">
        <f>CM147*CM162</f>
        <v>9.5384803471154397E-2</v>
      </c>
      <c r="CN141" s="881"/>
      <c r="CO141" s="879">
        <f>CO147*CO162</f>
        <v>8.9031280793346851E-2</v>
      </c>
      <c r="CP141" s="880">
        <f>CP147*CP162</f>
        <v>0.1092007419727488</v>
      </c>
      <c r="CQ141" s="880">
        <f>CQ147*CQ162</f>
        <v>0.11663533706031341</v>
      </c>
      <c r="CR141" s="880">
        <f>CR147*CR162</f>
        <v>0.13866112284942333</v>
      </c>
      <c r="CS141" s="881">
        <f>CS147*CS162</f>
        <v>0.11126177179265746</v>
      </c>
      <c r="CT141" s="881"/>
      <c r="CU141" s="879">
        <f>CU147*CU162</f>
        <v>0.10774219567235249</v>
      </c>
      <c r="CV141" s="880">
        <f>CV147*CV162</f>
        <v>0.13119800993366254</v>
      </c>
      <c r="CW141" s="880">
        <f>CW147*CW162</f>
        <v>0.13937923866290719</v>
      </c>
      <c r="CX141" s="880">
        <f>CX147*CX162</f>
        <v>0.16400728509948725</v>
      </c>
      <c r="CY141" s="881">
        <f>CY147*CY162</f>
        <v>0.13288742836667053</v>
      </c>
      <c r="CZ141" s="531"/>
      <c r="DA141" s="531"/>
      <c r="DB141" s="531"/>
    </row>
    <row r="142" spans="1:106" ht="11.25" customHeight="1" outlineLevel="1" x14ac:dyDescent="0.2">
      <c r="A142" s="62" t="s">
        <v>135</v>
      </c>
      <c r="B142" s="39"/>
      <c r="C142" s="99"/>
      <c r="D142" s="84"/>
      <c r="E142" s="84"/>
      <c r="F142" s="84"/>
      <c r="G142" s="867">
        <f>'P&amp;L'!G9</f>
        <v>380.62900000000002</v>
      </c>
      <c r="H142" s="39"/>
      <c r="I142" s="864">
        <f>'P&amp;L'!I9</f>
        <v>95.025000000000006</v>
      </c>
      <c r="J142" s="865">
        <f>'P&amp;L'!J9</f>
        <v>100.35400000000001</v>
      </c>
      <c r="K142" s="865">
        <f>'P&amp;L'!K9</f>
        <v>98.670999999999978</v>
      </c>
      <c r="L142" s="865">
        <f>'P&amp;L'!L9</f>
        <v>104.34499999999997</v>
      </c>
      <c r="M142" s="867">
        <f>'P&amp;L'!M9</f>
        <v>398.39499999999998</v>
      </c>
      <c r="N142" s="39"/>
      <c r="O142" s="864">
        <f>'P&amp;L'!O9</f>
        <v>108.715</v>
      </c>
      <c r="P142" s="865">
        <f>'P&amp;L'!P9</f>
        <v>113.23299999999999</v>
      </c>
      <c r="Q142" s="865">
        <f>'P&amp;L'!Q9</f>
        <v>117.93900000000001</v>
      </c>
      <c r="R142" s="865">
        <f>'P&amp;L'!R9</f>
        <v>125.89100000000002</v>
      </c>
      <c r="S142" s="867">
        <f>'P&amp;L'!S9</f>
        <v>465.77800000000002</v>
      </c>
      <c r="T142" s="39"/>
      <c r="U142" s="864">
        <f>'P&amp;L'!U9</f>
        <v>127.87899999999998</v>
      </c>
      <c r="V142" s="865">
        <f>'P&amp;L'!V9</f>
        <v>135.03899999999999</v>
      </c>
      <c r="W142" s="865">
        <f>'P&amp;L'!W9</f>
        <v>176.63200000000001</v>
      </c>
      <c r="X142" s="865">
        <f>'P&amp;L'!X9</f>
        <v>210.22400000000005</v>
      </c>
      <c r="Y142" s="867">
        <f>'P&amp;L'!Y9</f>
        <v>649.774</v>
      </c>
      <c r="Z142" s="39"/>
      <c r="AA142" s="864">
        <f>'P&amp;L'!AA9</f>
        <v>207.10599999999997</v>
      </c>
      <c r="AB142" s="865">
        <f>'P&amp;L'!AB9</f>
        <v>217.88800000000001</v>
      </c>
      <c r="AC142" s="865">
        <f>'P&amp;L'!AC9</f>
        <v>230.8</v>
      </c>
      <c r="AD142" s="865">
        <f>'P&amp;L'!AD9</f>
        <v>237.18100000000004</v>
      </c>
      <c r="AE142" s="867">
        <f>'P&amp;L'!AE9</f>
        <v>892.97500000000002</v>
      </c>
      <c r="AF142" s="39"/>
      <c r="AG142" s="864">
        <f>'P&amp;L'!AG9</f>
        <v>220.93299999999999</v>
      </c>
      <c r="AH142" s="865">
        <f>'P&amp;L'!AH9</f>
        <v>240.15599999999998</v>
      </c>
      <c r="AI142" s="865">
        <f>'P&amp;L'!AI9</f>
        <v>259.65899999999999</v>
      </c>
      <c r="AJ142" s="865">
        <f>'P&amp;L'!AJ9</f>
        <v>289.07700000000011</v>
      </c>
      <c r="AK142" s="867">
        <f>'P&amp;L'!AK9</f>
        <v>1009.825</v>
      </c>
      <c r="AL142" s="39"/>
      <c r="AM142" s="864">
        <f>'P&amp;L'!AM9</f>
        <v>264.36399999999998</v>
      </c>
      <c r="AN142" s="865">
        <f>'P&amp;L'!AN9</f>
        <v>262.71800000000002</v>
      </c>
      <c r="AO142" s="865">
        <f>'P&amp;L'!AO9</f>
        <v>274.31700000000001</v>
      </c>
      <c r="AP142" s="865">
        <f>'P&amp;L'!AP9</f>
        <v>286.03200000000004</v>
      </c>
      <c r="AQ142" s="867">
        <f>'P&amp;L'!AQ9</f>
        <v>1087.431</v>
      </c>
      <c r="AR142" s="872"/>
      <c r="AS142" s="864">
        <f>'P&amp;L'!AS9</f>
        <v>264.26499999999999</v>
      </c>
      <c r="AT142" s="865">
        <f>'P&amp;L'!AT9</f>
        <v>282.17700000000002</v>
      </c>
      <c r="AU142" s="865">
        <f>'P&amp;L'!AU9</f>
        <v>288.88499999999999</v>
      </c>
      <c r="AV142" s="865">
        <f>'P&amp;L'!AV9</f>
        <v>334.42000000000007</v>
      </c>
      <c r="AW142" s="867">
        <f>'P&amp;L'!AW9</f>
        <v>1169.7470000000001</v>
      </c>
      <c r="AX142" s="39"/>
      <c r="AY142" s="864">
        <f>'P&amp;L'!AY9</f>
        <v>296.42200000000003</v>
      </c>
      <c r="AZ142" s="865">
        <f>'P&amp;L'!AZ9</f>
        <v>307.21300000000002</v>
      </c>
      <c r="BA142" s="865">
        <f>'P&amp;L'!BA9</f>
        <v>304.28899999999999</v>
      </c>
      <c r="BB142" s="865">
        <f>'P&amp;L'!BB9</f>
        <v>346.53199999999993</v>
      </c>
      <c r="BC142" s="867">
        <f>'P&amp;L'!BC9</f>
        <v>1254.4559999999999</v>
      </c>
      <c r="BD142" s="84"/>
      <c r="BE142" s="864">
        <f>'P&amp;L'!BE9</f>
        <v>303.57600000000002</v>
      </c>
      <c r="BF142" s="865">
        <f>'P&amp;L'!BF9</f>
        <v>316.41199999999998</v>
      </c>
      <c r="BG142" s="865">
        <f>'P&amp;L'!BG9</f>
        <v>323.81099999999998</v>
      </c>
      <c r="BH142" s="865">
        <f>'P&amp;L'!BH9</f>
        <v>362.58499999999998</v>
      </c>
      <c r="BI142" s="867">
        <f>'P&amp;L'!BI9</f>
        <v>1306.384</v>
      </c>
      <c r="BJ142" s="84"/>
      <c r="BK142" s="864">
        <f>'P&amp;L'!BK9</f>
        <v>317.37299999999999</v>
      </c>
      <c r="BL142" s="865">
        <f>'P&amp;L'!BL9</f>
        <v>331.23699999999997</v>
      </c>
      <c r="BM142" s="865">
        <f>'P&amp;L'!BM9</f>
        <v>336.75700000000001</v>
      </c>
      <c r="BN142" s="865">
        <f>'P&amp;L'!BN9</f>
        <v>360.81</v>
      </c>
      <c r="BO142" s="867">
        <f>'P&amp;L'!BO9</f>
        <v>1346.1769999999999</v>
      </c>
      <c r="BP142" s="84"/>
      <c r="BQ142" s="864">
        <f>'P&amp;L'!BQ9</f>
        <v>298.72899999999998</v>
      </c>
      <c r="BR142" s="865">
        <f>'P&amp;L'!BR9</f>
        <v>319.45600000000002</v>
      </c>
      <c r="BS142" s="865">
        <f>'P&amp;L'!BS9</f>
        <v>314.56099999999998</v>
      </c>
      <c r="BT142" s="865">
        <f>'P&amp;L'!BT9</f>
        <v>348.5</v>
      </c>
      <c r="BU142" s="867">
        <f>'P&amp;L'!BU9</f>
        <v>1281.2459999999999</v>
      </c>
      <c r="BV142" s="84"/>
      <c r="BW142" s="864">
        <f>'P&amp;L'!BW9</f>
        <v>298.37900000000002</v>
      </c>
      <c r="BX142" s="865">
        <f>'P&amp;L'!BX9</f>
        <v>334.41199999999998</v>
      </c>
      <c r="BY142" s="865">
        <f>'P&amp;L'!BY9</f>
        <v>338.685</v>
      </c>
      <c r="BZ142" s="865">
        <f>'P&amp;L'!BZ9</f>
        <v>366.51499999999999</v>
      </c>
      <c r="CA142" s="867">
        <f>'P&amp;L'!CA9</f>
        <v>1337.991</v>
      </c>
      <c r="CB142" s="84"/>
      <c r="CC142" s="864">
        <f>'P&amp;L'!CC9</f>
        <v>308.30600000000004</v>
      </c>
      <c r="CD142" s="865">
        <f>'P&amp;L'!CD9</f>
        <v>349.60599999999999</v>
      </c>
      <c r="CE142" s="865">
        <f>'P&amp;L'!CE9</f>
        <v>364.4</v>
      </c>
      <c r="CF142" s="865">
        <f>'P&amp;L'!CF9</f>
        <v>397.113</v>
      </c>
      <c r="CG142" s="867">
        <f>'P&amp;L'!CG9</f>
        <v>1419.425</v>
      </c>
      <c r="CH142" s="84"/>
      <c r="CI142" s="864">
        <f>'P&amp;L'!CI9</f>
        <v>342.19696843455813</v>
      </c>
      <c r="CJ142" s="865">
        <f>'P&amp;L'!CJ9</f>
        <v>390.00775350179219</v>
      </c>
      <c r="CK142" s="865">
        <f>'P&amp;L'!CK9</f>
        <v>402.97882791594213</v>
      </c>
      <c r="CL142" s="865">
        <f>'P&amp;L'!CL9</f>
        <v>429.55971751546923</v>
      </c>
      <c r="CM142" s="867">
        <f>'P&amp;L'!CM9</f>
        <v>1564.7432673677615</v>
      </c>
      <c r="CN142" s="84"/>
      <c r="CO142" s="864">
        <f>'P&amp;L'!CO9</f>
        <v>379.92910533004368</v>
      </c>
      <c r="CP142" s="865">
        <f>'P&amp;L'!CP9</f>
        <v>419.47153094533905</v>
      </c>
      <c r="CQ142" s="865">
        <f>'P&amp;L'!CQ9</f>
        <v>427.04767623180248</v>
      </c>
      <c r="CR142" s="865">
        <f>'P&amp;L'!CR9</f>
        <v>467.60144526770443</v>
      </c>
      <c r="CS142" s="867">
        <f>'P&amp;L'!CS9</f>
        <v>1694.0497577748897</v>
      </c>
      <c r="CT142" s="84"/>
      <c r="CU142" s="864">
        <f>'P&amp;L'!CU9</f>
        <v>420.64273199744503</v>
      </c>
      <c r="CV142" s="865">
        <f>'P&amp;L'!CV9</f>
        <v>461.70512762799592</v>
      </c>
      <c r="CW142" s="865">
        <f>'P&amp;L'!CW9</f>
        <v>469.00624704585181</v>
      </c>
      <c r="CX142" s="865">
        <f>'P&amp;L'!CX9</f>
        <v>513.09312042062402</v>
      </c>
      <c r="CY142" s="867">
        <f>'P&amp;L'!CY9</f>
        <v>1864.4472270919168</v>
      </c>
      <c r="CZ142" s="84"/>
      <c r="DA142" s="84"/>
      <c r="DB142" s="84"/>
    </row>
    <row r="143" spans="1:106" ht="11.25" customHeight="1" outlineLevel="1" x14ac:dyDescent="0.2">
      <c r="A143" s="62" t="s">
        <v>100</v>
      </c>
      <c r="B143" s="39"/>
      <c r="C143" s="99"/>
      <c r="D143" s="518"/>
      <c r="E143" s="518"/>
      <c r="F143" s="518"/>
      <c r="G143" s="870">
        <f>'P&amp;L'!G17+'P&amp;L'!G23</f>
        <v>80.744</v>
      </c>
      <c r="H143" s="39"/>
      <c r="I143" s="868">
        <f>'P&amp;L'!I17</f>
        <v>21.393000000000001</v>
      </c>
      <c r="J143" s="869">
        <f>'P&amp;L'!J17</f>
        <v>24.621000000000009</v>
      </c>
      <c r="K143" s="869">
        <f>'P&amp;L'!K17</f>
        <v>26.173999999999978</v>
      </c>
      <c r="L143" s="869">
        <f>'P&amp;L'!L17</f>
        <v>29.540000000000006</v>
      </c>
      <c r="M143" s="870">
        <f>'P&amp;L'!M17</f>
        <v>101.72800000000001</v>
      </c>
      <c r="N143" s="39"/>
      <c r="O143" s="868">
        <f>'P&amp;L'!O17</f>
        <v>27.775000000000006</v>
      </c>
      <c r="P143" s="869">
        <f>'P&amp;L'!P17</f>
        <v>29.123000000000005</v>
      </c>
      <c r="Q143" s="869">
        <f>'P&amp;L'!Q17</f>
        <v>30.591000000000008</v>
      </c>
      <c r="R143" s="869">
        <f>'P&amp;L'!R17</f>
        <v>33.091000000000008</v>
      </c>
      <c r="S143" s="870">
        <f>'P&amp;L'!S17</f>
        <v>120.57999999999998</v>
      </c>
      <c r="T143" s="39"/>
      <c r="U143" s="868">
        <f>'P&amp;L'!U17</f>
        <v>32.821999999999974</v>
      </c>
      <c r="V143" s="869">
        <f>'P&amp;L'!V17</f>
        <v>36.000999999999991</v>
      </c>
      <c r="W143" s="869">
        <f>'P&amp;L'!W17</f>
        <v>43.634999999999991</v>
      </c>
      <c r="X143" s="869">
        <f>'P&amp;L'!X17</f>
        <v>51.786000000000058</v>
      </c>
      <c r="Y143" s="870">
        <f>'P&amp;L'!Y17</f>
        <v>164.24400000000003</v>
      </c>
      <c r="Z143" s="39"/>
      <c r="AA143" s="868">
        <f>'P&amp;L'!AA17</f>
        <v>58.69999999999996</v>
      </c>
      <c r="AB143" s="869">
        <f>'P&amp;L'!AB17</f>
        <v>60.592000000000013</v>
      </c>
      <c r="AC143" s="869">
        <f>'P&amp;L'!AC17</f>
        <v>66.824999999999989</v>
      </c>
      <c r="AD143" s="869">
        <f>'P&amp;L'!AD17</f>
        <v>66.498000000000019</v>
      </c>
      <c r="AE143" s="870">
        <f>'P&amp;L'!AE17</f>
        <v>252.6149999999999</v>
      </c>
      <c r="AF143" s="39"/>
      <c r="AG143" s="868">
        <f>'P&amp;L'!AG17</f>
        <v>59.220000000000027</v>
      </c>
      <c r="AH143" s="869">
        <f>'P&amp;L'!AH17</f>
        <v>71.810999999999979</v>
      </c>
      <c r="AI143" s="869">
        <f>'P&amp;L'!AI17</f>
        <v>81.774000000000001</v>
      </c>
      <c r="AJ143" s="869">
        <f>'P&amp;L'!AJ17</f>
        <v>83.321000000000083</v>
      </c>
      <c r="AK143" s="870">
        <f>'P&amp;L'!AK17</f>
        <v>296.12600000000009</v>
      </c>
      <c r="AL143" s="39"/>
      <c r="AM143" s="868">
        <f>'P&amp;L'!AM17</f>
        <v>73.638999999999953</v>
      </c>
      <c r="AN143" s="869">
        <f>'P&amp;L'!AN17</f>
        <v>73.19</v>
      </c>
      <c r="AO143" s="869">
        <f>'P&amp;L'!AO17</f>
        <v>79.114999999999981</v>
      </c>
      <c r="AP143" s="869">
        <f>'P&amp;L'!AP17</f>
        <v>82.285000000000025</v>
      </c>
      <c r="AQ143" s="870">
        <f>'P&amp;L'!AQ17</f>
        <v>308.22900000000004</v>
      </c>
      <c r="AR143" s="872"/>
      <c r="AS143" s="868">
        <f>'P&amp;L'!AS17</f>
        <v>70.569999999999965</v>
      </c>
      <c r="AT143" s="869">
        <f>'P&amp;L'!AT17</f>
        <v>78.631000000000029</v>
      </c>
      <c r="AU143" s="869">
        <f>'P&amp;L'!AU17</f>
        <v>74.738</v>
      </c>
      <c r="AV143" s="869">
        <f>'P&amp;L'!AV17</f>
        <v>95.695000000000107</v>
      </c>
      <c r="AW143" s="870">
        <f>'P&amp;L'!AW17</f>
        <v>319.63400000000001</v>
      </c>
      <c r="AX143" s="39"/>
      <c r="AY143" s="868">
        <f>'P&amp;L'!AY17</f>
        <v>80.246000000000009</v>
      </c>
      <c r="AZ143" s="869">
        <f>'P&amp;L'!AZ17</f>
        <v>86.41700000000003</v>
      </c>
      <c r="BA143" s="869">
        <f>'P&amp;L'!BA17</f>
        <v>83.739999999999981</v>
      </c>
      <c r="BB143" s="869">
        <f>'P&amp;L'!BB17</f>
        <v>106.02799999999996</v>
      </c>
      <c r="BC143" s="870">
        <f>'P&amp;L'!BC17</f>
        <v>356.43099999999981</v>
      </c>
      <c r="BD143" s="84"/>
      <c r="BE143" s="868">
        <f>'P&amp;L'!BE17</f>
        <v>78.374000000000024</v>
      </c>
      <c r="BF143" s="869">
        <f>'P&amp;L'!BF17</f>
        <v>83.447999999999951</v>
      </c>
      <c r="BG143" s="869">
        <f>'P&amp;L'!BG17</f>
        <v>87.706999999999937</v>
      </c>
      <c r="BH143" s="869">
        <f>'P&amp;L'!BH17</f>
        <v>106.29499999999996</v>
      </c>
      <c r="BI143" s="870">
        <f>'P&amp;L'!BI17</f>
        <v>355.82399999999996</v>
      </c>
      <c r="BJ143" s="84"/>
      <c r="BK143" s="868">
        <f>'P&amp;L'!BK17</f>
        <v>74.817999999999984</v>
      </c>
      <c r="BL143" s="869">
        <f>'P&amp;L'!BL17</f>
        <v>81.138999999999982</v>
      </c>
      <c r="BM143" s="869">
        <f>'P&amp;L'!BM17</f>
        <v>84.771999999999991</v>
      </c>
      <c r="BN143" s="869">
        <f>'P&amp;L'!BN17</f>
        <v>71.559999999999945</v>
      </c>
      <c r="BO143" s="870">
        <f>'P&amp;L'!BO17</f>
        <v>312.28899999999999</v>
      </c>
      <c r="BP143" s="84"/>
      <c r="BQ143" s="868">
        <f>'P&amp;L'!BQ17</f>
        <v>67.365999999999985</v>
      </c>
      <c r="BR143" s="869">
        <f>'P&amp;L'!BR17</f>
        <v>78.854000000000042</v>
      </c>
      <c r="BS143" s="869">
        <f>'P&amp;L'!BS17</f>
        <v>78.256999999999977</v>
      </c>
      <c r="BT143" s="869">
        <f>'P&amp;L'!BT17</f>
        <v>92.84</v>
      </c>
      <c r="BU143" s="870">
        <f>'P&amp;L'!BU17</f>
        <v>317.31700000000001</v>
      </c>
      <c r="BV143" s="84"/>
      <c r="BW143" s="868">
        <f>'P&amp;L'!BW17</f>
        <v>54.463999999999999</v>
      </c>
      <c r="BX143" s="869">
        <f>'P&amp;L'!BX17</f>
        <v>69.182999999999993</v>
      </c>
      <c r="BY143" s="869">
        <f>'P&amp;L'!BY17</f>
        <v>86.74799999999999</v>
      </c>
      <c r="BZ143" s="869">
        <f>'P&amp;L'!BZ17</f>
        <v>112.697</v>
      </c>
      <c r="CA143" s="870">
        <f>'P&amp;L'!CA17</f>
        <v>323.09199999999998</v>
      </c>
      <c r="CB143" s="84"/>
      <c r="CC143" s="868">
        <f>'P&amp;L'!CC17</f>
        <v>63.829000000000036</v>
      </c>
      <c r="CD143" s="869">
        <f>'P&amp;L'!CD17</f>
        <v>87.951999999999998</v>
      </c>
      <c r="CE143" s="869">
        <f>'P&amp;L'!CE17</f>
        <v>97.867000000000019</v>
      </c>
      <c r="CF143" s="869">
        <f>'P&amp;L'!CF17</f>
        <v>121.72800000000001</v>
      </c>
      <c r="CG143" s="870">
        <f>'P&amp;L'!CG17</f>
        <v>371.37599999999998</v>
      </c>
      <c r="CH143" s="84"/>
      <c r="CI143" s="868">
        <f>'P&amp;L'!CI17</f>
        <v>71.919475923999357</v>
      </c>
      <c r="CJ143" s="869">
        <f>'P&amp;L'!CJ17</f>
        <v>97.963641484657046</v>
      </c>
      <c r="CK143" s="869">
        <f>'P&amp;L'!CK17</f>
        <v>101.00002635835045</v>
      </c>
      <c r="CL143" s="869">
        <f>'P&amp;L'!CL17</f>
        <v>122.9351538369126</v>
      </c>
      <c r="CM143" s="870">
        <f>'P&amp;L'!CM17</f>
        <v>393.81829760391929</v>
      </c>
      <c r="CN143" s="84"/>
      <c r="CO143" s="868">
        <f>'P&amp;L'!CO17</f>
        <v>90.502010766246201</v>
      </c>
      <c r="CP143" s="869">
        <f>'P&amp;L'!CP17</f>
        <v>108.25330209051504</v>
      </c>
      <c r="CQ143" s="869">
        <f>'P&amp;L'!CQ17</f>
        <v>114.98770555933919</v>
      </c>
      <c r="CR143" s="869">
        <f>'P&amp;L'!CR17</f>
        <v>138.65591278755755</v>
      </c>
      <c r="CS143" s="870">
        <f>'P&amp;L'!CS17</f>
        <v>452.39893120365787</v>
      </c>
      <c r="CT143" s="84"/>
      <c r="CU143" s="868">
        <f>'P&amp;L'!CU17</f>
        <v>106.64416409657662</v>
      </c>
      <c r="CV143" s="869">
        <f>'P&amp;L'!CV17</f>
        <v>126.20457426974446</v>
      </c>
      <c r="CW143" s="869">
        <f>'P&amp;L'!CW17</f>
        <v>133.27610654936012</v>
      </c>
      <c r="CX143" s="869">
        <f>'P&amp;L'!CX17</f>
        <v>160.00769317380741</v>
      </c>
      <c r="CY143" s="870">
        <f>'P&amp;L'!CY17</f>
        <v>526.13253808948866</v>
      </c>
      <c r="CZ143" s="518"/>
      <c r="DA143" s="518"/>
      <c r="DB143" s="518"/>
    </row>
    <row r="144" spans="1:106" ht="11.25" customHeight="1" outlineLevel="1" x14ac:dyDescent="0.2">
      <c r="A144" s="76" t="s">
        <v>143</v>
      </c>
      <c r="B144" s="39"/>
      <c r="C144" s="120"/>
      <c r="D144" s="121"/>
      <c r="E144" s="121"/>
      <c r="F144" s="121"/>
      <c r="G144" s="871">
        <f>'P&amp;L'!G92</f>
        <v>0.34499999999999997</v>
      </c>
      <c r="H144" s="872"/>
      <c r="I144" s="873">
        <f>'P&amp;L'!I92</f>
        <v>0.315</v>
      </c>
      <c r="J144" s="874">
        <f>'P&amp;L'!J92</f>
        <v>0.315</v>
      </c>
      <c r="K144" s="874">
        <f>'P&amp;L'!K92</f>
        <v>0.315</v>
      </c>
      <c r="L144" s="874">
        <f>'P&amp;L'!L92</f>
        <v>0.315</v>
      </c>
      <c r="M144" s="871">
        <f>'P&amp;L'!M92</f>
        <v>0.315</v>
      </c>
      <c r="N144" s="39"/>
      <c r="O144" s="873">
        <f>'P&amp;L'!O92</f>
        <v>0.29599999999999999</v>
      </c>
      <c r="P144" s="874">
        <f>'P&amp;L'!P92</f>
        <v>0.29599999999999999</v>
      </c>
      <c r="Q144" s="874">
        <f>'P&amp;L'!Q92</f>
        <v>0.29599999999999999</v>
      </c>
      <c r="R144" s="874">
        <f>'P&amp;L'!R92</f>
        <v>0.29599999999999999</v>
      </c>
      <c r="S144" s="871">
        <f>'P&amp;L'!S92</f>
        <v>0.29599999999999999</v>
      </c>
      <c r="T144" s="39"/>
      <c r="U144" s="873">
        <f>'P&amp;L'!U92</f>
        <v>0.255</v>
      </c>
      <c r="V144" s="874">
        <f>'P&amp;L'!V92</f>
        <v>0.255</v>
      </c>
      <c r="W144" s="874">
        <f>'P&amp;L'!W92</f>
        <v>0.255</v>
      </c>
      <c r="X144" s="874">
        <f>'P&amp;L'!X92</f>
        <v>0.255</v>
      </c>
      <c r="Y144" s="871">
        <f>'P&amp;L'!Y92</f>
        <v>0.255</v>
      </c>
      <c r="Z144" s="39"/>
      <c r="AA144" s="873">
        <f>'P&amp;L'!AA92</f>
        <v>0.255</v>
      </c>
      <c r="AB144" s="874">
        <f>'P&amp;L'!AB92</f>
        <v>0.255</v>
      </c>
      <c r="AC144" s="874">
        <f>'P&amp;L'!AC92</f>
        <v>0.255</v>
      </c>
      <c r="AD144" s="874">
        <f>'P&amp;L'!AD92</f>
        <v>0.255</v>
      </c>
      <c r="AE144" s="871">
        <f>'P&amp;L'!AE92</f>
        <v>0.255</v>
      </c>
      <c r="AF144" s="39"/>
      <c r="AG144" s="873">
        <f>'P&amp;L'!AG92</f>
        <v>0.255</v>
      </c>
      <c r="AH144" s="874">
        <f>'P&amp;L'!AH92</f>
        <v>0.255</v>
      </c>
      <c r="AI144" s="874">
        <f>'P&amp;L'!AI92</f>
        <v>0.255</v>
      </c>
      <c r="AJ144" s="874">
        <f>'P&amp;L'!AJ92</f>
        <v>0.255</v>
      </c>
      <c r="AK144" s="871">
        <f>'P&amp;L'!AK92</f>
        <v>0.255</v>
      </c>
      <c r="AL144" s="39"/>
      <c r="AM144" s="873">
        <f>'P&amp;L'!AM92</f>
        <v>0.255</v>
      </c>
      <c r="AN144" s="874">
        <f>'P&amp;L'!AN92</f>
        <v>0.255</v>
      </c>
      <c r="AO144" s="874">
        <f>'P&amp;L'!AO92</f>
        <v>0.255</v>
      </c>
      <c r="AP144" s="874">
        <f>'P&amp;L'!AP92</f>
        <v>0.255</v>
      </c>
      <c r="AQ144" s="871">
        <f>'P&amp;L'!AQ92</f>
        <v>0.255</v>
      </c>
      <c r="AR144" s="872"/>
      <c r="AS144" s="873">
        <f>'P&amp;L'!AS92</f>
        <v>0.25</v>
      </c>
      <c r="AT144" s="874">
        <f>'P&amp;L'!AT92</f>
        <v>0.25</v>
      </c>
      <c r="AU144" s="874">
        <f>'P&amp;L'!AU92</f>
        <v>0.25</v>
      </c>
      <c r="AV144" s="874">
        <f>'P&amp;L'!AV92</f>
        <v>0.25</v>
      </c>
      <c r="AW144" s="871">
        <f>'P&amp;L'!AW92</f>
        <v>0.25</v>
      </c>
      <c r="AX144" s="39"/>
      <c r="AY144" s="873">
        <f>'P&amp;L'!AY92</f>
        <v>0.25</v>
      </c>
      <c r="AZ144" s="874">
        <f>'P&amp;L'!AZ92</f>
        <v>0.25</v>
      </c>
      <c r="BA144" s="874">
        <f>'P&amp;L'!BA92</f>
        <v>0.25</v>
      </c>
      <c r="BB144" s="874">
        <f>'P&amp;L'!BB92</f>
        <v>0.13644006725918806</v>
      </c>
      <c r="BC144" s="871">
        <f>'P&amp;L'!BC92</f>
        <v>0.21310317771675177</v>
      </c>
      <c r="BD144" s="121"/>
      <c r="BE144" s="873">
        <f>'P&amp;L'!BE92</f>
        <v>0.24010876199988895</v>
      </c>
      <c r="BF144" s="874">
        <f>'P&amp;L'!BF92</f>
        <v>0.24010876199988895</v>
      </c>
      <c r="BG144" s="874">
        <f>'P&amp;L'!BG92</f>
        <v>0.18127249464911349</v>
      </c>
      <c r="BH144" s="874">
        <f>'P&amp;L'!BH92</f>
        <v>0.15926000595220957</v>
      </c>
      <c r="BI144" s="871">
        <f>'P&amp;L'!BI92</f>
        <v>0.19758891355266267</v>
      </c>
      <c r="BJ144" s="121"/>
      <c r="BK144" s="873">
        <f>'P&amp;L'!BK92</f>
        <v>0.22350117129884031</v>
      </c>
      <c r="BL144" s="874">
        <f>'P&amp;L'!BL92</f>
        <v>0.22123780830312009</v>
      </c>
      <c r="BM144" s="874">
        <f>'P&amp;L'!BM92</f>
        <v>0.1953961456102784</v>
      </c>
      <c r="BN144" s="874">
        <f>'P&amp;L'!BN92</f>
        <v>9.2310686005957543E-2</v>
      </c>
      <c r="BO144" s="871">
        <f>'P&amp;L'!BO92</f>
        <v>0.1855507023964113</v>
      </c>
      <c r="BP144" s="121"/>
      <c r="BQ144" s="873">
        <f>'P&amp;L'!BQ92</f>
        <v>0.1903501724871226</v>
      </c>
      <c r="BR144" s="874">
        <f>'P&amp;L'!BR92</f>
        <v>0.19070625555806262</v>
      </c>
      <c r="BS144" s="874">
        <f>'P&amp;L'!BS92</f>
        <v>0.15789473684210531</v>
      </c>
      <c r="BT144" s="874">
        <f>'P&amp;L'!BT92</f>
        <v>0.1521283241120828</v>
      </c>
      <c r="BU144" s="871">
        <f>'P&amp;L'!BU92</f>
        <v>0.17112433365620947</v>
      </c>
      <c r="BV144" s="121"/>
      <c r="BW144" s="873">
        <f>'P&amp;L'!BW92</f>
        <v>0.14963971781038971</v>
      </c>
      <c r="BX144" s="874">
        <f>'P&amp;L'!BX92</f>
        <v>0.16087091115467964</v>
      </c>
      <c r="BY144" s="874">
        <f>'P&amp;L'!BY92</f>
        <v>0.1705239590177898</v>
      </c>
      <c r="BZ144" s="874">
        <f>'P&amp;L'!BZ92</f>
        <v>0.15382805642775058</v>
      </c>
      <c r="CA144" s="871">
        <f>'P&amp;L'!CA92</f>
        <v>0.15901972916254711</v>
      </c>
      <c r="CB144" s="121"/>
      <c r="CC144" s="873">
        <f>'P&amp;L'!CC92</f>
        <v>0.1767730007622321</v>
      </c>
      <c r="CD144" s="874">
        <f>'P&amp;L'!CD92</f>
        <v>0.17038863109048724</v>
      </c>
      <c r="CE144" s="874">
        <f>'P&amp;L'!CE92</f>
        <v>0.19391817609324466</v>
      </c>
      <c r="CF144" s="874">
        <f>'P&amp;L'!CF92</f>
        <v>0.16715732747866874</v>
      </c>
      <c r="CG144" s="871">
        <f>'P&amp;L'!CG92</f>
        <v>0.17655463404288574</v>
      </c>
      <c r="CH144" s="121"/>
      <c r="CI144" s="873">
        <f>'P&amp;L'!CI92</f>
        <v>0.20499999999999999</v>
      </c>
      <c r="CJ144" s="874">
        <f>'P&amp;L'!CJ92</f>
        <v>0.20499999999999999</v>
      </c>
      <c r="CK144" s="874">
        <f>'P&amp;L'!CK92</f>
        <v>0.20499999999999999</v>
      </c>
      <c r="CL144" s="874">
        <f>'P&amp;L'!CL92</f>
        <v>0.20499999999999999</v>
      </c>
      <c r="CM144" s="871">
        <f>'P&amp;L'!CM92</f>
        <v>0.20500000000000007</v>
      </c>
      <c r="CN144" s="121"/>
      <c r="CO144" s="873">
        <f>'P&amp;L'!CO92</f>
        <v>0.20499999999999999</v>
      </c>
      <c r="CP144" s="874">
        <f>'P&amp;L'!CP92</f>
        <v>0.20499999999999999</v>
      </c>
      <c r="CQ144" s="874">
        <f>'P&amp;L'!CQ92</f>
        <v>0.20499999999999999</v>
      </c>
      <c r="CR144" s="874">
        <f>'P&amp;L'!CR92</f>
        <v>0.20499999999999999</v>
      </c>
      <c r="CS144" s="871">
        <f>'P&amp;L'!CS92</f>
        <v>0.20500000000000007</v>
      </c>
      <c r="CT144" s="121"/>
      <c r="CU144" s="873">
        <f>'P&amp;L'!CU92</f>
        <v>0.20499999999999999</v>
      </c>
      <c r="CV144" s="874">
        <f>'P&amp;L'!CV92</f>
        <v>0.20499999999999999</v>
      </c>
      <c r="CW144" s="874">
        <f>'P&amp;L'!CW92</f>
        <v>0.20499999999999999</v>
      </c>
      <c r="CX144" s="874">
        <f>'P&amp;L'!CX92</f>
        <v>0.20499999999999999</v>
      </c>
      <c r="CY144" s="871">
        <f>'P&amp;L'!CY92</f>
        <v>0.20499999999999996</v>
      </c>
      <c r="CZ144" s="121"/>
      <c r="DA144" s="121"/>
      <c r="DB144" s="121"/>
    </row>
    <row r="145" spans="1:106" ht="11.25" customHeight="1" outlineLevel="1" x14ac:dyDescent="0.2">
      <c r="A145" s="62" t="s">
        <v>137</v>
      </c>
      <c r="B145" s="39"/>
      <c r="C145" s="99"/>
      <c r="D145" s="84"/>
      <c r="E145" s="84"/>
      <c r="F145" s="84"/>
      <c r="G145" s="86">
        <f>G143*G144</f>
        <v>27.856679999999997</v>
      </c>
      <c r="H145" s="39"/>
      <c r="I145" s="99">
        <f>I143*I144</f>
        <v>6.7387950000000005</v>
      </c>
      <c r="J145" s="84">
        <f>J143*J144</f>
        <v>7.7556150000000033</v>
      </c>
      <c r="K145" s="84">
        <f>K143*K144</f>
        <v>8.244809999999994</v>
      </c>
      <c r="L145" s="84">
        <f>L143*L144</f>
        <v>9.3051000000000013</v>
      </c>
      <c r="M145" s="86">
        <f>M143*M144</f>
        <v>32.044320000000006</v>
      </c>
      <c r="N145" s="39"/>
      <c r="O145" s="99">
        <f>O143*O144</f>
        <v>8.2214000000000009</v>
      </c>
      <c r="P145" s="84">
        <f>P143*P144</f>
        <v>8.6204080000000012</v>
      </c>
      <c r="Q145" s="84">
        <f>Q143*Q144</f>
        <v>9.0549360000000014</v>
      </c>
      <c r="R145" s="84">
        <f>R143*R144</f>
        <v>9.7949360000000016</v>
      </c>
      <c r="S145" s="86">
        <f>S143*S144</f>
        <v>35.691679999999991</v>
      </c>
      <c r="T145" s="39"/>
      <c r="U145" s="99">
        <f>U143*U144</f>
        <v>8.3696099999999944</v>
      </c>
      <c r="V145" s="84">
        <f>V143*V144</f>
        <v>9.1802549999999972</v>
      </c>
      <c r="W145" s="84">
        <f>W143*W144</f>
        <v>11.126924999999998</v>
      </c>
      <c r="X145" s="84">
        <f>X143*X144</f>
        <v>13.205430000000016</v>
      </c>
      <c r="Y145" s="86">
        <f>Y143*Y144</f>
        <v>41.882220000000011</v>
      </c>
      <c r="Z145" s="39"/>
      <c r="AA145" s="99">
        <f>AA143*AA144</f>
        <v>14.96849999999999</v>
      </c>
      <c r="AB145" s="84">
        <f>AB143*AB144</f>
        <v>15.450960000000004</v>
      </c>
      <c r="AC145" s="84">
        <f>AC143*AC144</f>
        <v>17.040374999999997</v>
      </c>
      <c r="AD145" s="84">
        <f>AD143*AD144</f>
        <v>16.956990000000005</v>
      </c>
      <c r="AE145" s="86">
        <f>AE143*AE144</f>
        <v>64.416824999999974</v>
      </c>
      <c r="AF145" s="39"/>
      <c r="AG145" s="99">
        <f>AG143*AG144</f>
        <v>15.101100000000008</v>
      </c>
      <c r="AH145" s="84">
        <f>AH143*AH144</f>
        <v>18.311804999999996</v>
      </c>
      <c r="AI145" s="84">
        <f>AI143*AI144</f>
        <v>20.852370000000001</v>
      </c>
      <c r="AJ145" s="84">
        <f>AJ143*AJ144</f>
        <v>21.246855000000021</v>
      </c>
      <c r="AK145" s="86">
        <f>AK143*AK144</f>
        <v>75.512130000000028</v>
      </c>
      <c r="AL145" s="39"/>
      <c r="AM145" s="99">
        <f>AM143*AM144</f>
        <v>18.777944999999988</v>
      </c>
      <c r="AN145" s="84">
        <f>AN143*AN144</f>
        <v>18.663450000000001</v>
      </c>
      <c r="AO145" s="84">
        <f>AO143*AO144</f>
        <v>20.174324999999996</v>
      </c>
      <c r="AP145" s="84">
        <f>AP143*AP144</f>
        <v>20.982675000000008</v>
      </c>
      <c r="AQ145" s="86">
        <f>AQ143*AQ144</f>
        <v>78.598395000000011</v>
      </c>
      <c r="AR145" s="39"/>
      <c r="AS145" s="99">
        <f>AS143*AS144</f>
        <v>17.642499999999991</v>
      </c>
      <c r="AT145" s="84">
        <f>AT143*AT144</f>
        <v>19.657750000000007</v>
      </c>
      <c r="AU145" s="84">
        <f>AU143*AU144</f>
        <v>18.6845</v>
      </c>
      <c r="AV145" s="84">
        <f>AV143*AV144</f>
        <v>23.923750000000027</v>
      </c>
      <c r="AW145" s="86">
        <f>AW143*AW144</f>
        <v>79.908500000000004</v>
      </c>
      <c r="AX145" s="39"/>
      <c r="AY145" s="99">
        <f>AY143*AY144</f>
        <v>20.061500000000002</v>
      </c>
      <c r="AZ145" s="84">
        <f>AZ143*AZ144</f>
        <v>21.604250000000008</v>
      </c>
      <c r="BA145" s="84">
        <f>BA143*BA144</f>
        <v>20.934999999999995</v>
      </c>
      <c r="BB145" s="84">
        <f>BB143*BB144</f>
        <v>14.466467451357186</v>
      </c>
      <c r="BC145" s="86">
        <f>BC143*BC144</f>
        <v>75.956578736759511</v>
      </c>
      <c r="BD145" s="84"/>
      <c r="BE145" s="99">
        <f>BE143*BE144</f>
        <v>18.818284112979303</v>
      </c>
      <c r="BF145" s="84">
        <f>BF143*BF144</f>
        <v>20.036595971366722</v>
      </c>
      <c r="BG145" s="84">
        <f>BG143*BG144</f>
        <v>15.898866688189786</v>
      </c>
      <c r="BH145" s="84">
        <f>BH143*BH144</f>
        <v>16.92854233269011</v>
      </c>
      <c r="BI145" s="86">
        <f>BI143*BI144</f>
        <v>70.306877575962631</v>
      </c>
      <c r="BJ145" s="84"/>
      <c r="BK145" s="99">
        <f>BK143*BK144</f>
        <v>16.721910634236632</v>
      </c>
      <c r="BL145" s="84">
        <f>BL143*BL144</f>
        <v>17.951014527906857</v>
      </c>
      <c r="BM145" s="84">
        <f>BM143*BM144</f>
        <v>16.56412205567452</v>
      </c>
      <c r="BN145" s="84">
        <f>BN143*BN144</f>
        <v>6.6057526905863169</v>
      </c>
      <c r="BO145" s="86">
        <f>BO143*BO144</f>
        <v>57.945443300672885</v>
      </c>
      <c r="BP145" s="84"/>
      <c r="BQ145" s="99">
        <f>BQ143*BQ144</f>
        <v>12.823129719767499</v>
      </c>
      <c r="BR145" s="84">
        <f>BR143*BR144</f>
        <v>15.037951075775478</v>
      </c>
      <c r="BS145" s="84">
        <f>BS143*BS144</f>
        <v>12.356368421052631</v>
      </c>
      <c r="BT145" s="84">
        <f>BT143*BT144</f>
        <v>14.123593610565768</v>
      </c>
      <c r="BU145" s="86">
        <f>BU143*BU144</f>
        <v>54.300660182787418</v>
      </c>
      <c r="BV145" s="84"/>
      <c r="BW145" s="99">
        <f>BW143*BW144</f>
        <v>8.1499775908250651</v>
      </c>
      <c r="BX145" s="84">
        <f>BX143*BX144</f>
        <v>11.1295322464142</v>
      </c>
      <c r="BY145" s="84">
        <f>BY143*BY144</f>
        <v>14.792612396875228</v>
      </c>
      <c r="BZ145" s="84">
        <f>BZ143*BZ144</f>
        <v>17.335960475238206</v>
      </c>
      <c r="CA145" s="86">
        <f>CA143*CA144</f>
        <v>51.378002334585666</v>
      </c>
      <c r="CB145" s="84"/>
      <c r="CC145" s="99">
        <f>CC143*CC144</f>
        <v>11.283243865652519</v>
      </c>
      <c r="CD145" s="84">
        <f>CD143*CD144</f>
        <v>14.986020881670534</v>
      </c>
      <c r="CE145" s="84">
        <f>CE143*CE144</f>
        <v>18.978190139717579</v>
      </c>
      <c r="CF145" s="84">
        <f>CF143*CF144</f>
        <v>20.347727159323391</v>
      </c>
      <c r="CG145" s="86">
        <f>CG143*CG144</f>
        <v>65.568153772310737</v>
      </c>
      <c r="CH145" s="84"/>
      <c r="CI145" s="99">
        <f>CI143*CI144</f>
        <v>14.743492564419867</v>
      </c>
      <c r="CJ145" s="84">
        <f>CJ143*CJ144</f>
        <v>20.082546504354692</v>
      </c>
      <c r="CK145" s="84">
        <f>CK143*CK144</f>
        <v>20.705005403461843</v>
      </c>
      <c r="CL145" s="84">
        <f>CL143*CL144</f>
        <v>25.201706536567084</v>
      </c>
      <c r="CM145" s="86">
        <f>CM143*CM144</f>
        <v>80.732751008803476</v>
      </c>
      <c r="CN145" s="84"/>
      <c r="CO145" s="99">
        <f>CO143*CO144</f>
        <v>18.552912207080471</v>
      </c>
      <c r="CP145" s="84">
        <f>CP143*CP144</f>
        <v>22.191926928555581</v>
      </c>
      <c r="CQ145" s="84">
        <f>CQ143*CQ144</f>
        <v>23.572479639664532</v>
      </c>
      <c r="CR145" s="84">
        <f>CR143*CR144</f>
        <v>28.424462121449295</v>
      </c>
      <c r="CS145" s="86">
        <f>CS143*CS144</f>
        <v>92.741780896749901</v>
      </c>
      <c r="CT145" s="84"/>
      <c r="CU145" s="99">
        <f>CU143*CU144</f>
        <v>21.862053639798205</v>
      </c>
      <c r="CV145" s="84">
        <f>CV143*CV144</f>
        <v>25.871937725297613</v>
      </c>
      <c r="CW145" s="84">
        <f>CW143*CW144</f>
        <v>27.321601842618822</v>
      </c>
      <c r="CX145" s="84">
        <f>CX143*CX144</f>
        <v>32.801577100630517</v>
      </c>
      <c r="CY145" s="86">
        <f>CY143*CY144</f>
        <v>107.85717030834516</v>
      </c>
      <c r="CZ145" s="84"/>
      <c r="DA145" s="84"/>
      <c r="DB145" s="84"/>
    </row>
    <row r="146" spans="1:106" ht="11.25" customHeight="1" outlineLevel="1" x14ac:dyDescent="0.2">
      <c r="A146" s="62" t="s">
        <v>140</v>
      </c>
      <c r="B146" s="39"/>
      <c r="C146" s="99"/>
      <c r="D146" s="84"/>
      <c r="E146" s="84"/>
      <c r="F146" s="84"/>
      <c r="G146" s="86">
        <f>G143-G145</f>
        <v>52.887320000000003</v>
      </c>
      <c r="H146" s="39"/>
      <c r="I146" s="99">
        <f>I143-I145</f>
        <v>14.654205000000001</v>
      </c>
      <c r="J146" s="84">
        <f>J143-J145</f>
        <v>16.865385000000007</v>
      </c>
      <c r="K146" s="84">
        <f>K143-K145</f>
        <v>17.929189999999984</v>
      </c>
      <c r="L146" s="84">
        <f>L143-L145</f>
        <v>20.234900000000003</v>
      </c>
      <c r="M146" s="86">
        <f>M143-M145</f>
        <v>69.68368000000001</v>
      </c>
      <c r="N146" s="39"/>
      <c r="O146" s="99">
        <f>O143-O145</f>
        <v>19.553600000000003</v>
      </c>
      <c r="P146" s="84">
        <f>P143-P145</f>
        <v>20.502592000000003</v>
      </c>
      <c r="Q146" s="84">
        <f>Q143-Q145</f>
        <v>21.536064000000007</v>
      </c>
      <c r="R146" s="84">
        <f>R143-R145</f>
        <v>23.296064000000008</v>
      </c>
      <c r="S146" s="86">
        <f>S143-S145</f>
        <v>84.888319999999993</v>
      </c>
      <c r="T146" s="39"/>
      <c r="U146" s="99">
        <f>U143-U145</f>
        <v>24.45238999999998</v>
      </c>
      <c r="V146" s="84">
        <f>V143-V145</f>
        <v>26.820744999999995</v>
      </c>
      <c r="W146" s="84">
        <f>W143-W145</f>
        <v>32.508074999999991</v>
      </c>
      <c r="X146" s="84">
        <f>X143-X145</f>
        <v>38.580570000000044</v>
      </c>
      <c r="Y146" s="86">
        <f>Y143-Y145</f>
        <v>122.36178000000001</v>
      </c>
      <c r="Z146" s="39"/>
      <c r="AA146" s="99">
        <f>AA143-AA145</f>
        <v>43.731499999999969</v>
      </c>
      <c r="AB146" s="84">
        <f>AB143-AB145</f>
        <v>45.141040000000011</v>
      </c>
      <c r="AC146" s="84">
        <f>AC143-AC145</f>
        <v>49.784624999999991</v>
      </c>
      <c r="AD146" s="84">
        <f>AD143-AD145</f>
        <v>49.541010000000014</v>
      </c>
      <c r="AE146" s="86">
        <f>AE143-AE145</f>
        <v>188.19817499999994</v>
      </c>
      <c r="AF146" s="39"/>
      <c r="AG146" s="99">
        <f>AG143-AG145</f>
        <v>44.118900000000018</v>
      </c>
      <c r="AH146" s="84">
        <f>AH143-AH145</f>
        <v>53.499194999999986</v>
      </c>
      <c r="AI146" s="84">
        <f>AI143-AI145</f>
        <v>60.92163</v>
      </c>
      <c r="AJ146" s="84">
        <f>AJ143-AJ145</f>
        <v>62.074145000000058</v>
      </c>
      <c r="AK146" s="86">
        <f>AK143-AK145</f>
        <v>220.61387000000008</v>
      </c>
      <c r="AL146" s="39"/>
      <c r="AM146" s="99">
        <f>AM143-AM145</f>
        <v>54.861054999999965</v>
      </c>
      <c r="AN146" s="84">
        <f>AN143-AN145</f>
        <v>54.52655</v>
      </c>
      <c r="AO146" s="84">
        <f>AO143-AO145</f>
        <v>58.940674999999985</v>
      </c>
      <c r="AP146" s="84">
        <f>AP143-AP145</f>
        <v>61.302325000000017</v>
      </c>
      <c r="AQ146" s="86">
        <f>AQ143-AQ145</f>
        <v>229.63060500000003</v>
      </c>
      <c r="AR146" s="39"/>
      <c r="AS146" s="99">
        <f>AS143-AS145</f>
        <v>52.927499999999974</v>
      </c>
      <c r="AT146" s="84">
        <f>AT143-AT145</f>
        <v>58.973250000000021</v>
      </c>
      <c r="AU146" s="84">
        <f>AU143-AU145</f>
        <v>56.0535</v>
      </c>
      <c r="AV146" s="84">
        <f>AV143-AV145</f>
        <v>71.77125000000008</v>
      </c>
      <c r="AW146" s="86">
        <f>AW143-AW145</f>
        <v>239.72550000000001</v>
      </c>
      <c r="AX146" s="39"/>
      <c r="AY146" s="99">
        <f>AY143-AY145</f>
        <v>60.184500000000007</v>
      </c>
      <c r="AZ146" s="84">
        <f>AZ143-AZ145</f>
        <v>64.812750000000023</v>
      </c>
      <c r="BA146" s="84">
        <f>BA143-BA145</f>
        <v>62.804999999999986</v>
      </c>
      <c r="BB146" s="84">
        <f>BB143-BB145</f>
        <v>91.561532548642774</v>
      </c>
      <c r="BC146" s="86">
        <f>BC143-BC145</f>
        <v>280.47442126324029</v>
      </c>
      <c r="BD146" s="84"/>
      <c r="BE146" s="99">
        <f>BE143-BE145</f>
        <v>59.555715887020725</v>
      </c>
      <c r="BF146" s="84">
        <f>BF143-BF145</f>
        <v>63.411404028633228</v>
      </c>
      <c r="BG146" s="84">
        <f>BG143-BG145</f>
        <v>71.808133311810153</v>
      </c>
      <c r="BH146" s="84">
        <f>BH143-BH145</f>
        <v>89.366457667309845</v>
      </c>
      <c r="BI146" s="86">
        <f>BI143-BI145</f>
        <v>285.51712242403732</v>
      </c>
      <c r="BJ146" s="84"/>
      <c r="BK146" s="99">
        <f>BK143-BK145</f>
        <v>58.096089365763348</v>
      </c>
      <c r="BL146" s="84">
        <f>BL143-BL145</f>
        <v>63.187985472093125</v>
      </c>
      <c r="BM146" s="84">
        <f>BM143-BM145</f>
        <v>68.207877944325475</v>
      </c>
      <c r="BN146" s="84">
        <f>BN143-BN145</f>
        <v>64.954247309413631</v>
      </c>
      <c r="BO146" s="86">
        <f>BO143-BO145</f>
        <v>254.34355669932711</v>
      </c>
      <c r="BP146" s="84"/>
      <c r="BQ146" s="99">
        <f>BQ143-BQ145</f>
        <v>54.542870280232485</v>
      </c>
      <c r="BR146" s="84">
        <f>BR143-BR145</f>
        <v>63.81604892422456</v>
      </c>
      <c r="BS146" s="84">
        <f>BS143-BS145</f>
        <v>65.90063157894734</v>
      </c>
      <c r="BT146" s="84">
        <f>BT143-BT145</f>
        <v>78.716406389434241</v>
      </c>
      <c r="BU146" s="86">
        <f>BU143-BU145</f>
        <v>263.01633981721261</v>
      </c>
      <c r="BV146" s="84"/>
      <c r="BW146" s="99">
        <f>BW143-BW145</f>
        <v>46.314022409174932</v>
      </c>
      <c r="BX146" s="84">
        <f>BX143-BX145</f>
        <v>58.053467753585792</v>
      </c>
      <c r="BY146" s="84">
        <f>BY143-BY145</f>
        <v>71.955387603124763</v>
      </c>
      <c r="BZ146" s="84">
        <f>BZ143-BZ145</f>
        <v>95.361039524761793</v>
      </c>
      <c r="CA146" s="86">
        <f>CA143-CA145</f>
        <v>271.7139976654143</v>
      </c>
      <c r="CB146" s="84"/>
      <c r="CC146" s="99">
        <f>CC143-CC145</f>
        <v>52.545756134347513</v>
      </c>
      <c r="CD146" s="84">
        <f>CD143-CD145</f>
        <v>72.965979118329471</v>
      </c>
      <c r="CE146" s="84">
        <f>CE143-CE145</f>
        <v>78.888809860282436</v>
      </c>
      <c r="CF146" s="84">
        <f>CF143-CF145</f>
        <v>101.38027284067661</v>
      </c>
      <c r="CG146" s="86">
        <f>CG143-CG145</f>
        <v>305.80784622768925</v>
      </c>
      <c r="CH146" s="84"/>
      <c r="CI146" s="99">
        <f>CI143-CI145</f>
        <v>57.17598335957949</v>
      </c>
      <c r="CJ146" s="84">
        <f>CJ143-CJ145</f>
        <v>77.88109498030235</v>
      </c>
      <c r="CK146" s="84">
        <f>CK143-CK145</f>
        <v>80.295020954888614</v>
      </c>
      <c r="CL146" s="84">
        <f>CL143-CL145</f>
        <v>97.733447300345517</v>
      </c>
      <c r="CM146" s="86">
        <f>CM143-CM145</f>
        <v>313.08554659511583</v>
      </c>
      <c r="CN146" s="84"/>
      <c r="CO146" s="99">
        <f>CO143-CO145</f>
        <v>71.949098559165733</v>
      </c>
      <c r="CP146" s="84">
        <f>CP143-CP145</f>
        <v>86.061375161959461</v>
      </c>
      <c r="CQ146" s="84">
        <f>CQ143-CQ145</f>
        <v>91.415225919674654</v>
      </c>
      <c r="CR146" s="84">
        <f>CR143-CR145</f>
        <v>110.23145066610826</v>
      </c>
      <c r="CS146" s="86">
        <f>CS143-CS145</f>
        <v>359.65715030690797</v>
      </c>
      <c r="CT146" s="84"/>
      <c r="CU146" s="99">
        <f>CU143-CU145</f>
        <v>84.782110456778412</v>
      </c>
      <c r="CV146" s="84">
        <f>CV143-CV145</f>
        <v>100.33263654444684</v>
      </c>
      <c r="CW146" s="84">
        <f>CW143-CW145</f>
        <v>105.9545047067413</v>
      </c>
      <c r="CX146" s="84">
        <f>CX143-CX145</f>
        <v>127.2061160731769</v>
      </c>
      <c r="CY146" s="86">
        <f>CY143-CY145</f>
        <v>418.27536778114347</v>
      </c>
      <c r="CZ146" s="84"/>
      <c r="DA146" s="84"/>
      <c r="DB146" s="84"/>
    </row>
    <row r="147" spans="1:106" ht="11.25" customHeight="1" outlineLevel="1" x14ac:dyDescent="0.2">
      <c r="A147" s="519" t="s">
        <v>144</v>
      </c>
      <c r="B147" s="39"/>
      <c r="C147" s="520"/>
      <c r="D147" s="112"/>
      <c r="E147" s="112"/>
      <c r="F147" s="112"/>
      <c r="G147" s="110">
        <f>G146/G142</f>
        <v>0.13894716377364835</v>
      </c>
      <c r="H147" s="39"/>
      <c r="I147" s="520">
        <f>I146/I142</f>
        <v>0.15421420678768746</v>
      </c>
      <c r="J147" s="112">
        <f>J146/J142</f>
        <v>0.16805892141817969</v>
      </c>
      <c r="K147" s="112">
        <f>K146/K142</f>
        <v>0.18170678314803729</v>
      </c>
      <c r="L147" s="112">
        <f>L146/L142</f>
        <v>0.19392304374910163</v>
      </c>
      <c r="M147" s="110">
        <f>M146/M142</f>
        <v>0.1749110305099211</v>
      </c>
      <c r="N147" s="39"/>
      <c r="O147" s="520">
        <f>O146/O142</f>
        <v>0.17986110472335926</v>
      </c>
      <c r="P147" s="112">
        <f>P146/P142</f>
        <v>0.18106551976897198</v>
      </c>
      <c r="Q147" s="112">
        <f>Q146/Q142</f>
        <v>0.18260341362907948</v>
      </c>
      <c r="R147" s="112">
        <f>R146/R142</f>
        <v>0.1850494793114679</v>
      </c>
      <c r="S147" s="110">
        <f>S146/S142</f>
        <v>0.18225060007127858</v>
      </c>
      <c r="T147" s="39"/>
      <c r="U147" s="520">
        <f>U146/U142</f>
        <v>0.19121505485654394</v>
      </c>
      <c r="V147" s="112">
        <f>V146/V142</f>
        <v>0.19861480757410821</v>
      </c>
      <c r="W147" s="112">
        <f>W146/W142</f>
        <v>0.18404408600933009</v>
      </c>
      <c r="X147" s="112">
        <f>X146/X142</f>
        <v>0.18352124400639336</v>
      </c>
      <c r="Y147" s="110">
        <f>Y146/Y142</f>
        <v>0.18831436776479207</v>
      </c>
      <c r="Z147" s="39"/>
      <c r="AA147" s="520">
        <f>AA146/AA142</f>
        <v>0.2111551572624645</v>
      </c>
      <c r="AB147" s="112">
        <f>AB146/AB142</f>
        <v>0.2071754295784991</v>
      </c>
      <c r="AC147" s="112">
        <f>AC146/AC142</f>
        <v>0.21570461438474864</v>
      </c>
      <c r="AD147" s="112">
        <f>AD146/AD142</f>
        <v>0.20887427745055467</v>
      </c>
      <c r="AE147" s="110">
        <f>AE146/AE142</f>
        <v>0.21075413645398799</v>
      </c>
      <c r="AF147" s="39"/>
      <c r="AG147" s="520">
        <f>AG146/AG142</f>
        <v>0.19969357225946335</v>
      </c>
      <c r="AH147" s="112">
        <f>AH146/AH142</f>
        <v>0.22276851296657169</v>
      </c>
      <c r="AI147" s="112">
        <f>AI146/AI142</f>
        <v>0.23462167689161556</v>
      </c>
      <c r="AJ147" s="112">
        <f>AJ146/AJ142</f>
        <v>0.21473221667583389</v>
      </c>
      <c r="AK147" s="110">
        <f>AK146/AK142</f>
        <v>0.21846742752457116</v>
      </c>
      <c r="AL147" s="39"/>
      <c r="AM147" s="520">
        <f>AM146/AM142</f>
        <v>0.20752089921471897</v>
      </c>
      <c r="AN147" s="112">
        <f>AN146/AN142</f>
        <v>0.20754782694752547</v>
      </c>
      <c r="AO147" s="112">
        <f>AO146/AO142</f>
        <v>0.21486336975105438</v>
      </c>
      <c r="AP147" s="112">
        <f>AP146/AP142</f>
        <v>0.21431981386697996</v>
      </c>
      <c r="AQ147" s="110">
        <f>AQ146/AQ142</f>
        <v>0.21116797755443795</v>
      </c>
      <c r="AR147" s="39"/>
      <c r="AS147" s="520">
        <f>AS146/AS142</f>
        <v>0.200281913987853</v>
      </c>
      <c r="AT147" s="112">
        <f>AT146/AT142</f>
        <v>0.20899382302597311</v>
      </c>
      <c r="AU147" s="112">
        <f>AU146/AU142</f>
        <v>0.19403395814943664</v>
      </c>
      <c r="AV147" s="112">
        <f>AV146/AV142</f>
        <v>0.21461410800789446</v>
      </c>
      <c r="AW147" s="110">
        <f>AW146/AW142</f>
        <v>0.20493790537611978</v>
      </c>
      <c r="AX147" s="39"/>
      <c r="AY147" s="520">
        <f>AY146/AY142</f>
        <v>0.20303654924398323</v>
      </c>
      <c r="AZ147" s="112">
        <f>AZ146/AZ142</f>
        <v>0.21097007613610108</v>
      </c>
      <c r="BA147" s="112">
        <f>BA146/BA142</f>
        <v>0.20639917972716723</v>
      </c>
      <c r="BB147" s="112">
        <f>BB146/BB142</f>
        <v>0.26422244568652475</v>
      </c>
      <c r="BC147" s="110">
        <f>BC146/BC142</f>
        <v>0.22358251007866384</v>
      </c>
      <c r="BD147" s="112"/>
      <c r="BE147" s="520">
        <f>BE146/BE142</f>
        <v>0.19618058043791578</v>
      </c>
      <c r="BF147" s="112">
        <f>BF146/BF142</f>
        <v>0.20040770902694346</v>
      </c>
      <c r="BG147" s="112">
        <f>BG146/BG142</f>
        <v>0.2217594007362633</v>
      </c>
      <c r="BH147" s="112">
        <f>BH146/BH142</f>
        <v>0.2464703660308889</v>
      </c>
      <c r="BI147" s="110">
        <f>BI146/BI142</f>
        <v>0.2185552811608511</v>
      </c>
      <c r="BJ147" s="112"/>
      <c r="BK147" s="520">
        <f>BK146/BK142</f>
        <v>0.18305303023812156</v>
      </c>
      <c r="BL147" s="112">
        <f>BL146/BL142</f>
        <v>0.19076366913144707</v>
      </c>
      <c r="BM147" s="112">
        <f>BM146/BM142</f>
        <v>0.20254331148075755</v>
      </c>
      <c r="BN147" s="112">
        <f>BN146/BN142</f>
        <v>0.18002341207121098</v>
      </c>
      <c r="BO147" s="110">
        <f>BO146/BO142</f>
        <v>0.18893767810572246</v>
      </c>
      <c r="BP147" s="112"/>
      <c r="BQ147" s="520">
        <f>BQ146/BQ142</f>
        <v>0.1825831113826662</v>
      </c>
      <c r="BR147" s="112">
        <f>BR146/BR142</f>
        <v>0.19976475296824775</v>
      </c>
      <c r="BS147" s="112">
        <f>BS146/BS142</f>
        <v>0.20950032451240727</v>
      </c>
      <c r="BT147" s="112">
        <f>BT146/BT142</f>
        <v>0.22587204128962479</v>
      </c>
      <c r="BU147" s="110">
        <f>BU146/BU142</f>
        <v>0.20528168659040702</v>
      </c>
      <c r="BV147" s="112"/>
      <c r="BW147" s="520">
        <f>BW146/BW142</f>
        <v>0.15521877346989879</v>
      </c>
      <c r="BX147" s="112">
        <f>BX146/BX142</f>
        <v>0.17359863806796944</v>
      </c>
      <c r="BY147" s="112">
        <f>BY146/BY142</f>
        <v>0.21245519465912208</v>
      </c>
      <c r="BZ147" s="112">
        <f>BZ146/BZ142</f>
        <v>0.26018318356618908</v>
      </c>
      <c r="CA147" s="110">
        <f>CA146/CA142</f>
        <v>0.20307610265346651</v>
      </c>
      <c r="CB147" s="112"/>
      <c r="CC147" s="520">
        <f>CC146/CC142</f>
        <v>0.17043377726786862</v>
      </c>
      <c r="CD147" s="112">
        <f>CD146/CD142</f>
        <v>0.20870917294991925</v>
      </c>
      <c r="CE147" s="112">
        <f>CE146/CE142</f>
        <v>0.21648959895796499</v>
      </c>
      <c r="CF147" s="112">
        <f>CF146/CF142</f>
        <v>0.25529326121450724</v>
      </c>
      <c r="CG147" s="110">
        <f>CG146/CG142</f>
        <v>0.21544487819200681</v>
      </c>
      <c r="CH147" s="112"/>
      <c r="CI147" s="520">
        <f>CI146/CI142</f>
        <v>0.16708500844160415</v>
      </c>
      <c r="CJ147" s="112">
        <f>CJ146/CJ142</f>
        <v>0.19969114531961341</v>
      </c>
      <c r="CK147" s="112">
        <f>CK146/CK142</f>
        <v>0.19925369620569111</v>
      </c>
      <c r="CL147" s="112">
        <f>CL146/CL142</f>
        <v>0.22752004742350163</v>
      </c>
      <c r="CM147" s="110">
        <f>CM146/CM142</f>
        <v>0.200087485994935</v>
      </c>
      <c r="CN147" s="112"/>
      <c r="CO147" s="520">
        <f>CO146/CO142</f>
        <v>0.18937506379424049</v>
      </c>
      <c r="CP147" s="112">
        <f>CP146/CP142</f>
        <v>0.20516618843716963</v>
      </c>
      <c r="CQ147" s="112">
        <f>CQ146/CQ142</f>
        <v>0.21406327913151846</v>
      </c>
      <c r="CR147" s="112">
        <f>CR146/CR142</f>
        <v>0.23573804525561323</v>
      </c>
      <c r="CS147" s="110">
        <f>CS146/CS142</f>
        <v>0.21230613130237244</v>
      </c>
      <c r="CT147" s="112"/>
      <c r="CU147" s="520">
        <f>CU146/CU142</f>
        <v>0.20155372720737602</v>
      </c>
      <c r="CV147" s="112">
        <f>CV146/CV142</f>
        <v>0.21730890679058398</v>
      </c>
      <c r="CW147" s="112">
        <f>CW146/CW142</f>
        <v>0.22591277914552552</v>
      </c>
      <c r="CX147" s="112">
        <f>CX146/CX142</f>
        <v>0.24792013576189784</v>
      </c>
      <c r="CY147" s="110">
        <f>CY146/CY142</f>
        <v>0.22434283025191926</v>
      </c>
      <c r="CZ147" s="112"/>
      <c r="DA147" s="112"/>
      <c r="DB147" s="112"/>
    </row>
    <row r="148" spans="1:106" ht="11.25" customHeight="1" outlineLevel="1" x14ac:dyDescent="0.2">
      <c r="A148" s="62" t="s">
        <v>145</v>
      </c>
      <c r="B148" s="39"/>
      <c r="C148" s="99"/>
      <c r="D148" s="84"/>
      <c r="E148" s="84"/>
      <c r="F148" s="84"/>
      <c r="G148" s="86">
        <f>G12</f>
        <v>66.097999999999999</v>
      </c>
      <c r="H148" s="39"/>
      <c r="I148" s="99">
        <f>I12</f>
        <v>63.978999999999999</v>
      </c>
      <c r="J148" s="84">
        <f>J12</f>
        <v>66.593000000000004</v>
      </c>
      <c r="K148" s="84">
        <f>K12</f>
        <v>63.37</v>
      </c>
      <c r="L148" s="84">
        <f>L12</f>
        <v>63.537999999999997</v>
      </c>
      <c r="M148" s="86">
        <f>M12</f>
        <v>63.537999999999997</v>
      </c>
      <c r="N148" s="39"/>
      <c r="O148" s="99">
        <f>O12</f>
        <v>70.739999999999995</v>
      </c>
      <c r="P148" s="84">
        <f>P12</f>
        <v>74.724999999999994</v>
      </c>
      <c r="Q148" s="84">
        <f>Q12</f>
        <v>77.801000000000002</v>
      </c>
      <c r="R148" s="84">
        <f>R12</f>
        <v>80.429000000000002</v>
      </c>
      <c r="S148" s="86">
        <f>S12</f>
        <v>80.429000000000002</v>
      </c>
      <c r="T148" s="39"/>
      <c r="U148" s="99">
        <f>U12</f>
        <v>85.98</v>
      </c>
      <c r="V148" s="84">
        <f>V12</f>
        <v>91.730999999999995</v>
      </c>
      <c r="W148" s="84">
        <f>W12</f>
        <v>128.893</v>
      </c>
      <c r="X148" s="84">
        <f>X12</f>
        <v>136.70699999999999</v>
      </c>
      <c r="Y148" s="86">
        <f>Y12</f>
        <v>136.70699999999999</v>
      </c>
      <c r="Z148" s="39"/>
      <c r="AA148" s="99">
        <f>AA12</f>
        <v>152.459</v>
      </c>
      <c r="AB148" s="84">
        <f>AB12</f>
        <v>148.67500000000001</v>
      </c>
      <c r="AC148" s="84">
        <f>AC12</f>
        <v>151.82</v>
      </c>
      <c r="AD148" s="84">
        <f>AD12</f>
        <v>158.44</v>
      </c>
      <c r="AE148" s="86">
        <f>AE12</f>
        <v>158.44</v>
      </c>
      <c r="AF148" s="39"/>
      <c r="AG148" s="99">
        <f>AG12</f>
        <v>159.50899999999999</v>
      </c>
      <c r="AH148" s="84">
        <f>AH12</f>
        <v>167.08199999999999</v>
      </c>
      <c r="AI148" s="84">
        <f>AI12</f>
        <v>181.69200000000001</v>
      </c>
      <c r="AJ148" s="84">
        <f>AJ12</f>
        <v>193.73699999999999</v>
      </c>
      <c r="AK148" s="86">
        <f>AK12</f>
        <v>193.73699999999999</v>
      </c>
      <c r="AL148" s="39"/>
      <c r="AM148" s="99">
        <f>AM12</f>
        <v>190.22</v>
      </c>
      <c r="AN148" s="84">
        <f>AN12</f>
        <v>189.958</v>
      </c>
      <c r="AO148" s="84">
        <f>AO12</f>
        <v>214.91800000000001</v>
      </c>
      <c r="AP148" s="84">
        <f>AP12</f>
        <v>197.41800000000001</v>
      </c>
      <c r="AQ148" s="86">
        <f>AQ12</f>
        <v>197.41800000000001</v>
      </c>
      <c r="AR148" s="39"/>
      <c r="AS148" s="99">
        <f>AS12</f>
        <v>202.215</v>
      </c>
      <c r="AT148" s="84">
        <f>AT12</f>
        <v>208.28899999999999</v>
      </c>
      <c r="AU148" s="84">
        <f>AU12</f>
        <v>211.08799999999999</v>
      </c>
      <c r="AV148" s="84">
        <f>AV12</f>
        <v>230.77</v>
      </c>
      <c r="AW148" s="86">
        <f>AW12</f>
        <v>230.77</v>
      </c>
      <c r="AX148" s="39"/>
      <c r="AY148" s="99">
        <f>AY12</f>
        <v>231.94300000000001</v>
      </c>
      <c r="AZ148" s="84">
        <f>AZ12</f>
        <v>217.57400000000001</v>
      </c>
      <c r="BA148" s="84">
        <f>BA12</f>
        <v>220.98400000000001</v>
      </c>
      <c r="BB148" s="84">
        <f>BB12</f>
        <v>250.72900000000001</v>
      </c>
      <c r="BC148" s="86">
        <f>BC12</f>
        <v>250.72900000000001</v>
      </c>
      <c r="BD148" s="84"/>
      <c r="BE148" s="99">
        <f>BE12</f>
        <v>244.358</v>
      </c>
      <c r="BF148" s="84">
        <f>BF12</f>
        <v>247.96799999999999</v>
      </c>
      <c r="BG148" s="84">
        <f>BG12</f>
        <v>236.42699999999999</v>
      </c>
      <c r="BH148" s="84">
        <f>BH12</f>
        <v>259.70999999999998</v>
      </c>
      <c r="BI148" s="86">
        <f>BI12</f>
        <v>259.70999999999998</v>
      </c>
      <c r="BJ148" s="84"/>
      <c r="BK148" s="99">
        <f>BK12</f>
        <v>244.828</v>
      </c>
      <c r="BL148" s="84">
        <f>BL12</f>
        <v>248.25399999999999</v>
      </c>
      <c r="BM148" s="84">
        <f>BM12</f>
        <v>257.10300000000001</v>
      </c>
      <c r="BN148" s="84">
        <f>BN12</f>
        <v>265.23099999999999</v>
      </c>
      <c r="BO148" s="86">
        <f>BO12</f>
        <v>265.23099999999999</v>
      </c>
      <c r="BP148" s="84"/>
      <c r="BQ148" s="99">
        <f>BQ12</f>
        <v>231.68899999999999</v>
      </c>
      <c r="BR148" s="84">
        <f>BR12</f>
        <v>245.74</v>
      </c>
      <c r="BS148" s="84">
        <f>BS12</f>
        <v>244.554</v>
      </c>
      <c r="BT148" s="84">
        <f>BT12</f>
        <v>273.85300000000001</v>
      </c>
      <c r="BU148" s="86">
        <f>BU12</f>
        <v>273.85300000000001</v>
      </c>
      <c r="BV148" s="84"/>
      <c r="BW148" s="99">
        <f>BW12</f>
        <v>257.08999999999997</v>
      </c>
      <c r="BX148" s="84">
        <f>BX12</f>
        <v>254.78</v>
      </c>
      <c r="BY148" s="84">
        <f>BY12</f>
        <v>260.03899999999999</v>
      </c>
      <c r="BZ148" s="84">
        <f>BZ12</f>
        <v>278.24400000000003</v>
      </c>
      <c r="CA148" s="86">
        <f>CA12</f>
        <v>278.24400000000003</v>
      </c>
      <c r="CB148" s="84"/>
      <c r="CC148" s="99">
        <f>CC12</f>
        <v>250.86500000000001</v>
      </c>
      <c r="CD148" s="84">
        <f>CD12</f>
        <v>278.392</v>
      </c>
      <c r="CE148" s="84">
        <f>CE12</f>
        <v>294.971</v>
      </c>
      <c r="CF148" s="84">
        <f>CF12</f>
        <v>329.13799999999998</v>
      </c>
      <c r="CG148" s="86">
        <f>CG12</f>
        <v>329.13799999999998</v>
      </c>
      <c r="CH148" s="84"/>
      <c r="CI148" s="99">
        <f>CI12</f>
        <v>270.9414786102559</v>
      </c>
      <c r="CJ148" s="84">
        <f>CJ12</f>
        <v>302.01588693959053</v>
      </c>
      <c r="CK148" s="84">
        <f>CK12</f>
        <v>321.78321147455983</v>
      </c>
      <c r="CL148" s="84">
        <f>CL12</f>
        <v>374.86073247667719</v>
      </c>
      <c r="CM148" s="86">
        <f>CM12</f>
        <v>374.86073247667719</v>
      </c>
      <c r="CN148" s="84"/>
      <c r="CO148" s="99">
        <f>CO12</f>
        <v>292.48945976178499</v>
      </c>
      <c r="CP148" s="84">
        <f>CP12</f>
        <v>315.63827747626033</v>
      </c>
      <c r="CQ148" s="84">
        <f>CQ12</f>
        <v>336.3224881047131</v>
      </c>
      <c r="CR148" s="84">
        <f>CR12</f>
        <v>402.93392900647785</v>
      </c>
      <c r="CS148" s="86">
        <f>CS12</f>
        <v>402.93392900647785</v>
      </c>
      <c r="CT148" s="84"/>
      <c r="CU148" s="99">
        <f>CU12</f>
        <v>314.61338975872354</v>
      </c>
      <c r="CV148" s="84">
        <f>CV12</f>
        <v>337.29807998879556</v>
      </c>
      <c r="CW148" s="84">
        <f>CW12</f>
        <v>364.22727322417802</v>
      </c>
      <c r="CX148" s="84">
        <f>CX12</f>
        <v>436.5113387575027</v>
      </c>
      <c r="CY148" s="86">
        <f>CY12</f>
        <v>436.5113387575027</v>
      </c>
      <c r="CZ148" s="84"/>
      <c r="DA148" s="84"/>
      <c r="DB148" s="84"/>
    </row>
    <row r="149" spans="1:106" ht="11.25" customHeight="1" outlineLevel="1" x14ac:dyDescent="0.2">
      <c r="A149" s="62" t="s">
        <v>141</v>
      </c>
      <c r="B149" s="39"/>
      <c r="C149" s="99"/>
      <c r="D149" s="84"/>
      <c r="E149" s="84"/>
      <c r="F149" s="84"/>
      <c r="G149" s="86">
        <f>G14</f>
        <v>60.164000000000001</v>
      </c>
      <c r="H149" s="39"/>
      <c r="I149" s="99">
        <f>I14</f>
        <v>54.540999999999997</v>
      </c>
      <c r="J149" s="84">
        <f>J14</f>
        <v>49.311</v>
      </c>
      <c r="K149" s="84">
        <f>K14</f>
        <v>50.298000000000002</v>
      </c>
      <c r="L149" s="84">
        <f>L14</f>
        <v>53.652999999999999</v>
      </c>
      <c r="M149" s="86">
        <f>M14</f>
        <v>53.652999999999999</v>
      </c>
      <c r="N149" s="39"/>
      <c r="O149" s="99">
        <f>O14</f>
        <v>54.527000000000001</v>
      </c>
      <c r="P149" s="84">
        <f>P14</f>
        <v>58.183999999999997</v>
      </c>
      <c r="Q149" s="84">
        <f>Q14</f>
        <v>59.314999999999998</v>
      </c>
      <c r="R149" s="84">
        <f>R14</f>
        <v>64.084999999999994</v>
      </c>
      <c r="S149" s="86">
        <f>S14</f>
        <v>64.084999999999994</v>
      </c>
      <c r="T149" s="39"/>
      <c r="U149" s="99">
        <f>U14</f>
        <v>66.335999999999999</v>
      </c>
      <c r="V149" s="84">
        <f>V14</f>
        <v>67.236999999999995</v>
      </c>
      <c r="W149" s="84">
        <f>W14</f>
        <v>86.947000000000003</v>
      </c>
      <c r="X149" s="84">
        <f>X14</f>
        <v>88.346000000000004</v>
      </c>
      <c r="Y149" s="86">
        <f>Y14</f>
        <v>88.346000000000004</v>
      </c>
      <c r="Z149" s="39"/>
      <c r="AA149" s="99">
        <f>AA14</f>
        <v>99.094999999999999</v>
      </c>
      <c r="AB149" s="84">
        <f>AB14</f>
        <v>107.768</v>
      </c>
      <c r="AC149" s="84">
        <f>AC14</f>
        <v>113.733</v>
      </c>
      <c r="AD149" s="84">
        <f>AD14</f>
        <v>108.563</v>
      </c>
      <c r="AE149" s="86">
        <f>AE14</f>
        <v>108.563</v>
      </c>
      <c r="AF149" s="39"/>
      <c r="AG149" s="99">
        <f>AG14</f>
        <v>110.089</v>
      </c>
      <c r="AH149" s="84">
        <f>AH14</f>
        <v>120.11</v>
      </c>
      <c r="AI149" s="84">
        <f>AI14</f>
        <v>133.61799999999999</v>
      </c>
      <c r="AJ149" s="84">
        <f>AJ14</f>
        <v>130.851</v>
      </c>
      <c r="AK149" s="86">
        <f>AK14</f>
        <v>130.851</v>
      </c>
      <c r="AL149" s="39"/>
      <c r="AM149" s="99">
        <f>AM14</f>
        <v>125.11799999999999</v>
      </c>
      <c r="AN149" s="84">
        <f>AN14</f>
        <v>117.80800000000001</v>
      </c>
      <c r="AO149" s="84">
        <f>AO14</f>
        <v>131.245</v>
      </c>
      <c r="AP149" s="84">
        <f>AP14</f>
        <v>126.633</v>
      </c>
      <c r="AQ149" s="86">
        <f>AQ14</f>
        <v>126.633</v>
      </c>
      <c r="AR149" s="39"/>
      <c r="AS149" s="99">
        <f>AS14</f>
        <v>132.75200000000001</v>
      </c>
      <c r="AT149" s="84">
        <f>AT14</f>
        <v>139.36500000000001</v>
      </c>
      <c r="AU149" s="84">
        <f>AU14</f>
        <v>145.53100000000001</v>
      </c>
      <c r="AV149" s="84">
        <f>AV14</f>
        <v>132.23599999999999</v>
      </c>
      <c r="AW149" s="86">
        <f>AW14</f>
        <v>132.23599999999999</v>
      </c>
      <c r="AX149" s="39"/>
      <c r="AY149" s="99">
        <f>AY14</f>
        <v>134.358</v>
      </c>
      <c r="AZ149" s="84">
        <f>AZ14</f>
        <v>139.589</v>
      </c>
      <c r="BA149" s="84">
        <f>BA14</f>
        <v>143.173</v>
      </c>
      <c r="BB149" s="84">
        <f>BB14</f>
        <v>135.29300000000001</v>
      </c>
      <c r="BC149" s="86">
        <f>BC14</f>
        <v>135.29300000000001</v>
      </c>
      <c r="BD149" s="84"/>
      <c r="BE149" s="99">
        <f>BE14</f>
        <v>130.64500000000001</v>
      </c>
      <c r="BF149" s="84">
        <f>BF14</f>
        <v>132.64599999999999</v>
      </c>
      <c r="BG149" s="84">
        <f>BG14</f>
        <v>143.15700000000001</v>
      </c>
      <c r="BH149" s="84">
        <f>BH14</f>
        <v>128.09700000000001</v>
      </c>
      <c r="BI149" s="86">
        <f>BI14</f>
        <v>128.09700000000001</v>
      </c>
      <c r="BJ149" s="84"/>
      <c r="BK149" s="99">
        <f>BK14</f>
        <v>133.41200000000001</v>
      </c>
      <c r="BL149" s="84">
        <f>BL14</f>
        <v>135.779</v>
      </c>
      <c r="BM149" s="84">
        <f>BM14</f>
        <v>131.52500000000001</v>
      </c>
      <c r="BN149" s="84">
        <f>BN14</f>
        <v>132.27600000000001</v>
      </c>
      <c r="BO149" s="86">
        <f>BO14</f>
        <v>132.27600000000001</v>
      </c>
      <c r="BP149" s="84"/>
      <c r="BQ149" s="99">
        <f>BQ14</f>
        <v>136.09</v>
      </c>
      <c r="BR149" s="84">
        <f>BR14</f>
        <v>138.43799999999999</v>
      </c>
      <c r="BS149" s="84">
        <f>BS14</f>
        <v>134.07400000000001</v>
      </c>
      <c r="BT149" s="84">
        <f>BT14</f>
        <v>136.58600000000001</v>
      </c>
      <c r="BU149" s="86">
        <f>BU14</f>
        <v>136.58600000000001</v>
      </c>
      <c r="BV149" s="84"/>
      <c r="BW149" s="99">
        <f>BW14</f>
        <v>148.59299999999999</v>
      </c>
      <c r="BX149" s="84">
        <f>BX14</f>
        <v>140.09</v>
      </c>
      <c r="BY149" s="84">
        <f>BY14</f>
        <v>144.71</v>
      </c>
      <c r="BZ149" s="84">
        <f>BZ14</f>
        <v>136.55199999999999</v>
      </c>
      <c r="CA149" s="86">
        <f>CA14</f>
        <v>136.55199999999999</v>
      </c>
      <c r="CB149" s="84"/>
      <c r="CC149" s="99">
        <f>CC14</f>
        <v>144.03299999999999</v>
      </c>
      <c r="CD149" s="84">
        <f>CD14</f>
        <v>155.667</v>
      </c>
      <c r="CE149" s="84">
        <f>CE14</f>
        <v>161.94800000000001</v>
      </c>
      <c r="CF149" s="84">
        <f>CF14</f>
        <v>155.92699999999999</v>
      </c>
      <c r="CG149" s="86">
        <f>CG14</f>
        <v>155.92699999999999</v>
      </c>
      <c r="CH149" s="84"/>
      <c r="CI149" s="99">
        <f>CI14</f>
        <v>147.51089085496764</v>
      </c>
      <c r="CJ149" s="84">
        <f>CJ14</f>
        <v>160.35985798213551</v>
      </c>
      <c r="CK149" s="84">
        <f>CK14</f>
        <v>177.8409174886842</v>
      </c>
      <c r="CL149" s="84">
        <f>CL14</f>
        <v>171.15391214339181</v>
      </c>
      <c r="CM149" s="86">
        <f>CM14</f>
        <v>171.15391214339181</v>
      </c>
      <c r="CN149" s="84"/>
      <c r="CO149" s="99">
        <f>CO14</f>
        <v>157.60906620598601</v>
      </c>
      <c r="CP149" s="84">
        <f>CP14</f>
        <v>165.5735414048996</v>
      </c>
      <c r="CQ149" s="84">
        <f>CQ14</f>
        <v>184.85637736607427</v>
      </c>
      <c r="CR149" s="84">
        <f>CR14</f>
        <v>184.85249646046157</v>
      </c>
      <c r="CS149" s="86">
        <f>CS14</f>
        <v>184.85249646046157</v>
      </c>
      <c r="CT149" s="84"/>
      <c r="CU149" s="99">
        <f>CU14</f>
        <v>166.90613122641903</v>
      </c>
      <c r="CV149" s="84">
        <f>CV14</f>
        <v>173.82518043969426</v>
      </c>
      <c r="CW149" s="84">
        <f>CW14</f>
        <v>199.88679725935555</v>
      </c>
      <c r="CX149" s="84">
        <f>CX14</f>
        <v>202.48529635945408</v>
      </c>
      <c r="CY149" s="86">
        <f>CY14</f>
        <v>202.48529635945408</v>
      </c>
      <c r="CZ149" s="84"/>
      <c r="DA149" s="84"/>
      <c r="DB149" s="84"/>
    </row>
    <row r="150" spans="1:106" ht="11.25" customHeight="1" outlineLevel="1" x14ac:dyDescent="0.2">
      <c r="A150" s="62" t="s">
        <v>146</v>
      </c>
      <c r="B150" s="39"/>
      <c r="C150" s="99"/>
      <c r="D150" s="84"/>
      <c r="E150" s="84"/>
      <c r="F150" s="84"/>
      <c r="G150" s="86">
        <f>G15+G13+G16</f>
        <v>34.293999999999997</v>
      </c>
      <c r="H150" s="39"/>
      <c r="I150" s="99">
        <f>I15+I13+I16</f>
        <v>29.785</v>
      </c>
      <c r="J150" s="84">
        <f>J15+J13+J16</f>
        <v>36.759</v>
      </c>
      <c r="K150" s="84">
        <f>K15+K13+K16</f>
        <v>38.091000000000001</v>
      </c>
      <c r="L150" s="84">
        <f>L15+L13+L16</f>
        <v>46.366</v>
      </c>
      <c r="M150" s="86">
        <f>M15+M13+M16</f>
        <v>46.366</v>
      </c>
      <c r="N150" s="39"/>
      <c r="O150" s="99">
        <f>O15+O13+O16</f>
        <v>44.724000000000004</v>
      </c>
      <c r="P150" s="84">
        <f>P15+P13+P16</f>
        <v>60.194000000000003</v>
      </c>
      <c r="Q150" s="84">
        <f>Q15+Q13+Q16</f>
        <v>58.980999999999995</v>
      </c>
      <c r="R150" s="84">
        <f>R15+R13+R16</f>
        <v>55.537999999999997</v>
      </c>
      <c r="S150" s="86">
        <f>S15+S13+S16</f>
        <v>55.537999999999997</v>
      </c>
      <c r="T150" s="39"/>
      <c r="U150" s="99">
        <f>U15+U13+U16</f>
        <v>65.668000000000006</v>
      </c>
      <c r="V150" s="84">
        <f>V15+V13+V16</f>
        <v>64.573999999999998</v>
      </c>
      <c r="W150" s="84">
        <f>W15+W13+W16</f>
        <v>96.87299999999999</v>
      </c>
      <c r="X150" s="84">
        <f>X15+X13+X16</f>
        <v>73.259999999999991</v>
      </c>
      <c r="Y150" s="86">
        <f>Y15+Y13+Y16</f>
        <v>73.259999999999991</v>
      </c>
      <c r="Z150" s="39"/>
      <c r="AA150" s="99">
        <f>AA15+AA13+AA16</f>
        <v>92.546999999999997</v>
      </c>
      <c r="AB150" s="84">
        <f>AB15+AB13+AB16</f>
        <v>98.260999999999996</v>
      </c>
      <c r="AC150" s="84">
        <f>AC15+AC13+AC16</f>
        <v>116.46899999999999</v>
      </c>
      <c r="AD150" s="84">
        <f>AD15+AD13+AD16</f>
        <v>103.23899999999999</v>
      </c>
      <c r="AE150" s="86">
        <f>AE15+AE13+AE16</f>
        <v>103.23899999999999</v>
      </c>
      <c r="AF150" s="39"/>
      <c r="AG150" s="99">
        <f>AG15+AG13+AG16</f>
        <v>98.62299999999999</v>
      </c>
      <c r="AH150" s="84">
        <f>AH15+AH13+AH16</f>
        <v>107.74900000000001</v>
      </c>
      <c r="AI150" s="84">
        <f>AI15+AI13+AI16</f>
        <v>195.578</v>
      </c>
      <c r="AJ150" s="84">
        <f>AJ15+AJ13+AJ16</f>
        <v>143.32499999999999</v>
      </c>
      <c r="AK150" s="86">
        <f>AK15+AK13+AK16</f>
        <v>143.32499999999999</v>
      </c>
      <c r="AL150" s="39"/>
      <c r="AM150" s="99">
        <f>AM15+AM13+AM16</f>
        <v>127.50300000000001</v>
      </c>
      <c r="AN150" s="84">
        <f>AN15+AN13+AN16</f>
        <v>126.77500000000001</v>
      </c>
      <c r="AO150" s="84">
        <f>AO15+AO13+AO16</f>
        <v>118.095</v>
      </c>
      <c r="AP150" s="84">
        <f>AP15+AP13+AP16</f>
        <v>106.053</v>
      </c>
      <c r="AQ150" s="86">
        <f>AQ15+AQ13+AQ16</f>
        <v>106.053</v>
      </c>
      <c r="AR150" s="39"/>
      <c r="AS150" s="99">
        <f>AS15+AS13+AS16</f>
        <v>114.36500000000001</v>
      </c>
      <c r="AT150" s="84">
        <f>AT15+AT13+AT16</f>
        <v>106.795</v>
      </c>
      <c r="AU150" s="84">
        <f>AU15+AU13+AU16</f>
        <v>130.74199999999999</v>
      </c>
      <c r="AV150" s="84">
        <f>AV15+AV13+AV16</f>
        <v>109.71599999999999</v>
      </c>
      <c r="AW150" s="86">
        <f>AW15+AW13+AW16</f>
        <v>109.71599999999999</v>
      </c>
      <c r="AX150" s="39"/>
      <c r="AY150" s="99">
        <f>AY15+AY13+AY16</f>
        <v>117.53400000000001</v>
      </c>
      <c r="AZ150" s="84">
        <f>AZ15+AZ13+AZ16</f>
        <v>120.44199999999999</v>
      </c>
      <c r="BA150" s="84">
        <f>BA15+BA13+BA16</f>
        <v>127.917</v>
      </c>
      <c r="BB150" s="84">
        <f>BB15+BB13+BB16</f>
        <v>122.111</v>
      </c>
      <c r="BC150" s="86">
        <f>BC15+BC13+BC16</f>
        <v>122.111</v>
      </c>
      <c r="BD150" s="84"/>
      <c r="BE150" s="99">
        <f>BE15+BE13+BE16</f>
        <v>148.07400000000001</v>
      </c>
      <c r="BF150" s="84">
        <f>BF15+BF13+BF16</f>
        <v>148.01</v>
      </c>
      <c r="BG150" s="84">
        <f>BG15+BG13+BG16</f>
        <v>138.39600000000002</v>
      </c>
      <c r="BH150" s="84">
        <f>BH15+BH13+BH16</f>
        <v>152.85600000000002</v>
      </c>
      <c r="BI150" s="86">
        <f>BI15+BI13+BI16</f>
        <v>152.85600000000002</v>
      </c>
      <c r="BJ150" s="84"/>
      <c r="BK150" s="99">
        <f>BK15+BK13+BK16</f>
        <v>159.892</v>
      </c>
      <c r="BL150" s="84">
        <f>BL15+BL13+BL16</f>
        <v>162.059</v>
      </c>
      <c r="BM150" s="84">
        <f>BM15+BM13+BM16</f>
        <v>186.61099999999999</v>
      </c>
      <c r="BN150" s="84">
        <f>BN15+BN13+BN16</f>
        <v>174.54</v>
      </c>
      <c r="BO150" s="86">
        <f>BO15+BO13+BO16</f>
        <v>174.54</v>
      </c>
      <c r="BP150" s="84"/>
      <c r="BQ150" s="99">
        <f>BQ15+BQ13+BQ16</f>
        <v>188.82400000000001</v>
      </c>
      <c r="BR150" s="84">
        <f>BR15+BR13+BR16</f>
        <v>172.381</v>
      </c>
      <c r="BS150" s="84">
        <f>BS15+BS13+BS16</f>
        <v>165.947</v>
      </c>
      <c r="BT150" s="84">
        <f>BT15+BT13+BT16</f>
        <v>130.34699999999998</v>
      </c>
      <c r="BU150" s="86">
        <f>BU15+BU13+BU16</f>
        <v>130.34699999999998</v>
      </c>
      <c r="BV150" s="84"/>
      <c r="BW150" s="99">
        <f>BW15+BW13+BW16</f>
        <v>110.065</v>
      </c>
      <c r="BX150" s="84">
        <f>BX15+BX13+BX16</f>
        <v>99.256</v>
      </c>
      <c r="BY150" s="84">
        <f>BY15+BY13+BY16</f>
        <v>93.971999999999994</v>
      </c>
      <c r="BZ150" s="84">
        <f>BZ15+BZ13+BZ16</f>
        <v>90.594000000000008</v>
      </c>
      <c r="CA150" s="86">
        <f>CA15+CA13+CA16</f>
        <v>90.594000000000008</v>
      </c>
      <c r="CB150" s="84"/>
      <c r="CC150" s="99">
        <f>CC15+CC13+CC16</f>
        <v>94.914000000000001</v>
      </c>
      <c r="CD150" s="84">
        <f>CD15+CD13+CD16</f>
        <v>116.348</v>
      </c>
      <c r="CE150" s="84">
        <f>CE15+CE13+CE16</f>
        <v>138.83600000000001</v>
      </c>
      <c r="CF150" s="84">
        <f>CF15+CF13+CF16</f>
        <v>145.99599999999998</v>
      </c>
      <c r="CG150" s="86">
        <f>CG15+CG13+CG16</f>
        <v>145.99599999999998</v>
      </c>
      <c r="CH150" s="84"/>
      <c r="CI150" s="99">
        <f>CI15+CI13+CI16</f>
        <v>116.65554430342709</v>
      </c>
      <c r="CJ150" s="84">
        <f>CJ15+CJ13+CJ16</f>
        <v>134.17461773656225</v>
      </c>
      <c r="CK150" s="84">
        <f>CK15+CK13+CK16</f>
        <v>154.563657673915</v>
      </c>
      <c r="CL150" s="84">
        <f>CL15+CL13+CL16</f>
        <v>108.23855480247508</v>
      </c>
      <c r="CM150" s="86">
        <f>CM15+CM13+CM16</f>
        <v>108.23855480247508</v>
      </c>
      <c r="CN150" s="84"/>
      <c r="CO150" s="99">
        <f>CO15+CO13+CO16</f>
        <v>125.16206025529836</v>
      </c>
      <c r="CP150" s="84">
        <f>CP15+CP13+CP16</f>
        <v>141.32628758800058</v>
      </c>
      <c r="CQ150" s="84">
        <f>CQ15+CQ13+CQ16</f>
        <v>161.43556486047402</v>
      </c>
      <c r="CR150" s="84">
        <f>CR15+CR13+CR16</f>
        <v>114.32523124283271</v>
      </c>
      <c r="CS150" s="86">
        <f>CS15+CS13+CS16</f>
        <v>114.32523124283271</v>
      </c>
      <c r="CT150" s="84"/>
      <c r="CU150" s="99">
        <f>CU15+CU13+CU16</f>
        <v>134.34073772230968</v>
      </c>
      <c r="CV150" s="84">
        <f>CV15+CV13+CV16</f>
        <v>151.57754409073101</v>
      </c>
      <c r="CW150" s="84">
        <f>CW15+CW13+CW16</f>
        <v>173.41517437609889</v>
      </c>
      <c r="CX150" s="84">
        <f>CX15+CX13+CX16</f>
        <v>121.60389926729985</v>
      </c>
      <c r="CY150" s="86">
        <f>CY15+CY13+CY16</f>
        <v>121.60389926729985</v>
      </c>
      <c r="CZ150" s="84"/>
      <c r="DA150" s="84"/>
      <c r="DB150" s="84"/>
    </row>
    <row r="151" spans="1:106" ht="11.25" customHeight="1" outlineLevel="1" x14ac:dyDescent="0.2">
      <c r="A151" s="62" t="s">
        <v>142</v>
      </c>
      <c r="B151" s="39"/>
      <c r="C151" s="99"/>
      <c r="D151" s="84"/>
      <c r="E151" s="84"/>
      <c r="F151" s="84"/>
      <c r="G151" s="86">
        <f>G20</f>
        <v>217.108</v>
      </c>
      <c r="H151" s="39"/>
      <c r="I151" s="99">
        <f>I20</f>
        <v>209.01599999999999</v>
      </c>
      <c r="J151" s="84">
        <f>J20</f>
        <v>197.922</v>
      </c>
      <c r="K151" s="84">
        <f>K20</f>
        <v>194.83799999999999</v>
      </c>
      <c r="L151" s="84">
        <f>L20</f>
        <v>195.19900000000001</v>
      </c>
      <c r="M151" s="86">
        <f>M20</f>
        <v>195.19900000000001</v>
      </c>
      <c r="N151" s="39"/>
      <c r="O151" s="99">
        <f>O20</f>
        <v>200.21100000000001</v>
      </c>
      <c r="P151" s="84">
        <f>P20</f>
        <v>208.98</v>
      </c>
      <c r="Q151" s="84">
        <f>Q20</f>
        <v>210.40600000000001</v>
      </c>
      <c r="R151" s="84">
        <f>R20</f>
        <v>221.27699999999999</v>
      </c>
      <c r="S151" s="86">
        <f>S20</f>
        <v>221.27699999999999</v>
      </c>
      <c r="T151" s="39"/>
      <c r="U151" s="99">
        <f>U20</f>
        <v>224.124</v>
      </c>
      <c r="V151" s="84">
        <f>V20</f>
        <v>228.00899999999999</v>
      </c>
      <c r="W151" s="84">
        <f>W20</f>
        <v>276.709</v>
      </c>
      <c r="X151" s="84">
        <f>X20</f>
        <v>283.49099999999999</v>
      </c>
      <c r="Y151" s="86">
        <f>Y20</f>
        <v>283.49099999999999</v>
      </c>
      <c r="Z151" s="39"/>
      <c r="AA151" s="99">
        <f>AA20</f>
        <v>299.59699999999998</v>
      </c>
      <c r="AB151" s="84">
        <f>AB20</f>
        <v>301.04000000000002</v>
      </c>
      <c r="AC151" s="84">
        <f>AC20</f>
        <v>284.21600000000001</v>
      </c>
      <c r="AD151" s="84">
        <f>AD20</f>
        <v>289.67200000000003</v>
      </c>
      <c r="AE151" s="86">
        <f>AE20</f>
        <v>289.67200000000003</v>
      </c>
      <c r="AF151" s="39"/>
      <c r="AG151" s="99">
        <f>AG20</f>
        <v>281.44</v>
      </c>
      <c r="AH151" s="84">
        <f>AH20</f>
        <v>296.00200000000001</v>
      </c>
      <c r="AI151" s="84">
        <f>AI20</f>
        <v>310.21499999999997</v>
      </c>
      <c r="AJ151" s="84">
        <f>AJ20</f>
        <v>317.46699999999998</v>
      </c>
      <c r="AK151" s="86">
        <f>AK20</f>
        <v>317.46699999999998</v>
      </c>
      <c r="AL151" s="39"/>
      <c r="AM151" s="99">
        <f>AM20</f>
        <v>312.42399999999998</v>
      </c>
      <c r="AN151" s="84">
        <f>AN20</f>
        <v>303.38099999999997</v>
      </c>
      <c r="AO151" s="84">
        <f>AO20</f>
        <v>336.74599999999998</v>
      </c>
      <c r="AP151" s="84">
        <f>AP20</f>
        <v>345.66399999999999</v>
      </c>
      <c r="AQ151" s="86">
        <f>AQ20</f>
        <v>345.66399999999999</v>
      </c>
      <c r="AR151" s="39"/>
      <c r="AS151" s="99">
        <f>AS20</f>
        <v>369.95499999999998</v>
      </c>
      <c r="AT151" s="84">
        <f>AT20</f>
        <v>385.267</v>
      </c>
      <c r="AU151" s="84">
        <f>AU20</f>
        <v>373.62</v>
      </c>
      <c r="AV151" s="84">
        <f>AV20</f>
        <v>371.79199999999997</v>
      </c>
      <c r="AW151" s="86">
        <f>AW20</f>
        <v>371.79199999999997</v>
      </c>
      <c r="AX151" s="39"/>
      <c r="AY151" s="99">
        <f>AY20</f>
        <v>386.39600000000002</v>
      </c>
      <c r="AZ151" s="84">
        <f>AZ20</f>
        <v>383.815</v>
      </c>
      <c r="BA151" s="84">
        <f>BA20</f>
        <v>407.53</v>
      </c>
      <c r="BB151" s="84">
        <f>BB20</f>
        <v>418.93200000000002</v>
      </c>
      <c r="BC151" s="86">
        <f>BC20</f>
        <v>418.93200000000002</v>
      </c>
      <c r="BD151" s="84"/>
      <c r="BE151" s="99">
        <f>BE20</f>
        <v>415.99599999999998</v>
      </c>
      <c r="BF151" s="84">
        <f>BF20</f>
        <v>412.41899999999998</v>
      </c>
      <c r="BG151" s="84">
        <f>BG20</f>
        <v>428.536</v>
      </c>
      <c r="BH151" s="84">
        <f>BH20</f>
        <v>445.04399999999998</v>
      </c>
      <c r="BI151" s="86">
        <f>BI20</f>
        <v>445.04399999999998</v>
      </c>
      <c r="BJ151" s="84"/>
      <c r="BK151" s="99">
        <f>BK20</f>
        <v>450.61399999999998</v>
      </c>
      <c r="BL151" s="84">
        <f>BL20</f>
        <v>460.85700000000003</v>
      </c>
      <c r="BM151" s="84">
        <f>BM20</f>
        <v>441.55799999999999</v>
      </c>
      <c r="BN151" s="84">
        <f>BN20</f>
        <v>428.09300000000002</v>
      </c>
      <c r="BO151" s="86">
        <f>BO20</f>
        <v>428.09300000000002</v>
      </c>
      <c r="BP151" s="84"/>
      <c r="BQ151" s="99">
        <f>BQ20</f>
        <v>409.69799999999998</v>
      </c>
      <c r="BR151" s="84">
        <f>BR20</f>
        <v>444.87200000000001</v>
      </c>
      <c r="BS151" s="84">
        <f>BS20</f>
        <v>441.90699999999998</v>
      </c>
      <c r="BT151" s="84">
        <f>BT20</f>
        <v>442.94400000000002</v>
      </c>
      <c r="BU151" s="86">
        <f>BU20</f>
        <v>442.94400000000002</v>
      </c>
      <c r="BV151" s="84"/>
      <c r="BW151" s="99">
        <f>BW20</f>
        <v>459.63099999999997</v>
      </c>
      <c r="BX151" s="84">
        <f>BX20</f>
        <v>460.33699999999999</v>
      </c>
      <c r="BY151" s="84">
        <f>BY20</f>
        <v>460.50900000000001</v>
      </c>
      <c r="BZ151" s="84">
        <f>BZ20</f>
        <v>436.65499999999997</v>
      </c>
      <c r="CA151" s="86">
        <f>CA20</f>
        <v>436.65499999999997</v>
      </c>
      <c r="CB151" s="84"/>
      <c r="CC151" s="99">
        <f>CC20</f>
        <v>441.84899999999999</v>
      </c>
      <c r="CD151" s="84">
        <f>CD20</f>
        <v>465.54700000000003</v>
      </c>
      <c r="CE151" s="84">
        <f>CE20</f>
        <v>484.39800000000002</v>
      </c>
      <c r="CF151" s="84">
        <f>CF20</f>
        <v>494.32100000000003</v>
      </c>
      <c r="CG151" s="86">
        <f>CG20</f>
        <v>494.32100000000003</v>
      </c>
      <c r="CH151" s="84"/>
      <c r="CI151" s="99">
        <f>CI20</f>
        <v>496.70925919824617</v>
      </c>
      <c r="CJ151" s="84">
        <f>CJ20</f>
        <v>501.78816687058293</v>
      </c>
      <c r="CK151" s="84">
        <f>CK20</f>
        <v>507.23487243025932</v>
      </c>
      <c r="CL151" s="84">
        <f>CL20</f>
        <v>513.91820536738226</v>
      </c>
      <c r="CM151" s="86">
        <f>CM20</f>
        <v>513.91820536738226</v>
      </c>
      <c r="CN151" s="84"/>
      <c r="CO151" s="99">
        <f>CO20</f>
        <v>516.85202260673088</v>
      </c>
      <c r="CP151" s="84">
        <f>CP20</f>
        <v>521.89305891395247</v>
      </c>
      <c r="CQ151" s="84">
        <f>CQ20</f>
        <v>526.91531373645466</v>
      </c>
      <c r="CR151" s="84">
        <f>CR20</f>
        <v>534.0530991908829</v>
      </c>
      <c r="CS151" s="86">
        <f>CS20</f>
        <v>534.0530991908829</v>
      </c>
      <c r="CT151" s="84"/>
      <c r="CU151" s="99">
        <f>CU20</f>
        <v>537.5686790213241</v>
      </c>
      <c r="CV151" s="84">
        <f>CV20</f>
        <v>543.24065623812942</v>
      </c>
      <c r="CW151" s="84">
        <f>CW20</f>
        <v>548.82450309279864</v>
      </c>
      <c r="CX151" s="84">
        <f>CX20</f>
        <v>556.70239535324083</v>
      </c>
      <c r="CY151" s="86">
        <f>CY20</f>
        <v>556.70239535324083</v>
      </c>
      <c r="CZ151" s="84"/>
      <c r="DA151" s="84"/>
      <c r="DB151" s="84"/>
    </row>
    <row r="152" spans="1:106" ht="11.25" customHeight="1" outlineLevel="1" x14ac:dyDescent="0.2">
      <c r="A152" s="62" t="s">
        <v>147</v>
      </c>
      <c r="B152" s="39"/>
      <c r="C152" s="99"/>
      <c r="D152" s="84"/>
      <c r="E152" s="84"/>
      <c r="F152" s="84"/>
      <c r="G152" s="86">
        <f>G24+G23</f>
        <v>19.385999999999999</v>
      </c>
      <c r="H152" s="39"/>
      <c r="I152" s="99">
        <f>I24+I23</f>
        <v>21.638000000000002</v>
      </c>
      <c r="J152" s="84">
        <f>J24+J23</f>
        <v>29.929000000000002</v>
      </c>
      <c r="K152" s="84">
        <f>K24+K23</f>
        <v>33.679000000000002</v>
      </c>
      <c r="L152" s="84">
        <f>L24+L23</f>
        <v>31.361999999999998</v>
      </c>
      <c r="M152" s="86">
        <f>M24+M23</f>
        <v>31.361999999999998</v>
      </c>
      <c r="N152" s="39"/>
      <c r="O152" s="99">
        <f>O24+O23</f>
        <v>31.811</v>
      </c>
      <c r="P152" s="84">
        <f>P24+P23</f>
        <v>22.954999999999998</v>
      </c>
      <c r="Q152" s="84">
        <f>Q24+Q23</f>
        <v>27.835000000000001</v>
      </c>
      <c r="R152" s="84">
        <f>R24+R23</f>
        <v>28.910999999999998</v>
      </c>
      <c r="S152" s="86">
        <f>S24+S23</f>
        <v>28.910999999999998</v>
      </c>
      <c r="T152" s="39"/>
      <c r="U152" s="99">
        <f>U24+U23</f>
        <v>37.911000000000001</v>
      </c>
      <c r="V152" s="84">
        <f>V24+V23</f>
        <v>38.619</v>
      </c>
      <c r="W152" s="84">
        <f>W24+W23</f>
        <v>35.323</v>
      </c>
      <c r="X152" s="84">
        <f>X24+X23</f>
        <v>96.748000000000005</v>
      </c>
      <c r="Y152" s="86">
        <f>Y24+Y23</f>
        <v>96.748000000000005</v>
      </c>
      <c r="Z152" s="39"/>
      <c r="AA152" s="99">
        <f>AA24+AA23</f>
        <v>102.55500000000001</v>
      </c>
      <c r="AB152" s="84">
        <f>AB24+AB23</f>
        <v>101.69499999999999</v>
      </c>
      <c r="AC152" s="84">
        <f>AC24+AC23</f>
        <v>113.10399999999998</v>
      </c>
      <c r="AD152" s="84">
        <f>AD24+AD23</f>
        <v>99.682000000000002</v>
      </c>
      <c r="AE152" s="86">
        <f>AE24+AE23</f>
        <v>99.682000000000002</v>
      </c>
      <c r="AF152" s="39"/>
      <c r="AG152" s="99">
        <f>AG24+AG23</f>
        <v>76.747</v>
      </c>
      <c r="AH152" s="84">
        <f>AH24+AH23</f>
        <v>100.27600000000001</v>
      </c>
      <c r="AI152" s="84">
        <f>AI24+AI23</f>
        <v>104.744</v>
      </c>
      <c r="AJ152" s="84">
        <f>AJ24+AJ23</f>
        <v>56.167000000000002</v>
      </c>
      <c r="AK152" s="86">
        <f>AK24+AK23</f>
        <v>56.167000000000002</v>
      </c>
      <c r="AL152" s="39"/>
      <c r="AM152" s="99">
        <f>AM24+AM23</f>
        <v>62.203999999999994</v>
      </c>
      <c r="AN152" s="84">
        <f>AN24+AN23</f>
        <v>81.034999999999997</v>
      </c>
      <c r="AO152" s="84">
        <f>AO24+AO23</f>
        <v>76.349000000000004</v>
      </c>
      <c r="AP152" s="84">
        <f>AP24+AP23</f>
        <v>98.135000000000005</v>
      </c>
      <c r="AQ152" s="86">
        <f>AQ24+AQ23</f>
        <v>98.135000000000005</v>
      </c>
      <c r="AR152" s="39"/>
      <c r="AS152" s="99">
        <f>AS24+AS23</f>
        <v>83.117000000000004</v>
      </c>
      <c r="AT152" s="84">
        <f>AT24+AT23</f>
        <v>93</v>
      </c>
      <c r="AU152" s="84">
        <f>AU24+AU23</f>
        <v>88.316999999999993</v>
      </c>
      <c r="AV152" s="84">
        <f>AV24+AV23</f>
        <v>83.02000000000001</v>
      </c>
      <c r="AW152" s="86">
        <f>AW24+AW23</f>
        <v>83.02000000000001</v>
      </c>
      <c r="AX152" s="39"/>
      <c r="AY152" s="99">
        <f>AY24+AY23</f>
        <v>85.435999999999993</v>
      </c>
      <c r="AZ152" s="84">
        <f>AZ24+AZ23</f>
        <v>90.049000000000007</v>
      </c>
      <c r="BA152" s="84">
        <f>BA24+BA23</f>
        <v>100.011</v>
      </c>
      <c r="BB152" s="84">
        <f>BB24+BB23</f>
        <v>62.308</v>
      </c>
      <c r="BC152" s="86">
        <f>BC24+BC23</f>
        <v>62.308</v>
      </c>
      <c r="BD152" s="84"/>
      <c r="BE152" s="99">
        <f>BE24+BE23</f>
        <v>67.36699999999999</v>
      </c>
      <c r="BF152" s="84">
        <f>BF24+BF23</f>
        <v>72.022999999999996</v>
      </c>
      <c r="BG152" s="84">
        <f>BG24+BG23</f>
        <v>77.238</v>
      </c>
      <c r="BH152" s="84">
        <f>BH24+BH23</f>
        <v>76.363</v>
      </c>
      <c r="BI152" s="86">
        <f>BI24+BI23</f>
        <v>76.363</v>
      </c>
      <c r="BJ152" s="84"/>
      <c r="BK152" s="99">
        <f>BK24+BK23</f>
        <v>194.36</v>
      </c>
      <c r="BL152" s="84">
        <f>BL24+BL23</f>
        <v>251.357</v>
      </c>
      <c r="BM152" s="84">
        <f>BM24+BM23</f>
        <v>214.23600000000002</v>
      </c>
      <c r="BN152" s="84">
        <f>BN24+BN23</f>
        <v>262.65199999999999</v>
      </c>
      <c r="BO152" s="86">
        <f>BO24+BO23</f>
        <v>262.65199999999999</v>
      </c>
      <c r="BP152" s="84"/>
      <c r="BQ152" s="99">
        <f>BQ24+BQ23</f>
        <v>269.66800000000001</v>
      </c>
      <c r="BR152" s="84">
        <f>BR24+BR23</f>
        <v>224.73</v>
      </c>
      <c r="BS152" s="84">
        <f>BS24+BS23</f>
        <v>259.01</v>
      </c>
      <c r="BT152" s="84">
        <f>BT24+BT23</f>
        <v>273.00099999999998</v>
      </c>
      <c r="BU152" s="86">
        <f>BU24+BU23</f>
        <v>273.00099999999998</v>
      </c>
      <c r="BV152" s="84"/>
      <c r="BW152" s="99">
        <f>BW24+BW23</f>
        <v>183.87700000000001</v>
      </c>
      <c r="BX152" s="84">
        <f>BX24+BX23</f>
        <v>192.05600000000001</v>
      </c>
      <c r="BY152" s="84">
        <f>BY24+BY23</f>
        <v>318.78899999999999</v>
      </c>
      <c r="BZ152" s="84">
        <f>BZ24+BZ23</f>
        <v>351.29300000000001</v>
      </c>
      <c r="CA152" s="86">
        <f>CA24+CA23</f>
        <v>351.29300000000001</v>
      </c>
      <c r="CB152" s="84"/>
      <c r="CC152" s="99">
        <f>CC24+CC23</f>
        <v>334.07</v>
      </c>
      <c r="CD152" s="84">
        <f>CD24+CD23</f>
        <v>388.673</v>
      </c>
      <c r="CE152" s="84">
        <f>CE24+CE23</f>
        <v>506.91700000000003</v>
      </c>
      <c r="CF152" s="84">
        <f>CF24+CF23</f>
        <v>384</v>
      </c>
      <c r="CG152" s="86">
        <f>CG24+CG23</f>
        <v>384</v>
      </c>
      <c r="CH152" s="84"/>
      <c r="CI152" s="99">
        <f>CI24+CI23</f>
        <v>413.08639368691161</v>
      </c>
      <c r="CJ152" s="84">
        <f>CJ24+CJ23</f>
        <v>422.64855070035844</v>
      </c>
      <c r="CK152" s="84">
        <f>CK24+CK23</f>
        <v>425.24276558318843</v>
      </c>
      <c r="CL152" s="84">
        <f>CL24+CL23</f>
        <v>430.55894350309381</v>
      </c>
      <c r="CM152" s="86">
        <f>CM24+CM23</f>
        <v>430.55894350309381</v>
      </c>
      <c r="CN152" s="84"/>
      <c r="CO152" s="99">
        <f>CO24+CO23</f>
        <v>420.63282106600872</v>
      </c>
      <c r="CP152" s="84">
        <f>CP24+CP23</f>
        <v>428.54130618906783</v>
      </c>
      <c r="CQ152" s="84">
        <f>CQ24+CQ23</f>
        <v>430.05653524636051</v>
      </c>
      <c r="CR152" s="84">
        <f>CR24+CR23</f>
        <v>438.16728905354091</v>
      </c>
      <c r="CS152" s="86">
        <f>CS24+CS23</f>
        <v>438.16728905354091</v>
      </c>
      <c r="CT152" s="84"/>
      <c r="CU152" s="99">
        <f>CU24+CU23</f>
        <v>428.77554639948903</v>
      </c>
      <c r="CV152" s="84">
        <f>CV24+CV23</f>
        <v>436.9880255255992</v>
      </c>
      <c r="CW152" s="84">
        <f>CW24+CW23</f>
        <v>438.44824940917033</v>
      </c>
      <c r="CX152" s="84">
        <f>CX24+CX23</f>
        <v>447.26562408412479</v>
      </c>
      <c r="CY152" s="86">
        <f>CY24+CY23</f>
        <v>447.26562408412479</v>
      </c>
      <c r="CZ152" s="84"/>
      <c r="DA152" s="84"/>
      <c r="DB152" s="84"/>
    </row>
    <row r="153" spans="1:106" ht="11.25" customHeight="1" outlineLevel="1" x14ac:dyDescent="0.2">
      <c r="A153" s="62" t="s">
        <v>148</v>
      </c>
      <c r="B153" s="39"/>
      <c r="C153" s="99"/>
      <c r="D153" s="84"/>
      <c r="E153" s="84"/>
      <c r="F153" s="84"/>
      <c r="G153" s="86">
        <f>G22+G21</f>
        <v>91.021000000000001</v>
      </c>
      <c r="H153" s="39"/>
      <c r="I153" s="99">
        <f>I22+I21</f>
        <v>87.073999999999998</v>
      </c>
      <c r="J153" s="84">
        <f>J22+J21</f>
        <v>143.77099999999999</v>
      </c>
      <c r="K153" s="84">
        <f>K22+K21</f>
        <v>148.55500000000001</v>
      </c>
      <c r="L153" s="84">
        <f>L22+L21</f>
        <v>168.48000000000002</v>
      </c>
      <c r="M153" s="86">
        <f>M22+M21</f>
        <v>168.48000000000002</v>
      </c>
      <c r="N153" s="39"/>
      <c r="O153" s="99">
        <f>O22+O21</f>
        <v>185.15699999999998</v>
      </c>
      <c r="P153" s="84">
        <f>P22+P21</f>
        <v>240.63599999999997</v>
      </c>
      <c r="Q153" s="84">
        <f>Q22+Q21</f>
        <v>246.95</v>
      </c>
      <c r="R153" s="84">
        <f>R22+R21</f>
        <v>278.63299999999998</v>
      </c>
      <c r="S153" s="86">
        <f>S22+S21</f>
        <v>278.63299999999998</v>
      </c>
      <c r="T153" s="39"/>
      <c r="U153" s="99">
        <f>U22+U21</f>
        <v>284.77100000000002</v>
      </c>
      <c r="V153" s="84">
        <f>V22+V21</f>
        <v>291.834</v>
      </c>
      <c r="W153" s="84">
        <f>W22+W21</f>
        <v>1762.357</v>
      </c>
      <c r="X153" s="84">
        <f>X22+X21</f>
        <v>1746.989</v>
      </c>
      <c r="Y153" s="86">
        <f>Y22+Y21</f>
        <v>1746.989</v>
      </c>
      <c r="Z153" s="39"/>
      <c r="AA153" s="99">
        <f>AA22+AA21</f>
        <v>1744.432</v>
      </c>
      <c r="AB153" s="84">
        <f>AB22+AB21</f>
        <v>1735.4259999999999</v>
      </c>
      <c r="AC153" s="84">
        <f>AC22+AC21</f>
        <v>1767.5</v>
      </c>
      <c r="AD153" s="84">
        <f>AD22+AD21</f>
        <v>1792.414</v>
      </c>
      <c r="AE153" s="86">
        <f>AE22+AE21</f>
        <v>1792.414</v>
      </c>
      <c r="AF153" s="39"/>
      <c r="AG153" s="99">
        <f>AG22+AG21</f>
        <v>1768.9290000000001</v>
      </c>
      <c r="AH153" s="84">
        <f>AH22+AH21</f>
        <v>1788.9969999999998</v>
      </c>
      <c r="AI153" s="84">
        <f>AI22+AI21</f>
        <v>1967.5309999999999</v>
      </c>
      <c r="AJ153" s="84">
        <f>AJ22+AJ21</f>
        <v>2089.36</v>
      </c>
      <c r="AK153" s="86">
        <f>AK22+AK21</f>
        <v>2089.36</v>
      </c>
      <c r="AL153" s="39"/>
      <c r="AM153" s="99">
        <f>AM22+AM21</f>
        <v>2073.96</v>
      </c>
      <c r="AN153" s="84">
        <f>AN22+AN21</f>
        <v>2030.6189999999999</v>
      </c>
      <c r="AO153" s="84">
        <f>AO22+AO21</f>
        <v>2125.8670000000002</v>
      </c>
      <c r="AP153" s="84">
        <f>AP22+AP21</f>
        <v>2105.6080000000002</v>
      </c>
      <c r="AQ153" s="86">
        <f>AQ22+AQ21</f>
        <v>2105.6080000000002</v>
      </c>
      <c r="AR153" s="39"/>
      <c r="AS153" s="99">
        <f>AS22+AS21</f>
        <v>2116.7240000000002</v>
      </c>
      <c r="AT153" s="84">
        <f>AT22+AT21</f>
        <v>2112.1390000000001</v>
      </c>
      <c r="AU153" s="84">
        <f>AU22+AU21</f>
        <v>2512.797</v>
      </c>
      <c r="AV153" s="84">
        <f>AV22+AV21</f>
        <v>2553.2089999999998</v>
      </c>
      <c r="AW153" s="86">
        <f>AW22+AW21</f>
        <v>2553.2089999999998</v>
      </c>
      <c r="AX153" s="39"/>
      <c r="AY153" s="99">
        <f>AY22+AY21</f>
        <v>2567.0810000000001</v>
      </c>
      <c r="AZ153" s="84">
        <f>AZ22+AZ21</f>
        <v>2658.9929999999999</v>
      </c>
      <c r="BA153" s="84">
        <f>BA22+BA21</f>
        <v>2645.5259999999998</v>
      </c>
      <c r="BB153" s="84">
        <f>BB22+BB21</f>
        <v>2613.77</v>
      </c>
      <c r="BC153" s="86">
        <f>BC22+BC21</f>
        <v>2613.77</v>
      </c>
      <c r="BD153" s="84"/>
      <c r="BE153" s="99">
        <f>BE22+BE21</f>
        <v>2566.5929999999998</v>
      </c>
      <c r="BF153" s="84">
        <f>BF22+BF21</f>
        <v>2590.0149999999999</v>
      </c>
      <c r="BG153" s="84">
        <f>BG22+BG21</f>
        <v>2675.5810000000001</v>
      </c>
      <c r="BH153" s="84">
        <f>BH22+BH21</f>
        <v>2646.096</v>
      </c>
      <c r="BI153" s="86">
        <f>BI22+BI21</f>
        <v>2646.096</v>
      </c>
      <c r="BJ153" s="84"/>
      <c r="BK153" s="99">
        <f>BK22+BK21</f>
        <v>2625.433</v>
      </c>
      <c r="BL153" s="84">
        <f>BL22+BL21</f>
        <v>2650.5219999999999</v>
      </c>
      <c r="BM153" s="84">
        <f>BM22+BM21</f>
        <v>2538.183</v>
      </c>
      <c r="BN153" s="84">
        <f>BN22+BN21</f>
        <v>2614.877</v>
      </c>
      <c r="BO153" s="86">
        <f>BO22+BO21</f>
        <v>2614.877</v>
      </c>
      <c r="BP153" s="84"/>
      <c r="BQ153" s="99">
        <f>BQ22+BQ21</f>
        <v>2533.252</v>
      </c>
      <c r="BR153" s="84">
        <f>BR22+BR21</f>
        <v>2533.5039999999999</v>
      </c>
      <c r="BS153" s="84">
        <f>BS22+BS21</f>
        <v>2481.828</v>
      </c>
      <c r="BT153" s="84">
        <f>BT22+BT21</f>
        <v>2512.1190000000001</v>
      </c>
      <c r="BU153" s="86">
        <f>BU22+BU21</f>
        <v>2512.1190000000001</v>
      </c>
      <c r="BV153" s="84"/>
      <c r="BW153" s="99">
        <f>BW22+BW21</f>
        <v>2513.047</v>
      </c>
      <c r="BX153" s="84">
        <f>BX22+BX21</f>
        <v>2565.558</v>
      </c>
      <c r="BY153" s="84">
        <f>BY22+BY21</f>
        <v>2585.7860000000001</v>
      </c>
      <c r="BZ153" s="84">
        <f>BZ22+BZ21</f>
        <v>2482.6770000000001</v>
      </c>
      <c r="CA153" s="86">
        <f>CA22+CA21</f>
        <v>2482.6770000000001</v>
      </c>
      <c r="CB153" s="84"/>
      <c r="CC153" s="99">
        <f>CC22+CC21</f>
        <v>2528.6210000000001</v>
      </c>
      <c r="CD153" s="84">
        <f>CD22+CD21</f>
        <v>2542.6480000000001</v>
      </c>
      <c r="CE153" s="84">
        <f>CE22+CE21</f>
        <v>2534.5280000000002</v>
      </c>
      <c r="CF153" s="84">
        <f>CF22+CF21</f>
        <v>2512.2219999999998</v>
      </c>
      <c r="CG153" s="86">
        <f>CG22+CG21</f>
        <v>2512.2219999999998</v>
      </c>
      <c r="CH153" s="84"/>
      <c r="CI153" s="99">
        <f>CI22+CI21</f>
        <v>2479.7219999999998</v>
      </c>
      <c r="CJ153" s="84">
        <f>CJ22+CJ21</f>
        <v>2447.2219999999998</v>
      </c>
      <c r="CK153" s="84">
        <f>CK22+CK21</f>
        <v>2414.7219999999998</v>
      </c>
      <c r="CL153" s="84">
        <f>CL22+CL21</f>
        <v>2382.2219999999998</v>
      </c>
      <c r="CM153" s="86">
        <f>CM22+CM21</f>
        <v>2382.2219999999998</v>
      </c>
      <c r="CN153" s="84"/>
      <c r="CO153" s="99">
        <f>CO22+CO21</f>
        <v>2349.7219999999998</v>
      </c>
      <c r="CP153" s="84">
        <f>CP22+CP21</f>
        <v>2317.2219999999998</v>
      </c>
      <c r="CQ153" s="84">
        <f>CQ22+CQ21</f>
        <v>2284.7219999999998</v>
      </c>
      <c r="CR153" s="84">
        <f>CR22+CR21</f>
        <v>2252.2219999999998</v>
      </c>
      <c r="CS153" s="86">
        <f>CS22+CS21</f>
        <v>2252.2219999999998</v>
      </c>
      <c r="CT153" s="84"/>
      <c r="CU153" s="99">
        <f>CU22+CU21</f>
        <v>2219.7219999999998</v>
      </c>
      <c r="CV153" s="84">
        <f>CV22+CV21</f>
        <v>2187.2219999999998</v>
      </c>
      <c r="CW153" s="84">
        <f>CW22+CW21</f>
        <v>2154.7219999999998</v>
      </c>
      <c r="CX153" s="84">
        <f>CX22+CX21</f>
        <v>2122.2219999999998</v>
      </c>
      <c r="CY153" s="86">
        <f>CY22+CY21</f>
        <v>2122.2219999999998</v>
      </c>
      <c r="CZ153" s="84"/>
      <c r="DA153" s="84"/>
      <c r="DB153" s="84"/>
    </row>
    <row r="154" spans="1:106" ht="11.25" customHeight="1" outlineLevel="1" x14ac:dyDescent="0.2">
      <c r="A154" s="521" t="s">
        <v>149</v>
      </c>
      <c r="B154" s="39"/>
      <c r="C154" s="522"/>
      <c r="D154" s="523"/>
      <c r="E154" s="523"/>
      <c r="F154" s="523"/>
      <c r="G154" s="524">
        <f>SUM(G148:G153)</f>
        <v>488.07100000000003</v>
      </c>
      <c r="H154" s="39"/>
      <c r="I154" s="522">
        <f>SUM(I148:I153)</f>
        <v>466.03300000000002</v>
      </c>
      <c r="J154" s="523">
        <f>SUM(J148:J153)</f>
        <v>524.28499999999997</v>
      </c>
      <c r="K154" s="523">
        <f>SUM(K148:K153)</f>
        <v>528.8309999999999</v>
      </c>
      <c r="L154" s="523">
        <f>SUM(L148:L153)</f>
        <v>558.59800000000007</v>
      </c>
      <c r="M154" s="524">
        <f>SUM(M148:M153)</f>
        <v>558.59800000000007</v>
      </c>
      <c r="N154" s="39"/>
      <c r="O154" s="522">
        <f>SUM(O148:O153)</f>
        <v>587.16999999999996</v>
      </c>
      <c r="P154" s="523">
        <f>SUM(P148:P153)</f>
        <v>665.67399999999998</v>
      </c>
      <c r="Q154" s="523">
        <f>SUM(Q148:Q153)</f>
        <v>681.28800000000001</v>
      </c>
      <c r="R154" s="523">
        <f>SUM(R148:R153)</f>
        <v>728.87300000000005</v>
      </c>
      <c r="S154" s="524">
        <f>SUM(S148:S153)</f>
        <v>728.87300000000005</v>
      </c>
      <c r="T154" s="39"/>
      <c r="U154" s="522">
        <f>SUM(U148:U153)</f>
        <v>764.79</v>
      </c>
      <c r="V154" s="523">
        <f>SUM(V148:V153)</f>
        <v>782.00399999999991</v>
      </c>
      <c r="W154" s="523">
        <f>SUM(W148:W153)</f>
        <v>2387.1019999999999</v>
      </c>
      <c r="X154" s="523">
        <f>SUM(X148:X153)</f>
        <v>2425.5410000000002</v>
      </c>
      <c r="Y154" s="524">
        <f>SUM(Y148:Y153)</f>
        <v>2425.5410000000002</v>
      </c>
      <c r="Z154" s="39"/>
      <c r="AA154" s="522">
        <f>SUM(AA148:AA153)</f>
        <v>2490.6849999999999</v>
      </c>
      <c r="AB154" s="523">
        <f>SUM(AB148:AB153)</f>
        <v>2492.8649999999998</v>
      </c>
      <c r="AC154" s="523">
        <f>SUM(AC148:AC153)</f>
        <v>2546.8420000000001</v>
      </c>
      <c r="AD154" s="523">
        <f>SUM(AD148:AD153)</f>
        <v>2552.0100000000002</v>
      </c>
      <c r="AE154" s="524">
        <f>SUM(AE148:AE153)</f>
        <v>2552.0100000000002</v>
      </c>
      <c r="AF154" s="39"/>
      <c r="AG154" s="522">
        <f>SUM(AG148:AG153)</f>
        <v>2495.337</v>
      </c>
      <c r="AH154" s="523">
        <f>SUM(AH148:AH153)</f>
        <v>2580.2159999999999</v>
      </c>
      <c r="AI154" s="523">
        <f>SUM(AI148:AI153)</f>
        <v>2893.3780000000002</v>
      </c>
      <c r="AJ154" s="523">
        <f>SUM(AJ148:AJ153)</f>
        <v>2930.9070000000002</v>
      </c>
      <c r="AK154" s="524">
        <f>SUM(AK148:AK153)</f>
        <v>2930.9070000000002</v>
      </c>
      <c r="AL154" s="39"/>
      <c r="AM154" s="522">
        <f>SUM(AM148:AM153)</f>
        <v>2891.4290000000001</v>
      </c>
      <c r="AN154" s="523">
        <f>SUM(AN148:AN153)</f>
        <v>2849.576</v>
      </c>
      <c r="AO154" s="523">
        <f>SUM(AO148:AO153)</f>
        <v>3003.2200000000003</v>
      </c>
      <c r="AP154" s="523">
        <f>SUM(AP148:AP153)</f>
        <v>2979.5110000000004</v>
      </c>
      <c r="AQ154" s="524">
        <f>SUM(AQ148:AQ153)</f>
        <v>2979.5110000000004</v>
      </c>
      <c r="AR154" s="39"/>
      <c r="AS154" s="522">
        <f>SUM(AS148:AS153)</f>
        <v>3019.1280000000002</v>
      </c>
      <c r="AT154" s="523">
        <f>SUM(AT148:AT153)</f>
        <v>3044.855</v>
      </c>
      <c r="AU154" s="523">
        <f>SUM(AU148:AU153)</f>
        <v>3462.0950000000003</v>
      </c>
      <c r="AV154" s="523">
        <f>SUM(AV148:AV153)</f>
        <v>3480.7429999999995</v>
      </c>
      <c r="AW154" s="524">
        <f>SUM(AW148:AW153)</f>
        <v>3480.7429999999995</v>
      </c>
      <c r="AX154" s="39"/>
      <c r="AY154" s="522">
        <f>SUM(AY148:AY153)</f>
        <v>3522.748</v>
      </c>
      <c r="AZ154" s="523">
        <f>SUM(AZ148:AZ153)</f>
        <v>3610.462</v>
      </c>
      <c r="BA154" s="523">
        <f>SUM(BA148:BA153)</f>
        <v>3645.1409999999996</v>
      </c>
      <c r="BB154" s="523">
        <f>SUM(BB148:BB153)</f>
        <v>3603.143</v>
      </c>
      <c r="BC154" s="524">
        <f>SUM(BC148:BC153)</f>
        <v>3603.143</v>
      </c>
      <c r="BD154" s="523"/>
      <c r="BE154" s="522">
        <f>SUM(BE148:BE153)</f>
        <v>3573.0329999999999</v>
      </c>
      <c r="BF154" s="523">
        <f>SUM(BF148:BF153)</f>
        <v>3603.0810000000001</v>
      </c>
      <c r="BG154" s="523">
        <f>SUM(BG148:BG153)</f>
        <v>3699.335</v>
      </c>
      <c r="BH154" s="523">
        <f>SUM(BH148:BH153)</f>
        <v>3708.1660000000002</v>
      </c>
      <c r="BI154" s="524">
        <f>SUM(BI148:BI153)</f>
        <v>3708.1660000000002</v>
      </c>
      <c r="BJ154" s="523"/>
      <c r="BK154" s="522">
        <f>SUM(BK148:BK153)</f>
        <v>3808.5390000000002</v>
      </c>
      <c r="BL154" s="523">
        <f>SUM(BL148:BL153)</f>
        <v>3908.828</v>
      </c>
      <c r="BM154" s="523">
        <f>SUM(BM148:BM153)</f>
        <v>3769.2160000000003</v>
      </c>
      <c r="BN154" s="523">
        <f>SUM(BN148:BN153)</f>
        <v>3877.6689999999999</v>
      </c>
      <c r="BO154" s="524">
        <f>SUM(BO148:BO153)</f>
        <v>3877.6689999999999</v>
      </c>
      <c r="BP154" s="523"/>
      <c r="BQ154" s="522">
        <f>SUM(BQ148:BQ153)</f>
        <v>3769.221</v>
      </c>
      <c r="BR154" s="523">
        <f>SUM(BR148:BR153)</f>
        <v>3759.665</v>
      </c>
      <c r="BS154" s="523">
        <f>SUM(BS148:BS153)</f>
        <v>3727.3199999999997</v>
      </c>
      <c r="BT154" s="523">
        <f>SUM(BT148:BT153)</f>
        <v>3768.8500000000004</v>
      </c>
      <c r="BU154" s="524">
        <f>SUM(BU148:BU153)</f>
        <v>3768.8500000000004</v>
      </c>
      <c r="BV154" s="523"/>
      <c r="BW154" s="522">
        <f>SUM(BW148:BW153)</f>
        <v>3672.3029999999999</v>
      </c>
      <c r="BX154" s="523">
        <f>SUM(BX148:BX153)</f>
        <v>3712.0770000000002</v>
      </c>
      <c r="BY154" s="523">
        <f>SUM(BY148:BY153)</f>
        <v>3863.8050000000003</v>
      </c>
      <c r="BZ154" s="523">
        <f>SUM(BZ148:BZ153)</f>
        <v>3776.0150000000003</v>
      </c>
      <c r="CA154" s="524">
        <f>SUM(CA148:CA153)</f>
        <v>3776.0150000000003</v>
      </c>
      <c r="CB154" s="523"/>
      <c r="CC154" s="522">
        <f>SUM(CC148:CC153)</f>
        <v>3794.3519999999999</v>
      </c>
      <c r="CD154" s="523">
        <f>SUM(CD148:CD153)</f>
        <v>3947.2750000000001</v>
      </c>
      <c r="CE154" s="523">
        <f>SUM(CE148:CE153)</f>
        <v>4121.598</v>
      </c>
      <c r="CF154" s="523">
        <f>SUM(CF148:CF153)</f>
        <v>4021.6039999999998</v>
      </c>
      <c r="CG154" s="524">
        <f>SUM(CG148:CG153)</f>
        <v>4021.6039999999998</v>
      </c>
      <c r="CH154" s="523"/>
      <c r="CI154" s="522">
        <f>SUM(CI148:CI153)</f>
        <v>3924.6255666538082</v>
      </c>
      <c r="CJ154" s="523">
        <f>SUM(CJ148:CJ153)</f>
        <v>3968.2090802292296</v>
      </c>
      <c r="CK154" s="523">
        <f>SUM(CK148:CK153)</f>
        <v>4001.3874246506066</v>
      </c>
      <c r="CL154" s="523">
        <f>SUM(CL148:CL153)</f>
        <v>3980.9523482930199</v>
      </c>
      <c r="CM154" s="524">
        <f>SUM(CM148:CM153)</f>
        <v>3980.9523482930199</v>
      </c>
      <c r="CN154" s="523"/>
      <c r="CO154" s="522">
        <f>SUM(CO148:CO153)</f>
        <v>3862.4674298958089</v>
      </c>
      <c r="CP154" s="523">
        <f>SUM(CP148:CP153)</f>
        <v>3890.1944715721806</v>
      </c>
      <c r="CQ154" s="523">
        <f>SUM(CQ148:CQ153)</f>
        <v>3924.3082793140766</v>
      </c>
      <c r="CR154" s="523">
        <f>SUM(CR148:CR153)</f>
        <v>3926.5540449541959</v>
      </c>
      <c r="CS154" s="524">
        <f>SUM(CS148:CS153)</f>
        <v>3926.5540449541959</v>
      </c>
      <c r="CT154" s="523"/>
      <c r="CU154" s="522">
        <f>SUM(CU148:CU153)</f>
        <v>3801.9264841282652</v>
      </c>
      <c r="CV154" s="523">
        <f>SUM(CV148:CV153)</f>
        <v>3830.151486282949</v>
      </c>
      <c r="CW154" s="523">
        <f>SUM(CW148:CW153)</f>
        <v>3879.5239973616012</v>
      </c>
      <c r="CX154" s="523">
        <f>SUM(CX148:CX153)</f>
        <v>3886.7905538216219</v>
      </c>
      <c r="CY154" s="524">
        <f>SUM(CY148:CY153)</f>
        <v>3886.7905538216219</v>
      </c>
      <c r="CZ154" s="523"/>
      <c r="DA154" s="523"/>
      <c r="DB154" s="523"/>
    </row>
    <row r="155" spans="1:106" ht="11.25" customHeight="1" outlineLevel="1" x14ac:dyDescent="0.2">
      <c r="A155" s="525"/>
      <c r="B155" s="39"/>
      <c r="C155" s="143"/>
      <c r="D155" s="141"/>
      <c r="E155" s="141"/>
      <c r="F155" s="141"/>
      <c r="G155" s="142"/>
      <c r="H155" s="39"/>
      <c r="I155" s="143"/>
      <c r="J155" s="141"/>
      <c r="K155" s="141"/>
      <c r="L155" s="141"/>
      <c r="M155" s="142"/>
      <c r="N155" s="39"/>
      <c r="O155" s="143"/>
      <c r="P155" s="141"/>
      <c r="Q155" s="141"/>
      <c r="R155" s="141"/>
      <c r="S155" s="142"/>
      <c r="T155" s="39"/>
      <c r="U155" s="143"/>
      <c r="V155" s="141"/>
      <c r="W155" s="141"/>
      <c r="X155" s="141"/>
      <c r="Y155" s="142"/>
      <c r="Z155" s="39"/>
      <c r="AA155" s="143"/>
      <c r="AB155" s="141"/>
      <c r="AC155" s="141"/>
      <c r="AD155" s="141"/>
      <c r="AE155" s="142"/>
      <c r="AF155" s="39"/>
      <c r="AG155" s="143"/>
      <c r="AH155" s="141"/>
      <c r="AI155" s="141"/>
      <c r="AJ155" s="141"/>
      <c r="AK155" s="142"/>
      <c r="AL155" s="39"/>
      <c r="AM155" s="143"/>
      <c r="AN155" s="141"/>
      <c r="AO155" s="141"/>
      <c r="AP155" s="141"/>
      <c r="AQ155" s="142"/>
      <c r="AR155" s="39"/>
      <c r="AS155" s="143"/>
      <c r="AT155" s="141"/>
      <c r="AU155" s="141"/>
      <c r="AV155" s="141"/>
      <c r="AW155" s="142"/>
      <c r="AX155" s="39"/>
      <c r="AY155" s="143"/>
      <c r="AZ155" s="141"/>
      <c r="BA155" s="141"/>
      <c r="BB155" s="141"/>
      <c r="BC155" s="142"/>
      <c r="BD155" s="141"/>
      <c r="BE155" s="143"/>
      <c r="BF155" s="141"/>
      <c r="BG155" s="141"/>
      <c r="BH155" s="141"/>
      <c r="BI155" s="142"/>
      <c r="BJ155" s="141"/>
      <c r="BK155" s="143"/>
      <c r="BL155" s="141"/>
      <c r="BM155" s="141"/>
      <c r="BN155" s="141"/>
      <c r="BO155" s="142"/>
      <c r="BP155" s="141"/>
      <c r="BQ155" s="143"/>
      <c r="BR155" s="141"/>
      <c r="BS155" s="141"/>
      <c r="BT155" s="141"/>
      <c r="BU155" s="142"/>
      <c r="BV155" s="141"/>
      <c r="BW155" s="143"/>
      <c r="BX155" s="141"/>
      <c r="BY155" s="141"/>
      <c r="BZ155" s="141"/>
      <c r="CA155" s="142"/>
      <c r="CB155" s="141"/>
      <c r="CC155" s="143"/>
      <c r="CD155" s="141"/>
      <c r="CE155" s="141"/>
      <c r="CF155" s="141"/>
      <c r="CG155" s="142"/>
      <c r="CH155" s="141"/>
      <c r="CI155" s="143"/>
      <c r="CJ155" s="141"/>
      <c r="CK155" s="141"/>
      <c r="CL155" s="141"/>
      <c r="CM155" s="142"/>
      <c r="CN155" s="141"/>
      <c r="CO155" s="143"/>
      <c r="CP155" s="141"/>
      <c r="CQ155" s="141"/>
      <c r="CR155" s="141"/>
      <c r="CS155" s="142"/>
      <c r="CT155" s="141"/>
      <c r="CU155" s="143"/>
      <c r="CV155" s="141"/>
      <c r="CW155" s="141"/>
      <c r="CX155" s="141"/>
      <c r="CY155" s="142"/>
      <c r="CZ155" s="141"/>
      <c r="DA155" s="141"/>
      <c r="DB155" s="141"/>
    </row>
    <row r="156" spans="1:106" ht="11.25" customHeight="1" outlineLevel="1" x14ac:dyDescent="0.2">
      <c r="A156" s="62" t="s">
        <v>88</v>
      </c>
      <c r="B156" s="39"/>
      <c r="C156" s="99"/>
      <c r="D156" s="84"/>
      <c r="E156" s="84"/>
      <c r="F156" s="84"/>
      <c r="G156" s="86">
        <f>G29</f>
        <v>20.157</v>
      </c>
      <c r="H156" s="39"/>
      <c r="I156" s="99">
        <f>I29</f>
        <v>15.317</v>
      </c>
      <c r="J156" s="84">
        <f>J29</f>
        <v>17.417000000000002</v>
      </c>
      <c r="K156" s="84">
        <f>K29</f>
        <v>14.311999999999999</v>
      </c>
      <c r="L156" s="84">
        <f>L29</f>
        <v>15.933999999999999</v>
      </c>
      <c r="M156" s="86">
        <f>M29</f>
        <v>15.933999999999999</v>
      </c>
      <c r="N156" s="39"/>
      <c r="O156" s="99">
        <f>O29</f>
        <v>16.638999999999999</v>
      </c>
      <c r="P156" s="84">
        <f>P29</f>
        <v>22.018999999999998</v>
      </c>
      <c r="Q156" s="84">
        <f>Q29</f>
        <v>33.295000000000002</v>
      </c>
      <c r="R156" s="84">
        <f>R29</f>
        <v>23.806000000000001</v>
      </c>
      <c r="S156" s="86">
        <f>S29</f>
        <v>23.806000000000001</v>
      </c>
      <c r="T156" s="39"/>
      <c r="U156" s="99">
        <f>U29</f>
        <v>21.454999999999998</v>
      </c>
      <c r="V156" s="84">
        <f>V29</f>
        <v>20.315000000000001</v>
      </c>
      <c r="W156" s="84">
        <f>W29</f>
        <v>35.408999999999999</v>
      </c>
      <c r="X156" s="84">
        <f>X29</f>
        <v>40.378999999999998</v>
      </c>
      <c r="Y156" s="86">
        <f>Y29</f>
        <v>40.378999999999998</v>
      </c>
      <c r="Z156" s="39"/>
      <c r="AA156" s="99">
        <f>AA29</f>
        <v>37.822000000000003</v>
      </c>
      <c r="AB156" s="84">
        <f>AB29</f>
        <v>39.353999999999999</v>
      </c>
      <c r="AC156" s="84">
        <f>AC29</f>
        <v>41.158000000000001</v>
      </c>
      <c r="AD156" s="84">
        <f>AD29</f>
        <v>48.835999999999999</v>
      </c>
      <c r="AE156" s="86">
        <f>AE29</f>
        <v>48.835999999999999</v>
      </c>
      <c r="AF156" s="39"/>
      <c r="AG156" s="99">
        <f>AG29</f>
        <v>38.978000000000002</v>
      </c>
      <c r="AH156" s="84">
        <f>AH29</f>
        <v>38.645000000000003</v>
      </c>
      <c r="AI156" s="84">
        <f>AI29</f>
        <v>42.078000000000003</v>
      </c>
      <c r="AJ156" s="84">
        <f>AJ29</f>
        <v>43.774999999999999</v>
      </c>
      <c r="AK156" s="86">
        <f>AK29</f>
        <v>43.774999999999999</v>
      </c>
      <c r="AL156" s="39"/>
      <c r="AM156" s="99">
        <f>AM29</f>
        <v>45.572000000000003</v>
      </c>
      <c r="AN156" s="84">
        <f>AN29</f>
        <v>49.006999999999998</v>
      </c>
      <c r="AO156" s="84">
        <f>AO29</f>
        <v>65.066999999999993</v>
      </c>
      <c r="AP156" s="84">
        <f>AP29</f>
        <v>47.802999999999997</v>
      </c>
      <c r="AQ156" s="86">
        <f>AQ29</f>
        <v>47.802999999999997</v>
      </c>
      <c r="AR156" s="39"/>
      <c r="AS156" s="99">
        <f>AS29</f>
        <v>51.975999999999999</v>
      </c>
      <c r="AT156" s="84">
        <f>AT29</f>
        <v>49.573</v>
      </c>
      <c r="AU156" s="84">
        <f>AU29</f>
        <v>44.9</v>
      </c>
      <c r="AV156" s="84">
        <f>AV29</f>
        <v>59.847999999999999</v>
      </c>
      <c r="AW156" s="86">
        <f>AW29</f>
        <v>59.847999999999999</v>
      </c>
      <c r="AX156" s="39"/>
      <c r="AY156" s="99">
        <f>AY29</f>
        <v>42.098999999999997</v>
      </c>
      <c r="AZ156" s="84">
        <f>AZ29</f>
        <v>60.694000000000003</v>
      </c>
      <c r="BA156" s="84">
        <f>BA29</f>
        <v>56.091000000000001</v>
      </c>
      <c r="BB156" s="84">
        <f>BB29</f>
        <v>51.311</v>
      </c>
      <c r="BC156" s="86">
        <f>BC29</f>
        <v>51.311</v>
      </c>
      <c r="BD156" s="84"/>
      <c r="BE156" s="99">
        <f>BE29</f>
        <v>40.76</v>
      </c>
      <c r="BF156" s="84">
        <f>BF29</f>
        <v>43.466999999999999</v>
      </c>
      <c r="BG156" s="84">
        <f>BG29</f>
        <v>40.097999999999999</v>
      </c>
      <c r="BH156" s="84">
        <f>BH29</f>
        <v>50.869</v>
      </c>
      <c r="BI156" s="86">
        <f>BI29</f>
        <v>50.869</v>
      </c>
      <c r="BJ156" s="84"/>
      <c r="BK156" s="99">
        <f>BK29</f>
        <v>40.93</v>
      </c>
      <c r="BL156" s="84">
        <f>BL29</f>
        <v>44.183</v>
      </c>
      <c r="BM156" s="84">
        <f>BM29</f>
        <v>42.055</v>
      </c>
      <c r="BN156" s="84">
        <f>BN29</f>
        <v>46.124000000000002</v>
      </c>
      <c r="BO156" s="86">
        <f>BO29</f>
        <v>46.124000000000002</v>
      </c>
      <c r="BP156" s="84"/>
      <c r="BQ156" s="99">
        <f>BQ29</f>
        <v>45.073999999999998</v>
      </c>
      <c r="BR156" s="84">
        <f>BR29</f>
        <v>42.207000000000001</v>
      </c>
      <c r="BS156" s="84">
        <f>BS29</f>
        <v>41.938000000000002</v>
      </c>
      <c r="BT156" s="84">
        <f>BT29</f>
        <v>52.305999999999997</v>
      </c>
      <c r="BU156" s="86">
        <f>BU29</f>
        <v>52.305999999999997</v>
      </c>
      <c r="BV156" s="84"/>
      <c r="BW156" s="99">
        <f>BW29</f>
        <v>38.93</v>
      </c>
      <c r="BX156" s="84">
        <f>BX29</f>
        <v>45.563000000000002</v>
      </c>
      <c r="BY156" s="84">
        <f>BY29</f>
        <v>40.874000000000002</v>
      </c>
      <c r="BZ156" s="84">
        <f>BZ29</f>
        <v>51.218000000000004</v>
      </c>
      <c r="CA156" s="86">
        <f>CA29</f>
        <v>51.218000000000004</v>
      </c>
      <c r="CB156" s="84"/>
      <c r="CC156" s="99">
        <f>CC29</f>
        <v>44.575000000000003</v>
      </c>
      <c r="CD156" s="84">
        <f>CD29</f>
        <v>48.5</v>
      </c>
      <c r="CE156" s="84">
        <f>CE29</f>
        <v>50.55</v>
      </c>
      <c r="CF156" s="84">
        <f>CF29</f>
        <v>59.204999999999998</v>
      </c>
      <c r="CG156" s="86">
        <f>CG29</f>
        <v>59.204999999999998</v>
      </c>
      <c r="CH156" s="84"/>
      <c r="CI156" s="99">
        <f>CI29</f>
        <v>48.339049954533564</v>
      </c>
      <c r="CJ156" s="84">
        <f>CJ29</f>
        <v>53.042004043299507</v>
      </c>
      <c r="CK156" s="84">
        <f>CK29</f>
        <v>57.191876807109779</v>
      </c>
      <c r="CL156" s="84">
        <f>CL29</f>
        <v>65.851773620747878</v>
      </c>
      <c r="CM156" s="86">
        <f>CM29</f>
        <v>65.851773620747878</v>
      </c>
      <c r="CN156" s="84"/>
      <c r="CO156" s="99">
        <f>CO29</f>
        <v>54.732938523399234</v>
      </c>
      <c r="CP156" s="84">
        <f>CP29</f>
        <v>58.194642329324267</v>
      </c>
      <c r="CQ156" s="84">
        <f>CQ29</f>
        <v>61.22076108586959</v>
      </c>
      <c r="CR156" s="84">
        <f>CR29</f>
        <v>72.041629285528686</v>
      </c>
      <c r="CS156" s="86">
        <f>CS29</f>
        <v>72.041629285528686</v>
      </c>
      <c r="CT156" s="84"/>
      <c r="CU156" s="99">
        <f>CU29</f>
        <v>61.479884364190617</v>
      </c>
      <c r="CV156" s="84">
        <f>CV29</f>
        <v>64.98601047757802</v>
      </c>
      <c r="CW156" s="84">
        <f>CW29</f>
        <v>68.143485515988402</v>
      </c>
      <c r="CX156" s="84">
        <f>CX29</f>
        <v>79.904414019305307</v>
      </c>
      <c r="CY156" s="86">
        <f>CY29</f>
        <v>79.904414019305307</v>
      </c>
      <c r="CZ156" s="84"/>
      <c r="DA156" s="84"/>
      <c r="DB156" s="84"/>
    </row>
    <row r="157" spans="1:106" ht="11.25" customHeight="1" outlineLevel="1" x14ac:dyDescent="0.2">
      <c r="A157" s="62" t="s">
        <v>41</v>
      </c>
      <c r="B157" s="39"/>
      <c r="C157" s="99"/>
      <c r="D157" s="84"/>
      <c r="E157" s="84"/>
      <c r="F157" s="84"/>
      <c r="G157" s="86">
        <f>G30+G32+G34</f>
        <v>61.128999999999998</v>
      </c>
      <c r="H157" s="39"/>
      <c r="I157" s="99">
        <f>I30+I32+I34</f>
        <v>52.427999999999997</v>
      </c>
      <c r="J157" s="84">
        <f>J30+J32+J34</f>
        <v>65.921999999999997</v>
      </c>
      <c r="K157" s="84">
        <f>K30+K32+K34</f>
        <v>56.437999999999995</v>
      </c>
      <c r="L157" s="84">
        <f>L30+L32+L34</f>
        <v>69.816000000000003</v>
      </c>
      <c r="M157" s="86">
        <f>M30+M32+M34</f>
        <v>69.816000000000003</v>
      </c>
      <c r="N157" s="39"/>
      <c r="O157" s="99">
        <f>O30+O32+O34</f>
        <v>69.897000000000006</v>
      </c>
      <c r="P157" s="84">
        <f>P30+P32+P34</f>
        <v>79.251999999999995</v>
      </c>
      <c r="Q157" s="84">
        <f>Q30+Q32+Q34</f>
        <v>72.341000000000008</v>
      </c>
      <c r="R157" s="84">
        <f>R30+R32+R34</f>
        <v>86.125999999999991</v>
      </c>
      <c r="S157" s="86">
        <f>S30+S32+S34</f>
        <v>86.125999999999991</v>
      </c>
      <c r="T157" s="39"/>
      <c r="U157" s="99">
        <f>U30+U32+U34</f>
        <v>103.70099999999999</v>
      </c>
      <c r="V157" s="84">
        <f>V30+V32+V34</f>
        <v>93.001000000000005</v>
      </c>
      <c r="W157" s="84">
        <f>W30+W32+W34</f>
        <v>152.05800000000002</v>
      </c>
      <c r="X157" s="84">
        <f>X30+X32+X34</f>
        <v>125.35200000000002</v>
      </c>
      <c r="Y157" s="86">
        <f>Y30+Y32+Y34</f>
        <v>125.35200000000002</v>
      </c>
      <c r="Z157" s="39"/>
      <c r="AA157" s="99">
        <f>AA30+AA32+AA34</f>
        <v>131.91300000000001</v>
      </c>
      <c r="AB157" s="84">
        <f>AB30+AB32+AB34</f>
        <v>143.56299999999999</v>
      </c>
      <c r="AC157" s="84">
        <f>AC30+AC32+AC34</f>
        <v>148.74699999999999</v>
      </c>
      <c r="AD157" s="84">
        <f>AD30+AD32+AD34</f>
        <v>188.53900000000002</v>
      </c>
      <c r="AE157" s="86">
        <f>AE30+AE32+AE34</f>
        <v>188.53900000000002</v>
      </c>
      <c r="AF157" s="39"/>
      <c r="AG157" s="99">
        <f>AG30+AG32+AG34</f>
        <v>158.541</v>
      </c>
      <c r="AH157" s="84">
        <f>AH30+AH32+AH34</f>
        <v>200.80799999999996</v>
      </c>
      <c r="AI157" s="84">
        <f>AI30+AI32+AI34</f>
        <v>283.99199999999996</v>
      </c>
      <c r="AJ157" s="84">
        <f>AJ30+AJ32+AJ34</f>
        <v>281.755</v>
      </c>
      <c r="AK157" s="86">
        <f>AK30+AK32+AK34</f>
        <v>281.755</v>
      </c>
      <c r="AL157" s="39"/>
      <c r="AM157" s="99">
        <f>AM30+AM32+AM34</f>
        <v>242.56799999999998</v>
      </c>
      <c r="AN157" s="84">
        <f>AN30+AN32+AN34</f>
        <v>222.02699999999999</v>
      </c>
      <c r="AO157" s="84">
        <f>AO30+AO32+AO34</f>
        <v>254.661</v>
      </c>
      <c r="AP157" s="84">
        <f>AP30+AP32+AP34</f>
        <v>264.76900000000001</v>
      </c>
      <c r="AQ157" s="86">
        <f>AQ30+AQ32+AQ34</f>
        <v>264.76900000000001</v>
      </c>
      <c r="AR157" s="39"/>
      <c r="AS157" s="99">
        <f>AS30+AS32+AS34</f>
        <v>246.58099999999999</v>
      </c>
      <c r="AT157" s="84">
        <f>AT30+AT32+AT34</f>
        <v>238.92</v>
      </c>
      <c r="AU157" s="84">
        <f>AU30+AU32+AU34</f>
        <v>251.619</v>
      </c>
      <c r="AV157" s="84">
        <f>AV30+AV32+AV34</f>
        <v>277.863</v>
      </c>
      <c r="AW157" s="86">
        <f>AW30+AW32+AW34</f>
        <v>277.863</v>
      </c>
      <c r="AX157" s="39"/>
      <c r="AY157" s="99">
        <f>AY30+AY32+AY34</f>
        <v>260.89600000000002</v>
      </c>
      <c r="AZ157" s="84">
        <f>AZ30+AZ32+AZ34</f>
        <v>235.74100000000001</v>
      </c>
      <c r="BA157" s="84">
        <f>BA30+BA32+BA34</f>
        <v>262.08299999999997</v>
      </c>
      <c r="BB157" s="84">
        <f>BB30+BB32+BB34</f>
        <v>214.61</v>
      </c>
      <c r="BC157" s="86">
        <f>BC30+BC32+BC34</f>
        <v>214.61</v>
      </c>
      <c r="BD157" s="84"/>
      <c r="BE157" s="99">
        <f>BE30+BE32+BE34</f>
        <v>227.21200000000002</v>
      </c>
      <c r="BF157" s="84">
        <f>BF30+BF32+BF34</f>
        <v>252.732</v>
      </c>
      <c r="BG157" s="84">
        <f>BG30+BG32+BG34</f>
        <v>263.06599999999997</v>
      </c>
      <c r="BH157" s="84">
        <f>BH30+BH32+BH34</f>
        <v>285.96199999999999</v>
      </c>
      <c r="BI157" s="86">
        <f>BI30+BI32+BI34</f>
        <v>285.96199999999999</v>
      </c>
      <c r="BJ157" s="84"/>
      <c r="BK157" s="99">
        <f>BK30+BK32+BK34</f>
        <v>272.255</v>
      </c>
      <c r="BL157" s="84">
        <f>BL30+BL32+BL34</f>
        <v>251.15699999999998</v>
      </c>
      <c r="BM157" s="84">
        <f>BM30+BM32+BM34</f>
        <v>262.73599999999999</v>
      </c>
      <c r="BN157" s="84">
        <f>BN30+BN32+BN34</f>
        <v>254.38300000000001</v>
      </c>
      <c r="BO157" s="86">
        <f>BO30+BO32+BO34</f>
        <v>254.38300000000001</v>
      </c>
      <c r="BP157" s="84"/>
      <c r="BQ157" s="99">
        <f>BQ30+BQ32+BQ34</f>
        <v>287.00200000000001</v>
      </c>
      <c r="BR157" s="84">
        <f>BR30+BR32+BR34</f>
        <v>221.84099999999998</v>
      </c>
      <c r="BS157" s="84">
        <f>BS30+BS32+BS34</f>
        <v>234.904</v>
      </c>
      <c r="BT157" s="84">
        <f>BT30+BT32+BT34</f>
        <v>216.047</v>
      </c>
      <c r="BU157" s="86">
        <f>BU30+BU32+BU34</f>
        <v>216.047</v>
      </c>
      <c r="BV157" s="84"/>
      <c r="BW157" s="99">
        <f>BW30+BW32+BW34</f>
        <v>207.30199999999999</v>
      </c>
      <c r="BX157" s="84">
        <f>BX30+BX32+BX34</f>
        <v>202.87800000000001</v>
      </c>
      <c r="BY157" s="84">
        <f>BY30+BY32+BY34</f>
        <v>209.24699999999999</v>
      </c>
      <c r="BZ157" s="84">
        <f>BZ30+BZ32+BZ34</f>
        <v>257.21100000000001</v>
      </c>
      <c r="CA157" s="86">
        <f>CA30+CA32+CA34</f>
        <v>257.21100000000001</v>
      </c>
      <c r="CB157" s="84"/>
      <c r="CC157" s="99">
        <f>CC30+CC32+CC34</f>
        <v>228.95700000000002</v>
      </c>
      <c r="CD157" s="84">
        <f>CD30+CD32+CD34</f>
        <v>252.28100000000001</v>
      </c>
      <c r="CE157" s="84">
        <f>CE30+CE32+CE34</f>
        <v>244.154</v>
      </c>
      <c r="CF157" s="84">
        <f>CF30+CF32+CF34</f>
        <v>265.58699999999999</v>
      </c>
      <c r="CG157" s="86">
        <f>CG30+CG32+CG34</f>
        <v>265.58699999999999</v>
      </c>
      <c r="CH157" s="84"/>
      <c r="CI157" s="99">
        <f>CI30+CI32+CI34</f>
        <v>255.41492578508138</v>
      </c>
      <c r="CJ157" s="84">
        <f>CJ30+CJ32+CJ34</f>
        <v>291.13726500522029</v>
      </c>
      <c r="CK157" s="84">
        <f>CK30+CK32+CK34</f>
        <v>285.4071835271701</v>
      </c>
      <c r="CL157" s="84">
        <f>CL30+CL32+CL34</f>
        <v>293.27919401139195</v>
      </c>
      <c r="CM157" s="86">
        <f>CM30+CM32+CM34</f>
        <v>293.27919401139195</v>
      </c>
      <c r="CN157" s="84"/>
      <c r="CO157" s="99">
        <f>CO30+CO32+CO34</f>
        <v>271.99009355336165</v>
      </c>
      <c r="CP157" s="84">
        <f>CP30+CP32+CP34</f>
        <v>308.84203600178881</v>
      </c>
      <c r="CQ157" s="84">
        <f>CQ30+CQ32+CQ34</f>
        <v>294.21828260302863</v>
      </c>
      <c r="CR157" s="84">
        <f>CR30+CR32+CR34</f>
        <v>313.06553305684253</v>
      </c>
      <c r="CS157" s="86">
        <f>CS30+CS32+CS34</f>
        <v>313.06553305684253</v>
      </c>
      <c r="CT157" s="84"/>
      <c r="CU157" s="99">
        <f>CU30+CU32+CU34</f>
        <v>293.25822704999968</v>
      </c>
      <c r="CV157" s="84">
        <f>CV30+CV32+CV34</f>
        <v>331.26356384772885</v>
      </c>
      <c r="CW157" s="84">
        <f>CW30+CW32+CW34</f>
        <v>314.90638029144515</v>
      </c>
      <c r="CX157" s="84">
        <f>CX30+CX32+CX34</f>
        <v>334.46425219939141</v>
      </c>
      <c r="CY157" s="86">
        <f>CY30+CY32+CY34</f>
        <v>334.46425219939141</v>
      </c>
      <c r="CZ157" s="84"/>
      <c r="DA157" s="84"/>
      <c r="DB157" s="84"/>
    </row>
    <row r="158" spans="1:106" ht="11.25" customHeight="1" outlineLevel="1" x14ac:dyDescent="0.2">
      <c r="A158" s="62" t="s">
        <v>157</v>
      </c>
      <c r="B158" s="39"/>
      <c r="C158" s="99"/>
      <c r="D158" s="84"/>
      <c r="E158" s="84"/>
      <c r="F158" s="84"/>
      <c r="G158" s="86">
        <f>G40+G39</f>
        <v>28.785</v>
      </c>
      <c r="H158" s="39"/>
      <c r="I158" s="99">
        <f>I40+I39</f>
        <v>30.94</v>
      </c>
      <c r="J158" s="84">
        <f>J40+J39</f>
        <v>38.304000000000002</v>
      </c>
      <c r="K158" s="84">
        <f>K40+K39</f>
        <v>33.439</v>
      </c>
      <c r="L158" s="84">
        <f>L40+L39</f>
        <v>31.722999999999999</v>
      </c>
      <c r="M158" s="86">
        <f>M40+M39</f>
        <v>31.722999999999999</v>
      </c>
      <c r="N158" s="39"/>
      <c r="O158" s="99">
        <f>O40+O39</f>
        <v>34.152000000000001</v>
      </c>
      <c r="P158" s="84">
        <f>P40+P39</f>
        <v>44.887</v>
      </c>
      <c r="Q158" s="84">
        <f>Q40+Q39</f>
        <v>44.370000000000005</v>
      </c>
      <c r="R158" s="84">
        <f>R40+R39</f>
        <v>39.723999999999997</v>
      </c>
      <c r="S158" s="86">
        <f>S40+S39</f>
        <v>39.723999999999997</v>
      </c>
      <c r="T158" s="39"/>
      <c r="U158" s="99">
        <f>U40+U39</f>
        <v>40.206000000000003</v>
      </c>
      <c r="V158" s="84">
        <f>V40+V39</f>
        <v>40.557000000000002</v>
      </c>
      <c r="W158" s="84">
        <f>W40+W39</f>
        <v>229.85500000000002</v>
      </c>
      <c r="X158" s="84">
        <f>X40+X39</f>
        <v>267.315</v>
      </c>
      <c r="Y158" s="86">
        <f>Y40+Y39</f>
        <v>267.315</v>
      </c>
      <c r="Z158" s="39"/>
      <c r="AA158" s="99">
        <f>AA40+AA39</f>
        <v>270.85199999999998</v>
      </c>
      <c r="AB158" s="84">
        <f>AB40+AB39</f>
        <v>260.91699999999997</v>
      </c>
      <c r="AC158" s="84">
        <f>AC40+AC39</f>
        <v>274.83500000000004</v>
      </c>
      <c r="AD158" s="84">
        <f>AD40+AD39</f>
        <v>249.10399999999998</v>
      </c>
      <c r="AE158" s="86">
        <f>AE40+AE39</f>
        <v>249.10399999999998</v>
      </c>
      <c r="AF158" s="39"/>
      <c r="AG158" s="99">
        <f>AG40+AG39</f>
        <v>227.41499999999999</v>
      </c>
      <c r="AH158" s="84">
        <f>AH40+AH39</f>
        <v>251.46</v>
      </c>
      <c r="AI158" s="84">
        <f>AI40+AI39</f>
        <v>280.27199999999999</v>
      </c>
      <c r="AJ158" s="84">
        <f>AJ40+AJ39</f>
        <v>259.76499999999999</v>
      </c>
      <c r="AK158" s="86">
        <f>AK40+AK39</f>
        <v>259.76499999999999</v>
      </c>
      <c r="AL158" s="39"/>
      <c r="AM158" s="99">
        <f>AM40+AM39</f>
        <v>260.99400000000003</v>
      </c>
      <c r="AN158" s="84">
        <f>AN40+AN39</f>
        <v>239.44800000000001</v>
      </c>
      <c r="AO158" s="84">
        <f>AO40+AO39</f>
        <v>267.255</v>
      </c>
      <c r="AP158" s="84">
        <f>AP40+AP39</f>
        <v>252.06399999999999</v>
      </c>
      <c r="AQ158" s="86">
        <f>AQ40+AQ39</f>
        <v>252.06399999999999</v>
      </c>
      <c r="AR158" s="39"/>
      <c r="AS158" s="99">
        <f>AS40+AS39</f>
        <v>250.006</v>
      </c>
      <c r="AT158" s="84">
        <f>AT40+AT39</f>
        <v>242.37099999999998</v>
      </c>
      <c r="AU158" s="84">
        <f>AU40+AU39</f>
        <v>269.23399999999998</v>
      </c>
      <c r="AV158" s="84">
        <f>AV40+AV39</f>
        <v>270.99299999999999</v>
      </c>
      <c r="AW158" s="86">
        <f>AW40+AW39</f>
        <v>270.99299999999999</v>
      </c>
      <c r="AX158" s="39"/>
      <c r="AY158" s="99">
        <f>AY40+AY39</f>
        <v>265.47699999999998</v>
      </c>
      <c r="AZ158" s="84">
        <f>AZ40+AZ39</f>
        <v>277.57600000000002</v>
      </c>
      <c r="BA158" s="84">
        <f>BA40+BA39</f>
        <v>259.97000000000003</v>
      </c>
      <c r="BB158" s="84">
        <f>BB40+BB39</f>
        <v>250.35500000000002</v>
      </c>
      <c r="BC158" s="86">
        <f>BC40+BC39</f>
        <v>250.35500000000002</v>
      </c>
      <c r="BD158" s="84"/>
      <c r="BE158" s="99">
        <f>BE40+BE39</f>
        <v>228.10400000000001</v>
      </c>
      <c r="BF158" s="84">
        <f>BF40+BF39</f>
        <v>238.42599999999999</v>
      </c>
      <c r="BG158" s="84">
        <f>BG40+BG39</f>
        <v>229.017</v>
      </c>
      <c r="BH158" s="84">
        <f>BH40+BH39</f>
        <v>182.20699999999999</v>
      </c>
      <c r="BI158" s="86">
        <f>BI40+BI39</f>
        <v>182.20699999999999</v>
      </c>
      <c r="BJ158" s="84"/>
      <c r="BK158" s="99">
        <f>BK40+BK39</f>
        <v>269.44299999999998</v>
      </c>
      <c r="BL158" s="84">
        <f>BL40+BL39</f>
        <v>338.11599999999999</v>
      </c>
      <c r="BM158" s="84">
        <f>BM40+BM39</f>
        <v>278.40800000000002</v>
      </c>
      <c r="BN158" s="84">
        <f>BN40+BN39</f>
        <v>323.78699999999998</v>
      </c>
      <c r="BO158" s="86">
        <f>BO40+BO39</f>
        <v>323.78699999999998</v>
      </c>
      <c r="BP158" s="84"/>
      <c r="BQ158" s="99">
        <f>BQ40+BQ39</f>
        <v>310.40899999999999</v>
      </c>
      <c r="BR158" s="84">
        <f>BR40+BR39</f>
        <v>280.09699999999998</v>
      </c>
      <c r="BS158" s="84">
        <f>BS40+BS39</f>
        <v>303.404</v>
      </c>
      <c r="BT158" s="84">
        <f>BT40+BT39</f>
        <v>299.78399999999999</v>
      </c>
      <c r="BU158" s="86">
        <f>BU40+BU39</f>
        <v>299.78399999999999</v>
      </c>
      <c r="BV158" s="84"/>
      <c r="BW158" s="99">
        <f>BW40+BW39</f>
        <v>188.94499999999999</v>
      </c>
      <c r="BX158" s="84">
        <f>BX40+BX39</f>
        <v>171.149</v>
      </c>
      <c r="BY158" s="84">
        <f>BY40+BY39</f>
        <v>342.88300000000004</v>
      </c>
      <c r="BZ158" s="84">
        <f>BZ40+BZ39</f>
        <v>325.57299999999998</v>
      </c>
      <c r="CA158" s="86">
        <f>CA40+CA39</f>
        <v>325.57299999999998</v>
      </c>
      <c r="CB158" s="84"/>
      <c r="CC158" s="99">
        <f>CC40+CC39</f>
        <v>292.84199999999998</v>
      </c>
      <c r="CD158" s="84">
        <f>CD40+CD39</f>
        <v>366.137</v>
      </c>
      <c r="CE158" s="84">
        <f>CE40+CE39</f>
        <v>488.25</v>
      </c>
      <c r="CF158" s="84">
        <f>CF40+CF39</f>
        <v>414.47</v>
      </c>
      <c r="CG158" s="86">
        <f>CG40+CG39</f>
        <v>414.47</v>
      </c>
      <c r="CH158" s="84"/>
      <c r="CI158" s="99">
        <f>CI40+CI39</f>
        <v>378.80663621214694</v>
      </c>
      <c r="CJ158" s="84">
        <f>CJ40+CJ39</f>
        <v>384.54393042021508</v>
      </c>
      <c r="CK158" s="84">
        <f>CK40+CK39</f>
        <v>386.10045934991308</v>
      </c>
      <c r="CL158" s="84">
        <f>CL40+CL39</f>
        <v>389.2901661018563</v>
      </c>
      <c r="CM158" s="86">
        <f>CM40+CM39</f>
        <v>389.2901661018563</v>
      </c>
      <c r="CN158" s="84"/>
      <c r="CO158" s="99">
        <f>CO40+CO39</f>
        <v>383.33449263960523</v>
      </c>
      <c r="CP158" s="84">
        <f>CP40+CP39</f>
        <v>388.07958371344068</v>
      </c>
      <c r="CQ158" s="84">
        <f>CQ40+CQ39</f>
        <v>388.98872114781631</v>
      </c>
      <c r="CR158" s="84">
        <f>CR40+CR39</f>
        <v>393.8551734321245</v>
      </c>
      <c r="CS158" s="86">
        <f>CS40+CS39</f>
        <v>393.8551734321245</v>
      </c>
      <c r="CT158" s="84"/>
      <c r="CU158" s="99">
        <f>CU40+CU39</f>
        <v>388.22012783969342</v>
      </c>
      <c r="CV158" s="84">
        <f>CV40+CV39</f>
        <v>393.14761531535953</v>
      </c>
      <c r="CW158" s="84">
        <f>CW40+CW39</f>
        <v>394.02374964550222</v>
      </c>
      <c r="CX158" s="84">
        <f>CX40+CX39</f>
        <v>399.31417445047487</v>
      </c>
      <c r="CY158" s="86">
        <f>CY40+CY39</f>
        <v>399.31417445047487</v>
      </c>
      <c r="CZ158" s="84"/>
      <c r="DA158" s="84"/>
      <c r="DB158" s="84"/>
    </row>
    <row r="159" spans="1:106" ht="11.25" customHeight="1" outlineLevel="1" x14ac:dyDescent="0.2">
      <c r="A159" s="521" t="s">
        <v>156</v>
      </c>
      <c r="B159" s="39"/>
      <c r="C159" s="522"/>
      <c r="D159" s="523"/>
      <c r="E159" s="523"/>
      <c r="F159" s="523"/>
      <c r="G159" s="524">
        <f>SUM(G155:G158)</f>
        <v>110.071</v>
      </c>
      <c r="H159" s="39"/>
      <c r="I159" s="522">
        <f>SUM(I155:I158)</f>
        <v>98.685000000000002</v>
      </c>
      <c r="J159" s="523">
        <f>SUM(J155:J158)</f>
        <v>121.643</v>
      </c>
      <c r="K159" s="523">
        <f>SUM(K155:K158)</f>
        <v>104.18899999999999</v>
      </c>
      <c r="L159" s="523">
        <f>SUM(L155:L158)</f>
        <v>117.473</v>
      </c>
      <c r="M159" s="524">
        <f>SUM(M155:M158)</f>
        <v>117.473</v>
      </c>
      <c r="N159" s="39"/>
      <c r="O159" s="522">
        <f>SUM(O155:O158)</f>
        <v>120.688</v>
      </c>
      <c r="P159" s="523">
        <f>SUM(P155:P158)</f>
        <v>146.15799999999999</v>
      </c>
      <c r="Q159" s="523">
        <f>SUM(Q155:Q158)</f>
        <v>150.00600000000003</v>
      </c>
      <c r="R159" s="523">
        <f>SUM(R155:R158)</f>
        <v>149.65599999999998</v>
      </c>
      <c r="S159" s="524">
        <f>SUM(S155:S158)</f>
        <v>149.65599999999998</v>
      </c>
      <c r="T159" s="39"/>
      <c r="U159" s="522">
        <f>SUM(U155:U158)</f>
        <v>165.36199999999999</v>
      </c>
      <c r="V159" s="523">
        <f>SUM(V155:V158)</f>
        <v>153.87299999999999</v>
      </c>
      <c r="W159" s="523">
        <f>SUM(W155:W158)</f>
        <v>417.322</v>
      </c>
      <c r="X159" s="523">
        <f>SUM(X155:X158)</f>
        <v>433.04600000000005</v>
      </c>
      <c r="Y159" s="524">
        <f>SUM(Y155:Y158)</f>
        <v>433.04600000000005</v>
      </c>
      <c r="Z159" s="39"/>
      <c r="AA159" s="522">
        <f>SUM(AA155:AA158)</f>
        <v>440.58699999999999</v>
      </c>
      <c r="AB159" s="523">
        <f>SUM(AB155:AB158)</f>
        <v>443.83399999999995</v>
      </c>
      <c r="AC159" s="523">
        <f>SUM(AC155:AC158)</f>
        <v>464.74</v>
      </c>
      <c r="AD159" s="523">
        <f>SUM(AD155:AD158)</f>
        <v>486.47899999999998</v>
      </c>
      <c r="AE159" s="524">
        <f>SUM(AE155:AE158)</f>
        <v>486.47899999999998</v>
      </c>
      <c r="AF159" s="39"/>
      <c r="AG159" s="522">
        <f>SUM(AG155:AG158)</f>
        <v>424.93399999999997</v>
      </c>
      <c r="AH159" s="523">
        <f>SUM(AH155:AH158)</f>
        <v>490.91300000000001</v>
      </c>
      <c r="AI159" s="523">
        <f>SUM(AI155:AI158)</f>
        <v>606.34199999999987</v>
      </c>
      <c r="AJ159" s="523">
        <f>SUM(AJ155:AJ158)</f>
        <v>585.29499999999996</v>
      </c>
      <c r="AK159" s="524">
        <f>SUM(AK155:AK158)</f>
        <v>585.29499999999996</v>
      </c>
      <c r="AL159" s="39"/>
      <c r="AM159" s="522">
        <f>SUM(AM155:AM158)</f>
        <v>549.13400000000001</v>
      </c>
      <c r="AN159" s="523">
        <f>SUM(AN155:AN158)</f>
        <v>510.48199999999997</v>
      </c>
      <c r="AO159" s="523">
        <f>SUM(AO155:AO158)</f>
        <v>586.98299999999995</v>
      </c>
      <c r="AP159" s="523">
        <f>SUM(AP155:AP158)</f>
        <v>564.63599999999997</v>
      </c>
      <c r="AQ159" s="524">
        <f>SUM(AQ155:AQ158)</f>
        <v>564.63599999999997</v>
      </c>
      <c r="AR159" s="39"/>
      <c r="AS159" s="522">
        <f>SUM(AS155:AS158)</f>
        <v>548.56299999999999</v>
      </c>
      <c r="AT159" s="523">
        <f>SUM(AT155:AT158)</f>
        <v>530.86400000000003</v>
      </c>
      <c r="AU159" s="523">
        <f>SUM(AU155:AU158)</f>
        <v>565.75299999999993</v>
      </c>
      <c r="AV159" s="523">
        <f>SUM(AV155:AV158)</f>
        <v>608.70399999999995</v>
      </c>
      <c r="AW159" s="524">
        <f>SUM(AW155:AW158)</f>
        <v>608.70399999999995</v>
      </c>
      <c r="AX159" s="39"/>
      <c r="AY159" s="522">
        <f>SUM(AY155:AY158)</f>
        <v>568.47199999999998</v>
      </c>
      <c r="AZ159" s="523">
        <f>SUM(AZ155:AZ158)</f>
        <v>574.01099999999997</v>
      </c>
      <c r="BA159" s="523">
        <f>SUM(BA155:BA158)</f>
        <v>578.14400000000001</v>
      </c>
      <c r="BB159" s="523">
        <f>SUM(BB155:BB158)</f>
        <v>516.27600000000007</v>
      </c>
      <c r="BC159" s="524">
        <f>SUM(BC155:BC158)</f>
        <v>516.27600000000007</v>
      </c>
      <c r="BD159" s="523"/>
      <c r="BE159" s="522">
        <f>SUM(BE155:BE158)</f>
        <v>496.07600000000002</v>
      </c>
      <c r="BF159" s="523">
        <f>SUM(BF155:BF158)</f>
        <v>534.625</v>
      </c>
      <c r="BG159" s="523">
        <f>SUM(BG155:BG158)</f>
        <v>532.18100000000004</v>
      </c>
      <c r="BH159" s="523">
        <f>SUM(BH155:BH158)</f>
        <v>519.03800000000001</v>
      </c>
      <c r="BI159" s="524">
        <f>SUM(BI155:BI158)</f>
        <v>519.03800000000001</v>
      </c>
      <c r="BJ159" s="523"/>
      <c r="BK159" s="522">
        <f>SUM(BK155:BK158)</f>
        <v>582.62799999999993</v>
      </c>
      <c r="BL159" s="523">
        <f>SUM(BL155:BL158)</f>
        <v>633.4559999999999</v>
      </c>
      <c r="BM159" s="523">
        <f>SUM(BM155:BM158)</f>
        <v>583.19900000000007</v>
      </c>
      <c r="BN159" s="523">
        <f>SUM(BN155:BN158)</f>
        <v>624.29399999999998</v>
      </c>
      <c r="BO159" s="524">
        <f>SUM(BO155:BO158)</f>
        <v>624.29399999999998</v>
      </c>
      <c r="BP159" s="523"/>
      <c r="BQ159" s="522">
        <f>SUM(BQ155:BQ158)</f>
        <v>642.48500000000001</v>
      </c>
      <c r="BR159" s="523">
        <f>SUM(BR155:BR158)</f>
        <v>544.14499999999998</v>
      </c>
      <c r="BS159" s="523">
        <f>SUM(BS155:BS158)</f>
        <v>580.24599999999998</v>
      </c>
      <c r="BT159" s="523">
        <f>SUM(BT155:BT158)</f>
        <v>568.13699999999994</v>
      </c>
      <c r="BU159" s="524">
        <f>SUM(BU155:BU158)</f>
        <v>568.13699999999994</v>
      </c>
      <c r="BV159" s="523"/>
      <c r="BW159" s="522">
        <f>SUM(BW155:BW158)</f>
        <v>435.17700000000002</v>
      </c>
      <c r="BX159" s="523">
        <f>SUM(BX155:BX158)</f>
        <v>419.59000000000003</v>
      </c>
      <c r="BY159" s="523">
        <f>SUM(BY155:BY158)</f>
        <v>593.00400000000002</v>
      </c>
      <c r="BZ159" s="523">
        <f>SUM(BZ155:BZ158)</f>
        <v>634.00199999999995</v>
      </c>
      <c r="CA159" s="524">
        <f>SUM(CA155:CA158)</f>
        <v>634.00199999999995</v>
      </c>
      <c r="CB159" s="523"/>
      <c r="CC159" s="522">
        <f>SUM(CC155:CC158)</f>
        <v>566.37400000000002</v>
      </c>
      <c r="CD159" s="523">
        <f>SUM(CD155:CD158)</f>
        <v>666.91800000000001</v>
      </c>
      <c r="CE159" s="523">
        <f>SUM(CE155:CE158)</f>
        <v>782.95399999999995</v>
      </c>
      <c r="CF159" s="523">
        <f>SUM(CF155:CF158)</f>
        <v>739.26199999999994</v>
      </c>
      <c r="CG159" s="524">
        <f>SUM(CG155:CG158)</f>
        <v>739.26199999999994</v>
      </c>
      <c r="CH159" s="523"/>
      <c r="CI159" s="522">
        <f>SUM(CI155:CI158)</f>
        <v>682.56061195176187</v>
      </c>
      <c r="CJ159" s="523">
        <f>SUM(CJ155:CJ158)</f>
        <v>728.72319946873495</v>
      </c>
      <c r="CK159" s="523">
        <f>SUM(CK155:CK158)</f>
        <v>728.69951968419298</v>
      </c>
      <c r="CL159" s="523">
        <f>SUM(CL155:CL158)</f>
        <v>748.42113373399616</v>
      </c>
      <c r="CM159" s="524">
        <f>SUM(CM155:CM158)</f>
        <v>748.42113373399616</v>
      </c>
      <c r="CN159" s="523"/>
      <c r="CO159" s="522">
        <f>SUM(CO155:CO158)</f>
        <v>710.05752471636606</v>
      </c>
      <c r="CP159" s="523">
        <f>SUM(CP155:CP158)</f>
        <v>755.11626204455376</v>
      </c>
      <c r="CQ159" s="523">
        <f>SUM(CQ155:CQ158)</f>
        <v>744.42776483671446</v>
      </c>
      <c r="CR159" s="523">
        <f>SUM(CR155:CR158)</f>
        <v>778.96233577449573</v>
      </c>
      <c r="CS159" s="524">
        <f>SUM(CS155:CS158)</f>
        <v>778.96233577449573</v>
      </c>
      <c r="CT159" s="523"/>
      <c r="CU159" s="522">
        <f>SUM(CU155:CU158)</f>
        <v>742.95823925388368</v>
      </c>
      <c r="CV159" s="523">
        <f>SUM(CV155:CV158)</f>
        <v>789.3971896406664</v>
      </c>
      <c r="CW159" s="523">
        <f>SUM(CW155:CW158)</f>
        <v>777.07361545293577</v>
      </c>
      <c r="CX159" s="523">
        <f>SUM(CX155:CX158)</f>
        <v>813.68284066917158</v>
      </c>
      <c r="CY159" s="524">
        <f>SUM(CY155:CY158)</f>
        <v>813.68284066917158</v>
      </c>
      <c r="CZ159" s="523"/>
      <c r="DA159" s="523"/>
      <c r="DB159" s="523"/>
    </row>
    <row r="160" spans="1:106" ht="11.25" customHeight="1" outlineLevel="1" x14ac:dyDescent="0.2">
      <c r="A160" s="525"/>
      <c r="B160" s="39"/>
      <c r="C160" s="143"/>
      <c r="D160" s="141"/>
      <c r="E160" s="141"/>
      <c r="F160" s="141"/>
      <c r="G160" s="142"/>
      <c r="H160" s="39"/>
      <c r="I160" s="143"/>
      <c r="J160" s="141"/>
      <c r="K160" s="141"/>
      <c r="L160" s="141"/>
      <c r="M160" s="142"/>
      <c r="N160" s="39"/>
      <c r="O160" s="143"/>
      <c r="P160" s="141"/>
      <c r="Q160" s="141"/>
      <c r="R160" s="141"/>
      <c r="S160" s="142"/>
      <c r="T160" s="39"/>
      <c r="U160" s="143"/>
      <c r="V160" s="141"/>
      <c r="W160" s="141"/>
      <c r="X160" s="141"/>
      <c r="Y160" s="142"/>
      <c r="Z160" s="39"/>
      <c r="AA160" s="143"/>
      <c r="AB160" s="141"/>
      <c r="AC160" s="141"/>
      <c r="AD160" s="141"/>
      <c r="AE160" s="142"/>
      <c r="AF160" s="39"/>
      <c r="AG160" s="143"/>
      <c r="AH160" s="141"/>
      <c r="AI160" s="141"/>
      <c r="AJ160" s="141"/>
      <c r="AK160" s="142"/>
      <c r="AL160" s="39"/>
      <c r="AM160" s="143"/>
      <c r="AN160" s="141"/>
      <c r="AO160" s="141"/>
      <c r="AP160" s="141"/>
      <c r="AQ160" s="142"/>
      <c r="AR160" s="39"/>
      <c r="AS160" s="143"/>
      <c r="AT160" s="141"/>
      <c r="AU160" s="141"/>
      <c r="AV160" s="141"/>
      <c r="AW160" s="142"/>
      <c r="AX160" s="39"/>
      <c r="AY160" s="143"/>
      <c r="AZ160" s="141"/>
      <c r="BA160" s="141"/>
      <c r="BB160" s="141"/>
      <c r="BC160" s="142"/>
      <c r="BD160" s="141"/>
      <c r="BE160" s="143"/>
      <c r="BF160" s="141"/>
      <c r="BG160" s="141"/>
      <c r="BH160" s="141"/>
      <c r="BI160" s="142"/>
      <c r="BJ160" s="141"/>
      <c r="BK160" s="143"/>
      <c r="BL160" s="141"/>
      <c r="BM160" s="141"/>
      <c r="BN160" s="141"/>
      <c r="BO160" s="142"/>
      <c r="BP160" s="141"/>
      <c r="BQ160" s="143"/>
      <c r="BR160" s="141"/>
      <c r="BS160" s="141"/>
      <c r="BT160" s="141"/>
      <c r="BU160" s="142"/>
      <c r="BV160" s="141"/>
      <c r="BW160" s="143"/>
      <c r="BX160" s="141"/>
      <c r="BY160" s="141"/>
      <c r="BZ160" s="141"/>
      <c r="CA160" s="142"/>
      <c r="CB160" s="141"/>
      <c r="CC160" s="143"/>
      <c r="CD160" s="141"/>
      <c r="CE160" s="141"/>
      <c r="CF160" s="141"/>
      <c r="CG160" s="142"/>
      <c r="CH160" s="141"/>
      <c r="CI160" s="143"/>
      <c r="CJ160" s="141"/>
      <c r="CK160" s="141"/>
      <c r="CL160" s="141"/>
      <c r="CM160" s="142"/>
      <c r="CN160" s="141"/>
      <c r="CO160" s="143"/>
      <c r="CP160" s="141"/>
      <c r="CQ160" s="141"/>
      <c r="CR160" s="141"/>
      <c r="CS160" s="142"/>
      <c r="CT160" s="141"/>
      <c r="CU160" s="143"/>
      <c r="CV160" s="141"/>
      <c r="CW160" s="141"/>
      <c r="CX160" s="141"/>
      <c r="CY160" s="142"/>
      <c r="CZ160" s="141"/>
      <c r="DA160" s="141"/>
      <c r="DB160" s="141"/>
    </row>
    <row r="161" spans="1:106" ht="11.25" customHeight="1" outlineLevel="1" x14ac:dyDescent="0.2">
      <c r="A161" s="521" t="s">
        <v>155</v>
      </c>
      <c r="B161" s="39"/>
      <c r="C161" s="522"/>
      <c r="D161" s="523"/>
      <c r="E161" s="523"/>
      <c r="F161" s="523"/>
      <c r="G161" s="524">
        <f>G154-G159</f>
        <v>378</v>
      </c>
      <c r="H161" s="39"/>
      <c r="I161" s="522">
        <f>I154-I159</f>
        <v>367.34800000000001</v>
      </c>
      <c r="J161" s="523">
        <f>J154-J159</f>
        <v>402.64199999999994</v>
      </c>
      <c r="K161" s="523">
        <f>K154-K159</f>
        <v>424.64199999999994</v>
      </c>
      <c r="L161" s="523">
        <f>L154-L159</f>
        <v>441.12500000000006</v>
      </c>
      <c r="M161" s="524">
        <f>M154-M159</f>
        <v>441.12500000000006</v>
      </c>
      <c r="N161" s="39"/>
      <c r="O161" s="522">
        <f>O154-O159</f>
        <v>466.48199999999997</v>
      </c>
      <c r="P161" s="523">
        <f>P154-P159</f>
        <v>519.51599999999996</v>
      </c>
      <c r="Q161" s="523">
        <f>Q154-Q159</f>
        <v>531.28199999999993</v>
      </c>
      <c r="R161" s="523">
        <f>R154-R159</f>
        <v>579.2170000000001</v>
      </c>
      <c r="S161" s="524">
        <f>S154-S159</f>
        <v>579.2170000000001</v>
      </c>
      <c r="T161" s="39"/>
      <c r="U161" s="522">
        <f>U154-U159</f>
        <v>599.428</v>
      </c>
      <c r="V161" s="523">
        <f>V154-V159</f>
        <v>628.13099999999986</v>
      </c>
      <c r="W161" s="523">
        <f>W154-W159</f>
        <v>1969.7799999999997</v>
      </c>
      <c r="X161" s="523">
        <f>X154-X159</f>
        <v>1992.4950000000001</v>
      </c>
      <c r="Y161" s="524">
        <f>Y154-Y159</f>
        <v>1992.4950000000001</v>
      </c>
      <c r="Z161" s="39"/>
      <c r="AA161" s="522">
        <f>AA154-AA159</f>
        <v>2050.098</v>
      </c>
      <c r="AB161" s="523">
        <f>AB154-AB159</f>
        <v>2049.0309999999999</v>
      </c>
      <c r="AC161" s="523">
        <f>AC154-AC159</f>
        <v>2082.1019999999999</v>
      </c>
      <c r="AD161" s="523">
        <f>AD154-AD159</f>
        <v>2065.5310000000004</v>
      </c>
      <c r="AE161" s="524">
        <f>AE154-AE159</f>
        <v>2065.5310000000004</v>
      </c>
      <c r="AF161" s="39"/>
      <c r="AG161" s="522">
        <f>AG154-AG159</f>
        <v>2070.4030000000002</v>
      </c>
      <c r="AH161" s="523">
        <f>AH154-AH159</f>
        <v>2089.3029999999999</v>
      </c>
      <c r="AI161" s="523">
        <f>AI154-AI159</f>
        <v>2287.0360000000001</v>
      </c>
      <c r="AJ161" s="523">
        <f>AJ154-AJ159</f>
        <v>2345.6120000000001</v>
      </c>
      <c r="AK161" s="524">
        <f>AK154-AK159</f>
        <v>2345.6120000000001</v>
      </c>
      <c r="AL161" s="39"/>
      <c r="AM161" s="522">
        <f>AM154-AM159</f>
        <v>2342.2950000000001</v>
      </c>
      <c r="AN161" s="523">
        <f>AN154-AN159</f>
        <v>2339.0940000000001</v>
      </c>
      <c r="AO161" s="523">
        <f>AO154-AO159</f>
        <v>2416.2370000000001</v>
      </c>
      <c r="AP161" s="523">
        <f>AP154-AP159</f>
        <v>2414.8750000000005</v>
      </c>
      <c r="AQ161" s="524">
        <f>AQ154-AQ159</f>
        <v>2414.8750000000005</v>
      </c>
      <c r="AR161" s="39"/>
      <c r="AS161" s="522">
        <f>AS154-AS159</f>
        <v>2470.5650000000001</v>
      </c>
      <c r="AT161" s="523">
        <f>AT154-AT159</f>
        <v>2513.991</v>
      </c>
      <c r="AU161" s="523">
        <f>AU154-AU159</f>
        <v>2896.3420000000006</v>
      </c>
      <c r="AV161" s="523">
        <f>AV154-AV159</f>
        <v>2872.0389999999998</v>
      </c>
      <c r="AW161" s="524">
        <f>AW154-AW159</f>
        <v>2872.0389999999998</v>
      </c>
      <c r="AX161" s="39"/>
      <c r="AY161" s="522">
        <f>AY154-AY159</f>
        <v>2954.2759999999998</v>
      </c>
      <c r="AZ161" s="523">
        <f>AZ154-AZ159</f>
        <v>3036.451</v>
      </c>
      <c r="BA161" s="523">
        <f>BA154-BA159</f>
        <v>3066.9969999999994</v>
      </c>
      <c r="BB161" s="523">
        <f>BB154-BB159</f>
        <v>3086.8670000000002</v>
      </c>
      <c r="BC161" s="524">
        <f>BC154-BC159</f>
        <v>3086.8670000000002</v>
      </c>
      <c r="BD161" s="523"/>
      <c r="BE161" s="522">
        <f>BE154-BE159</f>
        <v>3076.9569999999999</v>
      </c>
      <c r="BF161" s="523">
        <f>BF154-BF159</f>
        <v>3068.4560000000001</v>
      </c>
      <c r="BG161" s="523">
        <f>BG154-BG159</f>
        <v>3167.154</v>
      </c>
      <c r="BH161" s="523">
        <f>BH154-BH159</f>
        <v>3189.1280000000002</v>
      </c>
      <c r="BI161" s="524">
        <f>BI154-BI159</f>
        <v>3189.1280000000002</v>
      </c>
      <c r="BJ161" s="523"/>
      <c r="BK161" s="522">
        <f>BK154-BK159</f>
        <v>3225.9110000000001</v>
      </c>
      <c r="BL161" s="523">
        <f>BL154-BL159</f>
        <v>3275.3720000000003</v>
      </c>
      <c r="BM161" s="523">
        <f>BM154-BM159</f>
        <v>3186.0170000000003</v>
      </c>
      <c r="BN161" s="523">
        <f>BN154-BN159</f>
        <v>3253.375</v>
      </c>
      <c r="BO161" s="524">
        <f>BO154-BO159</f>
        <v>3253.375</v>
      </c>
      <c r="BP161" s="523"/>
      <c r="BQ161" s="522">
        <f>BQ154-BQ159</f>
        <v>3126.7359999999999</v>
      </c>
      <c r="BR161" s="523">
        <f>BR154-BR159</f>
        <v>3215.52</v>
      </c>
      <c r="BS161" s="523">
        <f>BS154-BS159</f>
        <v>3147.0739999999996</v>
      </c>
      <c r="BT161" s="523">
        <f>BT154-BT159</f>
        <v>3200.7130000000006</v>
      </c>
      <c r="BU161" s="524">
        <f>BU154-BU159</f>
        <v>3200.7130000000006</v>
      </c>
      <c r="BV161" s="523"/>
      <c r="BW161" s="522">
        <f>BW154-BW159</f>
        <v>3237.1259999999997</v>
      </c>
      <c r="BX161" s="523">
        <f>BX154-BX159</f>
        <v>3292.4870000000001</v>
      </c>
      <c r="BY161" s="523">
        <f>BY154-BY159</f>
        <v>3270.8010000000004</v>
      </c>
      <c r="BZ161" s="523">
        <f>BZ154-BZ159</f>
        <v>3142.0130000000004</v>
      </c>
      <c r="CA161" s="524">
        <f>CA154-CA159</f>
        <v>3142.0130000000004</v>
      </c>
      <c r="CB161" s="523"/>
      <c r="CC161" s="522">
        <f>CC154-CC159</f>
        <v>3227.9780000000001</v>
      </c>
      <c r="CD161" s="523">
        <f>CD154-CD159</f>
        <v>3280.357</v>
      </c>
      <c r="CE161" s="523">
        <f>CE154-CE159</f>
        <v>3338.6440000000002</v>
      </c>
      <c r="CF161" s="523">
        <f>CF154-CF159</f>
        <v>3282.3419999999996</v>
      </c>
      <c r="CG161" s="524">
        <f>CG154-CG159</f>
        <v>3282.3419999999996</v>
      </c>
      <c r="CH161" s="523"/>
      <c r="CI161" s="522">
        <f>CI154-CI159</f>
        <v>3242.0649547020462</v>
      </c>
      <c r="CJ161" s="523">
        <f>CJ154-CJ159</f>
        <v>3239.4858807604946</v>
      </c>
      <c r="CK161" s="523">
        <f>CK154-CK159</f>
        <v>3272.6879049664135</v>
      </c>
      <c r="CL161" s="523">
        <f>CL154-CL159</f>
        <v>3232.5312145590237</v>
      </c>
      <c r="CM161" s="524">
        <f>CM154-CM159</f>
        <v>3232.5312145590237</v>
      </c>
      <c r="CN161" s="523"/>
      <c r="CO161" s="522">
        <f>CO154-CO159</f>
        <v>3152.4099051794428</v>
      </c>
      <c r="CP161" s="523">
        <f>CP154-CP159</f>
        <v>3135.0782095276268</v>
      </c>
      <c r="CQ161" s="523">
        <f>CQ154-CQ159</f>
        <v>3179.8805144773623</v>
      </c>
      <c r="CR161" s="523">
        <f>CR154-CR159</f>
        <v>3147.5917091797</v>
      </c>
      <c r="CS161" s="524">
        <f>CS154-CS159</f>
        <v>3147.5917091797</v>
      </c>
      <c r="CT161" s="523"/>
      <c r="CU161" s="522">
        <f>CU154-CU159</f>
        <v>3058.9682448743815</v>
      </c>
      <c r="CV161" s="523">
        <f>CV154-CV159</f>
        <v>3040.7542966422825</v>
      </c>
      <c r="CW161" s="523">
        <f>CW154-CW159</f>
        <v>3102.4503819086653</v>
      </c>
      <c r="CX161" s="523">
        <f>CX154-CX159</f>
        <v>3073.1077131524503</v>
      </c>
      <c r="CY161" s="524">
        <f>CY154-CY159</f>
        <v>3073.1077131524503</v>
      </c>
      <c r="CZ161" s="523"/>
      <c r="DA161" s="523"/>
      <c r="DB161" s="523"/>
    </row>
    <row r="162" spans="1:106" ht="11.25" customHeight="1" outlineLevel="1" x14ac:dyDescent="0.2">
      <c r="A162" s="499" t="s">
        <v>154</v>
      </c>
      <c r="B162" s="240"/>
      <c r="C162" s="107"/>
      <c r="D162" s="92"/>
      <c r="E162" s="92"/>
      <c r="F162" s="92"/>
      <c r="G162" s="108"/>
      <c r="H162" s="240"/>
      <c r="I162" s="107">
        <f>I142*4/G161</f>
        <v>1.0055555555555555</v>
      </c>
      <c r="J162" s="92">
        <f>J142*4/I161</f>
        <v>1.0927403987499593</v>
      </c>
      <c r="K162" s="92">
        <f>K142*4/J161</f>
        <v>0.98023554423035841</v>
      </c>
      <c r="L162" s="92">
        <f>L142*4/K161</f>
        <v>0.98289853570772545</v>
      </c>
      <c r="M162" s="108">
        <f>M142/G161</f>
        <v>1.0539550264550264</v>
      </c>
      <c r="N162" s="240"/>
      <c r="O162" s="107">
        <f>O142*4/M161</f>
        <v>0.98579767639557936</v>
      </c>
      <c r="P162" s="92">
        <f>P142*4/O161</f>
        <v>0.97095279131885048</v>
      </c>
      <c r="Q162" s="92">
        <f>Q142*4/P161</f>
        <v>0.90806827893654873</v>
      </c>
      <c r="R162" s="92">
        <f>R142*4/Q161</f>
        <v>0.94782808376718986</v>
      </c>
      <c r="S162" s="108">
        <f>S142/M161</f>
        <v>1.0558866534429017</v>
      </c>
      <c r="T162" s="240"/>
      <c r="U162" s="107">
        <f>U142*4/S161</f>
        <v>0.88311634499677982</v>
      </c>
      <c r="V162" s="92">
        <f>V142*4/U161</f>
        <v>0.90111906684372423</v>
      </c>
      <c r="W162" s="92">
        <f>W142*4/V161</f>
        <v>1.1248099520641397</v>
      </c>
      <c r="X162" s="92">
        <f>X142*4/W161</f>
        <v>0.42689843535826349</v>
      </c>
      <c r="Y162" s="108">
        <f>Y142/S161</f>
        <v>1.1218144495068341</v>
      </c>
      <c r="Z162" s="240"/>
      <c r="AA162" s="107">
        <f>AA142*4/Y161</f>
        <v>0.41577218512468028</v>
      </c>
      <c r="AB162" s="92">
        <f>AB142*4/AA161</f>
        <v>0.42512699392907072</v>
      </c>
      <c r="AC162" s="92">
        <f>AC142*4/AB161</f>
        <v>0.45055443280262725</v>
      </c>
      <c r="AD162" s="92">
        <f>AD142*4/AC161</f>
        <v>0.45565683141363883</v>
      </c>
      <c r="AE162" s="108">
        <f>AE142/Y161</f>
        <v>0.44816925512987482</v>
      </c>
      <c r="AF162" s="240"/>
      <c r="AG162" s="107">
        <f>AG142*4/AE161</f>
        <v>0.42784736709349791</v>
      </c>
      <c r="AH162" s="92">
        <f>AH142*4/AG161</f>
        <v>0.46397923496053656</v>
      </c>
      <c r="AI162" s="92">
        <f>AI142*4/AH161</f>
        <v>0.49712081014577592</v>
      </c>
      <c r="AJ162" s="92">
        <f>AJ142*4/AI161</f>
        <v>0.50559239119978894</v>
      </c>
      <c r="AK162" s="108">
        <f>AK142/AE161</f>
        <v>0.48889365494877579</v>
      </c>
      <c r="AL162" s="240"/>
      <c r="AM162" s="107">
        <f>AM142*4/AK161</f>
        <v>0.45082306877693323</v>
      </c>
      <c r="AN162" s="92">
        <f>AN142*4/AM161</f>
        <v>0.44865057561067245</v>
      </c>
      <c r="AO162" s="92">
        <f>AO142*4/AN161</f>
        <v>0.46909957445062062</v>
      </c>
      <c r="AP162" s="92">
        <f>AP142*4/AO161</f>
        <v>0.4735164638237061</v>
      </c>
      <c r="AQ162" s="108">
        <f>AQ142/AK161</f>
        <v>0.46360224964742675</v>
      </c>
      <c r="AR162" s="240"/>
      <c r="AS162" s="107">
        <f>AS142*4/AQ161</f>
        <v>0.43772866090377338</v>
      </c>
      <c r="AT162" s="92">
        <f>AT142*4/AS161</f>
        <v>0.45686229668112355</v>
      </c>
      <c r="AU162" s="92">
        <f>AU142*4/AT161</f>
        <v>0.45964365027559762</v>
      </c>
      <c r="AV162" s="92">
        <f>AV142*4/AU161</f>
        <v>0.46185153548855767</v>
      </c>
      <c r="AW162" s="526">
        <f>AW142/AQ161</f>
        <v>0.48439235985299439</v>
      </c>
      <c r="AX162" s="240"/>
      <c r="AY162" s="107">
        <f>AY142*4/AW161</f>
        <v>0.41283840504951369</v>
      </c>
      <c r="AZ162" s="92">
        <f>AZ142*4/AY161</f>
        <v>0.41595707374666419</v>
      </c>
      <c r="BA162" s="92">
        <f>BA142*4/AZ161</f>
        <v>0.40084822709143009</v>
      </c>
      <c r="BB162" s="92">
        <f>BB142*4/BA161</f>
        <v>0.45194957804001762</v>
      </c>
      <c r="BC162" s="108">
        <f>BC142/AW161</f>
        <v>0.4367823695987415</v>
      </c>
      <c r="BD162" s="92"/>
      <c r="BE162" s="107">
        <f>BE142*4/BC161</f>
        <v>0.39337749245432341</v>
      </c>
      <c r="BF162" s="92">
        <f>BF142*4/BE161</f>
        <v>0.41133106507500755</v>
      </c>
      <c r="BG162" s="92">
        <f>BG142*4/BF161</f>
        <v>0.42211587847438575</v>
      </c>
      <c r="BH162" s="92">
        <f>BH142*4/BG161</f>
        <v>0.45793163199516029</v>
      </c>
      <c r="BI162" s="108">
        <f>BI142/BC161</f>
        <v>0.42320708990701572</v>
      </c>
      <c r="BJ162" s="92"/>
      <c r="BK162" s="107">
        <f>BK142*4/BI161</f>
        <v>0.39806868836873271</v>
      </c>
      <c r="BL162" s="92">
        <f>BL142*4/BK161</f>
        <v>0.41072056854637334</v>
      </c>
      <c r="BM162" s="92">
        <f>BM142*4/BL161</f>
        <v>0.41125954548063542</v>
      </c>
      <c r="BN162" s="92">
        <f>BN142*4/BM161</f>
        <v>0.45299193318805264</v>
      </c>
      <c r="BO162" s="108">
        <f>BO142/BI161</f>
        <v>0.42211444633141093</v>
      </c>
      <c r="BP162" s="92"/>
      <c r="BQ162" s="107">
        <f>BQ142*4/BO161</f>
        <v>0.36728505014023899</v>
      </c>
      <c r="BR162" s="92">
        <f>BR142*4/BQ161</f>
        <v>0.40867665194631081</v>
      </c>
      <c r="BS162" s="92">
        <f>BS142*4/BR161</f>
        <v>0.39130342837239385</v>
      </c>
      <c r="BT162" s="92">
        <f>BT142*4/BS161</f>
        <v>0.4429511349272372</v>
      </c>
      <c r="BU162" s="108">
        <f>BU142/BO161</f>
        <v>0.3938205709455565</v>
      </c>
      <c r="BV162" s="92"/>
      <c r="BW162" s="107">
        <f>BW142*4/BU161</f>
        <v>0.37289066529863807</v>
      </c>
      <c r="BX162" s="92">
        <f>BX142*4/BW161</f>
        <v>0.41322086319778717</v>
      </c>
      <c r="BY162" s="92">
        <f>BY142*4/BX161</f>
        <v>0.41146403918982821</v>
      </c>
      <c r="BZ162" s="92">
        <f>BZ142*4/BY161</f>
        <v>0.44822659648202373</v>
      </c>
      <c r="CA162" s="108">
        <f>CA142/BU161</f>
        <v>0.41802904540332098</v>
      </c>
      <c r="CB162" s="92"/>
      <c r="CC162" s="107">
        <f>CC142*4/CA161</f>
        <v>0.39249487510077141</v>
      </c>
      <c r="CD162" s="92">
        <f>CD142*4/CC161</f>
        <v>0.4332198050916084</v>
      </c>
      <c r="CE162" s="92">
        <f>CE142*4/CD161</f>
        <v>0.44434188108184564</v>
      </c>
      <c r="CF162" s="92">
        <f>CF142*4/CE161</f>
        <v>0.47577759114179285</v>
      </c>
      <c r="CG162" s="108">
        <f>CG142/CA161</f>
        <v>0.45175656497920275</v>
      </c>
      <c r="CH162" s="92"/>
      <c r="CI162" s="107">
        <f>CI142*4/CG161</f>
        <v>0.41701561681818428</v>
      </c>
      <c r="CJ162" s="92">
        <f>CJ142*4/CI161</f>
        <v>0.48118437964810595</v>
      </c>
      <c r="CK162" s="92">
        <f>CK142*4/CJ161</f>
        <v>0.49758368179254381</v>
      </c>
      <c r="CL162" s="92">
        <f>CL142*4/CK161</f>
        <v>0.52502374804954421</v>
      </c>
      <c r="CM162" s="108">
        <f>CM142/CG161</f>
        <v>0.47671548771205491</v>
      </c>
      <c r="CN162" s="92"/>
      <c r="CO162" s="107">
        <f>CO142*4/CM161</f>
        <v>0.47013201743435967</v>
      </c>
      <c r="CP162" s="92">
        <f>CP142*4/CO161</f>
        <v>0.53225506017620727</v>
      </c>
      <c r="CQ162" s="92">
        <f>CQ142*4/CP161</f>
        <v>0.54486382500313735</v>
      </c>
      <c r="CR162" s="92">
        <f>CR142*4/CQ161</f>
        <v>0.58820001964074842</v>
      </c>
      <c r="CS162" s="108">
        <f>CS142/CM161</f>
        <v>0.52406292324264192</v>
      </c>
      <c r="CT162" s="92"/>
      <c r="CU162" s="107">
        <f>CU142*4/CS161</f>
        <v>0.53455819034047403</v>
      </c>
      <c r="CV162" s="92">
        <f>CV142*4/CU161</f>
        <v>0.60373968039927284</v>
      </c>
      <c r="CW162" s="92">
        <f>CW142*4/CV161</f>
        <v>0.61696040033717492</v>
      </c>
      <c r="CX162" s="92">
        <f>CX142*4/CW161</f>
        <v>0.66153273349688557</v>
      </c>
      <c r="CY162" s="108">
        <f>CY142/CS161</f>
        <v>0.59234087497892607</v>
      </c>
      <c r="CZ162" s="84"/>
      <c r="DA162" s="84"/>
      <c r="DB162" s="84"/>
    </row>
    <row r="163" spans="1:106" ht="11.25" customHeight="1" outlineLevel="1" x14ac:dyDescent="0.2">
      <c r="A163" s="35" t="s">
        <v>153</v>
      </c>
      <c r="B163" s="39"/>
      <c r="C163" s="20"/>
      <c r="D163" s="20"/>
      <c r="E163" s="20"/>
      <c r="F163" s="20"/>
      <c r="G163" s="20"/>
      <c r="H163" s="39"/>
      <c r="I163" s="20"/>
      <c r="J163" s="20"/>
      <c r="K163" s="20"/>
      <c r="L163" s="20"/>
      <c r="M163" s="20"/>
      <c r="N163" s="39"/>
      <c r="O163" s="20"/>
      <c r="P163" s="20"/>
      <c r="Q163" s="20"/>
      <c r="R163" s="20"/>
      <c r="S163" s="20"/>
      <c r="T163" s="39"/>
      <c r="U163" s="20"/>
      <c r="V163" s="20"/>
      <c r="W163" s="20"/>
      <c r="X163" s="20"/>
      <c r="Y163" s="20"/>
      <c r="Z163" s="39"/>
      <c r="AA163" s="20"/>
      <c r="AB163" s="20"/>
      <c r="AC163" s="20"/>
      <c r="AD163" s="20"/>
      <c r="AE163" s="20"/>
      <c r="AF163" s="39"/>
      <c r="AG163" s="20"/>
      <c r="AH163" s="20"/>
      <c r="AI163" s="20"/>
      <c r="AJ163" s="20"/>
      <c r="AK163" s="20"/>
      <c r="AL163" s="39"/>
      <c r="AM163" s="20"/>
      <c r="AN163" s="20"/>
      <c r="AO163" s="20"/>
      <c r="AP163" s="20"/>
      <c r="AQ163" s="20"/>
      <c r="AR163" s="39"/>
      <c r="AS163" s="20"/>
      <c r="AT163" s="20"/>
      <c r="AU163" s="20"/>
      <c r="AV163" s="20"/>
      <c r="AW163" s="20"/>
      <c r="AX163" s="39"/>
      <c r="AY163" s="28"/>
      <c r="AZ163" s="28"/>
      <c r="BA163" s="20"/>
      <c r="BB163" s="28"/>
      <c r="BC163" s="28"/>
      <c r="BD163" s="28"/>
      <c r="BE163" s="28"/>
      <c r="BF163" s="28"/>
      <c r="BG163" s="28"/>
      <c r="BH163" s="28"/>
      <c r="BI163" s="28"/>
      <c r="BJ163" s="48"/>
      <c r="BK163" s="28"/>
      <c r="BL163" s="28"/>
      <c r="BM163" s="28"/>
      <c r="BN163" s="28"/>
      <c r="BO163" s="28"/>
      <c r="BP163" s="48"/>
      <c r="BQ163" s="28"/>
      <c r="BR163" s="28"/>
      <c r="BS163" s="28"/>
      <c r="BT163" s="28"/>
      <c r="BU163" s="28"/>
      <c r="BV163" s="48"/>
      <c r="BW163" s="28"/>
      <c r="BX163" s="28"/>
      <c r="BY163" s="28"/>
      <c r="BZ163" s="28"/>
      <c r="CA163" s="28"/>
      <c r="CB163" s="48"/>
      <c r="CC163" s="28"/>
      <c r="CD163" s="28"/>
      <c r="CE163" s="28"/>
      <c r="CF163" s="28"/>
      <c r="CG163" s="28"/>
      <c r="CH163" s="48"/>
      <c r="CI163" s="28"/>
      <c r="CJ163" s="28"/>
      <c r="CK163" s="28"/>
      <c r="CL163" s="28"/>
      <c r="CM163" s="28"/>
      <c r="CN163" s="48"/>
      <c r="CO163" s="28"/>
      <c r="CP163" s="28"/>
      <c r="CQ163" s="28"/>
      <c r="CR163" s="28"/>
      <c r="CS163" s="28"/>
      <c r="CT163" s="48"/>
      <c r="CU163" s="28"/>
      <c r="CV163" s="28"/>
      <c r="CW163" s="28"/>
      <c r="CX163" s="28"/>
      <c r="CY163" s="28"/>
      <c r="CZ163" s="28"/>
      <c r="DA163" s="28"/>
      <c r="DB163" s="28"/>
    </row>
    <row r="164" spans="1:106" ht="11.25" customHeight="1" x14ac:dyDescent="0.2">
      <c r="A164" s="35"/>
      <c r="B164" s="39"/>
      <c r="C164" s="20"/>
      <c r="D164" s="20"/>
      <c r="E164" s="20"/>
      <c r="F164" s="20"/>
      <c r="G164" s="20"/>
      <c r="H164" s="39"/>
      <c r="I164" s="20"/>
      <c r="J164" s="20"/>
      <c r="K164" s="20"/>
      <c r="L164" s="20"/>
      <c r="M164" s="20"/>
      <c r="N164" s="39"/>
      <c r="O164" s="20"/>
      <c r="P164" s="20"/>
      <c r="Q164" s="20"/>
      <c r="R164" s="20"/>
      <c r="S164" s="20"/>
      <c r="T164" s="39"/>
      <c r="U164" s="20"/>
      <c r="V164" s="20"/>
      <c r="W164" s="20"/>
      <c r="X164" s="20"/>
      <c r="Y164" s="20"/>
      <c r="Z164" s="39"/>
      <c r="AA164" s="20"/>
      <c r="AB164" s="20"/>
      <c r="AC164" s="20"/>
      <c r="AD164" s="20"/>
      <c r="AE164" s="20"/>
      <c r="AF164" s="39"/>
      <c r="AG164" s="20"/>
      <c r="AH164" s="20"/>
      <c r="AI164" s="20"/>
      <c r="AJ164" s="20"/>
      <c r="AK164" s="20"/>
      <c r="AL164" s="39"/>
      <c r="AM164" s="20"/>
      <c r="AN164" s="20"/>
      <c r="AO164" s="20"/>
      <c r="AP164" s="20"/>
      <c r="AQ164" s="20"/>
      <c r="AR164" s="39"/>
      <c r="AS164" s="20"/>
      <c r="AT164" s="20"/>
      <c r="AU164" s="20"/>
      <c r="AV164" s="20"/>
      <c r="AW164" s="20"/>
      <c r="AX164" s="39"/>
      <c r="AY164" s="28"/>
      <c r="AZ164" s="28"/>
      <c r="BA164" s="20"/>
      <c r="BB164" s="28"/>
      <c r="BC164" s="28"/>
      <c r="BD164" s="28"/>
      <c r="BE164" s="28"/>
      <c r="BF164" s="28"/>
      <c r="BG164" s="28"/>
      <c r="BH164" s="28"/>
      <c r="BI164" s="28"/>
      <c r="BJ164" s="48"/>
      <c r="BK164" s="28"/>
      <c r="BL164" s="28"/>
      <c r="BM164" s="28"/>
      <c r="BN164" s="28"/>
      <c r="BO164" s="28"/>
      <c r="BP164" s="48"/>
      <c r="BQ164" s="28"/>
      <c r="BR164" s="28"/>
      <c r="BS164" s="28"/>
      <c r="BT164" s="28"/>
      <c r="BU164" s="28"/>
      <c r="BV164" s="48"/>
      <c r="BW164" s="28"/>
      <c r="BX164" s="28"/>
      <c r="BY164" s="28"/>
      <c r="BZ164" s="28"/>
      <c r="CA164" s="28"/>
      <c r="CB164" s="48"/>
      <c r="CC164" s="28"/>
      <c r="CD164" s="28"/>
      <c r="CE164" s="28"/>
      <c r="CF164" s="28"/>
      <c r="CG164" s="28"/>
      <c r="CH164" s="48"/>
      <c r="CI164" s="28"/>
      <c r="CJ164" s="28"/>
      <c r="CK164" s="28"/>
      <c r="CL164" s="28"/>
      <c r="CM164" s="28"/>
      <c r="CN164" s="48"/>
      <c r="CO164" s="28"/>
      <c r="CP164" s="28"/>
      <c r="CQ164" s="28"/>
      <c r="CR164" s="28"/>
      <c r="CS164" s="28"/>
      <c r="CT164" s="48"/>
      <c r="CU164" s="28"/>
      <c r="CV164" s="28"/>
      <c r="CW164" s="28"/>
      <c r="CX164" s="28"/>
      <c r="CY164" s="28"/>
      <c r="CZ164" s="28"/>
      <c r="DA164" s="28"/>
      <c r="DB164" s="28"/>
    </row>
    <row r="165" spans="1:106" ht="11.25" customHeight="1" x14ac:dyDescent="0.2">
      <c r="A165" s="29" t="s">
        <v>375</v>
      </c>
      <c r="B165" s="16"/>
      <c r="C165" s="147"/>
      <c r="D165" s="147"/>
      <c r="E165" s="147"/>
      <c r="F165" s="147"/>
      <c r="G165" s="147"/>
      <c r="H165" s="25"/>
      <c r="I165" s="147"/>
      <c r="J165" s="147"/>
      <c r="K165" s="147"/>
      <c r="L165" s="147"/>
      <c r="M165" s="147"/>
      <c r="N165" s="25"/>
      <c r="O165" s="147"/>
      <c r="P165" s="147"/>
      <c r="Q165" s="147"/>
      <c r="R165" s="147"/>
      <c r="S165" s="147"/>
      <c r="T165" s="25"/>
      <c r="U165" s="147"/>
      <c r="V165" s="147"/>
      <c r="W165" s="147"/>
      <c r="X165" s="147"/>
      <c r="Y165" s="147"/>
      <c r="Z165" s="25"/>
      <c r="AA165" s="147"/>
      <c r="AB165" s="147"/>
      <c r="AC165" s="147"/>
      <c r="AD165" s="147"/>
      <c r="AE165" s="147"/>
      <c r="AF165" s="25"/>
      <c r="AG165" s="147"/>
      <c r="AH165" s="147"/>
      <c r="AI165" s="147"/>
      <c r="AJ165" s="147"/>
      <c r="AK165" s="147"/>
      <c r="AL165" s="25"/>
      <c r="AM165" s="147"/>
      <c r="AN165" s="147"/>
      <c r="AO165" s="147"/>
      <c r="AP165" s="147"/>
      <c r="AQ165" s="147"/>
      <c r="AR165" s="25"/>
      <c r="AS165" s="147"/>
      <c r="AT165" s="147"/>
      <c r="AU165" s="147"/>
      <c r="AV165" s="147"/>
      <c r="AW165" s="147"/>
      <c r="AX165" s="25"/>
      <c r="AY165" s="146"/>
      <c r="AZ165" s="146"/>
      <c r="BA165" s="147"/>
      <c r="BB165" s="146"/>
      <c r="BC165" s="146"/>
      <c r="BD165" s="147"/>
      <c r="BE165" s="146"/>
      <c r="BF165" s="146"/>
      <c r="BG165" s="146"/>
      <c r="BH165" s="146"/>
      <c r="BI165" s="146"/>
      <c r="BJ165" s="25"/>
      <c r="BK165" s="146"/>
      <c r="BL165" s="146"/>
      <c r="BM165" s="146"/>
      <c r="BN165" s="146"/>
      <c r="BO165" s="175"/>
      <c r="BP165" s="25"/>
      <c r="BQ165" s="146"/>
      <c r="BR165" s="146"/>
      <c r="BS165" s="146"/>
      <c r="BT165" s="146"/>
      <c r="BU165" s="175"/>
      <c r="BV165" s="25"/>
      <c r="BW165" s="146"/>
      <c r="BX165" s="146"/>
      <c r="BY165" s="146"/>
      <c r="BZ165" s="146"/>
      <c r="CA165" s="175"/>
      <c r="CB165" s="25"/>
      <c r="CC165" s="146"/>
      <c r="CD165" s="146"/>
      <c r="CE165" s="146"/>
      <c r="CF165" s="146"/>
      <c r="CG165" s="175"/>
      <c r="CH165" s="25"/>
      <c r="CI165" s="146"/>
      <c r="CJ165" s="146"/>
      <c r="CK165" s="146"/>
      <c r="CL165" s="146"/>
      <c r="CM165" s="175"/>
      <c r="CN165" s="25"/>
      <c r="CO165" s="146"/>
      <c r="CP165" s="146"/>
      <c r="CQ165" s="146"/>
      <c r="CR165" s="146"/>
      <c r="CS165" s="175"/>
      <c r="CT165" s="25"/>
      <c r="CU165" s="146"/>
      <c r="CV165" s="146"/>
      <c r="CW165" s="146"/>
      <c r="CX165" s="146"/>
      <c r="CY165" s="175"/>
      <c r="CZ165" s="34"/>
      <c r="DA165" s="34"/>
      <c r="DB165" s="34"/>
    </row>
    <row r="166" spans="1:106" ht="11.25" customHeight="1" outlineLevel="1" x14ac:dyDescent="0.2">
      <c r="A166" s="527" t="s">
        <v>376</v>
      </c>
      <c r="B166" s="39"/>
      <c r="C166" s="864">
        <f>'P&amp;L'!C35</f>
        <v>148.79400000000001</v>
      </c>
      <c r="D166" s="865">
        <f>'P&amp;L'!D35</f>
        <v>148.54400000000001</v>
      </c>
      <c r="E166" s="865">
        <f>'P&amp;L'!E35</f>
        <v>148.15100000000001</v>
      </c>
      <c r="F166" s="865">
        <f>'P&amp;L'!F35</f>
        <v>148.6</v>
      </c>
      <c r="G166" s="867">
        <f>'P&amp;L'!G35</f>
        <v>148.51900000000001</v>
      </c>
      <c r="H166" s="39"/>
      <c r="I166" s="864">
        <f>'P&amp;L'!I35</f>
        <v>149.05500000000001</v>
      </c>
      <c r="J166" s="865">
        <f>'P&amp;L'!J35</f>
        <v>149.46</v>
      </c>
      <c r="K166" s="865">
        <f>'P&amp;L'!K35</f>
        <v>150.08500000000001</v>
      </c>
      <c r="L166" s="865">
        <f>'P&amp;L'!L35</f>
        <v>149.73599999999999</v>
      </c>
      <c r="M166" s="867">
        <f>'P&amp;L'!M35</f>
        <v>150.172</v>
      </c>
      <c r="N166" s="39"/>
      <c r="O166" s="864">
        <f>'P&amp;L'!O35</f>
        <v>152.27799999999999</v>
      </c>
      <c r="P166" s="865">
        <f>'P&amp;L'!P35</f>
        <v>153.233</v>
      </c>
      <c r="Q166" s="865">
        <f>'P&amp;L'!Q35</f>
        <v>153.755</v>
      </c>
      <c r="R166" s="865">
        <f>'P&amp;L'!R35</f>
        <v>154.78299999999999</v>
      </c>
      <c r="S166" s="867">
        <f>'P&amp;L'!S35</f>
        <v>153.517</v>
      </c>
      <c r="T166" s="39"/>
      <c r="U166" s="864">
        <f>'P&amp;L'!U35</f>
        <v>156.19900000000001</v>
      </c>
      <c r="V166" s="865">
        <f>'P&amp;L'!V35</f>
        <v>156.90199999999999</v>
      </c>
      <c r="W166" s="865">
        <f>'P&amp;L'!W35</f>
        <v>177.91900000000001</v>
      </c>
      <c r="X166" s="865">
        <f>'P&amp;L'!X35</f>
        <v>205.233</v>
      </c>
      <c r="Y166" s="867">
        <f>'P&amp;L'!Y35</f>
        <v>175.959</v>
      </c>
      <c r="Z166" s="39"/>
      <c r="AA166" s="864">
        <f>'P&amp;L'!AA35</f>
        <v>205.126</v>
      </c>
      <c r="AB166" s="865">
        <f>'P&amp;L'!AB35</f>
        <v>205.47499999999999</v>
      </c>
      <c r="AC166" s="865">
        <f>'P&amp;L'!AC35</f>
        <v>204.6</v>
      </c>
      <c r="AD166" s="865">
        <f>'P&amp;L'!AD35</f>
        <v>202.03899999999999</v>
      </c>
      <c r="AE166" s="867">
        <f>'P&amp;L'!AE35</f>
        <v>204.25899999999999</v>
      </c>
      <c r="AF166" s="39"/>
      <c r="AG166" s="864">
        <f>'P&amp;L'!AG35</f>
        <v>203.16800000000001</v>
      </c>
      <c r="AH166" s="865">
        <f>'P&amp;L'!AH35</f>
        <v>203.785</v>
      </c>
      <c r="AI166" s="865">
        <f>'P&amp;L'!AI35</f>
        <v>208.316</v>
      </c>
      <c r="AJ166" s="865">
        <f>'P&amp;L'!AJ35</f>
        <v>241.018</v>
      </c>
      <c r="AK166" s="867">
        <f>'P&amp;L'!AK35</f>
        <v>213.61199999999999</v>
      </c>
      <c r="AL166" s="39"/>
      <c r="AM166" s="864">
        <f>'P&amp;L'!AM35</f>
        <v>241.92400000000001</v>
      </c>
      <c r="AN166" s="865">
        <f>'P&amp;L'!AN35</f>
        <v>241.636</v>
      </c>
      <c r="AO166" s="865">
        <f>'P&amp;L'!AO35</f>
        <v>238.977</v>
      </c>
      <c r="AP166" s="865">
        <f>'P&amp;L'!AP35</f>
        <v>240.483</v>
      </c>
      <c r="AQ166" s="867">
        <f>'P&amp;L'!AQ35</f>
        <v>240.483</v>
      </c>
      <c r="AR166" s="39"/>
      <c r="AS166" s="864">
        <f>'P&amp;L'!AS35</f>
        <v>240.38200000000001</v>
      </c>
      <c r="AT166" s="865">
        <f>'P&amp;L'!AT35</f>
        <v>240.983</v>
      </c>
      <c r="AU166" s="865">
        <f>'P&amp;L'!AU35</f>
        <v>238.227</v>
      </c>
      <c r="AV166" s="865">
        <f>'P&amp;L'!AV35</f>
        <v>236.66900000000001</v>
      </c>
      <c r="AW166" s="867">
        <f>'P&amp;L'!AW35</f>
        <v>239.06399999999999</v>
      </c>
      <c r="AX166" s="39"/>
      <c r="AY166" s="864">
        <f>'P&amp;L'!AY35</f>
        <v>238.88499999999999</v>
      </c>
      <c r="AZ166" s="865">
        <f>'P&amp;L'!AZ35</f>
        <v>240.23099999999999</v>
      </c>
      <c r="BA166" s="865">
        <f>'P&amp;L'!BA35</f>
        <v>242.09800000000001</v>
      </c>
      <c r="BB166" s="865">
        <f>'P&amp;L'!BB35</f>
        <v>241.75899999999999</v>
      </c>
      <c r="BC166" s="867">
        <f>'P&amp;L'!BC35</f>
        <v>240.74600000000001</v>
      </c>
      <c r="BD166" s="20"/>
      <c r="BE166" s="864">
        <f>'P&amp;L'!BE35</f>
        <v>241.45</v>
      </c>
      <c r="BF166" s="865">
        <f>'P&amp;L'!BF35</f>
        <v>240.46100000000001</v>
      </c>
      <c r="BG166" s="865">
        <f>'P&amp;L'!BG35</f>
        <v>242.405</v>
      </c>
      <c r="BH166" s="865">
        <f>'P&amp;L'!BH35</f>
        <v>244.38200000000001</v>
      </c>
      <c r="BI166" s="867">
        <f>'P&amp;L'!BI35</f>
        <v>242.17500000000001</v>
      </c>
      <c r="BJ166" s="39"/>
      <c r="BK166" s="864">
        <f>'P&amp;L'!BK35</f>
        <v>242.946</v>
      </c>
      <c r="BL166" s="865">
        <f>'P&amp;L'!BL35</f>
        <v>240.64</v>
      </c>
      <c r="BM166" s="865">
        <f>'P&amp;L'!BM35</f>
        <v>241.42699999999999</v>
      </c>
      <c r="BN166" s="865">
        <f>'P&amp;L'!BN35</f>
        <v>241.13800000000001</v>
      </c>
      <c r="BO166" s="867">
        <f>'P&amp;L'!BO35</f>
        <v>241.53800000000001</v>
      </c>
      <c r="BP166" s="39"/>
      <c r="BQ166" s="864">
        <f>'P&amp;L'!BQ35</f>
        <v>238.928</v>
      </c>
      <c r="BR166" s="865">
        <f>'P&amp;L'!BR35</f>
        <v>238.53299999999999</v>
      </c>
      <c r="BS166" s="865">
        <f>'P&amp;L'!BS35</f>
        <v>238.559</v>
      </c>
      <c r="BT166" s="865">
        <f>'P&amp;L'!BT35</f>
        <v>238.58099999999999</v>
      </c>
      <c r="BU166" s="867">
        <f>'P&amp;L'!BU35</f>
        <v>238.64699999999999</v>
      </c>
      <c r="BV166" s="39"/>
      <c r="BW166" s="864">
        <f>'P&amp;L'!BW35</f>
        <v>238.363</v>
      </c>
      <c r="BX166" s="865">
        <f>'P&amp;L'!BX35</f>
        <v>238.667</v>
      </c>
      <c r="BY166" s="865">
        <f>'P&amp;L'!BY35</f>
        <v>239.297</v>
      </c>
      <c r="BZ166" s="865">
        <f>'P&amp;L'!BZ35</f>
        <v>239.648</v>
      </c>
      <c r="CA166" s="867">
        <f>'P&amp;L'!CA35</f>
        <v>239.1246491652802</v>
      </c>
      <c r="CB166" s="39"/>
      <c r="CC166" s="864">
        <f>'P&amp;L'!CC35</f>
        <v>234.881</v>
      </c>
      <c r="CD166" s="865">
        <f>'P&amp;L'!CD35</f>
        <v>232.7</v>
      </c>
      <c r="CE166" s="865">
        <f>'P&amp;L'!CE35</f>
        <v>232.721</v>
      </c>
      <c r="CF166" s="865">
        <f>'P&amp;L'!CF35</f>
        <v>231.751</v>
      </c>
      <c r="CG166" s="867">
        <f>'P&amp;L'!CG35</f>
        <v>232.75369209698093</v>
      </c>
      <c r="CH166" s="39"/>
      <c r="CI166" s="864">
        <f>'P&amp;L'!CI35</f>
        <v>231.69456762330731</v>
      </c>
      <c r="CJ166" s="865">
        <f>'P&amp;L'!CJ35</f>
        <v>230.15454190023274</v>
      </c>
      <c r="CK166" s="865">
        <f>'P&amp;L'!CK35</f>
        <v>228.64508220572245</v>
      </c>
      <c r="CL166" s="865">
        <f>'P&amp;L'!CL35</f>
        <v>227.13589889782256</v>
      </c>
      <c r="CM166" s="867">
        <f>'P&amp;L'!CM35</f>
        <v>229.08454298392306</v>
      </c>
      <c r="CN166" s="39"/>
      <c r="CO166" s="864">
        <f>'P&amp;L'!CO35</f>
        <v>225.51358234859146</v>
      </c>
      <c r="CP166" s="865">
        <f>'P&amp;L'!CP35</f>
        <v>224.0468911837585</v>
      </c>
      <c r="CQ166" s="865">
        <f>'P&amp;L'!CQ35</f>
        <v>222.60931052232013</v>
      </c>
      <c r="CR166" s="865">
        <f>'P&amp;L'!CR35</f>
        <v>221.17199308622503</v>
      </c>
      <c r="CS166" s="867">
        <f>'P&amp;L'!CS35</f>
        <v>223.07406521155772</v>
      </c>
      <c r="CT166" s="39"/>
      <c r="CU166" s="864">
        <f>'P&amp;L'!CU35</f>
        <v>219.62692970600492</v>
      </c>
      <c r="CV166" s="865">
        <f>'P&amp;L'!CV35</f>
        <v>218.23008097759262</v>
      </c>
      <c r="CW166" s="865">
        <f>'P&amp;L'!CW35</f>
        <v>216.86095653812748</v>
      </c>
      <c r="CX166" s="865">
        <f>'P&amp;L'!CX35</f>
        <v>215.49208278946548</v>
      </c>
      <c r="CY166" s="867">
        <f>'P&amp;L'!CY35</f>
        <v>217.3324868320999</v>
      </c>
      <c r="CZ166" s="84"/>
      <c r="DA166" s="84"/>
      <c r="DB166" s="84"/>
    </row>
    <row r="167" spans="1:106" ht="11.25" customHeight="1" outlineLevel="1" x14ac:dyDescent="0.2">
      <c r="A167" s="330" t="s">
        <v>409</v>
      </c>
      <c r="B167" s="39"/>
      <c r="C167" s="864">
        <f>'P&amp;L'!C28</f>
        <v>12.037354999999996</v>
      </c>
      <c r="D167" s="865">
        <f>'P&amp;L'!D28</f>
        <v>9.9842750000000073</v>
      </c>
      <c r="E167" s="865">
        <f>'P&amp;L'!E28</f>
        <v>14.466794999999967</v>
      </c>
      <c r="F167" s="865">
        <f>'P&amp;L'!F28</f>
        <v>16.04374000000006</v>
      </c>
      <c r="G167" s="867">
        <f>'P&amp;L'!G28</f>
        <v>52.532165000000006</v>
      </c>
      <c r="H167" s="39"/>
      <c r="I167" s="864">
        <f>'P&amp;L'!I28</f>
        <v>13.948</v>
      </c>
      <c r="J167" s="865">
        <f>'P&amp;L'!J28</f>
        <v>16.072665000000008</v>
      </c>
      <c r="K167" s="865">
        <f>'P&amp;L'!K28</f>
        <v>17.852689999999981</v>
      </c>
      <c r="L167" s="865">
        <f>'P&amp;L'!L28</f>
        <v>20.092265000000005</v>
      </c>
      <c r="M167" s="867">
        <f>'P&amp;L'!M28</f>
        <v>67.965620000000001</v>
      </c>
      <c r="N167" s="39"/>
      <c r="O167" s="864">
        <f>'P&amp;L'!O28</f>
        <v>19.230000000000004</v>
      </c>
      <c r="P167" s="865">
        <f>'P&amp;L'!P28</f>
        <v>19.854000000000006</v>
      </c>
      <c r="Q167" s="865">
        <f>'P&amp;L'!Q28</f>
        <v>21.858000000000011</v>
      </c>
      <c r="R167" s="865">
        <f>'P&amp;L'!R28</f>
        <v>23.353349999999999</v>
      </c>
      <c r="S167" s="867">
        <f>'P&amp;L'!S28</f>
        <v>84.295349999999985</v>
      </c>
      <c r="T167" s="39"/>
      <c r="U167" s="864">
        <f>'P&amp;L'!U28</f>
        <v>22.556999999999977</v>
      </c>
      <c r="V167" s="865">
        <f>'P&amp;L'!V28</f>
        <v>25.812999999999992</v>
      </c>
      <c r="W167" s="865">
        <f>'P&amp;L'!W28</f>
        <v>31.071999999999992</v>
      </c>
      <c r="X167" s="865">
        <f>'P&amp;L'!X28</f>
        <v>32.080000000000069</v>
      </c>
      <c r="Y167" s="867">
        <f>'P&amp;L'!Y28</f>
        <v>111.52200000000002</v>
      </c>
      <c r="Z167" s="39"/>
      <c r="AA167" s="864">
        <f>'P&amp;L'!AA28</f>
        <v>36.932999999999957</v>
      </c>
      <c r="AB167" s="865">
        <f>'P&amp;L'!AB28</f>
        <v>40.425000000000011</v>
      </c>
      <c r="AC167" s="865">
        <f>'P&amp;L'!AC28</f>
        <v>42.420999999999992</v>
      </c>
      <c r="AD167" s="865">
        <f>'P&amp;L'!AD28</f>
        <v>43.507000000000005</v>
      </c>
      <c r="AE167" s="867">
        <f>'P&amp;L'!AE28</f>
        <v>163.28599999999986</v>
      </c>
      <c r="AF167" s="39"/>
      <c r="AG167" s="864">
        <f>'P&amp;L'!AG28</f>
        <v>40.375000000000028</v>
      </c>
      <c r="AH167" s="865">
        <f>'P&amp;L'!AH28</f>
        <v>48.258999999999979</v>
      </c>
      <c r="AI167" s="865">
        <f>'P&amp;L'!AI28</f>
        <v>53.507000000000005</v>
      </c>
      <c r="AJ167" s="865">
        <f>'P&amp;L'!AJ28</f>
        <v>57.447000000000074</v>
      </c>
      <c r="AK167" s="867">
        <f>'P&amp;L'!AK28</f>
        <v>199.58800000000008</v>
      </c>
      <c r="AL167" s="39"/>
      <c r="AM167" s="864">
        <f>'P&amp;L'!AM28</f>
        <v>49.371999999999957</v>
      </c>
      <c r="AN167" s="865">
        <f>'P&amp;L'!AN28</f>
        <v>52.559999999999995</v>
      </c>
      <c r="AO167" s="865">
        <f>'P&amp;L'!AO28</f>
        <v>58.767999999999986</v>
      </c>
      <c r="AP167" s="865">
        <f>'P&amp;L'!AP28</f>
        <v>62.003000000000021</v>
      </c>
      <c r="AQ167" s="867">
        <f>'P&amp;L'!AQ28</f>
        <v>222.70300000000006</v>
      </c>
      <c r="AR167" s="39"/>
      <c r="AS167" s="864">
        <f>'P&amp;L'!AS28</f>
        <v>49.505999999999965</v>
      </c>
      <c r="AT167" s="865">
        <f>'P&amp;L'!AT28</f>
        <v>54.964000000000027</v>
      </c>
      <c r="AU167" s="865">
        <f>'P&amp;L'!AU28</f>
        <v>56.385999999999996</v>
      </c>
      <c r="AV167" s="865">
        <f>'P&amp;L'!AV28</f>
        <v>73.628000000000128</v>
      </c>
      <c r="AW167" s="867">
        <f>'P&amp;L'!AW28</f>
        <v>234.48400000000004</v>
      </c>
      <c r="AX167" s="39"/>
      <c r="AY167" s="864">
        <f>'P&amp;L'!AY28</f>
        <v>54.755000000000003</v>
      </c>
      <c r="AZ167" s="865">
        <f>'P&amp;L'!AZ28</f>
        <v>60.823000000000029</v>
      </c>
      <c r="BA167" s="865">
        <f>'P&amp;L'!BA28</f>
        <v>62.324999999999982</v>
      </c>
      <c r="BB167" s="865">
        <f>'P&amp;L'!BB28</f>
        <v>82.819999999999979</v>
      </c>
      <c r="BC167" s="867">
        <f>'P&amp;L'!BC28</f>
        <v>260.72299999999984</v>
      </c>
      <c r="BD167" s="20"/>
      <c r="BE167" s="864">
        <f>'P&amp;L'!BE28</f>
        <v>54.686000000000014</v>
      </c>
      <c r="BF167" s="865">
        <f>'P&amp;L'!BF28</f>
        <v>64.247999999999962</v>
      </c>
      <c r="BG167" s="865">
        <f>'P&amp;L'!BG28</f>
        <v>68.395999999999944</v>
      </c>
      <c r="BH167" s="865">
        <f>'P&amp;L'!BH28</f>
        <v>87.410999999999959</v>
      </c>
      <c r="BI167" s="867">
        <f>'P&amp;L'!BI28</f>
        <v>274.74099999999999</v>
      </c>
      <c r="BJ167" s="39"/>
      <c r="BK167" s="864">
        <f>'P&amp;L'!BK28</f>
        <v>53.681999999999981</v>
      </c>
      <c r="BL167" s="865">
        <f>'P&amp;L'!BL28</f>
        <v>60.780999999999985</v>
      </c>
      <c r="BM167" s="865">
        <f>'P&amp;L'!BM28</f>
        <v>66.006999999999991</v>
      </c>
      <c r="BN167" s="865">
        <f>'P&amp;L'!BN28</f>
        <v>60.433999999999941</v>
      </c>
      <c r="BO167" s="867">
        <f>'P&amp;L'!BO28</f>
        <v>240.904</v>
      </c>
      <c r="BP167" s="39"/>
      <c r="BQ167" s="864">
        <f>'P&amp;L'!BQ28</f>
        <v>51.524999999999977</v>
      </c>
      <c r="BR167" s="865">
        <f>'P&amp;L'!BR28</f>
        <v>60.977000000000032</v>
      </c>
      <c r="BS167" s="865">
        <f>'P&amp;L'!BS28</f>
        <v>63.115999999999978</v>
      </c>
      <c r="BT167" s="865">
        <f>'P&amp;L'!BT28</f>
        <v>76.210000000000008</v>
      </c>
      <c r="BU167" s="867">
        <f>'P&amp;L'!BU28</f>
        <v>251.828</v>
      </c>
      <c r="BV167" s="39"/>
      <c r="BW167" s="864">
        <f>'P&amp;L'!BW28</f>
        <v>45.127999999999993</v>
      </c>
      <c r="BX167" s="865">
        <f>'P&amp;L'!BX28</f>
        <v>56.923999999999992</v>
      </c>
      <c r="BY167" s="865">
        <f>'P&amp;L'!BY28</f>
        <v>68.220999999999989</v>
      </c>
      <c r="BZ167" s="865">
        <f>'P&amp;L'!BZ28</f>
        <v>93.513000000000005</v>
      </c>
      <c r="CA167" s="867">
        <f>'P&amp;L'!CA28</f>
        <v>263.786</v>
      </c>
      <c r="CB167" s="39"/>
      <c r="CC167" s="864">
        <f>'P&amp;L'!CC28</f>
        <v>50.761000000000038</v>
      </c>
      <c r="CD167" s="865">
        <f>'P&amp;L'!CD28</f>
        <v>68.652000000000001</v>
      </c>
      <c r="CE167" s="865">
        <f>'P&amp;L'!CE28</f>
        <v>75.521000000000015</v>
      </c>
      <c r="CF167" s="865">
        <f>'P&amp;L'!CF28</f>
        <v>100.14600000000002</v>
      </c>
      <c r="CG167" s="867">
        <f>'P&amp;L'!CG28</f>
        <v>295.07999999999993</v>
      </c>
      <c r="CH167" s="39"/>
      <c r="CI167" s="864">
        <f>'P&amp;L'!CI28</f>
        <v>54.319295958606993</v>
      </c>
      <c r="CJ167" s="865">
        <f>'P&amp;L'!CJ28</f>
        <v>75.010677478567104</v>
      </c>
      <c r="CK167" s="865">
        <f>'P&amp;L'!CK28</f>
        <v>77.362978609062154</v>
      </c>
      <c r="CL167" s="865">
        <f>'P&amp;L'!CL28</f>
        <v>94.640322442308261</v>
      </c>
      <c r="CM167" s="867">
        <f>'P&amp;L'!CM28</f>
        <v>301.33327448854436</v>
      </c>
      <c r="CN167" s="39"/>
      <c r="CO167" s="864">
        <f>'P&amp;L'!CO28</f>
        <v>68.966308579512742</v>
      </c>
      <c r="CP167" s="865">
        <f>'P&amp;L'!CP28</f>
        <v>83.235626797933179</v>
      </c>
      <c r="CQ167" s="865">
        <f>'P&amp;L'!CQ28</f>
        <v>88.604113015487798</v>
      </c>
      <c r="CR167" s="865">
        <f>'P&amp;L'!CR28</f>
        <v>107.26559649866061</v>
      </c>
      <c r="CS167" s="867">
        <f>'P&amp;L'!CS28</f>
        <v>348.07164489159419</v>
      </c>
      <c r="CT167" s="39"/>
      <c r="CU167" s="864">
        <f>'P&amp;L'!CU28</f>
        <v>92.686859930942219</v>
      </c>
      <c r="CV167" s="865">
        <f>'P&amp;L'!CV28</f>
        <v>109.91204514817606</v>
      </c>
      <c r="CW167" s="865">
        <f>'P&amp;L'!CW28</f>
        <v>116.20763360914376</v>
      </c>
      <c r="CX167" s="865">
        <f>'P&amp;L'!CX28</f>
        <v>136.72542350072771</v>
      </c>
      <c r="CY167" s="867">
        <f>'P&amp;L'!CY28</f>
        <v>455.53196218898984</v>
      </c>
      <c r="CZ167" s="84"/>
      <c r="DA167" s="84"/>
      <c r="DB167" s="84"/>
    </row>
    <row r="168" spans="1:106" ht="11.25" customHeight="1" outlineLevel="1" x14ac:dyDescent="0.2">
      <c r="A168" s="527" t="s">
        <v>377</v>
      </c>
      <c r="B168" s="39"/>
      <c r="C168" s="864">
        <f>'P&amp;L'!C20</f>
        <v>25.927999999999997</v>
      </c>
      <c r="D168" s="865">
        <f>'P&amp;L'!D20</f>
        <v>30.755000000000006</v>
      </c>
      <c r="E168" s="865">
        <f>'P&amp;L'!E20</f>
        <v>28.86199999999997</v>
      </c>
      <c r="F168" s="865">
        <f>'P&amp;L'!F20</f>
        <v>27.399000000000058</v>
      </c>
      <c r="G168" s="867">
        <f>'P&amp;L'!G20</f>
        <v>112.944</v>
      </c>
      <c r="H168" s="39"/>
      <c r="I168" s="864">
        <f>'P&amp;L'!I20</f>
        <v>27.411000000000001</v>
      </c>
      <c r="J168" s="865">
        <f>'P&amp;L'!J20</f>
        <v>31.103000000000009</v>
      </c>
      <c r="K168" s="865">
        <f>'P&amp;L'!K20</f>
        <v>32.45999999999998</v>
      </c>
      <c r="L168" s="865">
        <f>'P&amp;L'!L20</f>
        <v>35.709000000000003</v>
      </c>
      <c r="M168" s="867">
        <f>'P&amp;L'!M20</f>
        <v>126.68300000000001</v>
      </c>
      <c r="N168" s="39"/>
      <c r="O168" s="864">
        <f>'P&amp;L'!O20</f>
        <v>34.495000000000005</v>
      </c>
      <c r="P168" s="865">
        <f>'P&amp;L'!P20</f>
        <v>36.466000000000001</v>
      </c>
      <c r="Q168" s="865">
        <f>'P&amp;L'!Q20</f>
        <v>38.493000000000009</v>
      </c>
      <c r="R168" s="865">
        <f>'P&amp;L'!R20</f>
        <v>41.164000000000016</v>
      </c>
      <c r="S168" s="867">
        <f>'P&amp;L'!S20</f>
        <v>150.61799999999999</v>
      </c>
      <c r="T168" s="39"/>
      <c r="U168" s="864">
        <f>'P&amp;L'!U20</f>
        <v>41.557999999999971</v>
      </c>
      <c r="V168" s="865">
        <f>'P&amp;L'!V20</f>
        <v>45.388999999999989</v>
      </c>
      <c r="W168" s="865">
        <f>'P&amp;L'!W20</f>
        <v>63.418999999999983</v>
      </c>
      <c r="X168" s="865">
        <f>'P&amp;L'!X20</f>
        <v>76.461000000000041</v>
      </c>
      <c r="Y168" s="867">
        <f>'P&amp;L'!Y20</f>
        <v>226.82700000000003</v>
      </c>
      <c r="Z168" s="39"/>
      <c r="AA168" s="864">
        <f>'P&amp;L'!AA20</f>
        <v>84.129999999999967</v>
      </c>
      <c r="AB168" s="865">
        <f>'P&amp;L'!AB20</f>
        <v>85.838999999999999</v>
      </c>
      <c r="AC168" s="865">
        <f>'P&amp;L'!AC20</f>
        <v>94.876999999999981</v>
      </c>
      <c r="AD168" s="865">
        <f>'P&amp;L'!AD20</f>
        <v>93.473000000000013</v>
      </c>
      <c r="AE168" s="867">
        <f>'P&amp;L'!AE20</f>
        <v>358.31899999999985</v>
      </c>
      <c r="AF168" s="39"/>
      <c r="AG168" s="864">
        <f>'P&amp;L'!AG20</f>
        <v>86.586000000000027</v>
      </c>
      <c r="AH168" s="865">
        <f>'P&amp;L'!AH20</f>
        <v>100.65399999999998</v>
      </c>
      <c r="AI168" s="865">
        <f>'P&amp;L'!AI20</f>
        <v>112.148</v>
      </c>
      <c r="AJ168" s="865">
        <f>'P&amp;L'!AJ20</f>
        <v>117.13200000000009</v>
      </c>
      <c r="AK168" s="867">
        <f>'P&amp;L'!AK20</f>
        <v>416.5200000000001</v>
      </c>
      <c r="AL168" s="39"/>
      <c r="AM168" s="864">
        <f>'P&amp;L'!AM20</f>
        <v>107.57999999999996</v>
      </c>
      <c r="AN168" s="865">
        <f>'P&amp;L'!AN20</f>
        <v>108.03</v>
      </c>
      <c r="AO168" s="865">
        <f>'P&amp;L'!AO20</f>
        <v>114.70899999999997</v>
      </c>
      <c r="AP168" s="865">
        <f>'P&amp;L'!AP20</f>
        <v>120.68900000000002</v>
      </c>
      <c r="AQ168" s="867">
        <f>'P&amp;L'!AQ20</f>
        <v>451.00800000000004</v>
      </c>
      <c r="AR168" s="39"/>
      <c r="AS168" s="864">
        <f>'P&amp;L'!AS20</f>
        <v>109.26099999999997</v>
      </c>
      <c r="AT168" s="865">
        <f>'P&amp;L'!AT20</f>
        <v>117.58100000000005</v>
      </c>
      <c r="AU168" s="865">
        <f>'P&amp;L'!AU20</f>
        <v>117.69499999999999</v>
      </c>
      <c r="AV168" s="865">
        <f>'P&amp;L'!AV20</f>
        <v>142.4740000000001</v>
      </c>
      <c r="AW168" s="867">
        <f>'P&amp;L'!AW20</f>
        <v>487.01099999999997</v>
      </c>
      <c r="AX168" s="39"/>
      <c r="AY168" s="864">
        <f>'P&amp;L'!AY20</f>
        <v>125.47900000000001</v>
      </c>
      <c r="AZ168" s="865">
        <f>'P&amp;L'!AZ20</f>
        <v>134.61900000000003</v>
      </c>
      <c r="BA168" s="865">
        <f>'P&amp;L'!BA20</f>
        <v>133.88099999999997</v>
      </c>
      <c r="BB168" s="865">
        <f>'P&amp;L'!BB20</f>
        <v>160.34399999999997</v>
      </c>
      <c r="BC168" s="867">
        <f>'P&amp;L'!BC20</f>
        <v>554.32299999999987</v>
      </c>
      <c r="BD168" s="20"/>
      <c r="BE168" s="864">
        <f>'P&amp;L'!BE20</f>
        <v>123.45900000000003</v>
      </c>
      <c r="BF168" s="865">
        <f>'P&amp;L'!BF20</f>
        <v>175.79599999999994</v>
      </c>
      <c r="BG168" s="865">
        <f>'P&amp;L'!BG20</f>
        <v>95.369999999999948</v>
      </c>
      <c r="BH168" s="865">
        <f>'P&amp;L'!BH20</f>
        <v>160.55399999999995</v>
      </c>
      <c r="BI168" s="867">
        <f>'P&amp;L'!BI20</f>
        <v>555.17899999999986</v>
      </c>
      <c r="BJ168" s="39"/>
      <c r="BK168" s="864">
        <f>'P&amp;L'!BK20</f>
        <v>123.93999999999998</v>
      </c>
      <c r="BL168" s="865">
        <f>'P&amp;L'!BL20</f>
        <v>130.38299999999998</v>
      </c>
      <c r="BM168" s="865">
        <f>'P&amp;L'!BM20</f>
        <v>136.089</v>
      </c>
      <c r="BN168" s="865">
        <f>'P&amp;L'!BN20</f>
        <v>122.65899999999996</v>
      </c>
      <c r="BO168" s="867">
        <f>'P&amp;L'!BO20</f>
        <v>513.07100000000003</v>
      </c>
      <c r="BP168" s="39"/>
      <c r="BQ168" s="864">
        <f>'P&amp;L'!BQ20</f>
        <v>113.49199999999999</v>
      </c>
      <c r="BR168" s="865">
        <f>'P&amp;L'!BR20</f>
        <v>122.91500000000003</v>
      </c>
      <c r="BS168" s="865">
        <f>'P&amp;L'!BS20</f>
        <v>127.73599999999998</v>
      </c>
      <c r="BT168" s="865">
        <f>'P&amp;L'!BT20</f>
        <v>144.64700000000002</v>
      </c>
      <c r="BU168" s="867">
        <f>'P&amp;L'!BU20</f>
        <v>508.78999999999996</v>
      </c>
      <c r="BV168" s="39"/>
      <c r="BW168" s="864">
        <f>'P&amp;L'!BW20</f>
        <v>105.268</v>
      </c>
      <c r="BX168" s="865">
        <f>'P&amp;L'!BX20</f>
        <v>121.66799999999999</v>
      </c>
      <c r="BY168" s="865">
        <f>'P&amp;L'!BY20</f>
        <v>140.154</v>
      </c>
      <c r="BZ168" s="865">
        <f>'P&amp;L'!BZ20</f>
        <v>169.05800000000005</v>
      </c>
      <c r="CA168" s="867">
        <f>'P&amp;L'!CA20</f>
        <v>536.14799999999991</v>
      </c>
      <c r="CB168" s="39"/>
      <c r="CC168" s="864">
        <f>'P&amp;L'!CC20</f>
        <v>118.58200000000004</v>
      </c>
      <c r="CD168" s="865">
        <f>'P&amp;L'!CD20</f>
        <v>144.547</v>
      </c>
      <c r="CE168" s="865">
        <f>'P&amp;L'!CE20</f>
        <v>150.14699999999999</v>
      </c>
      <c r="CF168" s="865">
        <f>'P&amp;L'!CF20</f>
        <v>174.54800000000003</v>
      </c>
      <c r="CG168" s="867">
        <f>'P&amp;L'!CG20</f>
        <v>587.82399999999996</v>
      </c>
      <c r="CH168" s="39"/>
      <c r="CI168" s="864">
        <f>'P&amp;L'!CI20</f>
        <v>124.27401967399936</v>
      </c>
      <c r="CJ168" s="865">
        <f>'P&amp;L'!CJ20</f>
        <v>150.73523778993666</v>
      </c>
      <c r="CK168" s="865">
        <f>'P&amp;L'!CK20</f>
        <v>154.24694461321036</v>
      </c>
      <c r="CL168" s="865">
        <f>'P&amp;L'!CL20</f>
        <v>176.67320253829507</v>
      </c>
      <c r="CM168" s="867">
        <f>'P&amp;L'!CM20</f>
        <v>605.92940461544129</v>
      </c>
      <c r="CN168" s="39"/>
      <c r="CO168" s="864">
        <f>'P&amp;L'!CO20</f>
        <v>144.76358537335068</v>
      </c>
      <c r="CP168" s="865">
        <f>'P&amp;L'!CP20</f>
        <v>162.97791529474048</v>
      </c>
      <c r="CQ168" s="865">
        <f>'P&amp;L'!CQ20</f>
        <v>170.22354969190428</v>
      </c>
      <c r="CR168" s="865">
        <f>'P&amp;L'!CR20</f>
        <v>194.41222127553016</v>
      </c>
      <c r="CS168" s="867">
        <f>'P&amp;L'!CS20</f>
        <v>672.3772716355254</v>
      </c>
      <c r="CT168" s="39"/>
      <c r="CU168" s="864">
        <f>'P&amp;L'!CU20</f>
        <v>162.97036184596922</v>
      </c>
      <c r="CV168" s="865">
        <f>'P&amp;L'!CV20</f>
        <v>183.04343034875896</v>
      </c>
      <c r="CW168" s="865">
        <f>'P&amp;L'!CW20</f>
        <v>190.67766575267123</v>
      </c>
      <c r="CX168" s="865">
        <f>'P&amp;L'!CX20</f>
        <v>217.98085374070567</v>
      </c>
      <c r="CY168" s="867">
        <f>'P&amp;L'!CY20</f>
        <v>754.67231168810508</v>
      </c>
      <c r="CZ168" s="84"/>
      <c r="DA168" s="84"/>
      <c r="DB168" s="84"/>
    </row>
    <row r="169" spans="1:106" ht="11.25" customHeight="1" outlineLevel="1" x14ac:dyDescent="0.2">
      <c r="A169" s="527" t="s">
        <v>378</v>
      </c>
      <c r="B169" s="39"/>
      <c r="C169" s="864">
        <f>'P&amp;L'!C17</f>
        <v>19.031999999999996</v>
      </c>
      <c r="D169" s="865">
        <f>'P&amp;L'!D17</f>
        <v>24.695000000000007</v>
      </c>
      <c r="E169" s="865">
        <f>'P&amp;L'!E17</f>
        <v>23.692999999999969</v>
      </c>
      <c r="F169" s="865">
        <f>'P&amp;L'!F17</f>
        <v>22.563000000000059</v>
      </c>
      <c r="G169" s="867">
        <f>'P&amp;L'!G17</f>
        <v>89.983000000000004</v>
      </c>
      <c r="H169" s="39"/>
      <c r="I169" s="864">
        <f>'P&amp;L'!I17</f>
        <v>21.393000000000001</v>
      </c>
      <c r="J169" s="865">
        <f>'P&amp;L'!J17</f>
        <v>24.621000000000009</v>
      </c>
      <c r="K169" s="865">
        <f>'P&amp;L'!K17</f>
        <v>26.173999999999978</v>
      </c>
      <c r="L169" s="865">
        <f>'P&amp;L'!L17</f>
        <v>29.540000000000006</v>
      </c>
      <c r="M169" s="867">
        <f>'P&amp;L'!M17</f>
        <v>101.72800000000001</v>
      </c>
      <c r="N169" s="39"/>
      <c r="O169" s="864">
        <f>'P&amp;L'!O17</f>
        <v>27.775000000000006</v>
      </c>
      <c r="P169" s="865">
        <f>'P&amp;L'!P17</f>
        <v>29.123000000000005</v>
      </c>
      <c r="Q169" s="865">
        <f>'P&amp;L'!Q17</f>
        <v>30.591000000000008</v>
      </c>
      <c r="R169" s="865">
        <f>'P&amp;L'!R17</f>
        <v>33.091000000000008</v>
      </c>
      <c r="S169" s="867">
        <f>'P&amp;L'!S17</f>
        <v>120.57999999999998</v>
      </c>
      <c r="T169" s="39"/>
      <c r="U169" s="864">
        <f>'P&amp;L'!U17</f>
        <v>32.821999999999974</v>
      </c>
      <c r="V169" s="865">
        <f>'P&amp;L'!V17</f>
        <v>36.000999999999991</v>
      </c>
      <c r="W169" s="865">
        <f>'P&amp;L'!W17</f>
        <v>43.634999999999991</v>
      </c>
      <c r="X169" s="865">
        <f>'P&amp;L'!X17</f>
        <v>51.786000000000058</v>
      </c>
      <c r="Y169" s="867">
        <f>'P&amp;L'!Y17</f>
        <v>164.24400000000003</v>
      </c>
      <c r="Z169" s="39"/>
      <c r="AA169" s="864">
        <f>'P&amp;L'!AA17</f>
        <v>58.69999999999996</v>
      </c>
      <c r="AB169" s="865">
        <f>'P&amp;L'!AB17</f>
        <v>60.592000000000013</v>
      </c>
      <c r="AC169" s="865">
        <f>'P&amp;L'!AC17</f>
        <v>66.824999999999989</v>
      </c>
      <c r="AD169" s="865">
        <f>'P&amp;L'!AD17</f>
        <v>66.498000000000019</v>
      </c>
      <c r="AE169" s="867">
        <f>'P&amp;L'!AE17</f>
        <v>252.6149999999999</v>
      </c>
      <c r="AF169" s="39"/>
      <c r="AG169" s="864">
        <f>'P&amp;L'!AG17</f>
        <v>59.220000000000027</v>
      </c>
      <c r="AH169" s="865">
        <f>'P&amp;L'!AH17</f>
        <v>71.810999999999979</v>
      </c>
      <c r="AI169" s="865">
        <f>'P&amp;L'!AI17</f>
        <v>81.774000000000001</v>
      </c>
      <c r="AJ169" s="865">
        <f>'P&amp;L'!AJ17</f>
        <v>83.321000000000083</v>
      </c>
      <c r="AK169" s="867">
        <f>'P&amp;L'!AK17</f>
        <v>296.12600000000009</v>
      </c>
      <c r="AL169" s="39"/>
      <c r="AM169" s="864">
        <f>'P&amp;L'!AM17</f>
        <v>73.638999999999953</v>
      </c>
      <c r="AN169" s="865">
        <f>'P&amp;L'!AN17</f>
        <v>73.19</v>
      </c>
      <c r="AO169" s="865">
        <f>'P&amp;L'!AO17</f>
        <v>79.114999999999981</v>
      </c>
      <c r="AP169" s="865">
        <f>'P&amp;L'!AP17</f>
        <v>82.285000000000025</v>
      </c>
      <c r="AQ169" s="867">
        <f>'P&amp;L'!AQ17</f>
        <v>308.22900000000004</v>
      </c>
      <c r="AR169" s="39"/>
      <c r="AS169" s="864">
        <f>'P&amp;L'!AS17</f>
        <v>70.569999999999965</v>
      </c>
      <c r="AT169" s="865">
        <f>'P&amp;L'!AT17</f>
        <v>78.631000000000029</v>
      </c>
      <c r="AU169" s="865">
        <f>'P&amp;L'!AU17</f>
        <v>74.738</v>
      </c>
      <c r="AV169" s="865">
        <f>'P&amp;L'!AV17</f>
        <v>95.695000000000107</v>
      </c>
      <c r="AW169" s="867">
        <f>'P&amp;L'!AW17</f>
        <v>319.63400000000001</v>
      </c>
      <c r="AX169" s="39"/>
      <c r="AY169" s="864">
        <f>'P&amp;L'!AY17</f>
        <v>80.246000000000009</v>
      </c>
      <c r="AZ169" s="865">
        <f>'P&amp;L'!AZ17</f>
        <v>86.41700000000003</v>
      </c>
      <c r="BA169" s="865">
        <f>'P&amp;L'!BA17</f>
        <v>83.739999999999981</v>
      </c>
      <c r="BB169" s="865">
        <f>'P&amp;L'!BB17</f>
        <v>106.02799999999996</v>
      </c>
      <c r="BC169" s="867">
        <f>'P&amp;L'!BC17</f>
        <v>356.43099999999981</v>
      </c>
      <c r="BD169" s="20"/>
      <c r="BE169" s="864">
        <f>'P&amp;L'!BE17</f>
        <v>78.374000000000024</v>
      </c>
      <c r="BF169" s="865">
        <f>'P&amp;L'!BF17</f>
        <v>83.447999999999951</v>
      </c>
      <c r="BG169" s="865">
        <f>'P&amp;L'!BG17</f>
        <v>87.706999999999937</v>
      </c>
      <c r="BH169" s="865">
        <f>'P&amp;L'!BH17</f>
        <v>106.29499999999996</v>
      </c>
      <c r="BI169" s="867">
        <f>'P&amp;L'!BI17</f>
        <v>355.82399999999996</v>
      </c>
      <c r="BJ169" s="39"/>
      <c r="BK169" s="864">
        <f>'P&amp;L'!BK17</f>
        <v>74.817999999999984</v>
      </c>
      <c r="BL169" s="865">
        <f>'P&amp;L'!BL17</f>
        <v>81.138999999999982</v>
      </c>
      <c r="BM169" s="865">
        <f>'P&amp;L'!BM17</f>
        <v>84.771999999999991</v>
      </c>
      <c r="BN169" s="865">
        <f>'P&amp;L'!BN17</f>
        <v>71.559999999999945</v>
      </c>
      <c r="BO169" s="867">
        <f>'P&amp;L'!BO17</f>
        <v>312.28899999999999</v>
      </c>
      <c r="BP169" s="39"/>
      <c r="BQ169" s="864">
        <f>'P&amp;L'!BQ17</f>
        <v>67.365999999999985</v>
      </c>
      <c r="BR169" s="865">
        <f>'P&amp;L'!BR17</f>
        <v>78.854000000000042</v>
      </c>
      <c r="BS169" s="865">
        <f>'P&amp;L'!BS17</f>
        <v>78.256999999999977</v>
      </c>
      <c r="BT169" s="865">
        <f>'P&amp;L'!BT17</f>
        <v>92.84</v>
      </c>
      <c r="BU169" s="867">
        <f>'P&amp;L'!BU17</f>
        <v>317.31700000000001</v>
      </c>
      <c r="BV169" s="39"/>
      <c r="BW169" s="864">
        <f>'P&amp;L'!BW17</f>
        <v>54.463999999999999</v>
      </c>
      <c r="BX169" s="865">
        <f>'P&amp;L'!BX17</f>
        <v>69.182999999999993</v>
      </c>
      <c r="BY169" s="865">
        <f>'P&amp;L'!BY17</f>
        <v>86.74799999999999</v>
      </c>
      <c r="BZ169" s="865">
        <f>'P&amp;L'!BZ17</f>
        <v>112.697</v>
      </c>
      <c r="CA169" s="867">
        <f>'P&amp;L'!CA17</f>
        <v>323.09199999999998</v>
      </c>
      <c r="CB169" s="39"/>
      <c r="CC169" s="864">
        <f>'P&amp;L'!CC17</f>
        <v>63.829000000000036</v>
      </c>
      <c r="CD169" s="865">
        <f>'P&amp;L'!CD17</f>
        <v>87.951999999999998</v>
      </c>
      <c r="CE169" s="865">
        <f>'P&amp;L'!CE17</f>
        <v>97.867000000000019</v>
      </c>
      <c r="CF169" s="865">
        <f>'P&amp;L'!CF17</f>
        <v>121.72800000000001</v>
      </c>
      <c r="CG169" s="867">
        <f>'P&amp;L'!CG17</f>
        <v>371.37599999999998</v>
      </c>
      <c r="CH169" s="39"/>
      <c r="CI169" s="864">
        <f>'P&amp;L'!CI17</f>
        <v>71.919475923999357</v>
      </c>
      <c r="CJ169" s="865">
        <f>'P&amp;L'!CJ17</f>
        <v>97.963641484657046</v>
      </c>
      <c r="CK169" s="865">
        <f>'P&amp;L'!CK17</f>
        <v>101.00002635835045</v>
      </c>
      <c r="CL169" s="865">
        <f>'P&amp;L'!CL17</f>
        <v>122.9351538369126</v>
      </c>
      <c r="CM169" s="867">
        <f>'P&amp;L'!CM17</f>
        <v>393.81829760391929</v>
      </c>
      <c r="CN169" s="39"/>
      <c r="CO169" s="864">
        <f>'P&amp;L'!CO17</f>
        <v>90.502010766246201</v>
      </c>
      <c r="CP169" s="865">
        <f>'P&amp;L'!CP17</f>
        <v>108.25330209051504</v>
      </c>
      <c r="CQ169" s="865">
        <f>'P&amp;L'!CQ17</f>
        <v>114.98770555933919</v>
      </c>
      <c r="CR169" s="865">
        <f>'P&amp;L'!CR17</f>
        <v>138.65591278755755</v>
      </c>
      <c r="CS169" s="867">
        <f>'P&amp;L'!CS17</f>
        <v>452.39893120365787</v>
      </c>
      <c r="CT169" s="39"/>
      <c r="CU169" s="864">
        <f>'P&amp;L'!CU17</f>
        <v>106.64416409657662</v>
      </c>
      <c r="CV169" s="865">
        <f>'P&amp;L'!CV17</f>
        <v>126.20457426974446</v>
      </c>
      <c r="CW169" s="865">
        <f>'P&amp;L'!CW17</f>
        <v>133.27610654936012</v>
      </c>
      <c r="CX169" s="865">
        <f>'P&amp;L'!CX17</f>
        <v>160.00769317380741</v>
      </c>
      <c r="CY169" s="867">
        <f>'P&amp;L'!CY17</f>
        <v>526.13253808948866</v>
      </c>
      <c r="CZ169" s="84"/>
      <c r="DA169" s="84"/>
      <c r="DB169" s="84"/>
    </row>
    <row r="170" spans="1:106" ht="11.25" customHeight="1" outlineLevel="1" x14ac:dyDescent="0.2">
      <c r="A170" s="527" t="s">
        <v>379</v>
      </c>
      <c r="B170" s="39"/>
      <c r="C170" s="864">
        <f>'P&amp;L'!C23</f>
        <v>0.70599999999999996</v>
      </c>
      <c r="D170" s="865">
        <f>'P&amp;L'!D23</f>
        <v>-10.703999999999999</v>
      </c>
      <c r="E170" s="865">
        <f>'P&amp;L'!E23</f>
        <v>0.21499999999999997</v>
      </c>
      <c r="F170" s="865">
        <f>'P&amp;L'!F23</f>
        <v>0.54399999999999871</v>
      </c>
      <c r="G170" s="867">
        <f>'P&amp;L'!G23</f>
        <v>-9.2390000000000008</v>
      </c>
      <c r="H170" s="39"/>
      <c r="I170" s="864">
        <f>'P&amp;L'!I23</f>
        <v>-9.600000000000003E-2</v>
      </c>
      <c r="J170" s="865">
        <f>'P&amp;L'!J23</f>
        <v>0.45399999999999996</v>
      </c>
      <c r="K170" s="865">
        <f>'P&amp;L'!K23</f>
        <v>0.53899999999999992</v>
      </c>
      <c r="L170" s="865">
        <f>'P&amp;L'!L23</f>
        <v>-8.1999999999999962E-2</v>
      </c>
      <c r="M170" s="867">
        <f>'P&amp;L'!M23</f>
        <v>0.81499999999999984</v>
      </c>
      <c r="N170" s="39"/>
      <c r="O170" s="864">
        <f>'P&amp;L'!O23</f>
        <v>0.58099999999999996</v>
      </c>
      <c r="P170" s="865">
        <f>'P&amp;L'!P23</f>
        <v>0.63600000000000001</v>
      </c>
      <c r="Q170" s="865">
        <f>'P&amp;L'!Q23</f>
        <v>0.26200000000000001</v>
      </c>
      <c r="R170" s="865">
        <f>'P&amp;L'!R23</f>
        <v>-0.45300000000000029</v>
      </c>
      <c r="S170" s="867">
        <f>'P&amp;L'!S23</f>
        <v>1.0259999999999998</v>
      </c>
      <c r="T170" s="39"/>
      <c r="U170" s="864">
        <f>'P&amp;L'!U23</f>
        <v>-0.254</v>
      </c>
      <c r="V170" s="865">
        <f>'P&amp;L'!V23</f>
        <v>1.135</v>
      </c>
      <c r="W170" s="865">
        <f>'P&amp;L'!W23</f>
        <v>1.0840000000000001</v>
      </c>
      <c r="X170" s="865">
        <f>'P&amp;L'!X23</f>
        <v>2.5739999999999998</v>
      </c>
      <c r="Y170" s="867">
        <f>'P&amp;L'!Y23</f>
        <v>4.5389999999999997</v>
      </c>
      <c r="Z170" s="39"/>
      <c r="AA170" s="864">
        <f>'P&amp;L'!AA23</f>
        <v>2.1349999999999998</v>
      </c>
      <c r="AB170" s="865">
        <f>'P&amp;L'!AB23</f>
        <v>0.42399999999999999</v>
      </c>
      <c r="AC170" s="865">
        <f>'P&amp;L'!AC23</f>
        <v>-0.7330000000000001</v>
      </c>
      <c r="AD170" s="865">
        <f>'P&amp;L'!AD23</f>
        <v>2.3140000000000001</v>
      </c>
      <c r="AE170" s="867">
        <f>'P&amp;L'!AE23</f>
        <v>4.1399999999999997</v>
      </c>
      <c r="AF170" s="39"/>
      <c r="AG170" s="864">
        <f>'P&amp;L'!AG23</f>
        <v>2.7809999999999997</v>
      </c>
      <c r="AH170" s="865">
        <f>'P&amp;L'!AH23</f>
        <v>1.91</v>
      </c>
      <c r="AI170" s="865">
        <f>'P&amp;L'!AI23</f>
        <v>0.26300000000000034</v>
      </c>
      <c r="AJ170" s="865">
        <f>'P&amp;L'!AJ23</f>
        <v>3.09</v>
      </c>
      <c r="AK170" s="867">
        <f>'P&amp;L'!AK23</f>
        <v>8.0440000000000005</v>
      </c>
      <c r="AL170" s="39"/>
      <c r="AM170" s="864">
        <f>'P&amp;L'!AM23</f>
        <v>2.2349999999999999</v>
      </c>
      <c r="AN170" s="865">
        <f>'P&amp;L'!AN23</f>
        <v>2.8580000000000001</v>
      </c>
      <c r="AO170" s="865">
        <f>'P&amp;L'!AO23</f>
        <v>1.6740000000000004</v>
      </c>
      <c r="AP170" s="865">
        <f>'P&amp;L'!AP23</f>
        <v>0.97500000000000053</v>
      </c>
      <c r="AQ170" s="867">
        <f>'P&amp;L'!AQ23</f>
        <v>7.7420000000000009</v>
      </c>
      <c r="AR170" s="39"/>
      <c r="AS170" s="864">
        <f>'P&amp;L'!AS23</f>
        <v>1.3779999999999997</v>
      </c>
      <c r="AT170" s="865">
        <f>'P&amp;L'!AT23</f>
        <v>-2.0830000000000002</v>
      </c>
      <c r="AU170" s="865">
        <f>'P&amp;L'!AU23</f>
        <v>3.3100000000000005</v>
      </c>
      <c r="AV170" s="865">
        <f>'P&amp;L'!AV23</f>
        <v>2.6489999999999996</v>
      </c>
      <c r="AW170" s="867">
        <f>'P&amp;L'!AW23</f>
        <v>5.2539999999999996</v>
      </c>
      <c r="AX170" s="39"/>
      <c r="AY170" s="864">
        <f>'P&amp;L'!AY23</f>
        <v>-0.21799999999999997</v>
      </c>
      <c r="AZ170" s="865">
        <f>'P&amp;L'!AZ23</f>
        <v>-1.444</v>
      </c>
      <c r="BA170" s="865">
        <f>'P&amp;L'!BA23</f>
        <v>0.24299999999999999</v>
      </c>
      <c r="BB170" s="865">
        <f>'P&amp;L'!BB23</f>
        <v>-2.5720000000000001</v>
      </c>
      <c r="BC170" s="867">
        <f>'P&amp;L'!BC23</f>
        <v>-3.9910000000000001</v>
      </c>
      <c r="BD170" s="39"/>
      <c r="BE170" s="864">
        <f>'P&amp;L'!BE23</f>
        <v>0.51700000000000002</v>
      </c>
      <c r="BF170" s="865">
        <f>'P&amp;L'!BF23</f>
        <v>6.9009999999999998</v>
      </c>
      <c r="BG170" s="865">
        <f>'P&amp;L'!BG23</f>
        <v>2.867</v>
      </c>
      <c r="BH170" s="865">
        <f>'P&amp;L'!BH23</f>
        <v>5.3070000000000004</v>
      </c>
      <c r="BI170" s="867">
        <f>'P&amp;L'!BI23</f>
        <v>15.592000000000001</v>
      </c>
      <c r="BJ170" s="39"/>
      <c r="BK170" s="864">
        <f>'P&amp;L'!BK23</f>
        <v>0.82800000000000029</v>
      </c>
      <c r="BL170" s="865">
        <f>'P&amp;L'!BL23</f>
        <v>2.1870000000000003</v>
      </c>
      <c r="BM170" s="865">
        <f>'P&amp;L'!BM23</f>
        <v>2.5220000000000002</v>
      </c>
      <c r="BN170" s="865">
        <f>'P&amp;L'!BN23</f>
        <v>-0.47599999999999998</v>
      </c>
      <c r="BO170" s="867">
        <f>'P&amp;L'!BO23</f>
        <v>5.0610000000000008</v>
      </c>
      <c r="BP170" s="39"/>
      <c r="BQ170" s="864">
        <f>'P&amp;L'!BQ23</f>
        <v>-7.099999999999973E-2</v>
      </c>
      <c r="BR170" s="865">
        <f>'P&amp;L'!BR23</f>
        <v>4.7699999999999996</v>
      </c>
      <c r="BS170" s="865">
        <f>'P&amp;L'!BS23</f>
        <v>4.7159999999999993</v>
      </c>
      <c r="BT170" s="865">
        <f>'P&amp;L'!BT23</f>
        <v>-6.8000000000000005E-2</v>
      </c>
      <c r="BU170" s="867">
        <f>'P&amp;L'!BU23</f>
        <v>9.3469999999999995</v>
      </c>
      <c r="BV170" s="39"/>
      <c r="BW170" s="864">
        <f>'P&amp;L'!BW23</f>
        <v>1.4160000000000001</v>
      </c>
      <c r="BX170" s="865">
        <f>'P&amp;L'!BX23</f>
        <v>1.0169999999999999</v>
      </c>
      <c r="BY170" s="865">
        <f>'P&amp;L'!BY23</f>
        <v>-2.3740000000000001</v>
      </c>
      <c r="BZ170" s="865">
        <f>'P&amp;L'!BZ23</f>
        <v>1.2680000000000007</v>
      </c>
      <c r="CA170" s="867">
        <f>'P&amp;L'!CA23</f>
        <v>1.3270000000000004</v>
      </c>
      <c r="CB170" s="39"/>
      <c r="CC170" s="864">
        <f>'P&amp;L'!CC23</f>
        <v>0.98299999999999998</v>
      </c>
      <c r="CD170" s="865">
        <f>'P&amp;L'!CD23</f>
        <v>0</v>
      </c>
      <c r="CE170" s="865">
        <f>'P&amp;L'!CE23</f>
        <v>-2.948</v>
      </c>
      <c r="CF170" s="865">
        <f>'P&amp;L'!CF23</f>
        <v>3.0710000000000002</v>
      </c>
      <c r="CG170" s="867">
        <f>'P&amp;L'!CG23</f>
        <v>1.1060000000000003</v>
      </c>
      <c r="CH170" s="39"/>
      <c r="CI170" s="864">
        <f>'P&amp;L'!CI23</f>
        <v>1.25</v>
      </c>
      <c r="CJ170" s="865">
        <f>'P&amp;L'!CJ23</f>
        <v>1.25</v>
      </c>
      <c r="CK170" s="865">
        <f>'P&amp;L'!CK23</f>
        <v>1.25</v>
      </c>
      <c r="CL170" s="865">
        <f>'P&amp;L'!CL23</f>
        <v>1.25</v>
      </c>
      <c r="CM170" s="867">
        <f>'P&amp;L'!CM23</f>
        <v>5</v>
      </c>
      <c r="CN170" s="39"/>
      <c r="CO170" s="864">
        <f>'P&amp;L'!CO23</f>
        <v>1.25</v>
      </c>
      <c r="CP170" s="865">
        <f>'P&amp;L'!CP23</f>
        <v>1.25</v>
      </c>
      <c r="CQ170" s="865">
        <f>'P&amp;L'!CQ23</f>
        <v>1.25</v>
      </c>
      <c r="CR170" s="865">
        <f>'P&amp;L'!CR23</f>
        <v>1.25</v>
      </c>
      <c r="CS170" s="867">
        <f>'P&amp;L'!CS23</f>
        <v>5</v>
      </c>
      <c r="CT170" s="39"/>
      <c r="CU170" s="864">
        <f>'P&amp;L'!CU23</f>
        <v>1.25</v>
      </c>
      <c r="CV170" s="865">
        <f>'P&amp;L'!CV23</f>
        <v>1.25</v>
      </c>
      <c r="CW170" s="865">
        <f>'P&amp;L'!CW23</f>
        <v>1.25</v>
      </c>
      <c r="CX170" s="865">
        <f>'P&amp;L'!CX23</f>
        <v>1.25</v>
      </c>
      <c r="CY170" s="867">
        <f>'P&amp;L'!CY23</f>
        <v>5</v>
      </c>
      <c r="CZ170" s="84"/>
      <c r="DA170" s="84"/>
      <c r="DB170" s="84"/>
    </row>
    <row r="171" spans="1:106" ht="11.25" customHeight="1" outlineLevel="1" x14ac:dyDescent="0.2">
      <c r="A171" s="527" t="s">
        <v>380</v>
      </c>
      <c r="B171" s="39"/>
      <c r="C171" s="864">
        <f>'P&amp;L'!C9</f>
        <v>96.057999999999993</v>
      </c>
      <c r="D171" s="865">
        <f>'P&amp;L'!D9</f>
        <v>98.637</v>
      </c>
      <c r="E171" s="865">
        <f>'P&amp;L'!E9</f>
        <v>90.402999999999977</v>
      </c>
      <c r="F171" s="865">
        <f>'P&amp;L'!F9</f>
        <v>95.531000000000063</v>
      </c>
      <c r="G171" s="867">
        <f>'P&amp;L'!G9</f>
        <v>380.62900000000002</v>
      </c>
      <c r="H171" s="39"/>
      <c r="I171" s="864">
        <f>'P&amp;L'!I9</f>
        <v>95.025000000000006</v>
      </c>
      <c r="J171" s="865">
        <f>'P&amp;L'!J9</f>
        <v>100.35400000000001</v>
      </c>
      <c r="K171" s="865">
        <f>'P&amp;L'!K9</f>
        <v>98.670999999999978</v>
      </c>
      <c r="L171" s="865">
        <f>'P&amp;L'!L9</f>
        <v>104.34499999999997</v>
      </c>
      <c r="M171" s="867">
        <f>'P&amp;L'!M9</f>
        <v>398.39499999999998</v>
      </c>
      <c r="N171" s="39"/>
      <c r="O171" s="864">
        <f>'P&amp;L'!O9</f>
        <v>108.715</v>
      </c>
      <c r="P171" s="865">
        <f>'P&amp;L'!P9</f>
        <v>113.23299999999999</v>
      </c>
      <c r="Q171" s="865">
        <f>'P&amp;L'!Q9</f>
        <v>117.93900000000001</v>
      </c>
      <c r="R171" s="865">
        <f>'P&amp;L'!R9</f>
        <v>125.89100000000002</v>
      </c>
      <c r="S171" s="867">
        <f>'P&amp;L'!S9</f>
        <v>465.77800000000002</v>
      </c>
      <c r="T171" s="39"/>
      <c r="U171" s="864">
        <f>'P&amp;L'!U9</f>
        <v>127.87899999999998</v>
      </c>
      <c r="V171" s="865">
        <f>'P&amp;L'!V9</f>
        <v>135.03899999999999</v>
      </c>
      <c r="W171" s="865">
        <f>'P&amp;L'!W9</f>
        <v>176.63200000000001</v>
      </c>
      <c r="X171" s="865">
        <f>'P&amp;L'!X9</f>
        <v>210.22400000000005</v>
      </c>
      <c r="Y171" s="867">
        <f>'P&amp;L'!Y9</f>
        <v>649.774</v>
      </c>
      <c r="Z171" s="39"/>
      <c r="AA171" s="864">
        <f>'P&amp;L'!AA9</f>
        <v>207.10599999999997</v>
      </c>
      <c r="AB171" s="865">
        <f>'P&amp;L'!AB9</f>
        <v>217.88800000000001</v>
      </c>
      <c r="AC171" s="865">
        <f>'P&amp;L'!AC9</f>
        <v>230.8</v>
      </c>
      <c r="AD171" s="865">
        <f>'P&amp;L'!AD9</f>
        <v>237.18100000000004</v>
      </c>
      <c r="AE171" s="867">
        <f>'P&amp;L'!AE9</f>
        <v>892.97500000000002</v>
      </c>
      <c r="AF171" s="39"/>
      <c r="AG171" s="864">
        <f>'P&amp;L'!AG9</f>
        <v>220.93299999999999</v>
      </c>
      <c r="AH171" s="865">
        <f>'P&amp;L'!AH9</f>
        <v>240.15599999999998</v>
      </c>
      <c r="AI171" s="865">
        <f>'P&amp;L'!AI9</f>
        <v>259.65899999999999</v>
      </c>
      <c r="AJ171" s="865">
        <f>'P&amp;L'!AJ9</f>
        <v>289.07700000000011</v>
      </c>
      <c r="AK171" s="867">
        <f>'P&amp;L'!AK9</f>
        <v>1009.825</v>
      </c>
      <c r="AL171" s="39"/>
      <c r="AM171" s="864">
        <f>'P&amp;L'!AM9</f>
        <v>264.36399999999998</v>
      </c>
      <c r="AN171" s="865">
        <f>'P&amp;L'!AN9</f>
        <v>262.71800000000002</v>
      </c>
      <c r="AO171" s="865">
        <f>'P&amp;L'!AO9</f>
        <v>274.31700000000001</v>
      </c>
      <c r="AP171" s="865">
        <f>'P&amp;L'!AP9</f>
        <v>286.03200000000004</v>
      </c>
      <c r="AQ171" s="867">
        <f>'P&amp;L'!AQ9</f>
        <v>1087.431</v>
      </c>
      <c r="AR171" s="39"/>
      <c r="AS171" s="864">
        <f>'P&amp;L'!AS9</f>
        <v>264.26499999999999</v>
      </c>
      <c r="AT171" s="865">
        <f>'P&amp;L'!AT9</f>
        <v>282.17700000000002</v>
      </c>
      <c r="AU171" s="865">
        <f>'P&amp;L'!AU9</f>
        <v>288.88499999999999</v>
      </c>
      <c r="AV171" s="865">
        <f>'P&amp;L'!AV9</f>
        <v>334.42000000000007</v>
      </c>
      <c r="AW171" s="867">
        <f>'P&amp;L'!AW9</f>
        <v>1169.7470000000001</v>
      </c>
      <c r="AX171" s="39"/>
      <c r="AY171" s="864">
        <f>'P&amp;L'!AY9</f>
        <v>296.42200000000003</v>
      </c>
      <c r="AZ171" s="865">
        <f>'P&amp;L'!AZ9</f>
        <v>307.21300000000002</v>
      </c>
      <c r="BA171" s="865">
        <f>'P&amp;L'!BA9</f>
        <v>304.28899999999999</v>
      </c>
      <c r="BB171" s="865">
        <f>'P&amp;L'!BB9</f>
        <v>346.53199999999993</v>
      </c>
      <c r="BC171" s="867">
        <f>'P&amp;L'!BC9</f>
        <v>1254.4559999999999</v>
      </c>
      <c r="BD171" s="259"/>
      <c r="BE171" s="864">
        <f>'P&amp;L'!BE9</f>
        <v>303.57600000000002</v>
      </c>
      <c r="BF171" s="865">
        <f>'P&amp;L'!BF9</f>
        <v>316.41199999999998</v>
      </c>
      <c r="BG171" s="865">
        <f>'P&amp;L'!BG9</f>
        <v>323.81099999999998</v>
      </c>
      <c r="BH171" s="865">
        <f>'P&amp;L'!BH9</f>
        <v>362.58499999999998</v>
      </c>
      <c r="BI171" s="867">
        <f>'P&amp;L'!BI9</f>
        <v>1306.384</v>
      </c>
      <c r="BJ171" s="39"/>
      <c r="BK171" s="864">
        <f>'P&amp;L'!BK9</f>
        <v>317.37299999999999</v>
      </c>
      <c r="BL171" s="865">
        <f>'P&amp;L'!BL9</f>
        <v>331.23699999999997</v>
      </c>
      <c r="BM171" s="865">
        <f>'P&amp;L'!BM9</f>
        <v>336.75700000000001</v>
      </c>
      <c r="BN171" s="865">
        <f>'P&amp;L'!BN9</f>
        <v>360.81</v>
      </c>
      <c r="BO171" s="867">
        <f>'P&amp;L'!BO9</f>
        <v>1346.1769999999999</v>
      </c>
      <c r="BP171" s="39"/>
      <c r="BQ171" s="864">
        <f>'P&amp;L'!BQ9</f>
        <v>298.72899999999998</v>
      </c>
      <c r="BR171" s="865">
        <f>'P&amp;L'!BR9</f>
        <v>319.45600000000002</v>
      </c>
      <c r="BS171" s="865">
        <f>'P&amp;L'!BS9</f>
        <v>314.56099999999998</v>
      </c>
      <c r="BT171" s="865">
        <f>'P&amp;L'!BT9</f>
        <v>348.5</v>
      </c>
      <c r="BU171" s="867">
        <f>'P&amp;L'!BU9</f>
        <v>1281.2459999999999</v>
      </c>
      <c r="BV171" s="39"/>
      <c r="BW171" s="864">
        <f>'P&amp;L'!BW9</f>
        <v>298.37900000000002</v>
      </c>
      <c r="BX171" s="865">
        <f>'P&amp;L'!BX9</f>
        <v>334.41199999999998</v>
      </c>
      <c r="BY171" s="865">
        <f>'P&amp;L'!BY9</f>
        <v>338.685</v>
      </c>
      <c r="BZ171" s="865">
        <f>'P&amp;L'!BZ9</f>
        <v>366.51499999999999</v>
      </c>
      <c r="CA171" s="867">
        <f>'P&amp;L'!CA9</f>
        <v>1337.991</v>
      </c>
      <c r="CB171" s="39"/>
      <c r="CC171" s="864">
        <f>'P&amp;L'!CC9</f>
        <v>308.30600000000004</v>
      </c>
      <c r="CD171" s="865">
        <f>'P&amp;L'!CD9</f>
        <v>349.60599999999999</v>
      </c>
      <c r="CE171" s="865">
        <f>'P&amp;L'!CE9</f>
        <v>364.4</v>
      </c>
      <c r="CF171" s="865">
        <f>'P&amp;L'!CF9</f>
        <v>397.113</v>
      </c>
      <c r="CG171" s="867">
        <f>'P&amp;L'!CG9</f>
        <v>1419.425</v>
      </c>
      <c r="CH171" s="39"/>
      <c r="CI171" s="864">
        <f>'P&amp;L'!CI9</f>
        <v>342.19696843455813</v>
      </c>
      <c r="CJ171" s="865">
        <f>'P&amp;L'!CJ9</f>
        <v>390.00775350179219</v>
      </c>
      <c r="CK171" s="865">
        <f>'P&amp;L'!CK9</f>
        <v>402.97882791594213</v>
      </c>
      <c r="CL171" s="865">
        <f>'P&amp;L'!CL9</f>
        <v>429.55971751546923</v>
      </c>
      <c r="CM171" s="867">
        <f>'P&amp;L'!CM9</f>
        <v>1564.7432673677615</v>
      </c>
      <c r="CN171" s="39"/>
      <c r="CO171" s="864">
        <f>'P&amp;L'!CO9</f>
        <v>379.92910533004368</v>
      </c>
      <c r="CP171" s="865">
        <f>'P&amp;L'!CP9</f>
        <v>419.47153094533905</v>
      </c>
      <c r="CQ171" s="865">
        <f>'P&amp;L'!CQ9</f>
        <v>427.04767623180248</v>
      </c>
      <c r="CR171" s="865">
        <f>'P&amp;L'!CR9</f>
        <v>467.60144526770443</v>
      </c>
      <c r="CS171" s="867">
        <f>'P&amp;L'!CS9</f>
        <v>1694.0497577748897</v>
      </c>
      <c r="CT171" s="39"/>
      <c r="CU171" s="864">
        <f>'P&amp;L'!CU9</f>
        <v>420.64273199744503</v>
      </c>
      <c r="CV171" s="865">
        <f>'P&amp;L'!CV9</f>
        <v>461.70512762799592</v>
      </c>
      <c r="CW171" s="865">
        <f>'P&amp;L'!CW9</f>
        <v>469.00624704585181</v>
      </c>
      <c r="CX171" s="865">
        <f>'P&amp;L'!CX9</f>
        <v>513.09312042062402</v>
      </c>
      <c r="CY171" s="867">
        <f>'P&amp;L'!CY9</f>
        <v>1864.4472270919168</v>
      </c>
      <c r="CZ171" s="84"/>
      <c r="DA171" s="84"/>
      <c r="DB171" s="84"/>
    </row>
    <row r="172" spans="1:106" ht="11.25" customHeight="1" outlineLevel="1" x14ac:dyDescent="0.2">
      <c r="A172" s="527" t="s">
        <v>381</v>
      </c>
      <c r="B172" s="39"/>
      <c r="C172" s="864">
        <f>'P&amp;L'!C10</f>
        <v>32.631999999999998</v>
      </c>
      <c r="D172" s="865">
        <f>'P&amp;L'!D10</f>
        <v>32.494</v>
      </c>
      <c r="E172" s="865">
        <f>'P&amp;L'!E10</f>
        <v>29.248000000000001</v>
      </c>
      <c r="F172" s="865">
        <f>'P&amp;L'!F10</f>
        <v>31.283999999999992</v>
      </c>
      <c r="G172" s="867">
        <f>'P&amp;L'!G10</f>
        <v>125.658</v>
      </c>
      <c r="H172" s="39"/>
      <c r="I172" s="864">
        <f>'P&amp;L'!I10</f>
        <v>30.603000000000002</v>
      </c>
      <c r="J172" s="865">
        <f>'P&amp;L'!J10</f>
        <v>32.811</v>
      </c>
      <c r="K172" s="865">
        <f>'P&amp;L'!K10</f>
        <v>30.007000000000001</v>
      </c>
      <c r="L172" s="865">
        <f>'P&amp;L'!L10</f>
        <v>29.333999999999989</v>
      </c>
      <c r="M172" s="867">
        <f>'P&amp;L'!M10</f>
        <v>122.755</v>
      </c>
      <c r="N172" s="39"/>
      <c r="O172" s="864">
        <f>'P&amp;L'!O10</f>
        <v>32.884</v>
      </c>
      <c r="P172" s="865">
        <f>'P&amp;L'!P10</f>
        <v>32.631999999999998</v>
      </c>
      <c r="Q172" s="865">
        <f>'P&amp;L'!Q10</f>
        <v>36.167000000000002</v>
      </c>
      <c r="R172" s="865">
        <f>'P&amp;L'!R10</f>
        <v>37.439000000000021</v>
      </c>
      <c r="S172" s="867">
        <f>'P&amp;L'!S10</f>
        <v>139.12200000000001</v>
      </c>
      <c r="T172" s="39"/>
      <c r="U172" s="864">
        <f>'P&amp;L'!U10</f>
        <v>38.929000000000002</v>
      </c>
      <c r="V172" s="865">
        <f>'P&amp;L'!V10</f>
        <v>41.576999999999998</v>
      </c>
      <c r="W172" s="865">
        <f>'P&amp;L'!W10</f>
        <v>50.695</v>
      </c>
      <c r="X172" s="865">
        <f>'P&amp;L'!X10</f>
        <v>58.171999999999997</v>
      </c>
      <c r="Y172" s="867">
        <f>'P&amp;L'!Y10</f>
        <v>189.37299999999999</v>
      </c>
      <c r="Z172" s="39"/>
      <c r="AA172" s="864">
        <f>'P&amp;L'!AA10</f>
        <v>54.856000000000002</v>
      </c>
      <c r="AB172" s="865">
        <f>'P&amp;L'!AB10</f>
        <v>57.563000000000002</v>
      </c>
      <c r="AC172" s="865">
        <f>'P&amp;L'!AC10</f>
        <v>64.488</v>
      </c>
      <c r="AD172" s="865">
        <f>'P&amp;L'!AD10</f>
        <v>65.278000000000048</v>
      </c>
      <c r="AE172" s="867">
        <f>'P&amp;L'!AE10</f>
        <v>242.18500000000006</v>
      </c>
      <c r="AF172" s="39"/>
      <c r="AG172" s="864">
        <f>'P&amp;L'!AG10</f>
        <v>60.983999999999988</v>
      </c>
      <c r="AH172" s="865">
        <f>'P&amp;L'!AH10</f>
        <v>66.965000000000003</v>
      </c>
      <c r="AI172" s="865">
        <f>'P&amp;L'!AI10</f>
        <v>70.59899999999999</v>
      </c>
      <c r="AJ172" s="865">
        <f>'P&amp;L'!AJ10</f>
        <v>82.404000000000025</v>
      </c>
      <c r="AK172" s="867">
        <f>'P&amp;L'!AK10</f>
        <v>280.952</v>
      </c>
      <c r="AL172" s="39"/>
      <c r="AM172" s="864">
        <f>'P&amp;L'!AM10</f>
        <v>75.152000000000015</v>
      </c>
      <c r="AN172" s="865">
        <f>'P&amp;L'!AN10</f>
        <v>74.312000000000012</v>
      </c>
      <c r="AO172" s="865">
        <f>'P&amp;L'!AO10</f>
        <v>77.796999999999997</v>
      </c>
      <c r="AP172" s="865">
        <f>'P&amp;L'!AP10</f>
        <v>80.608000000000004</v>
      </c>
      <c r="AQ172" s="867">
        <f>'P&amp;L'!AQ10</f>
        <v>307.86900000000003</v>
      </c>
      <c r="AR172" s="39"/>
      <c r="AS172" s="864">
        <f>'P&amp;L'!AS10</f>
        <v>73.317000000000021</v>
      </c>
      <c r="AT172" s="865">
        <f>'P&amp;L'!AT10</f>
        <v>76.468000000000004</v>
      </c>
      <c r="AU172" s="865">
        <f>'P&amp;L'!AU10</f>
        <v>82.253</v>
      </c>
      <c r="AV172" s="865">
        <f>'P&amp;L'!AV10</f>
        <v>105.19999999999999</v>
      </c>
      <c r="AW172" s="867">
        <f>'P&amp;L'!AW10</f>
        <v>337.238</v>
      </c>
      <c r="AX172" s="39"/>
      <c r="AY172" s="864">
        <f>'P&amp;L'!AY10</f>
        <v>86.652000000000001</v>
      </c>
      <c r="AZ172" s="865">
        <f>'P&amp;L'!AZ10</f>
        <v>88.13900000000001</v>
      </c>
      <c r="BA172" s="865">
        <f>'P&amp;L'!BA10</f>
        <v>85.731999999999999</v>
      </c>
      <c r="BB172" s="865">
        <f>'P&amp;L'!BB10</f>
        <v>97.008999999999958</v>
      </c>
      <c r="BC172" s="867">
        <f>'P&amp;L'!BC10</f>
        <v>357.53199999999998</v>
      </c>
      <c r="BD172" s="259"/>
      <c r="BE172" s="864">
        <f>'P&amp;L'!BE10</f>
        <v>84.363</v>
      </c>
      <c r="BF172" s="865">
        <f>'P&amp;L'!BF10</f>
        <v>92.996999999999986</v>
      </c>
      <c r="BG172" s="865">
        <f>'P&amp;L'!BG10</f>
        <v>91.311000000000007</v>
      </c>
      <c r="BH172" s="865">
        <f>'P&amp;L'!BH10</f>
        <v>98.222000000000008</v>
      </c>
      <c r="BI172" s="867">
        <f>'P&amp;L'!BI10</f>
        <v>366.89300000000003</v>
      </c>
      <c r="BJ172" s="39"/>
      <c r="BK172" s="864">
        <f>'P&amp;L'!BK10</f>
        <v>87.554999999999993</v>
      </c>
      <c r="BL172" s="865">
        <f>'P&amp;L'!BL10</f>
        <v>94.367999999999995</v>
      </c>
      <c r="BM172" s="865">
        <f>'P&amp;L'!BM10</f>
        <v>92.783000000000015</v>
      </c>
      <c r="BN172" s="865">
        <f>'P&amp;L'!BN10</f>
        <v>116.63200000000002</v>
      </c>
      <c r="BO172" s="867">
        <f>'P&amp;L'!BO10</f>
        <v>391.33800000000002</v>
      </c>
      <c r="BP172" s="39"/>
      <c r="BQ172" s="864">
        <f>'P&amp;L'!BQ10</f>
        <v>80.656999999999996</v>
      </c>
      <c r="BR172" s="865">
        <f>'P&amp;L'!BR10</f>
        <v>93.715999999999994</v>
      </c>
      <c r="BS172" s="865">
        <f>'P&amp;L'!BS10</f>
        <v>92.215000000000003</v>
      </c>
      <c r="BT172" s="865">
        <f>'P&amp;L'!BT10</f>
        <v>102.423</v>
      </c>
      <c r="BU172" s="867">
        <f>'P&amp;L'!BU10</f>
        <v>369.01099999999997</v>
      </c>
      <c r="BV172" s="39"/>
      <c r="BW172" s="864">
        <f>'P&amp;L'!BW10</f>
        <v>90.926000000000002</v>
      </c>
      <c r="BX172" s="865">
        <f>'P&amp;L'!BX10</f>
        <v>100.03400000000001</v>
      </c>
      <c r="BY172" s="865">
        <f>'P&amp;L'!BY10</f>
        <v>97.271000000000001</v>
      </c>
      <c r="BZ172" s="865">
        <f>'P&amp;L'!BZ10</f>
        <v>105.70700000000001</v>
      </c>
      <c r="CA172" s="867">
        <f>'P&amp;L'!CA10</f>
        <v>393.93799999999999</v>
      </c>
      <c r="CB172" s="39"/>
      <c r="CC172" s="864">
        <f>'P&amp;L'!CC10</f>
        <v>90.760999999999996</v>
      </c>
      <c r="CD172" s="865">
        <f>'P&amp;L'!CD10</f>
        <v>102.8</v>
      </c>
      <c r="CE172" s="865">
        <f>'P&amp;L'!CE10</f>
        <v>105.69999999999999</v>
      </c>
      <c r="CF172" s="865">
        <f>'P&amp;L'!CF10</f>
        <v>116.9</v>
      </c>
      <c r="CG172" s="867">
        <f>'P&amp;L'!CG10</f>
        <v>416.16099999999994</v>
      </c>
      <c r="CH172" s="39"/>
      <c r="CI172" s="864">
        <f>'P&amp;L'!CI10</f>
        <v>96.276828331638512</v>
      </c>
      <c r="CJ172" s="865">
        <f>'P&amp;L'!CJ10</f>
        <v>109.87496070447696</v>
      </c>
      <c r="CK172" s="865">
        <f>'P&amp;L'!CK10</f>
        <v>116.90917729609419</v>
      </c>
      <c r="CL172" s="865">
        <f>'P&amp;L'!CL10</f>
        <v>127.27011427903759</v>
      </c>
      <c r="CM172" s="867">
        <f>'P&amp;L'!CM10</f>
        <v>450.33108061124722</v>
      </c>
      <c r="CN172" s="39"/>
      <c r="CO172" s="864">
        <f>'P&amp;L'!CO10</f>
        <v>106.68297672586232</v>
      </c>
      <c r="CP172" s="865">
        <f>'P&amp;L'!CP10</f>
        <v>117.87266703091002</v>
      </c>
      <c r="CQ172" s="865">
        <f>'P&amp;L'!CQ10</f>
        <v>122.402815717656</v>
      </c>
      <c r="CR172" s="865">
        <f>'P&amp;L'!CR10</f>
        <v>136.34530275169715</v>
      </c>
      <c r="CS172" s="867">
        <f>'P&amp;L'!CS10</f>
        <v>483.30376222612546</v>
      </c>
      <c r="CT172" s="39"/>
      <c r="CU172" s="864">
        <f>'P&amp;L'!CU10</f>
        <v>117.32763063256331</v>
      </c>
      <c r="CV172" s="865">
        <f>'P&amp;L'!CV10</f>
        <v>128.77018420581231</v>
      </c>
      <c r="CW172" s="865">
        <f>'P&amp;L'!CW10</f>
        <v>133.32267075150756</v>
      </c>
      <c r="CX172" s="865">
        <f>'P&amp;L'!CX10</f>
        <v>148.15352397141694</v>
      </c>
      <c r="CY172" s="867">
        <f>'P&amp;L'!CY10</f>
        <v>527.57400956130016</v>
      </c>
      <c r="CZ172" s="84"/>
      <c r="DA172" s="84"/>
      <c r="DB172" s="84"/>
    </row>
    <row r="173" spans="1:106" ht="11.25" customHeight="1" outlineLevel="1" x14ac:dyDescent="0.2">
      <c r="A173" s="527" t="s">
        <v>13</v>
      </c>
      <c r="B173" s="39"/>
      <c r="C173" s="864">
        <f>'P&amp;L'!C16</f>
        <v>77.025999999999996</v>
      </c>
      <c r="D173" s="865">
        <f>'P&amp;L'!D16</f>
        <v>73.941999999999993</v>
      </c>
      <c r="E173" s="865">
        <f>'P&amp;L'!E16</f>
        <v>66.710000000000008</v>
      </c>
      <c r="F173" s="865">
        <f>'P&amp;L'!F16</f>
        <v>72.968000000000004</v>
      </c>
      <c r="G173" s="867">
        <f>'P&amp;L'!G16</f>
        <v>290.64600000000002</v>
      </c>
      <c r="H173" s="39"/>
      <c r="I173" s="864">
        <f>'P&amp;L'!I16</f>
        <v>73.632000000000005</v>
      </c>
      <c r="J173" s="865">
        <f>'P&amp;L'!J16</f>
        <v>75.733000000000004</v>
      </c>
      <c r="K173" s="865">
        <f>'P&amp;L'!K16</f>
        <v>72.497</v>
      </c>
      <c r="L173" s="865">
        <f>'P&amp;L'!L16</f>
        <v>74.804999999999964</v>
      </c>
      <c r="M173" s="867">
        <f>'P&amp;L'!M16</f>
        <v>296.66699999999997</v>
      </c>
      <c r="N173" s="39"/>
      <c r="O173" s="864">
        <f>'P&amp;L'!O16</f>
        <v>80.94</v>
      </c>
      <c r="P173" s="865">
        <f>'P&amp;L'!P16</f>
        <v>84.109999999999985</v>
      </c>
      <c r="Q173" s="865">
        <f>'P&amp;L'!Q16</f>
        <v>87.347999999999999</v>
      </c>
      <c r="R173" s="865">
        <f>'P&amp;L'!R16</f>
        <v>92.800000000000011</v>
      </c>
      <c r="S173" s="867">
        <f>'P&amp;L'!S16</f>
        <v>345.19800000000004</v>
      </c>
      <c r="T173" s="39"/>
      <c r="U173" s="864">
        <f>'P&amp;L'!U16</f>
        <v>95.057000000000002</v>
      </c>
      <c r="V173" s="865">
        <f>'P&amp;L'!V16</f>
        <v>99.037999999999997</v>
      </c>
      <c r="W173" s="865">
        <f>'P&amp;L'!W16</f>
        <v>132.99700000000001</v>
      </c>
      <c r="X173" s="865">
        <f>'P&amp;L'!X16</f>
        <v>158.43799999999999</v>
      </c>
      <c r="Y173" s="867">
        <f>'P&amp;L'!Y16</f>
        <v>485.53</v>
      </c>
      <c r="Z173" s="39"/>
      <c r="AA173" s="864">
        <f>'P&amp;L'!AA16</f>
        <v>148.40600000000001</v>
      </c>
      <c r="AB173" s="865">
        <f>'P&amp;L'!AB16</f>
        <v>157.29599999999999</v>
      </c>
      <c r="AC173" s="865">
        <f>'P&amp;L'!AC16</f>
        <v>163.97500000000002</v>
      </c>
      <c r="AD173" s="865">
        <f>'P&amp;L'!AD16</f>
        <v>170.68300000000002</v>
      </c>
      <c r="AE173" s="867">
        <f>'P&amp;L'!AE16</f>
        <v>640.36000000000013</v>
      </c>
      <c r="AF173" s="39"/>
      <c r="AG173" s="864">
        <f>'P&amp;L'!AG16</f>
        <v>161.71299999999997</v>
      </c>
      <c r="AH173" s="865">
        <f>'P&amp;L'!AH16</f>
        <v>168.345</v>
      </c>
      <c r="AI173" s="865">
        <f>'P&amp;L'!AI16</f>
        <v>177.88499999999999</v>
      </c>
      <c r="AJ173" s="865">
        <f>'P&amp;L'!AJ16</f>
        <v>205.75600000000003</v>
      </c>
      <c r="AK173" s="867">
        <f>'P&amp;L'!AK16</f>
        <v>713.69899999999996</v>
      </c>
      <c r="AL173" s="39"/>
      <c r="AM173" s="864">
        <f>'P&amp;L'!AM16</f>
        <v>190.72500000000002</v>
      </c>
      <c r="AN173" s="865">
        <f>'P&amp;L'!AN16</f>
        <v>189.52800000000002</v>
      </c>
      <c r="AO173" s="865">
        <f>'P&amp;L'!AO16</f>
        <v>195.20200000000003</v>
      </c>
      <c r="AP173" s="865">
        <f>'P&amp;L'!AP16</f>
        <v>203.74700000000001</v>
      </c>
      <c r="AQ173" s="867">
        <f>'P&amp;L'!AQ16</f>
        <v>779.202</v>
      </c>
      <c r="AR173" s="39"/>
      <c r="AS173" s="864">
        <f>'P&amp;L'!AS16</f>
        <v>193.69500000000002</v>
      </c>
      <c r="AT173" s="865">
        <f>'P&amp;L'!AT16</f>
        <v>203.54599999999999</v>
      </c>
      <c r="AU173" s="865">
        <f>'P&amp;L'!AU16</f>
        <v>214.14699999999999</v>
      </c>
      <c r="AV173" s="865">
        <f>'P&amp;L'!AV16</f>
        <v>238.72499999999997</v>
      </c>
      <c r="AW173" s="867">
        <f>'P&amp;L'!AW16</f>
        <v>850.11300000000006</v>
      </c>
      <c r="AX173" s="39"/>
      <c r="AY173" s="864">
        <f>'P&amp;L'!AY16</f>
        <v>216.17600000000002</v>
      </c>
      <c r="AZ173" s="865">
        <f>'P&amp;L'!AZ16</f>
        <v>220.79599999999999</v>
      </c>
      <c r="BA173" s="865">
        <f>'P&amp;L'!BA16</f>
        <v>220.54900000000001</v>
      </c>
      <c r="BB173" s="865">
        <f>'P&amp;L'!BB16</f>
        <v>240.50399999999996</v>
      </c>
      <c r="BC173" s="867">
        <f>'P&amp;L'!BC16</f>
        <v>898.02500000000009</v>
      </c>
      <c r="BD173" s="259"/>
      <c r="BE173" s="864">
        <f>'P&amp;L'!BE16</f>
        <v>225.202</v>
      </c>
      <c r="BF173" s="865">
        <f>'P&amp;L'!BF16</f>
        <v>232.96400000000003</v>
      </c>
      <c r="BG173" s="865">
        <f>'P&amp;L'!BG16</f>
        <v>236.10400000000004</v>
      </c>
      <c r="BH173" s="865">
        <f>'P&amp;L'!BH16</f>
        <v>256.29000000000002</v>
      </c>
      <c r="BI173" s="867">
        <f>'P&amp;L'!BI16</f>
        <v>950.56000000000006</v>
      </c>
      <c r="BJ173" s="39"/>
      <c r="BK173" s="864">
        <f>'P&amp;L'!BK16</f>
        <v>242.55500000000001</v>
      </c>
      <c r="BL173" s="865">
        <f>'P&amp;L'!BL16</f>
        <v>250.09799999999998</v>
      </c>
      <c r="BM173" s="865">
        <f>'P&amp;L'!BM16</f>
        <v>251.98500000000001</v>
      </c>
      <c r="BN173" s="865">
        <f>'P&amp;L'!BN16</f>
        <v>289.25000000000006</v>
      </c>
      <c r="BO173" s="867">
        <f>'P&amp;L'!BO16</f>
        <v>1033.8879999999999</v>
      </c>
      <c r="BP173" s="39"/>
      <c r="BQ173" s="864">
        <f>'P&amp;L'!BQ16</f>
        <v>231.363</v>
      </c>
      <c r="BR173" s="865">
        <f>'P&amp;L'!BR16</f>
        <v>240.60199999999998</v>
      </c>
      <c r="BS173" s="865">
        <f>'P&amp;L'!BS16</f>
        <v>236.304</v>
      </c>
      <c r="BT173" s="865">
        <f>'P&amp;L'!BT16</f>
        <v>255.66</v>
      </c>
      <c r="BU173" s="867">
        <f>'P&amp;L'!BU16</f>
        <v>963.92899999999986</v>
      </c>
      <c r="BV173" s="39"/>
      <c r="BW173" s="864">
        <f>'P&amp;L'!BW16</f>
        <v>243.91500000000002</v>
      </c>
      <c r="BX173" s="865">
        <f>'P&amp;L'!BX16</f>
        <v>265.22899999999998</v>
      </c>
      <c r="BY173" s="865">
        <f>'P&amp;L'!BY16</f>
        <v>251.93700000000001</v>
      </c>
      <c r="BZ173" s="865">
        <f>'P&amp;L'!BZ16</f>
        <v>253.81799999999998</v>
      </c>
      <c r="CA173" s="867">
        <f>'P&amp;L'!CA16</f>
        <v>1014.899</v>
      </c>
      <c r="CB173" s="39"/>
      <c r="CC173" s="864">
        <f>'P&amp;L'!CC16</f>
        <v>244.477</v>
      </c>
      <c r="CD173" s="865">
        <f>'P&amp;L'!CD16</f>
        <v>261.654</v>
      </c>
      <c r="CE173" s="865">
        <f>'P&amp;L'!CE16</f>
        <v>266.53299999999996</v>
      </c>
      <c r="CF173" s="865">
        <f>'P&amp;L'!CF16</f>
        <v>275.38499999999999</v>
      </c>
      <c r="CG173" s="867">
        <f>'P&amp;L'!CG16</f>
        <v>1048.049</v>
      </c>
      <c r="CH173" s="39"/>
      <c r="CI173" s="864">
        <f>'P&amp;L'!CI16</f>
        <v>270.27749251055877</v>
      </c>
      <c r="CJ173" s="865">
        <f>'P&amp;L'!CJ16</f>
        <v>292.04411201713515</v>
      </c>
      <c r="CK173" s="865">
        <f>'P&amp;L'!CK16</f>
        <v>301.97880155759168</v>
      </c>
      <c r="CL173" s="865">
        <f>'P&amp;L'!CL16</f>
        <v>306.62456367855663</v>
      </c>
      <c r="CM173" s="867">
        <f>'P&amp;L'!CM16</f>
        <v>1170.9249697638422</v>
      </c>
      <c r="CN173" s="39"/>
      <c r="CO173" s="864">
        <f>'P&amp;L'!CO16</f>
        <v>289.42709456379748</v>
      </c>
      <c r="CP173" s="865">
        <f>'P&amp;L'!CP16</f>
        <v>311.21822885482402</v>
      </c>
      <c r="CQ173" s="865">
        <f>'P&amp;L'!CQ16</f>
        <v>312.05997067246329</v>
      </c>
      <c r="CR173" s="865">
        <f>'P&amp;L'!CR16</f>
        <v>328.94553248014688</v>
      </c>
      <c r="CS173" s="867">
        <f>'P&amp;L'!CS16</f>
        <v>1241.6508265712318</v>
      </c>
      <c r="CT173" s="39"/>
      <c r="CU173" s="864">
        <f>'P&amp;L'!CU16</f>
        <v>313.99856790086841</v>
      </c>
      <c r="CV173" s="865">
        <f>'P&amp;L'!CV16</f>
        <v>335.50055335825147</v>
      </c>
      <c r="CW173" s="865">
        <f>'P&amp;L'!CW16</f>
        <v>335.73014049649169</v>
      </c>
      <c r="CX173" s="865">
        <f>'P&amp;L'!CX16</f>
        <v>353.08542724681661</v>
      </c>
      <c r="CY173" s="867">
        <f>'P&amp;L'!CY16</f>
        <v>1338.3146890024282</v>
      </c>
      <c r="CZ173" s="84"/>
      <c r="DA173" s="84"/>
      <c r="DB173" s="84"/>
    </row>
    <row r="174" spans="1:106" ht="11.25" customHeight="1" outlineLevel="1" x14ac:dyDescent="0.2">
      <c r="A174" s="527" t="s">
        <v>382</v>
      </c>
      <c r="B174" s="39"/>
      <c r="C174" s="864">
        <f>'P&amp;L'!C30</f>
        <v>11.420999999999996</v>
      </c>
      <c r="D174" s="865">
        <f>'P&amp;L'!D30</f>
        <v>8.8020000000000067</v>
      </c>
      <c r="E174" s="865">
        <f>'P&amp;L'!E30</f>
        <v>12.639999999999969</v>
      </c>
      <c r="F174" s="865">
        <f>'P&amp;L'!F30</f>
        <v>15.842000000000059</v>
      </c>
      <c r="G174" s="867">
        <f>'P&amp;L'!G30</f>
        <v>48.705000000000005</v>
      </c>
      <c r="H174" s="39"/>
      <c r="I174" s="864">
        <f>'P&amp;L'!I30</f>
        <v>13.948</v>
      </c>
      <c r="J174" s="865">
        <f>'P&amp;L'!J30</f>
        <v>13.777000000000008</v>
      </c>
      <c r="K174" s="865">
        <f>'P&amp;L'!K30</f>
        <v>17.639999999999983</v>
      </c>
      <c r="L174" s="865">
        <f>'P&amp;L'!L30</f>
        <v>16.860000000000007</v>
      </c>
      <c r="M174" s="867">
        <f>'P&amp;L'!M30</f>
        <v>62.225000000000001</v>
      </c>
      <c r="N174" s="39"/>
      <c r="O174" s="864">
        <f>'P&amp;L'!O30</f>
        <v>17.580000000000005</v>
      </c>
      <c r="P174" s="865">
        <f>'P&amp;L'!P30</f>
        <v>14.154000000000007</v>
      </c>
      <c r="Q174" s="865">
        <f>'P&amp;L'!Q30</f>
        <v>19.358000000000011</v>
      </c>
      <c r="R174" s="865">
        <f>'P&amp;L'!R30</f>
        <v>19.446999999999999</v>
      </c>
      <c r="S174" s="867">
        <f>'P&amp;L'!S30</f>
        <v>70.538999999999987</v>
      </c>
      <c r="T174" s="39"/>
      <c r="U174" s="864">
        <f>'P&amp;L'!U30</f>
        <v>19.866999999999976</v>
      </c>
      <c r="V174" s="865">
        <f>'P&amp;L'!V30</f>
        <v>22.582999999999991</v>
      </c>
      <c r="W174" s="865">
        <f>'P&amp;L'!W30</f>
        <v>-7.3280000000000136</v>
      </c>
      <c r="X174" s="865">
        <f>'P&amp;L'!X30</f>
        <v>15.000000000000071</v>
      </c>
      <c r="Y174" s="867">
        <f>'P&amp;L'!Y30</f>
        <v>50.122000000000014</v>
      </c>
      <c r="Z174" s="39"/>
      <c r="AA174" s="864">
        <f>'P&amp;L'!AA30</f>
        <v>20.332999999999956</v>
      </c>
      <c r="AB174" s="865">
        <f>'P&amp;L'!AB30</f>
        <v>23.225000000000012</v>
      </c>
      <c r="AC174" s="865">
        <f>'P&amp;L'!AC30</f>
        <v>20.790999999999997</v>
      </c>
      <c r="AD174" s="865">
        <f>'P&amp;L'!AD30</f>
        <v>24.684000000000012</v>
      </c>
      <c r="AE174" s="867">
        <f>'P&amp;L'!AE30</f>
        <v>89.032999999999873</v>
      </c>
      <c r="AF174" s="39"/>
      <c r="AG174" s="864">
        <f>'P&amp;L'!AG30</f>
        <v>24.684000000000026</v>
      </c>
      <c r="AH174" s="865">
        <f>'P&amp;L'!AH30</f>
        <v>30.928999999999981</v>
      </c>
      <c r="AI174" s="865">
        <f>'P&amp;L'!AI30</f>
        <v>37.690000000000005</v>
      </c>
      <c r="AJ174" s="865">
        <f>'P&amp;L'!AJ30</f>
        <v>44.464000000000084</v>
      </c>
      <c r="AK174" s="867">
        <f>'P&amp;L'!AK30</f>
        <v>137.76700000000011</v>
      </c>
      <c r="AL174" s="39"/>
      <c r="AM174" s="864">
        <f>'P&amp;L'!AM30</f>
        <v>33.013999999999953</v>
      </c>
      <c r="AN174" s="865">
        <f>'P&amp;L'!AN30</f>
        <v>38.519999999999996</v>
      </c>
      <c r="AO174" s="865">
        <f>'P&amp;L'!AO30</f>
        <v>36.487999999999985</v>
      </c>
      <c r="AP174" s="865">
        <f>'P&amp;L'!AP30</f>
        <v>36.29000000000002</v>
      </c>
      <c r="AQ174" s="867">
        <f>'P&amp;L'!AQ30</f>
        <v>144.31200000000007</v>
      </c>
      <c r="AR174" s="39"/>
      <c r="AS174" s="864">
        <f>'P&amp;L'!AS30</f>
        <v>27.980999999999966</v>
      </c>
      <c r="AT174" s="865">
        <f>'P&amp;L'!AT30</f>
        <v>33.288000000000025</v>
      </c>
      <c r="AU174" s="865">
        <f>'P&amp;L'!AU30</f>
        <v>35.144999999999996</v>
      </c>
      <c r="AV174" s="865">
        <f>'P&amp;L'!AV30</f>
        <v>-0.37799999999987222</v>
      </c>
      <c r="AW174" s="867">
        <f>'P&amp;L'!AW30</f>
        <v>96.03600000000003</v>
      </c>
      <c r="AX174" s="39"/>
      <c r="AY174" s="864">
        <f>'P&amp;L'!AY30</f>
        <v>28.591999999999995</v>
      </c>
      <c r="AZ174" s="865">
        <f>'P&amp;L'!AZ30</f>
        <v>33.333000000000027</v>
      </c>
      <c r="BA174" s="865">
        <f>'P&amp;L'!BA30</f>
        <v>29.162999999999982</v>
      </c>
      <c r="BB174" s="865">
        <f>'P&amp;L'!BB30</f>
        <v>38.418999999999997</v>
      </c>
      <c r="BC174" s="867">
        <f>'P&amp;L'!BC30</f>
        <v>129.50699999999986</v>
      </c>
      <c r="BD174" s="20"/>
      <c r="BE174" s="864">
        <f>'P&amp;L'!BE30</f>
        <v>19.983000000000011</v>
      </c>
      <c r="BF174" s="865">
        <f>'P&amp;L'!BF30</f>
        <v>-51.749000000000052</v>
      </c>
      <c r="BG174" s="865">
        <f>'P&amp;L'!BG30</f>
        <v>40.695999999999948</v>
      </c>
      <c r="BH174" s="865">
        <f>'P&amp;L'!BH30</f>
        <v>60.210999999999949</v>
      </c>
      <c r="BI174" s="867">
        <f>'P&amp;L'!BI30</f>
        <v>69.140999999999963</v>
      </c>
      <c r="BJ174" s="39"/>
      <c r="BK174" s="864">
        <f>'P&amp;L'!BK30</f>
        <v>23.281999999999982</v>
      </c>
      <c r="BL174" s="865">
        <f>'P&amp;L'!BL30</f>
        <v>32.680999999999983</v>
      </c>
      <c r="BM174" s="865">
        <f>'P&amp;L'!BM30</f>
        <v>34.706999999999987</v>
      </c>
      <c r="BN174" s="865">
        <f>'P&amp;L'!BN30</f>
        <v>25.833999999999946</v>
      </c>
      <c r="BO174" s="867">
        <f>'P&amp;L'!BO30</f>
        <v>116.50399999999999</v>
      </c>
      <c r="BP174" s="39"/>
      <c r="BQ174" s="864">
        <f>'P&amp;L'!BQ30</f>
        <v>19.424999999999976</v>
      </c>
      <c r="BR174" s="865">
        <f>'P&amp;L'!BR30</f>
        <v>25.077000000000034</v>
      </c>
      <c r="BS174" s="865">
        <f>'P&amp;L'!BS30</f>
        <v>33.915999999999983</v>
      </c>
      <c r="BT174" s="865">
        <f>'P&amp;L'!BT30</f>
        <v>50.910000000000004</v>
      </c>
      <c r="BU174" s="867">
        <f>'P&amp;L'!BU30</f>
        <v>129.328</v>
      </c>
      <c r="BV174" s="39"/>
      <c r="BW174" s="864">
        <f>'P&amp;L'!BW30</f>
        <v>15.98299999999999</v>
      </c>
      <c r="BX174" s="865">
        <f>'P&amp;L'!BX30</f>
        <v>21.012999999999991</v>
      </c>
      <c r="BY174" s="865">
        <f>'P&amp;L'!BY30</f>
        <v>33.820999999999991</v>
      </c>
      <c r="BZ174" s="865">
        <f>'P&amp;L'!BZ30</f>
        <v>8.613000000000028</v>
      </c>
      <c r="CA174" s="867">
        <f>'P&amp;L'!CA30</f>
        <v>79.430000000000007</v>
      </c>
      <c r="CB174" s="39"/>
      <c r="CC174" s="864">
        <f>'P&amp;L'!CC30</f>
        <v>17.66100000000003</v>
      </c>
      <c r="CD174" s="865">
        <f>'P&amp;L'!CD30</f>
        <v>13.952000000000005</v>
      </c>
      <c r="CE174" s="865">
        <f>'P&amp;L'!CE30</f>
        <v>48.521000000000008</v>
      </c>
      <c r="CF174" s="865">
        <f>'P&amp;L'!CF30</f>
        <v>-39.653999999999996</v>
      </c>
      <c r="CG174" s="867">
        <f>'P&amp;L'!CG30</f>
        <v>40.479999999999905</v>
      </c>
      <c r="CH174" s="39"/>
      <c r="CI174" s="864">
        <f>'P&amp;L'!CI30</f>
        <v>-3.4374540413930106</v>
      </c>
      <c r="CJ174" s="865">
        <f>'P&amp;L'!CJ30</f>
        <v>16.999924978567108</v>
      </c>
      <c r="CK174" s="865">
        <f>'P&amp;L'!CK30</f>
        <v>19.095683584062144</v>
      </c>
      <c r="CL174" s="865">
        <f>'P&amp;L'!CL30</f>
        <v>36.113919467058246</v>
      </c>
      <c r="CM174" s="867">
        <f>'P&amp;L'!CM30</f>
        <v>68.772073988294323</v>
      </c>
      <c r="CN174" s="39"/>
      <c r="CO174" s="864">
        <f>'P&amp;L'!CO30</f>
        <v>13.056895901787733</v>
      </c>
      <c r="CP174" s="865">
        <f>'P&amp;L'!CP30</f>
        <v>27.090684993430919</v>
      </c>
      <c r="CQ174" s="865">
        <f>'P&amp;L'!CQ30</f>
        <v>32.221286792940518</v>
      </c>
      <c r="CR174" s="865">
        <f>'P&amp;L'!CR30</f>
        <v>50.642507013887865</v>
      </c>
      <c r="CS174" s="867">
        <f>'P&amp;L'!CS30</f>
        <v>123.01137470204688</v>
      </c>
      <c r="CT174" s="39"/>
      <c r="CU174" s="864">
        <f>'P&amp;L'!CU30</f>
        <v>38.490429394646739</v>
      </c>
      <c r="CV174" s="865">
        <f>'P&amp;L'!CV30</f>
        <v>55.497215306517631</v>
      </c>
      <c r="CW174" s="865">
        <f>'P&amp;L'!CW30</f>
        <v>61.572220469068732</v>
      </c>
      <c r="CX174" s="865">
        <f>'P&amp;L'!CX30</f>
        <v>81.867221229251939</v>
      </c>
      <c r="CY174" s="867">
        <f>'P&amp;L'!CY30</f>
        <v>237.42708639948512</v>
      </c>
      <c r="CZ174" s="84"/>
      <c r="DA174" s="84"/>
      <c r="DB174" s="84"/>
    </row>
    <row r="175" spans="1:106" ht="11.25" customHeight="1" outlineLevel="1" x14ac:dyDescent="0.2">
      <c r="A175" s="527" t="s">
        <v>383</v>
      </c>
      <c r="B175" s="39"/>
      <c r="C175" s="864">
        <f>CFS!C15</f>
        <v>0</v>
      </c>
      <c r="D175" s="865">
        <f>CFS!D15</f>
        <v>0</v>
      </c>
      <c r="E175" s="865">
        <f>CFS!E15</f>
        <v>0</v>
      </c>
      <c r="F175" s="865">
        <f>CFS!F15</f>
        <v>0</v>
      </c>
      <c r="G175" s="867">
        <f>CFS!G15</f>
        <v>0</v>
      </c>
      <c r="H175" s="39"/>
      <c r="I175" s="864">
        <f>CFS!I15</f>
        <v>0</v>
      </c>
      <c r="J175" s="865">
        <f>CFS!J15</f>
        <v>0</v>
      </c>
      <c r="K175" s="865">
        <f>CFS!K15</f>
        <v>0</v>
      </c>
      <c r="L175" s="865">
        <f>CFS!L15</f>
        <v>0</v>
      </c>
      <c r="M175" s="867">
        <f>CFS!M15</f>
        <v>0</v>
      </c>
      <c r="N175" s="39"/>
      <c r="O175" s="864">
        <f>CFS!O15</f>
        <v>8.4000000000000005E-2</v>
      </c>
      <c r="P175" s="865">
        <f>CFS!P15</f>
        <v>5.9999999999999984E-2</v>
      </c>
      <c r="Q175" s="865">
        <f>CFS!Q15</f>
        <v>4.300000000000001E-2</v>
      </c>
      <c r="R175" s="865">
        <f>CFS!R15</f>
        <v>0.13899999999999998</v>
      </c>
      <c r="S175" s="867">
        <f>CFS!S15</f>
        <v>0.32599999999999996</v>
      </c>
      <c r="T175" s="39"/>
      <c r="U175" s="864">
        <f>CFS!U15</f>
        <v>0.32700000000000001</v>
      </c>
      <c r="V175" s="865">
        <f>CFS!V15</f>
        <v>0.89000000000000012</v>
      </c>
      <c r="W175" s="865">
        <f>CFS!W15</f>
        <v>2.7730000000000001</v>
      </c>
      <c r="X175" s="865">
        <f>CFS!X15</f>
        <v>4.9919999999999991</v>
      </c>
      <c r="Y175" s="867">
        <f>CFS!Y15</f>
        <v>8.9819999999999993</v>
      </c>
      <c r="Z175" s="39"/>
      <c r="AA175" s="864">
        <f>CFS!AA15</f>
        <v>2.1779999999999999</v>
      </c>
      <c r="AB175" s="865">
        <f>CFS!AB15</f>
        <v>2.3630000000000004</v>
      </c>
      <c r="AC175" s="865">
        <f>CFS!AC15</f>
        <v>2.1099999999999994</v>
      </c>
      <c r="AD175" s="865">
        <f>CFS!AD15</f>
        <v>3.1400000000000006</v>
      </c>
      <c r="AE175" s="867">
        <f>CFS!AE15</f>
        <v>9.7910000000000004</v>
      </c>
      <c r="AF175" s="39"/>
      <c r="AG175" s="864">
        <f>CFS!AG15</f>
        <v>2.1880000000000002</v>
      </c>
      <c r="AH175" s="865">
        <f>CFS!AH15</f>
        <v>2.8149999999999999</v>
      </c>
      <c r="AI175" s="865">
        <f>CFS!AI15</f>
        <v>2.3489999999999998</v>
      </c>
      <c r="AJ175" s="865">
        <f>CFS!AJ15</f>
        <v>2.395</v>
      </c>
      <c r="AK175" s="867">
        <f>CFS!AK15</f>
        <v>9.7469999999999999</v>
      </c>
      <c r="AL175" s="39"/>
      <c r="AM175" s="864">
        <f>CFS!AM15</f>
        <v>2.581</v>
      </c>
      <c r="AN175" s="865">
        <f>CFS!AN15</f>
        <v>3.7269999999999999</v>
      </c>
      <c r="AO175" s="865">
        <f>CFS!AO15</f>
        <v>3.6500000000000008</v>
      </c>
      <c r="AP175" s="865">
        <f>CFS!AP15</f>
        <v>3.6339999999999999</v>
      </c>
      <c r="AQ175" s="867">
        <f>CFS!AQ15</f>
        <v>13.592000000000001</v>
      </c>
      <c r="AR175" s="39"/>
      <c r="AS175" s="864">
        <f>CFS!AS15</f>
        <v>3.9510000000000001</v>
      </c>
      <c r="AT175" s="865">
        <f>CFS!AT15</f>
        <v>5.2939999999999987</v>
      </c>
      <c r="AU175" s="865">
        <f>CFS!AU15</f>
        <v>5.0760000000000005</v>
      </c>
      <c r="AV175" s="865">
        <f>CFS!AV15</f>
        <v>5.2180000000000017</v>
      </c>
      <c r="AW175" s="867">
        <f>CFS!AW15</f>
        <v>19.539000000000001</v>
      </c>
      <c r="AX175" s="39"/>
      <c r="AY175" s="864">
        <f>CFS!AY15</f>
        <v>5.2080000000000002</v>
      </c>
      <c r="AZ175" s="865">
        <f>CFS!AZ15</f>
        <v>7.4190000000000005</v>
      </c>
      <c r="BA175" s="865">
        <f>CFS!BA15</f>
        <v>6.3169999999999984</v>
      </c>
      <c r="BB175" s="865">
        <f>CFS!BB15</f>
        <v>6.4120000000000026</v>
      </c>
      <c r="BC175" s="867">
        <f>CFS!BC15</f>
        <v>25.356000000000002</v>
      </c>
      <c r="BD175" s="20"/>
      <c r="BE175" s="864">
        <f>CFS!BE15</f>
        <v>8.5969999999999995</v>
      </c>
      <c r="BF175" s="865">
        <f>CFS!BF15</f>
        <v>9.8600000000000012</v>
      </c>
      <c r="BG175" s="865">
        <f>CFS!BG15</f>
        <v>8.2880000000000003</v>
      </c>
      <c r="BH175" s="865">
        <f>CFS!BH15</f>
        <v>11.190000000000001</v>
      </c>
      <c r="BI175" s="867">
        <f>CFS!BI15</f>
        <v>37.935000000000002</v>
      </c>
      <c r="BJ175" s="39"/>
      <c r="BK175" s="864">
        <f>CFS!BK15</f>
        <v>10.145</v>
      </c>
      <c r="BL175" s="865">
        <f>CFS!BL15</f>
        <v>9.2680000000000007</v>
      </c>
      <c r="BM175" s="865">
        <f>CFS!BM15</f>
        <v>10.190000000000001</v>
      </c>
      <c r="BN175" s="865">
        <f>CFS!BN15</f>
        <v>12.585000000000001</v>
      </c>
      <c r="BO175" s="867">
        <f>CFS!BO15</f>
        <v>42.188000000000002</v>
      </c>
      <c r="BP175" s="39"/>
      <c r="BQ175" s="864">
        <f>CFS!BQ15</f>
        <v>9.7449999999999992</v>
      </c>
      <c r="BR175" s="865">
        <f>CFS!BR15</f>
        <v>10.285000000000002</v>
      </c>
      <c r="BS175" s="865">
        <f>CFS!BS15</f>
        <v>2.5449999999999982</v>
      </c>
      <c r="BT175" s="865">
        <f>CFS!BT15</f>
        <v>4.990000000000002</v>
      </c>
      <c r="BU175" s="867">
        <f>CFS!BU15</f>
        <v>27.565000000000001</v>
      </c>
      <c r="BV175" s="39"/>
      <c r="BW175" s="864">
        <f>CFS!BW15</f>
        <v>5.9180000000000001</v>
      </c>
      <c r="BX175" s="865">
        <f>CFS!BX15</f>
        <v>7.9620000000000006</v>
      </c>
      <c r="BY175" s="865">
        <f>CFS!BY15</f>
        <v>9.1579999999999995</v>
      </c>
      <c r="BZ175" s="865">
        <f>CFS!BZ15</f>
        <v>5.25</v>
      </c>
      <c r="CA175" s="867">
        <f>CFS!CA15</f>
        <v>28.288</v>
      </c>
      <c r="CB175" s="39"/>
      <c r="CC175" s="864">
        <f>CFS!CC15</f>
        <v>8.9049999999999994</v>
      </c>
      <c r="CD175" s="865">
        <f>CFS!CD15</f>
        <v>10.153</v>
      </c>
      <c r="CE175" s="865">
        <f>CFS!CE15</f>
        <v>8.6340000000000003</v>
      </c>
      <c r="CF175" s="865">
        <f>CFS!CF15</f>
        <v>6.75</v>
      </c>
      <c r="CG175" s="867">
        <f>CFS!CG15</f>
        <v>34.442</v>
      </c>
      <c r="CH175" s="39"/>
      <c r="CI175" s="864">
        <f>CFS!CI15</f>
        <v>8.5549242108639536</v>
      </c>
      <c r="CJ175" s="865">
        <f>CFS!CJ15</f>
        <v>9.7501938375448063</v>
      </c>
      <c r="CK175" s="865">
        <f>CFS!CK15</f>
        <v>10.074470697898555</v>
      </c>
      <c r="CL175" s="865">
        <f>CFS!CL15</f>
        <v>10.738992937886731</v>
      </c>
      <c r="CM175" s="867">
        <f>CFS!CM15</f>
        <v>39.118581684194041</v>
      </c>
      <c r="CN175" s="39"/>
      <c r="CO175" s="864">
        <f>CFS!CO15</f>
        <v>9.4982276332510924</v>
      </c>
      <c r="CP175" s="865">
        <f>CFS!CP15</f>
        <v>10.486788273633477</v>
      </c>
      <c r="CQ175" s="865">
        <f>CFS!CQ15</f>
        <v>10.676191905795063</v>
      </c>
      <c r="CR175" s="865">
        <f>CFS!CR15</f>
        <v>11.690036131692612</v>
      </c>
      <c r="CS175" s="867">
        <f>CFS!CS15</f>
        <v>42.351243944372243</v>
      </c>
      <c r="CT175" s="39"/>
      <c r="CU175" s="864">
        <f>CFS!CU15</f>
        <v>10.516068299936126</v>
      </c>
      <c r="CV175" s="865">
        <f>CFS!CV15</f>
        <v>11.542628190699899</v>
      </c>
      <c r="CW175" s="865">
        <f>CFS!CW15</f>
        <v>11.725156176146296</v>
      </c>
      <c r="CX175" s="865">
        <f>CFS!CX15</f>
        <v>12.8273280105156</v>
      </c>
      <c r="CY175" s="867">
        <f>CFS!CY15</f>
        <v>46.611180677297924</v>
      </c>
      <c r="CZ175" s="84"/>
      <c r="DA175" s="84"/>
      <c r="DB175" s="84"/>
    </row>
    <row r="176" spans="1:106" ht="11.25" customHeight="1" outlineLevel="1" x14ac:dyDescent="0.2">
      <c r="A176" s="55" t="s">
        <v>99</v>
      </c>
      <c r="B176" s="39"/>
      <c r="C176" s="875">
        <f>'P&amp;L'!C26/'P&amp;L'!C25</f>
        <v>0.37135183831209534</v>
      </c>
      <c r="D176" s="876">
        <f>'P&amp;L'!D26/'P&amp;L'!D25</f>
        <v>0.26135422061108221</v>
      </c>
      <c r="E176" s="876">
        <f>'P&amp;L'!E26/'P&amp;L'!E25</f>
        <v>0.37416529676414656</v>
      </c>
      <c r="F176" s="876">
        <f>'P&amp;L'!F26/'P&amp;L'!F25</f>
        <v>0.29474965932568387</v>
      </c>
      <c r="G176" s="877">
        <f>'P&amp;L'!G26/'P&amp;L'!G25</f>
        <v>0.3310560932127849</v>
      </c>
      <c r="H176" s="39"/>
      <c r="I176" s="875">
        <f>'P&amp;L'!I26/'P&amp;L'!I25</f>
        <v>0.35702761259392429</v>
      </c>
      <c r="J176" s="876">
        <f>'P&amp;L'!J26/'P&amp;L'!J25</f>
        <v>0.36724282508562645</v>
      </c>
      <c r="K176" s="876">
        <f>'P&amp;L'!K26/'P&amp;L'!K25</f>
        <v>0.33815192407503547</v>
      </c>
      <c r="L176" s="876">
        <f>'P&amp;L'!L26/'P&amp;L'!L25</f>
        <v>0.33219446937215402</v>
      </c>
      <c r="M176" s="877">
        <f>'P&amp;L'!M26/'P&amp;L'!M25</f>
        <v>0.34745696317987612</v>
      </c>
      <c r="N176" s="39"/>
      <c r="O176" s="875">
        <f>'P&amp;L'!O26/'P&amp;L'!O25</f>
        <v>0.3347862183478621</v>
      </c>
      <c r="P176" s="876">
        <f>'P&amp;L'!P26/'P&amp;L'!P25</f>
        <v>0.35534774985388656</v>
      </c>
      <c r="Q176" s="876">
        <f>'P&amp;L'!Q26/'P&amp;L'!Q25</f>
        <v>0.31957415016809848</v>
      </c>
      <c r="R176" s="876">
        <f>'P&amp;L'!R26/'P&amp;L'!R25</f>
        <v>0.31749276675336835</v>
      </c>
      <c r="S176" s="877">
        <f>'P&amp;L'!S26/'P&amp;L'!S25</f>
        <v>0.33123874427792815</v>
      </c>
      <c r="T176" s="39"/>
      <c r="U176" s="875">
        <f>'P&amp;L'!U26/'P&amp;L'!U25</f>
        <v>0.31734406682202004</v>
      </c>
      <c r="V176" s="876">
        <f>'P&amp;L'!V26/'P&amp;L'!V25</f>
        <v>0.31115736663731225</v>
      </c>
      <c r="W176" s="876">
        <f>'P&amp;L'!W26/'P&amp;L'!W25</f>
        <v>0.21136807900281801</v>
      </c>
      <c r="X176" s="876">
        <f>'P&amp;L'!X26/'P&amp;L'!X25</f>
        <v>0.31523545706371142</v>
      </c>
      <c r="Y176" s="877">
        <f>'P&amp;L'!Y26/'P&amp;L'!Y25</f>
        <v>0.28861811944885452</v>
      </c>
      <c r="Z176" s="39"/>
      <c r="AA176" s="875">
        <f>'P&amp;L'!AA26/'P&amp;L'!AA25</f>
        <v>0.30667591273708694</v>
      </c>
      <c r="AB176" s="876">
        <f>'P&amp;L'!AB26/'P&amp;L'!AB25</f>
        <v>0.25246985393237675</v>
      </c>
      <c r="AC176" s="876">
        <f>'P&amp;L'!AC26/'P&amp;L'!AC25</f>
        <v>0.27454104724289324</v>
      </c>
      <c r="AD176" s="876">
        <f>'P&amp;L'!AD26/'P&amp;L'!AD25</f>
        <v>0.30096244998955612</v>
      </c>
      <c r="AE176" s="877">
        <f>'P&amp;L'!AE26/'P&amp;L'!AE25</f>
        <v>0.2840005421025712</v>
      </c>
      <c r="AF176" s="39"/>
      <c r="AG176" s="875">
        <f>'P&amp;L'!AG26/'P&amp;L'!AG25</f>
        <v>0.27584969957851296</v>
      </c>
      <c r="AH176" s="876">
        <f>'P&amp;L'!AH26/'P&amp;L'!AH25</f>
        <v>0.28075770898847946</v>
      </c>
      <c r="AI176" s="876">
        <f>'P&amp;L'!AI26/'P&amp;L'!AI25</f>
        <v>0.28951002522905323</v>
      </c>
      <c r="AJ176" s="876">
        <f>'P&amp;L'!AJ26/'P&amp;L'!AJ25</f>
        <v>0.2809147692423235</v>
      </c>
      <c r="AK176" s="877">
        <f>'P&amp;L'!AK26/'P&amp;L'!AK25</f>
        <v>0.28218923866484918</v>
      </c>
      <c r="AL176" s="39"/>
      <c r="AM176" s="875">
        <f>'P&amp;L'!AM26/'P&amp;L'!AM25</f>
        <v>0.29778548976660185</v>
      </c>
      <c r="AN176" s="876">
        <f>'P&amp;L'!AN26/'P&amp;L'!AN25</f>
        <v>0.24785346307956499</v>
      </c>
      <c r="AO176" s="876">
        <f>'P&amp;L'!AO26/'P&amp;L'!AO25</f>
        <v>0.21680260141798607</v>
      </c>
      <c r="AP176" s="876">
        <f>'P&amp;L'!AP26/'P&amp;L'!AP25</f>
        <v>0.19880343205664952</v>
      </c>
      <c r="AQ176" s="877">
        <f>'P&amp;L'!AQ26/'P&amp;L'!AQ25</f>
        <v>0.23891624774018921</v>
      </c>
      <c r="AR176" s="39"/>
      <c r="AS176" s="875">
        <f>'P&amp;L'!AS26/'P&amp;L'!AS25</f>
        <v>0.26013271162123397</v>
      </c>
      <c r="AT176" s="876">
        <f>'P&amp;L'!AT26/'P&amp;L'!AT25</f>
        <v>0.22853212811947329</v>
      </c>
      <c r="AU176" s="876">
        <f>'P&amp;L'!AU26/'P&amp;L'!AU25</f>
        <v>0.24561926170679524</v>
      </c>
      <c r="AV176" s="876">
        <f>'P&amp;L'!AV26/'P&amp;L'!AV25</f>
        <v>0.21821812202361843</v>
      </c>
      <c r="AW176" s="877">
        <f>'P&amp;L'!AW26/'P&amp;L'!AW25</f>
        <v>0.23641782645963785</v>
      </c>
      <c r="AX176" s="39"/>
      <c r="AY176" s="875">
        <f>'P&amp;L'!AY26/'P&amp;L'!AY25</f>
        <v>0.27707671957671959</v>
      </c>
      <c r="AZ176" s="876">
        <f>'P&amp;L'!AZ26/'P&amp;L'!AZ25</f>
        <v>0.23931209430724457</v>
      </c>
      <c r="BA176" s="876">
        <f>'P&amp;L'!BA26/'P&amp;L'!BA25</f>
        <v>0.21808223308166783</v>
      </c>
      <c r="BB176" s="876">
        <f>'P&amp;L'!BB26/'P&amp;L'!BB25</f>
        <v>0.13644006725918806</v>
      </c>
      <c r="BC176" s="877">
        <f>'P&amp;L'!BC26/'P&amp;L'!BC25</f>
        <v>0.21310317771675177</v>
      </c>
      <c r="BD176" s="20"/>
      <c r="BE176" s="875">
        <f>'P&amp;L'!BE26/'P&amp;L'!BE25</f>
        <v>0.24010876199988895</v>
      </c>
      <c r="BF176" s="876">
        <f>'P&amp;L'!BF26/'P&amp;L'!BF25</f>
        <v>0.22521849195346888</v>
      </c>
      <c r="BG176" s="876">
        <f>'P&amp;L'!BG26/'P&amp;L'!BG25</f>
        <v>0.18127249464911349</v>
      </c>
      <c r="BH176" s="876">
        <f>'P&amp;L'!BH26/'P&amp;L'!BH25</f>
        <v>0.15926000595220957</v>
      </c>
      <c r="BI176" s="877">
        <f>'P&amp;L'!BI26/'P&amp;L'!BI25</f>
        <v>0.19758891355266267</v>
      </c>
      <c r="BJ176" s="39"/>
      <c r="BK176" s="875">
        <f>'P&amp;L'!BK26/'P&amp;L'!BK25</f>
        <v>0.22350117129884031</v>
      </c>
      <c r="BL176" s="876">
        <f>'P&amp;L'!BL26/'P&amp;L'!BL25</f>
        <v>0.22123780830312009</v>
      </c>
      <c r="BM176" s="876">
        <f>'P&amp;L'!BM26/'P&amp;L'!BM25</f>
        <v>0.1953961456102784</v>
      </c>
      <c r="BN176" s="876">
        <f>'P&amp;L'!BN26/'P&amp;L'!BN25</f>
        <v>9.2310686005957543E-2</v>
      </c>
      <c r="BO176" s="877">
        <f>'P&amp;L'!BO26/'P&amp;L'!BO25</f>
        <v>0.1855507023964113</v>
      </c>
      <c r="BP176" s="39"/>
      <c r="BQ176" s="875">
        <f>'P&amp;L'!BQ26/'P&amp;L'!BQ25</f>
        <v>0.1903501724871226</v>
      </c>
      <c r="BR176" s="876">
        <f>'P&amp;L'!BR26/'P&amp;L'!BR25</f>
        <v>0.19070625555806262</v>
      </c>
      <c r="BS176" s="876">
        <f>'P&amp;L'!BS26/'P&amp;L'!BS25</f>
        <v>0.15789473684210531</v>
      </c>
      <c r="BT176" s="876">
        <f>'P&amp;L'!BT26/'P&amp;L'!BT25</f>
        <v>0.1521283241120828</v>
      </c>
      <c r="BU176" s="877">
        <f>'P&amp;L'!BU26/'P&amp;L'!BU25</f>
        <v>0.17112433365620947</v>
      </c>
      <c r="BV176" s="39"/>
      <c r="BW176" s="875">
        <f>'P&amp;L'!BW26/'P&amp;L'!BW25</f>
        <v>0.14963971781038971</v>
      </c>
      <c r="BX176" s="876">
        <f>'P&amp;L'!BX26/'P&amp;L'!BX25</f>
        <v>0.16087091115467964</v>
      </c>
      <c r="BY176" s="876">
        <f>'P&amp;L'!BY26/'P&amp;L'!BY25</f>
        <v>0.1705239590177898</v>
      </c>
      <c r="BZ176" s="876">
        <f>'P&amp;L'!BZ26/'P&amp;L'!BZ25</f>
        <v>0.15382805642775058</v>
      </c>
      <c r="CA176" s="877">
        <f>'P&amp;L'!CA26/'P&amp;L'!CA25</f>
        <v>0.15901972916254711</v>
      </c>
      <c r="CB176" s="39"/>
      <c r="CC176" s="875">
        <f>'P&amp;L'!CC26/'P&amp;L'!CC25</f>
        <v>0.1767730007622321</v>
      </c>
      <c r="CD176" s="876">
        <f>'P&amp;L'!CD26/'P&amp;L'!CD25</f>
        <v>0.17038863109048724</v>
      </c>
      <c r="CE176" s="876">
        <f>'P&amp;L'!CE26/'P&amp;L'!CE25</f>
        <v>0.19391817609324466</v>
      </c>
      <c r="CF176" s="876">
        <f>'P&amp;L'!CF26/'P&amp;L'!CF25</f>
        <v>0.16715732747866874</v>
      </c>
      <c r="CG176" s="877">
        <f>'P&amp;L'!CG26/'P&amp;L'!CG25</f>
        <v>0.17655463404288574</v>
      </c>
      <c r="CH176" s="39"/>
      <c r="CI176" s="875">
        <f>'P&amp;L'!CI26/'P&amp;L'!CI25</f>
        <v>0.20499999999999999</v>
      </c>
      <c r="CJ176" s="876">
        <f>'P&amp;L'!CJ26/'P&amp;L'!CJ25</f>
        <v>0.20499999999999999</v>
      </c>
      <c r="CK176" s="876">
        <f>'P&amp;L'!CK26/'P&amp;L'!CK25</f>
        <v>0.20499999999999999</v>
      </c>
      <c r="CL176" s="876">
        <f>'P&amp;L'!CL26/'P&amp;L'!CL25</f>
        <v>0.20499999999999999</v>
      </c>
      <c r="CM176" s="877">
        <f>'P&amp;L'!CM26/'P&amp;L'!CM25</f>
        <v>0.20500000000000007</v>
      </c>
      <c r="CN176" s="39"/>
      <c r="CO176" s="875">
        <f>'P&amp;L'!CO26/'P&amp;L'!CO25</f>
        <v>0.20500000000000002</v>
      </c>
      <c r="CP176" s="876">
        <f>'P&amp;L'!CP26/'P&amp;L'!CP25</f>
        <v>0.20499999999999999</v>
      </c>
      <c r="CQ176" s="876">
        <f>'P&amp;L'!CQ26/'P&amp;L'!CQ25</f>
        <v>0.20500000000000002</v>
      </c>
      <c r="CR176" s="876">
        <f>'P&amp;L'!CR26/'P&amp;L'!CR25</f>
        <v>0.20499999999999999</v>
      </c>
      <c r="CS176" s="877">
        <f>'P&amp;L'!CS26/'P&amp;L'!CS25</f>
        <v>0.20500000000000007</v>
      </c>
      <c r="CT176" s="39"/>
      <c r="CU176" s="875">
        <f>'P&amp;L'!CU26/'P&amp;L'!CU25</f>
        <v>0.20499999999999999</v>
      </c>
      <c r="CV176" s="876">
        <f>'P&amp;L'!CV26/'P&amp;L'!CV25</f>
        <v>0.20499999999999999</v>
      </c>
      <c r="CW176" s="876">
        <f>'P&amp;L'!CW26/'P&amp;L'!CW25</f>
        <v>0.20499999999999999</v>
      </c>
      <c r="CX176" s="876">
        <f>'P&amp;L'!CX26/'P&amp;L'!CX25</f>
        <v>0.20499999999999996</v>
      </c>
      <c r="CY176" s="877">
        <f>'P&amp;L'!CY26/'P&amp;L'!CY25</f>
        <v>0.20499999999999996</v>
      </c>
      <c r="CZ176" s="112"/>
      <c r="DA176" s="112"/>
      <c r="DB176" s="112"/>
    </row>
    <row r="177" spans="1:106" ht="11.25" customHeight="1" outlineLevel="1" x14ac:dyDescent="0.2">
      <c r="A177" s="377" t="s">
        <v>384</v>
      </c>
      <c r="B177" s="240"/>
      <c r="C177" s="134">
        <f>C175/'P&amp;L'!C9</f>
        <v>0</v>
      </c>
      <c r="D177" s="135">
        <f>D175/'P&amp;L'!D9</f>
        <v>0</v>
      </c>
      <c r="E177" s="135">
        <f>E175/'P&amp;L'!E9</f>
        <v>0</v>
      </c>
      <c r="F177" s="135">
        <f>F175/'P&amp;L'!F9</f>
        <v>0</v>
      </c>
      <c r="G177" s="136">
        <f>G175/'P&amp;L'!G9</f>
        <v>0</v>
      </c>
      <c r="H177" s="240"/>
      <c r="I177" s="134">
        <f>I175/'P&amp;L'!I9</f>
        <v>0</v>
      </c>
      <c r="J177" s="135">
        <f>J175/'P&amp;L'!J9</f>
        <v>0</v>
      </c>
      <c r="K177" s="135">
        <f>K175/'P&amp;L'!K9</f>
        <v>0</v>
      </c>
      <c r="L177" s="135">
        <f>L175/'P&amp;L'!L9</f>
        <v>0</v>
      </c>
      <c r="M177" s="136">
        <f>M175/'P&amp;L'!M9</f>
        <v>0</v>
      </c>
      <c r="N177" s="240"/>
      <c r="O177" s="134">
        <f>O175/'P&amp;L'!O9</f>
        <v>7.7266246608103761E-4</v>
      </c>
      <c r="P177" s="135">
        <f>P175/'P&amp;L'!P9</f>
        <v>5.2988086511882569E-4</v>
      </c>
      <c r="Q177" s="135">
        <f>Q175/'P&amp;L'!Q9</f>
        <v>3.6459525687007697E-4</v>
      </c>
      <c r="R177" s="135">
        <f>R175/'P&amp;L'!R9</f>
        <v>1.1041297630489865E-3</v>
      </c>
      <c r="S177" s="136">
        <f>S175/'P&amp;L'!S9</f>
        <v>6.9990424622889003E-4</v>
      </c>
      <c r="T177" s="240"/>
      <c r="U177" s="134">
        <f>U175/'P&amp;L'!U9</f>
        <v>2.5571047630963649E-3</v>
      </c>
      <c r="V177" s="135">
        <f>V175/'P&amp;L'!V9</f>
        <v>6.5906886158813398E-3</v>
      </c>
      <c r="W177" s="135">
        <f>W175/'P&amp;L'!W9</f>
        <v>1.5699307033833054E-2</v>
      </c>
      <c r="X177" s="135">
        <f>X175/'P&amp;L'!X9</f>
        <v>2.3746099398736575E-2</v>
      </c>
      <c r="Y177" s="136">
        <f>Y175/'P&amp;L'!Y9</f>
        <v>1.3823267782336626E-2</v>
      </c>
      <c r="Z177" s="240"/>
      <c r="AA177" s="134">
        <f>AA175/'P&amp;L'!AA9</f>
        <v>1.0516353944356998E-2</v>
      </c>
      <c r="AB177" s="135">
        <f>AB175/'P&amp;L'!AB9</f>
        <v>1.0845021295344398E-2</v>
      </c>
      <c r="AC177" s="135">
        <f>AC175/'P&amp;L'!AC9</f>
        <v>9.142114384748698E-3</v>
      </c>
      <c r="AD177" s="135">
        <f>AD175/'P&amp;L'!AD9</f>
        <v>1.3238834476623338E-2</v>
      </c>
      <c r="AE177" s="136">
        <f>AE175/'P&amp;L'!AE9</f>
        <v>1.0964472689604971E-2</v>
      </c>
      <c r="AF177" s="240"/>
      <c r="AG177" s="134">
        <f>AG175/'P&amp;L'!AG9</f>
        <v>9.9034548935650179E-3</v>
      </c>
      <c r="AH177" s="135">
        <f>AH175/'P&amp;L'!AH9</f>
        <v>1.1721547660687221E-2</v>
      </c>
      <c r="AI177" s="135">
        <f>AI175/'P&amp;L'!AI9</f>
        <v>9.0464801913278554E-3</v>
      </c>
      <c r="AJ177" s="135">
        <f>AJ175/'P&amp;L'!AJ9</f>
        <v>8.2849898124029205E-3</v>
      </c>
      <c r="AK177" s="136">
        <f>AK175/'P&amp;L'!AK9</f>
        <v>9.6521674547570113E-3</v>
      </c>
      <c r="AL177" s="240"/>
      <c r="AM177" s="134">
        <f>AM175/'P&amp;L'!AM9</f>
        <v>9.7630539710399297E-3</v>
      </c>
      <c r="AN177" s="135">
        <f>AN175/'P&amp;L'!AN9</f>
        <v>1.4186313842218651E-2</v>
      </c>
      <c r="AO177" s="135">
        <f>AO175/'P&amp;L'!AO9</f>
        <v>1.3305773976822437E-2</v>
      </c>
      <c r="AP177" s="135">
        <f>AP175/'P&amp;L'!AP9</f>
        <v>1.2704872182133465E-2</v>
      </c>
      <c r="AQ177" s="136">
        <f>AQ175/'P&amp;L'!AQ9</f>
        <v>1.2499183856263064E-2</v>
      </c>
      <c r="AR177" s="240"/>
      <c r="AS177" s="134">
        <f>AS175/'P&amp;L'!AS9</f>
        <v>1.4950901557149074E-2</v>
      </c>
      <c r="AT177" s="135">
        <f>AT175/'P&amp;L'!AT9</f>
        <v>1.8761273952164769E-2</v>
      </c>
      <c r="AU177" s="135">
        <f>AU175/'P&amp;L'!AU9</f>
        <v>1.7571005763539128E-2</v>
      </c>
      <c r="AV177" s="135">
        <f>AV175/'P&amp;L'!AV9</f>
        <v>1.5603133783864603E-2</v>
      </c>
      <c r="AW177" s="136">
        <f>AW175/'P&amp;L'!AW9</f>
        <v>1.670361197763277E-2</v>
      </c>
      <c r="AX177" s="240"/>
      <c r="AY177" s="134">
        <f>AY175/'P&amp;L'!AY9</f>
        <v>1.7569546120058566E-2</v>
      </c>
      <c r="AZ177" s="135">
        <f>AZ175/'P&amp;L'!AZ9</f>
        <v>2.4149368679059806E-2</v>
      </c>
      <c r="BA177" s="135">
        <f>BA175/'P&amp;L'!BA9</f>
        <v>2.0759869729106206E-2</v>
      </c>
      <c r="BB177" s="135">
        <f>BB175/'P&amp;L'!BB9</f>
        <v>1.8503341682730611E-2</v>
      </c>
      <c r="BC177" s="136">
        <f>BC175/'P&amp;L'!BC9</f>
        <v>2.0212745604469191E-2</v>
      </c>
      <c r="BD177" s="283"/>
      <c r="BE177" s="134">
        <f>BE175/'P&amp;L'!BE9</f>
        <v>2.8319102959390725E-2</v>
      </c>
      <c r="BF177" s="135">
        <f>BF175/'P&amp;L'!BF9</f>
        <v>3.1161902835543539E-2</v>
      </c>
      <c r="BG177" s="135">
        <f>BG175/'P&amp;L'!BG9</f>
        <v>2.5595177433749935E-2</v>
      </c>
      <c r="BH177" s="135">
        <f>BH175/'P&amp;L'!BH9</f>
        <v>3.0861728973895781E-2</v>
      </c>
      <c r="BI177" s="136">
        <f>BI175/'P&amp;L'!BI9</f>
        <v>2.9038169481561318E-2</v>
      </c>
      <c r="BJ177" s="240"/>
      <c r="BK177" s="134">
        <f>BK175/'P&amp;L'!BK9</f>
        <v>3.1965542122360753E-2</v>
      </c>
      <c r="BL177" s="135">
        <f>BL175/'P&amp;L'!BL9</f>
        <v>2.7979966006213081E-2</v>
      </c>
      <c r="BM177" s="135">
        <f>BM175/'P&amp;L'!BM9</f>
        <v>3.0259207677939885E-2</v>
      </c>
      <c r="BN177" s="135">
        <f>BN175/'P&amp;L'!BN9</f>
        <v>3.4879853662592504E-2</v>
      </c>
      <c r="BO177" s="136">
        <f>BO175/'P&amp;L'!BO9</f>
        <v>3.1339118110025654E-2</v>
      </c>
      <c r="BP177" s="240"/>
      <c r="BQ177" s="134">
        <f>BQ175/'P&amp;L'!BQ9</f>
        <v>3.2621539924145293E-2</v>
      </c>
      <c r="BR177" s="135">
        <f>BR175/'P&amp;L'!BR9</f>
        <v>3.2195357107082045E-2</v>
      </c>
      <c r="BS177" s="135">
        <f>BS175/'P&amp;L'!BS9</f>
        <v>8.0906406070682581E-3</v>
      </c>
      <c r="BT177" s="135">
        <f>BT175/'P&amp;L'!BT9</f>
        <v>1.4318507890961268E-2</v>
      </c>
      <c r="BU177" s="136">
        <f>BU175/'P&amp;L'!BU9</f>
        <v>2.1514213507788517E-2</v>
      </c>
      <c r="BV177" s="240"/>
      <c r="BW177" s="134">
        <f>BW175/'P&amp;L'!BW9</f>
        <v>1.9833835491103596E-2</v>
      </c>
      <c r="BX177" s="135">
        <f>BX175/'P&amp;L'!BX9</f>
        <v>2.3808954224130718E-2</v>
      </c>
      <c r="BY177" s="135">
        <f>BY175/'P&amp;L'!BY9</f>
        <v>2.7039874809926628E-2</v>
      </c>
      <c r="BZ177" s="135">
        <f>BZ175/'P&amp;L'!BZ9</f>
        <v>1.4324106789626619E-2</v>
      </c>
      <c r="CA177" s="136">
        <f>CA175/'P&amp;L'!CA9</f>
        <v>2.1142145201275643E-2</v>
      </c>
      <c r="CB177" s="240"/>
      <c r="CC177" s="134">
        <f>CC175/'P&amp;L'!CC9</f>
        <v>2.8883641576874917E-2</v>
      </c>
      <c r="CD177" s="135">
        <f>CD175/'P&amp;L'!CD9</f>
        <v>2.904126359387425E-2</v>
      </c>
      <c r="CE177" s="135">
        <f>CE175/'P&amp;L'!CE9</f>
        <v>2.3693743139407246E-2</v>
      </c>
      <c r="CF177" s="135">
        <f>CF175/'P&amp;L'!CF9</f>
        <v>1.6997680760891736E-2</v>
      </c>
      <c r="CG177" s="136">
        <f>CG175/'P&amp;L'!CG9</f>
        <v>2.4264755094492489E-2</v>
      </c>
      <c r="CH177" s="240"/>
      <c r="CI177" s="529">
        <v>2.5000000000000001E-2</v>
      </c>
      <c r="CJ177" s="528">
        <f>CI177</f>
        <v>2.5000000000000001E-2</v>
      </c>
      <c r="CK177" s="528">
        <f>CJ177</f>
        <v>2.5000000000000001E-2</v>
      </c>
      <c r="CL177" s="528">
        <f>CK177</f>
        <v>2.5000000000000001E-2</v>
      </c>
      <c r="CM177" s="136">
        <f>CM175/'P&amp;L'!CM9</f>
        <v>2.5000000000000001E-2</v>
      </c>
      <c r="CN177" s="240"/>
      <c r="CO177" s="529">
        <v>2.5000000000000001E-2</v>
      </c>
      <c r="CP177" s="528">
        <f t="shared" ref="CP177:CY177" si="131">CO177</f>
        <v>2.5000000000000001E-2</v>
      </c>
      <c r="CQ177" s="528">
        <f t="shared" si="131"/>
        <v>2.5000000000000001E-2</v>
      </c>
      <c r="CR177" s="528">
        <f t="shared" si="131"/>
        <v>2.5000000000000001E-2</v>
      </c>
      <c r="CS177" s="136">
        <f>CS175/'P&amp;L'!CS9</f>
        <v>2.5000000000000001E-2</v>
      </c>
      <c r="CT177" s="240"/>
      <c r="CU177" s="529">
        <v>2.5000000000000001E-2</v>
      </c>
      <c r="CV177" s="528">
        <f t="shared" ref="CV177:CY177" si="132">CU177</f>
        <v>2.5000000000000001E-2</v>
      </c>
      <c r="CW177" s="528">
        <f t="shared" si="132"/>
        <v>2.5000000000000001E-2</v>
      </c>
      <c r="CX177" s="528">
        <f t="shared" si="132"/>
        <v>2.5000000000000001E-2</v>
      </c>
      <c r="CY177" s="136">
        <f>CY175/'P&amp;L'!CY9</f>
        <v>2.5000000000000001E-2</v>
      </c>
      <c r="CZ177" s="112"/>
      <c r="DA177" s="112"/>
      <c r="DB177" s="112"/>
    </row>
    <row r="178" spans="1:106" ht="11.25" customHeight="1" x14ac:dyDescent="0.2">
      <c r="A178" s="35"/>
      <c r="B178" s="39"/>
      <c r="C178" s="20"/>
      <c r="D178" s="20"/>
      <c r="E178" s="20"/>
      <c r="F178" s="20"/>
      <c r="G178" s="20"/>
      <c r="H178" s="39"/>
      <c r="I178" s="20"/>
      <c r="J178" s="20"/>
      <c r="K178" s="20"/>
      <c r="L178" s="20"/>
      <c r="M178" s="20"/>
      <c r="N178" s="39"/>
      <c r="O178" s="20"/>
      <c r="P178" s="20"/>
      <c r="Q178" s="20"/>
      <c r="R178" s="20"/>
      <c r="S178" s="20"/>
      <c r="T178" s="39"/>
      <c r="U178" s="20"/>
      <c r="V178" s="20"/>
      <c r="W178" s="20"/>
      <c r="X178" s="20"/>
      <c r="Y178" s="20"/>
      <c r="Z178" s="39"/>
      <c r="AA178" s="20"/>
      <c r="AB178" s="20"/>
      <c r="AC178" s="20"/>
      <c r="AD178" s="20"/>
      <c r="AE178" s="20"/>
      <c r="AF178" s="39"/>
      <c r="AG178" s="20"/>
      <c r="AH178" s="20"/>
      <c r="AI178" s="20"/>
      <c r="AJ178" s="20"/>
      <c r="AK178" s="20"/>
      <c r="AL178" s="39"/>
      <c r="AM178" s="20"/>
      <c r="AN178" s="20"/>
      <c r="AO178" s="20"/>
      <c r="AP178" s="20"/>
      <c r="AQ178" s="20"/>
      <c r="AR178" s="39"/>
      <c r="AS178" s="20"/>
      <c r="AT178" s="20"/>
      <c r="AU178" s="20"/>
      <c r="AV178" s="20"/>
      <c r="AW178" s="20"/>
      <c r="AX178" s="39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39"/>
      <c r="BK178" s="20"/>
      <c r="BL178" s="20"/>
      <c r="BM178" s="20"/>
      <c r="BN178" s="20"/>
      <c r="BO178" s="20"/>
      <c r="BP178" s="39"/>
      <c r="BQ178" s="20"/>
      <c r="BR178" s="20"/>
      <c r="BS178" s="20"/>
      <c r="BT178" s="20"/>
      <c r="BU178" s="20"/>
      <c r="BV178" s="39"/>
      <c r="BW178" s="20"/>
      <c r="BX178" s="20"/>
      <c r="BY178" s="20"/>
      <c r="BZ178" s="20"/>
      <c r="CA178" s="20"/>
      <c r="CB178" s="39"/>
      <c r="CC178" s="20"/>
      <c r="CD178" s="20"/>
      <c r="CE178" s="20"/>
      <c r="CF178" s="20"/>
      <c r="CG178" s="20"/>
      <c r="CH178" s="39"/>
      <c r="CI178" s="20"/>
      <c r="CJ178" s="20"/>
      <c r="CK178" s="20"/>
      <c r="CL178" s="20"/>
      <c r="CM178" s="20"/>
      <c r="CN178" s="39"/>
      <c r="CO178" s="20"/>
      <c r="CP178" s="20"/>
      <c r="CQ178" s="20"/>
      <c r="CR178" s="20"/>
      <c r="CS178" s="20"/>
      <c r="CT178" s="39"/>
      <c r="CU178" s="20"/>
      <c r="CV178" s="20"/>
      <c r="CW178" s="20"/>
      <c r="CX178" s="20"/>
      <c r="CY178" s="20"/>
      <c r="CZ178" s="20"/>
      <c r="DA178" s="20"/>
      <c r="DB178" s="20"/>
    </row>
    <row r="179" spans="1:106" ht="11.25" customHeight="1" x14ac:dyDescent="0.2">
      <c r="A179" s="2070" t="s">
        <v>331</v>
      </c>
      <c r="B179" s="39"/>
      <c r="C179" s="2071"/>
      <c r="D179" s="2071"/>
      <c r="E179" s="2071"/>
      <c r="F179" s="2071"/>
      <c r="G179" s="2072"/>
      <c r="H179" s="2072"/>
      <c r="I179" s="2071"/>
      <c r="J179" s="2071"/>
      <c r="K179" s="2071"/>
      <c r="L179" s="2071"/>
      <c r="M179" s="2072"/>
      <c r="N179" s="2072"/>
      <c r="O179" s="2071"/>
      <c r="P179" s="2071"/>
      <c r="Q179" s="2071"/>
      <c r="R179" s="2071"/>
      <c r="S179" s="2072"/>
      <c r="T179" s="2072"/>
      <c r="U179" s="2071"/>
      <c r="V179" s="2071"/>
      <c r="W179" s="2071"/>
      <c r="X179" s="2071"/>
      <c r="Y179" s="2072"/>
      <c r="Z179" s="2072"/>
      <c r="AA179" s="2071"/>
      <c r="AB179" s="2071"/>
      <c r="AC179" s="2071"/>
      <c r="AD179" s="2071"/>
      <c r="AE179" s="2072"/>
      <c r="AF179" s="2072"/>
      <c r="AG179" s="2071"/>
      <c r="AH179" s="2071"/>
      <c r="AI179" s="2071"/>
      <c r="AJ179" s="2071"/>
      <c r="AK179" s="2072"/>
      <c r="AL179" s="2072"/>
      <c r="AM179" s="2071"/>
      <c r="AN179" s="2071"/>
      <c r="AO179" s="2071"/>
      <c r="AP179" s="2071"/>
      <c r="AQ179" s="2072"/>
      <c r="AR179" s="2072"/>
      <c r="AS179" s="2071"/>
      <c r="AT179" s="2071"/>
      <c r="AU179" s="2071"/>
      <c r="AV179" s="2071"/>
      <c r="AW179" s="2072"/>
      <c r="AX179" s="2072"/>
      <c r="AY179" s="2071"/>
      <c r="AZ179" s="2071"/>
      <c r="BA179" s="2071"/>
      <c r="BB179" s="2071"/>
      <c r="BC179" s="2072"/>
      <c r="BD179" s="2072"/>
      <c r="BE179" s="2071"/>
      <c r="BF179" s="2071"/>
      <c r="BG179" s="2071"/>
      <c r="BH179" s="2071"/>
      <c r="BI179" s="2072"/>
      <c r="BJ179" s="2072"/>
      <c r="BK179" s="2071"/>
      <c r="BL179" s="2071"/>
      <c r="BM179" s="2071"/>
      <c r="BN179" s="2071"/>
      <c r="BO179" s="2072"/>
      <c r="BP179" s="2072"/>
      <c r="BQ179" s="2071"/>
      <c r="BR179" s="2071"/>
      <c r="BS179" s="2071"/>
      <c r="BT179" s="2071"/>
      <c r="BU179" s="2072"/>
      <c r="BV179" s="2072"/>
      <c r="BW179" s="2071"/>
      <c r="BX179" s="2071"/>
      <c r="BY179" s="2071"/>
      <c r="BZ179" s="2071"/>
      <c r="CA179" s="2072"/>
      <c r="CB179" s="2072"/>
      <c r="CC179" s="2071"/>
      <c r="CD179" s="2071"/>
      <c r="CE179" s="2071"/>
      <c r="CF179" s="2071"/>
      <c r="CG179" s="2072"/>
      <c r="CH179" s="2072"/>
      <c r="CI179" s="2071"/>
      <c r="CJ179" s="2071"/>
      <c r="CK179" s="2071"/>
      <c r="CL179" s="2071"/>
      <c r="CM179" s="2072"/>
      <c r="CN179" s="2072"/>
      <c r="CO179" s="2071"/>
      <c r="CP179" s="2071"/>
      <c r="CQ179" s="2071"/>
      <c r="CR179" s="2071"/>
      <c r="CS179" s="2072"/>
      <c r="CT179" s="2072"/>
      <c r="CU179" s="2071"/>
      <c r="CV179" s="2071"/>
      <c r="CW179" s="2071"/>
      <c r="CX179" s="2071"/>
      <c r="CY179" s="2072"/>
      <c r="CZ179" s="20"/>
      <c r="DA179" s="20"/>
      <c r="DB179" s="20"/>
    </row>
    <row r="180" spans="1:106" ht="11.25" customHeight="1" x14ac:dyDescent="0.2">
      <c r="A180" s="2073" t="s">
        <v>135</v>
      </c>
      <c r="B180" s="39"/>
      <c r="C180" s="2074">
        <f>+C171</f>
        <v>96.057999999999993</v>
      </c>
      <c r="D180" s="2075">
        <f t="shared" ref="D180:G180" si="133">+D171</f>
        <v>98.637</v>
      </c>
      <c r="E180" s="2075">
        <f t="shared" si="133"/>
        <v>90.402999999999977</v>
      </c>
      <c r="F180" s="2075">
        <f t="shared" si="133"/>
        <v>95.531000000000063</v>
      </c>
      <c r="G180" s="2076">
        <f t="shared" si="133"/>
        <v>380.62900000000002</v>
      </c>
      <c r="H180" s="2077"/>
      <c r="I180" s="2074">
        <f>+I171</f>
        <v>95.025000000000006</v>
      </c>
      <c r="J180" s="2075">
        <f t="shared" ref="J180:M180" si="134">+J171</f>
        <v>100.35400000000001</v>
      </c>
      <c r="K180" s="2075">
        <f t="shared" si="134"/>
        <v>98.670999999999978</v>
      </c>
      <c r="L180" s="2075">
        <f t="shared" si="134"/>
        <v>104.34499999999997</v>
      </c>
      <c r="M180" s="2076">
        <f t="shared" si="134"/>
        <v>398.39499999999998</v>
      </c>
      <c r="N180" s="2077"/>
      <c r="O180" s="2074">
        <f t="shared" ref="O180:S180" si="135">+O171</f>
        <v>108.715</v>
      </c>
      <c r="P180" s="2075">
        <f t="shared" si="135"/>
        <v>113.23299999999999</v>
      </c>
      <c r="Q180" s="2075">
        <f t="shared" si="135"/>
        <v>117.93900000000001</v>
      </c>
      <c r="R180" s="2075">
        <f t="shared" si="135"/>
        <v>125.89100000000002</v>
      </c>
      <c r="S180" s="2076">
        <f t="shared" si="135"/>
        <v>465.77800000000002</v>
      </c>
      <c r="T180" s="2077"/>
      <c r="U180" s="2074">
        <f t="shared" ref="U180:Y180" si="136">+U171</f>
        <v>127.87899999999998</v>
      </c>
      <c r="V180" s="2075">
        <f t="shared" si="136"/>
        <v>135.03899999999999</v>
      </c>
      <c r="W180" s="2075">
        <f t="shared" si="136"/>
        <v>176.63200000000001</v>
      </c>
      <c r="X180" s="2075">
        <f t="shared" si="136"/>
        <v>210.22400000000005</v>
      </c>
      <c r="Y180" s="2076">
        <f t="shared" si="136"/>
        <v>649.774</v>
      </c>
      <c r="Z180" s="2077"/>
      <c r="AA180" s="2074">
        <f t="shared" ref="AA180:AE180" si="137">+AA171</f>
        <v>207.10599999999997</v>
      </c>
      <c r="AB180" s="2075">
        <f t="shared" si="137"/>
        <v>217.88800000000001</v>
      </c>
      <c r="AC180" s="2075">
        <f t="shared" si="137"/>
        <v>230.8</v>
      </c>
      <c r="AD180" s="2075">
        <f t="shared" si="137"/>
        <v>237.18100000000004</v>
      </c>
      <c r="AE180" s="2076">
        <f t="shared" si="137"/>
        <v>892.97500000000002</v>
      </c>
      <c r="AF180" s="2077"/>
      <c r="AG180" s="2074">
        <f t="shared" ref="AG180:AK180" si="138">+AG171</f>
        <v>220.93299999999999</v>
      </c>
      <c r="AH180" s="2075">
        <f t="shared" si="138"/>
        <v>240.15599999999998</v>
      </c>
      <c r="AI180" s="2075">
        <f t="shared" si="138"/>
        <v>259.65899999999999</v>
      </c>
      <c r="AJ180" s="2075">
        <f t="shared" si="138"/>
        <v>289.07700000000011</v>
      </c>
      <c r="AK180" s="2076">
        <f t="shared" si="138"/>
        <v>1009.825</v>
      </c>
      <c r="AL180" s="2077"/>
      <c r="AM180" s="2074">
        <f t="shared" ref="AM180:AQ180" si="139">+AM171</f>
        <v>264.36399999999998</v>
      </c>
      <c r="AN180" s="2075">
        <f t="shared" si="139"/>
        <v>262.71800000000002</v>
      </c>
      <c r="AO180" s="2075">
        <f t="shared" si="139"/>
        <v>274.31700000000001</v>
      </c>
      <c r="AP180" s="2075">
        <f t="shared" si="139"/>
        <v>286.03200000000004</v>
      </c>
      <c r="AQ180" s="2076">
        <f t="shared" si="139"/>
        <v>1087.431</v>
      </c>
      <c r="AR180" s="2077"/>
      <c r="AS180" s="2074">
        <f t="shared" ref="AS180:AW180" si="140">+AS171</f>
        <v>264.26499999999999</v>
      </c>
      <c r="AT180" s="2075">
        <f t="shared" si="140"/>
        <v>282.17700000000002</v>
      </c>
      <c r="AU180" s="2075">
        <f t="shared" si="140"/>
        <v>288.88499999999999</v>
      </c>
      <c r="AV180" s="2075">
        <f t="shared" si="140"/>
        <v>334.42000000000007</v>
      </c>
      <c r="AW180" s="2076">
        <f t="shared" si="140"/>
        <v>1169.7470000000001</v>
      </c>
      <c r="AX180" s="2077"/>
      <c r="AY180" s="2074">
        <f t="shared" ref="AY180:BC180" si="141">+AY171</f>
        <v>296.42200000000003</v>
      </c>
      <c r="AZ180" s="2075">
        <f t="shared" si="141"/>
        <v>307.21300000000002</v>
      </c>
      <c r="BA180" s="2075">
        <f t="shared" si="141"/>
        <v>304.28899999999999</v>
      </c>
      <c r="BB180" s="2075">
        <f t="shared" si="141"/>
        <v>346.53199999999993</v>
      </c>
      <c r="BC180" s="2076">
        <f t="shared" si="141"/>
        <v>1254.4559999999999</v>
      </c>
      <c r="BD180" s="2077"/>
      <c r="BE180" s="2074">
        <f t="shared" ref="BE180:BI180" si="142">+BE171</f>
        <v>303.57600000000002</v>
      </c>
      <c r="BF180" s="2075">
        <f t="shared" si="142"/>
        <v>316.41199999999998</v>
      </c>
      <c r="BG180" s="2075">
        <f t="shared" si="142"/>
        <v>323.81099999999998</v>
      </c>
      <c r="BH180" s="2075">
        <f t="shared" si="142"/>
        <v>362.58499999999998</v>
      </c>
      <c r="BI180" s="2076">
        <f t="shared" si="142"/>
        <v>1306.384</v>
      </c>
      <c r="BJ180" s="2077"/>
      <c r="BK180" s="2074">
        <f t="shared" ref="BK180:BO180" si="143">+BK171</f>
        <v>317.37299999999999</v>
      </c>
      <c r="BL180" s="2075">
        <f t="shared" si="143"/>
        <v>331.23699999999997</v>
      </c>
      <c r="BM180" s="2075">
        <f t="shared" si="143"/>
        <v>336.75700000000001</v>
      </c>
      <c r="BN180" s="2075">
        <f t="shared" si="143"/>
        <v>360.81</v>
      </c>
      <c r="BO180" s="2076">
        <f t="shared" si="143"/>
        <v>1346.1769999999999</v>
      </c>
      <c r="BP180" s="2077"/>
      <c r="BQ180" s="2074">
        <f t="shared" ref="BQ180:BU180" si="144">+BQ171</f>
        <v>298.72899999999998</v>
      </c>
      <c r="BR180" s="2075">
        <f t="shared" si="144"/>
        <v>319.45600000000002</v>
      </c>
      <c r="BS180" s="2075">
        <f t="shared" si="144"/>
        <v>314.56099999999998</v>
      </c>
      <c r="BT180" s="2075">
        <f t="shared" si="144"/>
        <v>348.5</v>
      </c>
      <c r="BU180" s="2076">
        <f t="shared" si="144"/>
        <v>1281.2459999999999</v>
      </c>
      <c r="BV180" s="2077"/>
      <c r="BW180" s="2074">
        <f t="shared" ref="BW180:CA180" si="145">+BW171</f>
        <v>298.37900000000002</v>
      </c>
      <c r="BX180" s="2075">
        <f t="shared" si="145"/>
        <v>334.41199999999998</v>
      </c>
      <c r="BY180" s="2075">
        <f t="shared" si="145"/>
        <v>338.685</v>
      </c>
      <c r="BZ180" s="2075">
        <f t="shared" si="145"/>
        <v>366.51499999999999</v>
      </c>
      <c r="CA180" s="2076">
        <f t="shared" si="145"/>
        <v>1337.991</v>
      </c>
      <c r="CB180" s="2077"/>
      <c r="CC180" s="2074">
        <f t="shared" ref="CC180:CG180" si="146">+CC171</f>
        <v>308.30600000000004</v>
      </c>
      <c r="CD180" s="2075">
        <f t="shared" si="146"/>
        <v>349.60599999999999</v>
      </c>
      <c r="CE180" s="2075">
        <f t="shared" si="146"/>
        <v>364.4</v>
      </c>
      <c r="CF180" s="2075">
        <f t="shared" si="146"/>
        <v>397.113</v>
      </c>
      <c r="CG180" s="2076">
        <f t="shared" si="146"/>
        <v>1419.425</v>
      </c>
      <c r="CH180" s="2077"/>
      <c r="CI180" s="2074">
        <f t="shared" ref="CI180:CM180" si="147">+CI171</f>
        <v>342.19696843455813</v>
      </c>
      <c r="CJ180" s="2075">
        <f t="shared" si="147"/>
        <v>390.00775350179219</v>
      </c>
      <c r="CK180" s="2075">
        <f t="shared" si="147"/>
        <v>402.97882791594213</v>
      </c>
      <c r="CL180" s="2075">
        <f t="shared" si="147"/>
        <v>429.55971751546923</v>
      </c>
      <c r="CM180" s="2076">
        <f t="shared" si="147"/>
        <v>1564.7432673677615</v>
      </c>
      <c r="CN180" s="2077"/>
      <c r="CO180" s="2074">
        <f t="shared" ref="CO180:CS180" si="148">+CO171</f>
        <v>379.92910533004368</v>
      </c>
      <c r="CP180" s="2075">
        <f t="shared" si="148"/>
        <v>419.47153094533905</v>
      </c>
      <c r="CQ180" s="2075">
        <f t="shared" si="148"/>
        <v>427.04767623180248</v>
      </c>
      <c r="CR180" s="2075">
        <f t="shared" si="148"/>
        <v>467.60144526770443</v>
      </c>
      <c r="CS180" s="2076">
        <f t="shared" si="148"/>
        <v>1694.0497577748897</v>
      </c>
      <c r="CT180" s="2077"/>
      <c r="CU180" s="2074">
        <f t="shared" ref="CU180:CY180" si="149">+CU171</f>
        <v>420.64273199744503</v>
      </c>
      <c r="CV180" s="2075">
        <f t="shared" si="149"/>
        <v>461.70512762799592</v>
      </c>
      <c r="CW180" s="2075">
        <f t="shared" si="149"/>
        <v>469.00624704585181</v>
      </c>
      <c r="CX180" s="2075">
        <f t="shared" si="149"/>
        <v>513.09312042062402</v>
      </c>
      <c r="CY180" s="2076">
        <f t="shared" si="149"/>
        <v>1864.4472270919168</v>
      </c>
      <c r="CZ180" s="20"/>
      <c r="DA180" s="20"/>
      <c r="DB180" s="20"/>
    </row>
    <row r="181" spans="1:106" ht="11.25" customHeight="1" x14ac:dyDescent="0.2">
      <c r="A181" s="2073" t="s">
        <v>684</v>
      </c>
      <c r="B181" s="39"/>
      <c r="C181" s="2074">
        <f>+C169</f>
        <v>19.031999999999996</v>
      </c>
      <c r="D181" s="2078">
        <f t="shared" ref="D181:G181" si="150">+D169</f>
        <v>24.695000000000007</v>
      </c>
      <c r="E181" s="2078">
        <f t="shared" si="150"/>
        <v>23.692999999999969</v>
      </c>
      <c r="F181" s="2078">
        <f t="shared" si="150"/>
        <v>22.563000000000059</v>
      </c>
      <c r="G181" s="2079">
        <f t="shared" si="150"/>
        <v>89.983000000000004</v>
      </c>
      <c r="H181" s="2077"/>
      <c r="I181" s="2074">
        <f>+I169</f>
        <v>21.393000000000001</v>
      </c>
      <c r="J181" s="2078">
        <f t="shared" ref="J181:M181" si="151">+J169</f>
        <v>24.621000000000009</v>
      </c>
      <c r="K181" s="2078">
        <f t="shared" si="151"/>
        <v>26.173999999999978</v>
      </c>
      <c r="L181" s="2078">
        <f t="shared" si="151"/>
        <v>29.540000000000006</v>
      </c>
      <c r="M181" s="2079">
        <f t="shared" si="151"/>
        <v>101.72800000000001</v>
      </c>
      <c r="N181" s="2077"/>
      <c r="O181" s="2074">
        <f t="shared" ref="O181:S181" si="152">+O169</f>
        <v>27.775000000000006</v>
      </c>
      <c r="P181" s="2078">
        <f t="shared" si="152"/>
        <v>29.123000000000005</v>
      </c>
      <c r="Q181" s="2078">
        <f t="shared" si="152"/>
        <v>30.591000000000008</v>
      </c>
      <c r="R181" s="2078">
        <f t="shared" si="152"/>
        <v>33.091000000000008</v>
      </c>
      <c r="S181" s="2079">
        <f t="shared" si="152"/>
        <v>120.57999999999998</v>
      </c>
      <c r="T181" s="2077"/>
      <c r="U181" s="2074">
        <f t="shared" ref="U181:Y181" si="153">+U169</f>
        <v>32.821999999999974</v>
      </c>
      <c r="V181" s="2078">
        <f t="shared" si="153"/>
        <v>36.000999999999991</v>
      </c>
      <c r="W181" s="2078">
        <f t="shared" si="153"/>
        <v>43.634999999999991</v>
      </c>
      <c r="X181" s="2078">
        <f t="shared" si="153"/>
        <v>51.786000000000058</v>
      </c>
      <c r="Y181" s="2079">
        <f t="shared" si="153"/>
        <v>164.24400000000003</v>
      </c>
      <c r="Z181" s="2077"/>
      <c r="AA181" s="2074">
        <f t="shared" ref="AA181:AE181" si="154">+AA169</f>
        <v>58.69999999999996</v>
      </c>
      <c r="AB181" s="2078">
        <f t="shared" si="154"/>
        <v>60.592000000000013</v>
      </c>
      <c r="AC181" s="2078">
        <f t="shared" si="154"/>
        <v>66.824999999999989</v>
      </c>
      <c r="AD181" s="2078">
        <f t="shared" si="154"/>
        <v>66.498000000000019</v>
      </c>
      <c r="AE181" s="2079">
        <f t="shared" si="154"/>
        <v>252.6149999999999</v>
      </c>
      <c r="AF181" s="2077"/>
      <c r="AG181" s="2074">
        <f t="shared" ref="AG181:AK181" si="155">+AG169</f>
        <v>59.220000000000027</v>
      </c>
      <c r="AH181" s="2078">
        <f t="shared" si="155"/>
        <v>71.810999999999979</v>
      </c>
      <c r="AI181" s="2078">
        <f t="shared" si="155"/>
        <v>81.774000000000001</v>
      </c>
      <c r="AJ181" s="2078">
        <f t="shared" si="155"/>
        <v>83.321000000000083</v>
      </c>
      <c r="AK181" s="2079">
        <f t="shared" si="155"/>
        <v>296.12600000000009</v>
      </c>
      <c r="AL181" s="2077"/>
      <c r="AM181" s="2074">
        <f t="shared" ref="AM181:AQ181" si="156">+AM169</f>
        <v>73.638999999999953</v>
      </c>
      <c r="AN181" s="2078">
        <f t="shared" si="156"/>
        <v>73.19</v>
      </c>
      <c r="AO181" s="2078">
        <f t="shared" si="156"/>
        <v>79.114999999999981</v>
      </c>
      <c r="AP181" s="2078">
        <f t="shared" si="156"/>
        <v>82.285000000000025</v>
      </c>
      <c r="AQ181" s="2079">
        <f t="shared" si="156"/>
        <v>308.22900000000004</v>
      </c>
      <c r="AR181" s="2077"/>
      <c r="AS181" s="2074">
        <f t="shared" ref="AS181:AW181" si="157">+AS169</f>
        <v>70.569999999999965</v>
      </c>
      <c r="AT181" s="2078">
        <f t="shared" si="157"/>
        <v>78.631000000000029</v>
      </c>
      <c r="AU181" s="2078">
        <f t="shared" si="157"/>
        <v>74.738</v>
      </c>
      <c r="AV181" s="2078">
        <f t="shared" si="157"/>
        <v>95.695000000000107</v>
      </c>
      <c r="AW181" s="2079">
        <f t="shared" si="157"/>
        <v>319.63400000000001</v>
      </c>
      <c r="AX181" s="2077"/>
      <c r="AY181" s="2074">
        <f t="shared" ref="AY181:BC181" si="158">+AY169</f>
        <v>80.246000000000009</v>
      </c>
      <c r="AZ181" s="2078">
        <f t="shared" si="158"/>
        <v>86.41700000000003</v>
      </c>
      <c r="BA181" s="2078">
        <f t="shared" si="158"/>
        <v>83.739999999999981</v>
      </c>
      <c r="BB181" s="2078">
        <f t="shared" si="158"/>
        <v>106.02799999999996</v>
      </c>
      <c r="BC181" s="2079">
        <f t="shared" si="158"/>
        <v>356.43099999999981</v>
      </c>
      <c r="BD181" s="2077"/>
      <c r="BE181" s="2074">
        <f t="shared" ref="BE181:BI181" si="159">+BE169</f>
        <v>78.374000000000024</v>
      </c>
      <c r="BF181" s="2078">
        <f t="shared" si="159"/>
        <v>83.447999999999951</v>
      </c>
      <c r="BG181" s="2078">
        <f t="shared" si="159"/>
        <v>87.706999999999937</v>
      </c>
      <c r="BH181" s="2078">
        <f t="shared" si="159"/>
        <v>106.29499999999996</v>
      </c>
      <c r="BI181" s="2079">
        <f t="shared" si="159"/>
        <v>355.82399999999996</v>
      </c>
      <c r="BJ181" s="2077"/>
      <c r="BK181" s="2074">
        <f t="shared" ref="BK181:BO181" si="160">+BK169</f>
        <v>74.817999999999984</v>
      </c>
      <c r="BL181" s="2078">
        <f t="shared" si="160"/>
        <v>81.138999999999982</v>
      </c>
      <c r="BM181" s="2078">
        <f t="shared" si="160"/>
        <v>84.771999999999991</v>
      </c>
      <c r="BN181" s="2078">
        <f t="shared" si="160"/>
        <v>71.559999999999945</v>
      </c>
      <c r="BO181" s="2079">
        <f t="shared" si="160"/>
        <v>312.28899999999999</v>
      </c>
      <c r="BP181" s="2077"/>
      <c r="BQ181" s="2074">
        <f t="shared" ref="BQ181:BU181" si="161">+BQ169</f>
        <v>67.365999999999985</v>
      </c>
      <c r="BR181" s="2078">
        <f t="shared" si="161"/>
        <v>78.854000000000042</v>
      </c>
      <c r="BS181" s="2078">
        <f t="shared" si="161"/>
        <v>78.256999999999977</v>
      </c>
      <c r="BT181" s="2078">
        <f t="shared" si="161"/>
        <v>92.84</v>
      </c>
      <c r="BU181" s="2079">
        <f t="shared" si="161"/>
        <v>317.31700000000001</v>
      </c>
      <c r="BV181" s="2077"/>
      <c r="BW181" s="2074">
        <f t="shared" ref="BW181:CA181" si="162">+BW169</f>
        <v>54.463999999999999</v>
      </c>
      <c r="BX181" s="2078">
        <f t="shared" si="162"/>
        <v>69.182999999999993</v>
      </c>
      <c r="BY181" s="2078">
        <f t="shared" si="162"/>
        <v>86.74799999999999</v>
      </c>
      <c r="BZ181" s="2078">
        <f t="shared" si="162"/>
        <v>112.697</v>
      </c>
      <c r="CA181" s="2079">
        <f t="shared" si="162"/>
        <v>323.09199999999998</v>
      </c>
      <c r="CB181" s="2077"/>
      <c r="CC181" s="2074">
        <f t="shared" ref="CC181:CG181" si="163">+CC169</f>
        <v>63.829000000000036</v>
      </c>
      <c r="CD181" s="2078">
        <f t="shared" si="163"/>
        <v>87.951999999999998</v>
      </c>
      <c r="CE181" s="2078">
        <f t="shared" si="163"/>
        <v>97.867000000000019</v>
      </c>
      <c r="CF181" s="2078">
        <f t="shared" si="163"/>
        <v>121.72800000000001</v>
      </c>
      <c r="CG181" s="2079">
        <f t="shared" si="163"/>
        <v>371.37599999999998</v>
      </c>
      <c r="CH181" s="2077"/>
      <c r="CI181" s="2074">
        <f t="shared" ref="CI181:CM181" si="164">+CI169</f>
        <v>71.919475923999357</v>
      </c>
      <c r="CJ181" s="2078">
        <f t="shared" si="164"/>
        <v>97.963641484657046</v>
      </c>
      <c r="CK181" s="2078">
        <f t="shared" si="164"/>
        <v>101.00002635835045</v>
      </c>
      <c r="CL181" s="2078">
        <f t="shared" si="164"/>
        <v>122.9351538369126</v>
      </c>
      <c r="CM181" s="2079">
        <f t="shared" si="164"/>
        <v>393.81829760391929</v>
      </c>
      <c r="CN181" s="2077"/>
      <c r="CO181" s="2074">
        <f t="shared" ref="CO181:CS181" si="165">+CO169</f>
        <v>90.502010766246201</v>
      </c>
      <c r="CP181" s="2078">
        <f t="shared" si="165"/>
        <v>108.25330209051504</v>
      </c>
      <c r="CQ181" s="2078">
        <f t="shared" si="165"/>
        <v>114.98770555933919</v>
      </c>
      <c r="CR181" s="2078">
        <f t="shared" si="165"/>
        <v>138.65591278755755</v>
      </c>
      <c r="CS181" s="2079">
        <f t="shared" si="165"/>
        <v>452.39893120365787</v>
      </c>
      <c r="CT181" s="2077"/>
      <c r="CU181" s="2074">
        <f t="shared" ref="CU181:CY181" si="166">+CU169</f>
        <v>106.64416409657662</v>
      </c>
      <c r="CV181" s="2078">
        <f t="shared" si="166"/>
        <v>126.20457426974446</v>
      </c>
      <c r="CW181" s="2078">
        <f t="shared" si="166"/>
        <v>133.27610654936012</v>
      </c>
      <c r="CX181" s="2078">
        <f t="shared" si="166"/>
        <v>160.00769317380741</v>
      </c>
      <c r="CY181" s="2079">
        <f t="shared" si="166"/>
        <v>526.13253808948866</v>
      </c>
      <c r="CZ181" s="20"/>
      <c r="DA181" s="20"/>
      <c r="DB181" s="20"/>
    </row>
    <row r="182" spans="1:106" ht="11.25" customHeight="1" x14ac:dyDescent="0.2">
      <c r="A182" s="2073" t="s">
        <v>143</v>
      </c>
      <c r="B182" s="39"/>
      <c r="C182" s="2080">
        <f>+C176</f>
        <v>0.37135183831209534</v>
      </c>
      <c r="D182" s="2081">
        <f t="shared" ref="D182:G182" si="167">+D176</f>
        <v>0.26135422061108221</v>
      </c>
      <c r="E182" s="2081">
        <f t="shared" si="167"/>
        <v>0.37416529676414656</v>
      </c>
      <c r="F182" s="2081">
        <f t="shared" si="167"/>
        <v>0.29474965932568387</v>
      </c>
      <c r="G182" s="2082">
        <f t="shared" si="167"/>
        <v>0.3310560932127849</v>
      </c>
      <c r="H182" s="2083"/>
      <c r="I182" s="2080">
        <f>+I176</f>
        <v>0.35702761259392429</v>
      </c>
      <c r="J182" s="2081">
        <f t="shared" ref="J182:M182" si="168">+J176</f>
        <v>0.36724282508562645</v>
      </c>
      <c r="K182" s="2081">
        <f t="shared" si="168"/>
        <v>0.33815192407503547</v>
      </c>
      <c r="L182" s="2081">
        <f t="shared" si="168"/>
        <v>0.33219446937215402</v>
      </c>
      <c r="M182" s="2082">
        <f t="shared" si="168"/>
        <v>0.34745696317987612</v>
      </c>
      <c r="N182" s="2083"/>
      <c r="O182" s="2080">
        <f t="shared" ref="O182:S182" si="169">+O176</f>
        <v>0.3347862183478621</v>
      </c>
      <c r="P182" s="2081">
        <f t="shared" si="169"/>
        <v>0.35534774985388656</v>
      </c>
      <c r="Q182" s="2081">
        <f t="shared" si="169"/>
        <v>0.31957415016809848</v>
      </c>
      <c r="R182" s="2081">
        <f t="shared" si="169"/>
        <v>0.31749276675336835</v>
      </c>
      <c r="S182" s="2082">
        <f t="shared" si="169"/>
        <v>0.33123874427792815</v>
      </c>
      <c r="T182" s="2083"/>
      <c r="U182" s="2080">
        <f t="shared" ref="U182:Y182" si="170">+U176</f>
        <v>0.31734406682202004</v>
      </c>
      <c r="V182" s="2081">
        <f t="shared" si="170"/>
        <v>0.31115736663731225</v>
      </c>
      <c r="W182" s="2081">
        <f t="shared" si="170"/>
        <v>0.21136807900281801</v>
      </c>
      <c r="X182" s="2081">
        <f t="shared" si="170"/>
        <v>0.31523545706371142</v>
      </c>
      <c r="Y182" s="2082">
        <f t="shared" si="170"/>
        <v>0.28861811944885452</v>
      </c>
      <c r="Z182" s="2083"/>
      <c r="AA182" s="2080">
        <f t="shared" ref="AA182:AE182" si="171">+AA176</f>
        <v>0.30667591273708694</v>
      </c>
      <c r="AB182" s="2081">
        <f t="shared" si="171"/>
        <v>0.25246985393237675</v>
      </c>
      <c r="AC182" s="2081">
        <f t="shared" si="171"/>
        <v>0.27454104724289324</v>
      </c>
      <c r="AD182" s="2081">
        <f t="shared" si="171"/>
        <v>0.30096244998955612</v>
      </c>
      <c r="AE182" s="2082">
        <f t="shared" si="171"/>
        <v>0.2840005421025712</v>
      </c>
      <c r="AF182" s="2083"/>
      <c r="AG182" s="2080">
        <f t="shared" ref="AG182:AK182" si="172">+AG176</f>
        <v>0.27584969957851296</v>
      </c>
      <c r="AH182" s="2081">
        <f t="shared" si="172"/>
        <v>0.28075770898847946</v>
      </c>
      <c r="AI182" s="2081">
        <f t="shared" si="172"/>
        <v>0.28951002522905323</v>
      </c>
      <c r="AJ182" s="2081">
        <f t="shared" si="172"/>
        <v>0.2809147692423235</v>
      </c>
      <c r="AK182" s="2082">
        <f t="shared" si="172"/>
        <v>0.28218923866484918</v>
      </c>
      <c r="AL182" s="2083"/>
      <c r="AM182" s="2080">
        <f t="shared" ref="AM182:AQ182" si="173">+AM176</f>
        <v>0.29778548976660185</v>
      </c>
      <c r="AN182" s="2081">
        <f t="shared" si="173"/>
        <v>0.24785346307956499</v>
      </c>
      <c r="AO182" s="2081">
        <f t="shared" si="173"/>
        <v>0.21680260141798607</v>
      </c>
      <c r="AP182" s="2081">
        <f t="shared" si="173"/>
        <v>0.19880343205664952</v>
      </c>
      <c r="AQ182" s="2082">
        <f t="shared" si="173"/>
        <v>0.23891624774018921</v>
      </c>
      <c r="AR182" s="2083"/>
      <c r="AS182" s="2080">
        <f t="shared" ref="AS182:AW182" si="174">+AS176</f>
        <v>0.26013271162123397</v>
      </c>
      <c r="AT182" s="2081">
        <f t="shared" si="174"/>
        <v>0.22853212811947329</v>
      </c>
      <c r="AU182" s="2081">
        <f t="shared" si="174"/>
        <v>0.24561926170679524</v>
      </c>
      <c r="AV182" s="2081">
        <f t="shared" si="174"/>
        <v>0.21821812202361843</v>
      </c>
      <c r="AW182" s="2082">
        <f t="shared" si="174"/>
        <v>0.23641782645963785</v>
      </c>
      <c r="AX182" s="2083"/>
      <c r="AY182" s="2080">
        <f t="shared" ref="AY182:BC182" si="175">+AY176</f>
        <v>0.27707671957671959</v>
      </c>
      <c r="AZ182" s="2081">
        <f t="shared" si="175"/>
        <v>0.23931209430724457</v>
      </c>
      <c r="BA182" s="2081">
        <f t="shared" si="175"/>
        <v>0.21808223308166783</v>
      </c>
      <c r="BB182" s="2081">
        <f t="shared" si="175"/>
        <v>0.13644006725918806</v>
      </c>
      <c r="BC182" s="2082">
        <f t="shared" si="175"/>
        <v>0.21310317771675177</v>
      </c>
      <c r="BD182" s="2083"/>
      <c r="BE182" s="2080">
        <f t="shared" ref="BE182:BI182" si="176">+BE176</f>
        <v>0.24010876199988895</v>
      </c>
      <c r="BF182" s="2081">
        <f t="shared" si="176"/>
        <v>0.22521849195346888</v>
      </c>
      <c r="BG182" s="2081">
        <f t="shared" si="176"/>
        <v>0.18127249464911349</v>
      </c>
      <c r="BH182" s="2081">
        <f t="shared" si="176"/>
        <v>0.15926000595220957</v>
      </c>
      <c r="BI182" s="2082">
        <f t="shared" si="176"/>
        <v>0.19758891355266267</v>
      </c>
      <c r="BJ182" s="2083"/>
      <c r="BK182" s="2080">
        <f t="shared" ref="BK182:BO182" si="177">+BK176</f>
        <v>0.22350117129884031</v>
      </c>
      <c r="BL182" s="2081">
        <f t="shared" si="177"/>
        <v>0.22123780830312009</v>
      </c>
      <c r="BM182" s="2081">
        <f t="shared" si="177"/>
        <v>0.1953961456102784</v>
      </c>
      <c r="BN182" s="2081">
        <f t="shared" si="177"/>
        <v>9.2310686005957543E-2</v>
      </c>
      <c r="BO182" s="2082">
        <f t="shared" si="177"/>
        <v>0.1855507023964113</v>
      </c>
      <c r="BP182" s="2083"/>
      <c r="BQ182" s="2080">
        <f t="shared" ref="BQ182:BU182" si="178">+BQ176</f>
        <v>0.1903501724871226</v>
      </c>
      <c r="BR182" s="2081">
        <f t="shared" si="178"/>
        <v>0.19070625555806262</v>
      </c>
      <c r="BS182" s="2081">
        <f t="shared" si="178"/>
        <v>0.15789473684210531</v>
      </c>
      <c r="BT182" s="2081">
        <f t="shared" si="178"/>
        <v>0.1521283241120828</v>
      </c>
      <c r="BU182" s="2082">
        <f t="shared" si="178"/>
        <v>0.17112433365620947</v>
      </c>
      <c r="BV182" s="2083"/>
      <c r="BW182" s="2080">
        <f t="shared" ref="BW182:CA182" si="179">+BW176</f>
        <v>0.14963971781038971</v>
      </c>
      <c r="BX182" s="2081">
        <f t="shared" si="179"/>
        <v>0.16087091115467964</v>
      </c>
      <c r="BY182" s="2081">
        <f t="shared" si="179"/>
        <v>0.1705239590177898</v>
      </c>
      <c r="BZ182" s="2081">
        <f t="shared" si="179"/>
        <v>0.15382805642775058</v>
      </c>
      <c r="CA182" s="2082">
        <f t="shared" si="179"/>
        <v>0.15901972916254711</v>
      </c>
      <c r="CB182" s="2083"/>
      <c r="CC182" s="2080">
        <f t="shared" ref="CC182:CG182" si="180">+CC176</f>
        <v>0.1767730007622321</v>
      </c>
      <c r="CD182" s="2081">
        <f t="shared" si="180"/>
        <v>0.17038863109048724</v>
      </c>
      <c r="CE182" s="2081">
        <f t="shared" si="180"/>
        <v>0.19391817609324466</v>
      </c>
      <c r="CF182" s="2081">
        <f t="shared" si="180"/>
        <v>0.16715732747866874</v>
      </c>
      <c r="CG182" s="2082">
        <f t="shared" si="180"/>
        <v>0.17655463404288574</v>
      </c>
      <c r="CH182" s="2083"/>
      <c r="CI182" s="2080">
        <f t="shared" ref="CI182:CM182" si="181">+CI176</f>
        <v>0.20499999999999999</v>
      </c>
      <c r="CJ182" s="2081">
        <f t="shared" si="181"/>
        <v>0.20499999999999999</v>
      </c>
      <c r="CK182" s="2081">
        <f t="shared" si="181"/>
        <v>0.20499999999999999</v>
      </c>
      <c r="CL182" s="2081">
        <f t="shared" si="181"/>
        <v>0.20499999999999999</v>
      </c>
      <c r="CM182" s="2082">
        <f t="shared" si="181"/>
        <v>0.20500000000000007</v>
      </c>
      <c r="CN182" s="2083"/>
      <c r="CO182" s="2080">
        <f t="shared" ref="CO182:CS182" si="182">+CO176</f>
        <v>0.20500000000000002</v>
      </c>
      <c r="CP182" s="2081">
        <f t="shared" si="182"/>
        <v>0.20499999999999999</v>
      </c>
      <c r="CQ182" s="2081">
        <f t="shared" si="182"/>
        <v>0.20500000000000002</v>
      </c>
      <c r="CR182" s="2081">
        <f t="shared" si="182"/>
        <v>0.20499999999999999</v>
      </c>
      <c r="CS182" s="2082">
        <f t="shared" si="182"/>
        <v>0.20500000000000007</v>
      </c>
      <c r="CT182" s="2083"/>
      <c r="CU182" s="2080">
        <f t="shared" ref="CU182:CY182" si="183">+CU176</f>
        <v>0.20499999999999999</v>
      </c>
      <c r="CV182" s="2081">
        <f t="shared" si="183"/>
        <v>0.20499999999999999</v>
      </c>
      <c r="CW182" s="2081">
        <f t="shared" si="183"/>
        <v>0.20499999999999999</v>
      </c>
      <c r="CX182" s="2081">
        <f t="shared" si="183"/>
        <v>0.20499999999999996</v>
      </c>
      <c r="CY182" s="2082">
        <f t="shared" si="183"/>
        <v>0.20499999999999996</v>
      </c>
      <c r="CZ182" s="20"/>
      <c r="DA182" s="20"/>
      <c r="DB182" s="20"/>
    </row>
    <row r="183" spans="1:106" ht="11.25" customHeight="1" x14ac:dyDescent="0.2">
      <c r="A183" s="2073" t="s">
        <v>685</v>
      </c>
      <c r="B183" s="39"/>
      <c r="C183" s="2084">
        <f t="shared" ref="C183:G183" si="184">C181*C182</f>
        <v>7.0675681867557971</v>
      </c>
      <c r="D183" s="2085">
        <f t="shared" si="184"/>
        <v>6.4541424779906773</v>
      </c>
      <c r="E183" s="2085">
        <f t="shared" si="184"/>
        <v>8.865098376232913</v>
      </c>
      <c r="F183" s="2085">
        <f t="shared" si="184"/>
        <v>6.6504365633654228</v>
      </c>
      <c r="G183" s="2086">
        <f t="shared" si="184"/>
        <v>29.789420435566026</v>
      </c>
      <c r="H183" s="2083"/>
      <c r="I183" s="2084">
        <f t="shared" ref="I183:M183" si="185">I181*I182</f>
        <v>7.6378917162218229</v>
      </c>
      <c r="J183" s="2085">
        <f t="shared" si="185"/>
        <v>9.0418855964332128</v>
      </c>
      <c r="K183" s="2085">
        <f t="shared" si="185"/>
        <v>8.8507884607399703</v>
      </c>
      <c r="L183" s="2085">
        <f t="shared" si="185"/>
        <v>9.8130246252534317</v>
      </c>
      <c r="M183" s="2086">
        <f t="shared" si="185"/>
        <v>35.346101950362439</v>
      </c>
      <c r="N183" s="2083"/>
      <c r="O183" s="2084">
        <f t="shared" ref="O183:S183" si="186">O181*O182</f>
        <v>9.2986872146118724</v>
      </c>
      <c r="P183" s="2085">
        <f t="shared" si="186"/>
        <v>10.34879251899474</v>
      </c>
      <c r="Q183" s="2085">
        <f t="shared" si="186"/>
        <v>9.7760928277923025</v>
      </c>
      <c r="R183" s="2085">
        <f t="shared" si="186"/>
        <v>10.506153144635714</v>
      </c>
      <c r="S183" s="2086">
        <f t="shared" si="186"/>
        <v>39.94076778503257</v>
      </c>
      <c r="T183" s="2083"/>
      <c r="U183" s="2084">
        <f t="shared" ref="U183:Y183" si="187">U181*U182</f>
        <v>10.415866961232334</v>
      </c>
      <c r="V183" s="2085">
        <f t="shared" si="187"/>
        <v>11.201976356309876</v>
      </c>
      <c r="W183" s="2085">
        <f t="shared" si="187"/>
        <v>9.2230461272879616</v>
      </c>
      <c r="X183" s="2085">
        <f t="shared" si="187"/>
        <v>16.32478337950138</v>
      </c>
      <c r="Y183" s="2086">
        <f t="shared" si="187"/>
        <v>47.403794410757669</v>
      </c>
      <c r="Z183" s="2083"/>
      <c r="AA183" s="2084">
        <f t="shared" ref="AA183:AE183" si="188">AA181*AA182</f>
        <v>18.001876077666992</v>
      </c>
      <c r="AB183" s="2085">
        <f t="shared" si="188"/>
        <v>15.297653389470575</v>
      </c>
      <c r="AC183" s="2085">
        <f t="shared" si="188"/>
        <v>18.346205482006336</v>
      </c>
      <c r="AD183" s="2085">
        <f t="shared" si="188"/>
        <v>20.013400999405508</v>
      </c>
      <c r="AE183" s="2086">
        <f t="shared" si="188"/>
        <v>71.74279694324099</v>
      </c>
      <c r="AF183" s="2083"/>
      <c r="AG183" s="2084">
        <f t="shared" ref="AG183:AK183" si="189">AG181*AG182</f>
        <v>16.335819209039546</v>
      </c>
      <c r="AH183" s="2085">
        <f t="shared" si="189"/>
        <v>20.161491840171692</v>
      </c>
      <c r="AI183" s="2085">
        <f t="shared" si="189"/>
        <v>23.6743928030806</v>
      </c>
      <c r="AJ183" s="2085">
        <f t="shared" si="189"/>
        <v>23.406099488039661</v>
      </c>
      <c r="AK183" s="2086">
        <f t="shared" si="189"/>
        <v>83.563570488867157</v>
      </c>
      <c r="AL183" s="2083"/>
      <c r="AM183" s="2084">
        <f t="shared" ref="AM183:AQ183" si="190">AM181*AM182</f>
        <v>21.928625680922782</v>
      </c>
      <c r="AN183" s="2085">
        <f t="shared" si="190"/>
        <v>18.140394962793362</v>
      </c>
      <c r="AO183" s="2085">
        <f t="shared" si="190"/>
        <v>17.152337811183965</v>
      </c>
      <c r="AP183" s="2085">
        <f t="shared" si="190"/>
        <v>16.358540406781412</v>
      </c>
      <c r="AQ183" s="2086">
        <f t="shared" si="190"/>
        <v>73.640916124710785</v>
      </c>
      <c r="AR183" s="2083"/>
      <c r="AS183" s="2084">
        <f t="shared" ref="AS183:AW183" si="191">AS181*AS182</f>
        <v>18.357565459110472</v>
      </c>
      <c r="AT183" s="2085">
        <f t="shared" si="191"/>
        <v>17.96970976616231</v>
      </c>
      <c r="AU183" s="2085">
        <f t="shared" si="191"/>
        <v>18.357092381442463</v>
      </c>
      <c r="AV183" s="2085">
        <f t="shared" si="191"/>
        <v>20.882383187050188</v>
      </c>
      <c r="AW183" s="2086">
        <f t="shared" si="191"/>
        <v>75.567175542599884</v>
      </c>
      <c r="AX183" s="2083"/>
      <c r="AY183" s="2084">
        <f t="shared" ref="AY183:BC183" si="192">AY181*AY182</f>
        <v>22.234298439153442</v>
      </c>
      <c r="AZ183" s="2085">
        <f t="shared" si="192"/>
        <v>20.680633253749161</v>
      </c>
      <c r="BA183" s="2085">
        <f t="shared" si="192"/>
        <v>18.262206198258859</v>
      </c>
      <c r="BB183" s="2085">
        <f t="shared" si="192"/>
        <v>14.466467451357186</v>
      </c>
      <c r="BC183" s="2086">
        <f t="shared" si="192"/>
        <v>75.956578736759511</v>
      </c>
      <c r="BD183" s="2083"/>
      <c r="BE183" s="2084">
        <f t="shared" ref="BE183:BI183" si="193">BE181*BE182</f>
        <v>18.818284112979303</v>
      </c>
      <c r="BF183" s="2085">
        <f t="shared" si="193"/>
        <v>18.79403271653306</v>
      </c>
      <c r="BG183" s="2085">
        <f t="shared" si="193"/>
        <v>15.898866688189786</v>
      </c>
      <c r="BH183" s="2085">
        <f t="shared" si="193"/>
        <v>16.92854233269011</v>
      </c>
      <c r="BI183" s="2086">
        <f t="shared" si="193"/>
        <v>70.306877575962631</v>
      </c>
      <c r="BJ183" s="2083"/>
      <c r="BK183" s="2084">
        <f t="shared" ref="BK183:BO183" si="194">BK181*BK182</f>
        <v>16.721910634236632</v>
      </c>
      <c r="BL183" s="2085">
        <f t="shared" si="194"/>
        <v>17.951014527906857</v>
      </c>
      <c r="BM183" s="2085">
        <f t="shared" si="194"/>
        <v>16.56412205567452</v>
      </c>
      <c r="BN183" s="2085">
        <f t="shared" si="194"/>
        <v>6.6057526905863169</v>
      </c>
      <c r="BO183" s="2086">
        <f t="shared" si="194"/>
        <v>57.945443300672885</v>
      </c>
      <c r="BP183" s="2083"/>
      <c r="BQ183" s="2084">
        <f t="shared" ref="BQ183:BU183" si="195">BQ181*BQ182</f>
        <v>12.823129719767499</v>
      </c>
      <c r="BR183" s="2085">
        <f t="shared" si="195"/>
        <v>15.037951075775478</v>
      </c>
      <c r="BS183" s="2085">
        <f t="shared" si="195"/>
        <v>12.356368421052631</v>
      </c>
      <c r="BT183" s="2085">
        <f t="shared" si="195"/>
        <v>14.123593610565768</v>
      </c>
      <c r="BU183" s="2086">
        <f t="shared" si="195"/>
        <v>54.300660182787418</v>
      </c>
      <c r="BV183" s="2083"/>
      <c r="BW183" s="2084">
        <f t="shared" ref="BW183:CA183" si="196">BW181*BW182</f>
        <v>8.1499775908250651</v>
      </c>
      <c r="BX183" s="2085">
        <f t="shared" si="196"/>
        <v>11.1295322464142</v>
      </c>
      <c r="BY183" s="2085">
        <f t="shared" si="196"/>
        <v>14.792612396875228</v>
      </c>
      <c r="BZ183" s="2085">
        <f t="shared" si="196"/>
        <v>17.335960475238206</v>
      </c>
      <c r="CA183" s="2086">
        <f t="shared" si="196"/>
        <v>51.378002334585666</v>
      </c>
      <c r="CB183" s="2083"/>
      <c r="CC183" s="2084">
        <f t="shared" ref="CC183:CG183" si="197">CC181*CC182</f>
        <v>11.283243865652519</v>
      </c>
      <c r="CD183" s="2085">
        <f t="shared" si="197"/>
        <v>14.986020881670534</v>
      </c>
      <c r="CE183" s="2085">
        <f t="shared" si="197"/>
        <v>18.978190139717579</v>
      </c>
      <c r="CF183" s="2085">
        <f t="shared" si="197"/>
        <v>20.347727159323391</v>
      </c>
      <c r="CG183" s="2086">
        <f t="shared" si="197"/>
        <v>65.568153772310737</v>
      </c>
      <c r="CH183" s="2083"/>
      <c r="CI183" s="2084">
        <f t="shared" ref="CI183:CM183" si="198">CI181*CI182</f>
        <v>14.743492564419867</v>
      </c>
      <c r="CJ183" s="2085">
        <f t="shared" si="198"/>
        <v>20.082546504354692</v>
      </c>
      <c r="CK183" s="2085">
        <f t="shared" si="198"/>
        <v>20.705005403461843</v>
      </c>
      <c r="CL183" s="2085">
        <f t="shared" si="198"/>
        <v>25.201706536567084</v>
      </c>
      <c r="CM183" s="2086">
        <f t="shared" si="198"/>
        <v>80.732751008803476</v>
      </c>
      <c r="CN183" s="2083"/>
      <c r="CO183" s="2084">
        <f t="shared" ref="CO183:CS183" si="199">CO181*CO182</f>
        <v>18.552912207080471</v>
      </c>
      <c r="CP183" s="2085">
        <f t="shared" si="199"/>
        <v>22.191926928555581</v>
      </c>
      <c r="CQ183" s="2085">
        <f t="shared" si="199"/>
        <v>23.572479639664536</v>
      </c>
      <c r="CR183" s="2085">
        <f t="shared" si="199"/>
        <v>28.424462121449295</v>
      </c>
      <c r="CS183" s="2086">
        <f t="shared" si="199"/>
        <v>92.741780896749901</v>
      </c>
      <c r="CT183" s="2083"/>
      <c r="CU183" s="2084">
        <f t="shared" ref="CU183:CY183" si="200">CU181*CU182</f>
        <v>21.862053639798205</v>
      </c>
      <c r="CV183" s="2085">
        <f t="shared" si="200"/>
        <v>25.871937725297613</v>
      </c>
      <c r="CW183" s="2085">
        <f t="shared" si="200"/>
        <v>27.321601842618822</v>
      </c>
      <c r="CX183" s="2085">
        <f t="shared" si="200"/>
        <v>32.80157710063051</v>
      </c>
      <c r="CY183" s="2086">
        <f t="shared" si="200"/>
        <v>107.85717030834516</v>
      </c>
      <c r="CZ183" s="20"/>
      <c r="DA183" s="20"/>
      <c r="DB183" s="20"/>
    </row>
    <row r="184" spans="1:106" ht="11.25" customHeight="1" x14ac:dyDescent="0.2">
      <c r="A184" s="2087" t="s">
        <v>686</v>
      </c>
      <c r="B184" s="39"/>
      <c r="C184" s="2088">
        <f t="shared" ref="C184:G184" si="201">C181-C183</f>
        <v>11.9644318132442</v>
      </c>
      <c r="D184" s="2089">
        <f t="shared" si="201"/>
        <v>18.240857522009328</v>
      </c>
      <c r="E184" s="2089">
        <f t="shared" si="201"/>
        <v>14.827901623767056</v>
      </c>
      <c r="F184" s="2089">
        <f t="shared" si="201"/>
        <v>15.912563436634636</v>
      </c>
      <c r="G184" s="2090">
        <f t="shared" si="201"/>
        <v>60.193579564433975</v>
      </c>
      <c r="H184" s="2091"/>
      <c r="I184" s="2088">
        <f t="shared" ref="I184:M184" si="202">I181-I183</f>
        <v>13.755108283778178</v>
      </c>
      <c r="J184" s="2089">
        <f t="shared" si="202"/>
        <v>15.579114403566797</v>
      </c>
      <c r="K184" s="2089">
        <f t="shared" si="202"/>
        <v>17.323211539260008</v>
      </c>
      <c r="L184" s="2089">
        <f t="shared" si="202"/>
        <v>19.726975374746573</v>
      </c>
      <c r="M184" s="2090">
        <f t="shared" si="202"/>
        <v>66.38189804963757</v>
      </c>
      <c r="N184" s="2091"/>
      <c r="O184" s="2088">
        <f t="shared" ref="O184:S184" si="203">O181-O183</f>
        <v>18.476312785388131</v>
      </c>
      <c r="P184" s="2089">
        <f t="shared" si="203"/>
        <v>18.774207481005263</v>
      </c>
      <c r="Q184" s="2089">
        <f t="shared" si="203"/>
        <v>20.814907172207704</v>
      </c>
      <c r="R184" s="2089">
        <f t="shared" si="203"/>
        <v>22.584846855364294</v>
      </c>
      <c r="S184" s="2090">
        <f t="shared" si="203"/>
        <v>80.639232214967421</v>
      </c>
      <c r="T184" s="2091"/>
      <c r="U184" s="2088">
        <f t="shared" ref="U184:Y184" si="204">U181-U183</f>
        <v>22.406133038767642</v>
      </c>
      <c r="V184" s="2089">
        <f t="shared" si="204"/>
        <v>24.799023643690113</v>
      </c>
      <c r="W184" s="2089">
        <f t="shared" si="204"/>
        <v>34.411953872712033</v>
      </c>
      <c r="X184" s="2089">
        <f t="shared" si="204"/>
        <v>35.461216620498675</v>
      </c>
      <c r="Y184" s="2090">
        <f t="shared" si="204"/>
        <v>116.84020558924236</v>
      </c>
      <c r="Z184" s="2091"/>
      <c r="AA184" s="2088">
        <f t="shared" ref="AA184:AE184" si="205">AA181-AA183</f>
        <v>40.698123922332968</v>
      </c>
      <c r="AB184" s="2089">
        <f t="shared" si="205"/>
        <v>45.294346610529438</v>
      </c>
      <c r="AC184" s="2089">
        <f t="shared" si="205"/>
        <v>48.478794517993649</v>
      </c>
      <c r="AD184" s="2089">
        <f t="shared" si="205"/>
        <v>46.484599000594514</v>
      </c>
      <c r="AE184" s="2090">
        <f t="shared" si="205"/>
        <v>180.87220305675891</v>
      </c>
      <c r="AF184" s="2091"/>
      <c r="AG184" s="2088">
        <f t="shared" ref="AG184:AK184" si="206">AG181-AG183</f>
        <v>42.884180790960485</v>
      </c>
      <c r="AH184" s="2089">
        <f t="shared" si="206"/>
        <v>51.649508159828287</v>
      </c>
      <c r="AI184" s="2089">
        <f t="shared" si="206"/>
        <v>58.099607196919401</v>
      </c>
      <c r="AJ184" s="2089">
        <f t="shared" si="206"/>
        <v>59.914900511960425</v>
      </c>
      <c r="AK184" s="2090">
        <f t="shared" si="206"/>
        <v>212.56242951113293</v>
      </c>
      <c r="AL184" s="2091"/>
      <c r="AM184" s="2088">
        <f t="shared" ref="AM184:AQ184" si="207">AM181-AM183</f>
        <v>51.710374319077175</v>
      </c>
      <c r="AN184" s="2089">
        <f t="shared" si="207"/>
        <v>55.049605037206632</v>
      </c>
      <c r="AO184" s="2089">
        <f t="shared" si="207"/>
        <v>61.962662188816012</v>
      </c>
      <c r="AP184" s="2089">
        <f t="shared" si="207"/>
        <v>65.92645959321861</v>
      </c>
      <c r="AQ184" s="2090">
        <f t="shared" si="207"/>
        <v>234.58808387528927</v>
      </c>
      <c r="AR184" s="2091"/>
      <c r="AS184" s="2088">
        <f t="shared" ref="AS184:AW184" si="208">AS181-AS183</f>
        <v>52.21243454088949</v>
      </c>
      <c r="AT184" s="2089">
        <f t="shared" si="208"/>
        <v>60.661290233837718</v>
      </c>
      <c r="AU184" s="2089">
        <f t="shared" si="208"/>
        <v>56.380907618557536</v>
      </c>
      <c r="AV184" s="2089">
        <f t="shared" si="208"/>
        <v>74.812616812949926</v>
      </c>
      <c r="AW184" s="2090">
        <f t="shared" si="208"/>
        <v>244.06682445740012</v>
      </c>
      <c r="AX184" s="2091"/>
      <c r="AY184" s="2088">
        <f t="shared" ref="AY184:BC184" si="209">AY181-AY183</f>
        <v>58.011701560846568</v>
      </c>
      <c r="AZ184" s="2089">
        <f t="shared" si="209"/>
        <v>65.736366746250866</v>
      </c>
      <c r="BA184" s="2089">
        <f t="shared" si="209"/>
        <v>65.477793801741115</v>
      </c>
      <c r="BB184" s="2089">
        <f t="shared" si="209"/>
        <v>91.561532548642774</v>
      </c>
      <c r="BC184" s="2090">
        <f t="shared" si="209"/>
        <v>280.47442126324029</v>
      </c>
      <c r="BD184" s="2091"/>
      <c r="BE184" s="2088">
        <f t="shared" ref="BE184:BI184" si="210">BE181-BE183</f>
        <v>59.555715887020725</v>
      </c>
      <c r="BF184" s="2089">
        <f t="shared" si="210"/>
        <v>64.653967283466898</v>
      </c>
      <c r="BG184" s="2089">
        <f t="shared" si="210"/>
        <v>71.808133311810153</v>
      </c>
      <c r="BH184" s="2089">
        <f t="shared" si="210"/>
        <v>89.366457667309845</v>
      </c>
      <c r="BI184" s="2090">
        <f t="shared" si="210"/>
        <v>285.51712242403732</v>
      </c>
      <c r="BJ184" s="2091"/>
      <c r="BK184" s="2088">
        <f t="shared" ref="BK184:BO184" si="211">BK181-BK183</f>
        <v>58.096089365763348</v>
      </c>
      <c r="BL184" s="2089">
        <f t="shared" si="211"/>
        <v>63.187985472093125</v>
      </c>
      <c r="BM184" s="2089">
        <f t="shared" si="211"/>
        <v>68.207877944325475</v>
      </c>
      <c r="BN184" s="2089">
        <f t="shared" si="211"/>
        <v>64.954247309413631</v>
      </c>
      <c r="BO184" s="2090">
        <f t="shared" si="211"/>
        <v>254.34355669932711</v>
      </c>
      <c r="BP184" s="2091"/>
      <c r="BQ184" s="2088">
        <f t="shared" ref="BQ184:BU184" si="212">BQ181-BQ183</f>
        <v>54.542870280232485</v>
      </c>
      <c r="BR184" s="2089">
        <f t="shared" si="212"/>
        <v>63.81604892422456</v>
      </c>
      <c r="BS184" s="2089">
        <f t="shared" si="212"/>
        <v>65.90063157894734</v>
      </c>
      <c r="BT184" s="2089">
        <f t="shared" si="212"/>
        <v>78.716406389434241</v>
      </c>
      <c r="BU184" s="2090">
        <f t="shared" si="212"/>
        <v>263.01633981721261</v>
      </c>
      <c r="BV184" s="2091"/>
      <c r="BW184" s="2088">
        <f t="shared" ref="BW184:CA184" si="213">BW181-BW183</f>
        <v>46.314022409174932</v>
      </c>
      <c r="BX184" s="2089">
        <f t="shared" si="213"/>
        <v>58.053467753585792</v>
      </c>
      <c r="BY184" s="2089">
        <f t="shared" si="213"/>
        <v>71.955387603124763</v>
      </c>
      <c r="BZ184" s="2089">
        <f t="shared" si="213"/>
        <v>95.361039524761793</v>
      </c>
      <c r="CA184" s="2090">
        <f t="shared" si="213"/>
        <v>271.7139976654143</v>
      </c>
      <c r="CB184" s="2091"/>
      <c r="CC184" s="2088">
        <f t="shared" ref="CC184:CG184" si="214">CC181-CC183</f>
        <v>52.545756134347513</v>
      </c>
      <c r="CD184" s="2089">
        <f t="shared" si="214"/>
        <v>72.965979118329471</v>
      </c>
      <c r="CE184" s="2089">
        <f t="shared" si="214"/>
        <v>78.888809860282436</v>
      </c>
      <c r="CF184" s="2089">
        <f t="shared" si="214"/>
        <v>101.38027284067661</v>
      </c>
      <c r="CG184" s="2090">
        <f t="shared" si="214"/>
        <v>305.80784622768925</v>
      </c>
      <c r="CH184" s="2091"/>
      <c r="CI184" s="2088">
        <f t="shared" ref="CI184:CM184" si="215">CI181-CI183</f>
        <v>57.17598335957949</v>
      </c>
      <c r="CJ184" s="2089">
        <f t="shared" si="215"/>
        <v>77.88109498030235</v>
      </c>
      <c r="CK184" s="2089">
        <f t="shared" si="215"/>
        <v>80.295020954888614</v>
      </c>
      <c r="CL184" s="2089">
        <f t="shared" si="215"/>
        <v>97.733447300345517</v>
      </c>
      <c r="CM184" s="2090">
        <f t="shared" si="215"/>
        <v>313.08554659511583</v>
      </c>
      <c r="CN184" s="2091"/>
      <c r="CO184" s="2088">
        <f t="shared" ref="CO184:CS184" si="216">CO181-CO183</f>
        <v>71.949098559165733</v>
      </c>
      <c r="CP184" s="2089">
        <f t="shared" si="216"/>
        <v>86.061375161959461</v>
      </c>
      <c r="CQ184" s="2089">
        <f t="shared" si="216"/>
        <v>91.415225919674654</v>
      </c>
      <c r="CR184" s="2089">
        <f t="shared" si="216"/>
        <v>110.23145066610826</v>
      </c>
      <c r="CS184" s="2090">
        <f t="shared" si="216"/>
        <v>359.65715030690797</v>
      </c>
      <c r="CT184" s="2091"/>
      <c r="CU184" s="2088">
        <f t="shared" ref="CU184:CY184" si="217">CU181-CU183</f>
        <v>84.782110456778412</v>
      </c>
      <c r="CV184" s="2089">
        <f t="shared" si="217"/>
        <v>100.33263654444684</v>
      </c>
      <c r="CW184" s="2089">
        <f t="shared" si="217"/>
        <v>105.9545047067413</v>
      </c>
      <c r="CX184" s="2089">
        <f t="shared" si="217"/>
        <v>127.2061160731769</v>
      </c>
      <c r="CY184" s="2090">
        <f t="shared" si="217"/>
        <v>418.27536778114347</v>
      </c>
      <c r="CZ184" s="20"/>
      <c r="DA184" s="20"/>
      <c r="DB184" s="20"/>
    </row>
    <row r="185" spans="1:106" ht="11.25" customHeight="1" x14ac:dyDescent="0.2">
      <c r="A185" s="2087" t="s">
        <v>144</v>
      </c>
      <c r="B185" s="39"/>
      <c r="C185" s="2092">
        <f t="shared" ref="C185:G185" si="218">C184/C180</f>
        <v>0.12455424653068148</v>
      </c>
      <c r="D185" s="2093">
        <f t="shared" si="218"/>
        <v>0.18492915966634557</v>
      </c>
      <c r="E185" s="2093">
        <f t="shared" si="218"/>
        <v>0.16402001729773416</v>
      </c>
      <c r="F185" s="2093">
        <f t="shared" si="218"/>
        <v>0.16656963118395732</v>
      </c>
      <c r="G185" s="2094">
        <f t="shared" si="218"/>
        <v>0.15814238947750689</v>
      </c>
      <c r="H185" s="2095"/>
      <c r="I185" s="2092">
        <f t="shared" ref="I185:M185" si="219">I184/I180</f>
        <v>0.14475252074483744</v>
      </c>
      <c r="J185" s="2093">
        <f t="shared" si="219"/>
        <v>0.15524158881127603</v>
      </c>
      <c r="K185" s="2093">
        <f t="shared" si="219"/>
        <v>0.17556537928327484</v>
      </c>
      <c r="L185" s="2093">
        <f t="shared" si="219"/>
        <v>0.18905530092238804</v>
      </c>
      <c r="M185" s="2094">
        <f t="shared" si="219"/>
        <v>0.16662332120041057</v>
      </c>
      <c r="N185" s="2095"/>
      <c r="O185" s="2092">
        <f t="shared" ref="O185:S185" si="220">O184/O180</f>
        <v>0.16995182620050711</v>
      </c>
      <c r="P185" s="2093">
        <f t="shared" si="220"/>
        <v>0.16580155503259</v>
      </c>
      <c r="Q185" s="2093">
        <f t="shared" si="220"/>
        <v>0.17648875412041565</v>
      </c>
      <c r="R185" s="2093">
        <f t="shared" si="220"/>
        <v>0.179400011560511</v>
      </c>
      <c r="S185" s="2094">
        <f t="shared" si="220"/>
        <v>0.17312803999967241</v>
      </c>
      <c r="T185" s="2095"/>
      <c r="U185" s="2092">
        <f t="shared" ref="U185:Y185" si="221">U184/U180</f>
        <v>0.1752135459205002</v>
      </c>
      <c r="V185" s="2093">
        <f t="shared" si="221"/>
        <v>0.18364341889150626</v>
      </c>
      <c r="W185" s="2093">
        <f t="shared" si="221"/>
        <v>0.19482287395665582</v>
      </c>
      <c r="X185" s="2093">
        <f t="shared" si="221"/>
        <v>0.16868300774649264</v>
      </c>
      <c r="Y185" s="2094">
        <f t="shared" si="221"/>
        <v>0.17981668332257425</v>
      </c>
      <c r="Z185" s="2095"/>
      <c r="AA185" s="2092">
        <f t="shared" ref="AA185:AE185" si="222">AA184/AA180</f>
        <v>0.19650866668436923</v>
      </c>
      <c r="AB185" s="2093">
        <f t="shared" si="222"/>
        <v>0.20787903239521882</v>
      </c>
      <c r="AC185" s="2093">
        <f t="shared" si="222"/>
        <v>0.21004677000863797</v>
      </c>
      <c r="AD185" s="2093">
        <f t="shared" si="222"/>
        <v>0.19598787002582208</v>
      </c>
      <c r="AE185" s="2094">
        <f t="shared" si="222"/>
        <v>0.20255013080630355</v>
      </c>
      <c r="AF185" s="2095"/>
      <c r="AG185" s="2092">
        <f t="shared" ref="AG185:AK185" si="223">AG184/AG180</f>
        <v>0.19410491321332932</v>
      </c>
      <c r="AH185" s="2093">
        <f t="shared" si="223"/>
        <v>0.21506649078027737</v>
      </c>
      <c r="AI185" s="2093">
        <f t="shared" si="223"/>
        <v>0.22375348898716935</v>
      </c>
      <c r="AJ185" s="2093">
        <f t="shared" si="223"/>
        <v>0.207262772589865</v>
      </c>
      <c r="AK185" s="2094">
        <f t="shared" si="223"/>
        <v>0.21049432278972388</v>
      </c>
      <c r="AL185" s="2095"/>
      <c r="AM185" s="2092">
        <f t="shared" ref="AM185:AQ185" si="224">AM184/AM180</f>
        <v>0.19560293504061513</v>
      </c>
      <c r="AN185" s="2093">
        <f t="shared" si="224"/>
        <v>0.2095387641395208</v>
      </c>
      <c r="AO185" s="2093">
        <f t="shared" si="224"/>
        <v>0.22587977481824317</v>
      </c>
      <c r="AP185" s="2093">
        <f t="shared" si="224"/>
        <v>0.23048630780198928</v>
      </c>
      <c r="AQ185" s="2094">
        <f t="shared" si="224"/>
        <v>0.21572686807281496</v>
      </c>
      <c r="AR185" s="2095"/>
      <c r="AS185" s="2092">
        <f t="shared" ref="AS185:AW185" si="225">AS184/AS180</f>
        <v>0.19757604881800273</v>
      </c>
      <c r="AT185" s="2093">
        <f t="shared" si="225"/>
        <v>0.21497602651469722</v>
      </c>
      <c r="AU185" s="2093">
        <f t="shared" si="225"/>
        <v>0.19516730747029973</v>
      </c>
      <c r="AV185" s="2093">
        <f t="shared" si="225"/>
        <v>0.223708560531517</v>
      </c>
      <c r="AW185" s="2094">
        <f t="shared" si="225"/>
        <v>0.20864924163720883</v>
      </c>
      <c r="AX185" s="2095"/>
      <c r="AY185" s="2092">
        <f t="shared" ref="AY185:BC185" si="226">AY184/AY180</f>
        <v>0.19570646430037772</v>
      </c>
      <c r="AZ185" s="2093">
        <f t="shared" si="226"/>
        <v>0.21397651383974917</v>
      </c>
      <c r="BA185" s="2093">
        <f t="shared" si="226"/>
        <v>0.21518291427472278</v>
      </c>
      <c r="BB185" s="2093">
        <f t="shared" si="226"/>
        <v>0.26422244568652475</v>
      </c>
      <c r="BC185" s="2094">
        <f t="shared" si="226"/>
        <v>0.22358251007866384</v>
      </c>
      <c r="BD185" s="2095"/>
      <c r="BE185" s="2092">
        <f t="shared" ref="BE185:BI185" si="227">BE184/BE180</f>
        <v>0.19618058043791578</v>
      </c>
      <c r="BF185" s="2093">
        <f t="shared" si="227"/>
        <v>0.20433475115819533</v>
      </c>
      <c r="BG185" s="2093">
        <f t="shared" si="227"/>
        <v>0.2217594007362633</v>
      </c>
      <c r="BH185" s="2093">
        <f t="shared" si="227"/>
        <v>0.2464703660308889</v>
      </c>
      <c r="BI185" s="2094">
        <f t="shared" si="227"/>
        <v>0.2185552811608511</v>
      </c>
      <c r="BJ185" s="2095"/>
      <c r="BK185" s="2092">
        <f t="shared" ref="BK185:BO185" si="228">BK184/BK180</f>
        <v>0.18305303023812156</v>
      </c>
      <c r="BL185" s="2093">
        <f t="shared" si="228"/>
        <v>0.19076366913144707</v>
      </c>
      <c r="BM185" s="2093">
        <f t="shared" si="228"/>
        <v>0.20254331148075755</v>
      </c>
      <c r="BN185" s="2093">
        <f t="shared" si="228"/>
        <v>0.18002341207121098</v>
      </c>
      <c r="BO185" s="2094">
        <f t="shared" si="228"/>
        <v>0.18893767810572246</v>
      </c>
      <c r="BP185" s="2095"/>
      <c r="BQ185" s="2092">
        <f t="shared" ref="BQ185:BU185" si="229">BQ184/BQ180</f>
        <v>0.1825831113826662</v>
      </c>
      <c r="BR185" s="2093">
        <f t="shared" si="229"/>
        <v>0.19976475296824775</v>
      </c>
      <c r="BS185" s="2093">
        <f t="shared" si="229"/>
        <v>0.20950032451240727</v>
      </c>
      <c r="BT185" s="2093">
        <f t="shared" si="229"/>
        <v>0.22587204128962479</v>
      </c>
      <c r="BU185" s="2094">
        <f t="shared" si="229"/>
        <v>0.20528168659040702</v>
      </c>
      <c r="BV185" s="2095"/>
      <c r="BW185" s="2092">
        <f t="shared" ref="BW185:CA185" si="230">BW184/BW180</f>
        <v>0.15521877346989879</v>
      </c>
      <c r="BX185" s="2093">
        <f t="shared" si="230"/>
        <v>0.17359863806796944</v>
      </c>
      <c r="BY185" s="2093">
        <f t="shared" si="230"/>
        <v>0.21245519465912208</v>
      </c>
      <c r="BZ185" s="2093">
        <f t="shared" si="230"/>
        <v>0.26018318356618908</v>
      </c>
      <c r="CA185" s="2094">
        <f t="shared" si="230"/>
        <v>0.20307610265346651</v>
      </c>
      <c r="CB185" s="2095"/>
      <c r="CC185" s="2092">
        <f t="shared" ref="CC185:CG185" si="231">CC184/CC180</f>
        <v>0.17043377726786862</v>
      </c>
      <c r="CD185" s="2093">
        <f t="shared" si="231"/>
        <v>0.20870917294991925</v>
      </c>
      <c r="CE185" s="2093">
        <f t="shared" si="231"/>
        <v>0.21648959895796499</v>
      </c>
      <c r="CF185" s="2093">
        <f t="shared" si="231"/>
        <v>0.25529326121450724</v>
      </c>
      <c r="CG185" s="2094">
        <f t="shared" si="231"/>
        <v>0.21544487819200681</v>
      </c>
      <c r="CH185" s="2095"/>
      <c r="CI185" s="2092">
        <f t="shared" ref="CI185:CM185" si="232">CI184/CI180</f>
        <v>0.16708500844160415</v>
      </c>
      <c r="CJ185" s="2093">
        <f t="shared" si="232"/>
        <v>0.19969114531961341</v>
      </c>
      <c r="CK185" s="2093">
        <f t="shared" si="232"/>
        <v>0.19925369620569111</v>
      </c>
      <c r="CL185" s="2093">
        <f t="shared" si="232"/>
        <v>0.22752004742350163</v>
      </c>
      <c r="CM185" s="2094">
        <f t="shared" si="232"/>
        <v>0.200087485994935</v>
      </c>
      <c r="CN185" s="2095"/>
      <c r="CO185" s="2092">
        <f t="shared" ref="CO185:CS185" si="233">CO184/CO180</f>
        <v>0.18937506379424049</v>
      </c>
      <c r="CP185" s="2093">
        <f t="shared" si="233"/>
        <v>0.20516618843716963</v>
      </c>
      <c r="CQ185" s="2093">
        <f t="shared" si="233"/>
        <v>0.21406327913151846</v>
      </c>
      <c r="CR185" s="2093">
        <f t="shared" si="233"/>
        <v>0.23573804525561323</v>
      </c>
      <c r="CS185" s="2094">
        <f t="shared" si="233"/>
        <v>0.21230613130237244</v>
      </c>
      <c r="CT185" s="2095"/>
      <c r="CU185" s="2092">
        <f t="shared" ref="CU185:CY185" si="234">CU184/CU180</f>
        <v>0.20155372720737602</v>
      </c>
      <c r="CV185" s="2093">
        <f t="shared" si="234"/>
        <v>0.21730890679058398</v>
      </c>
      <c r="CW185" s="2093">
        <f t="shared" si="234"/>
        <v>0.22591277914552552</v>
      </c>
      <c r="CX185" s="2093">
        <f t="shared" si="234"/>
        <v>0.24792013576189784</v>
      </c>
      <c r="CY185" s="2094">
        <f t="shared" si="234"/>
        <v>0.22434283025191926</v>
      </c>
      <c r="CZ185" s="20"/>
      <c r="DA185" s="20"/>
      <c r="DB185" s="20"/>
    </row>
    <row r="186" spans="1:106" ht="11.25" customHeight="1" x14ac:dyDescent="0.2">
      <c r="A186" s="2087"/>
      <c r="B186" s="39"/>
      <c r="C186" s="2092"/>
      <c r="D186" s="2093"/>
      <c r="E186" s="2093"/>
      <c r="F186" s="2093"/>
      <c r="G186" s="2094"/>
      <c r="H186" s="2095"/>
      <c r="I186" s="2092"/>
      <c r="J186" s="2093"/>
      <c r="K186" s="2093"/>
      <c r="L186" s="2093"/>
      <c r="M186" s="2094"/>
      <c r="N186" s="2095"/>
      <c r="O186" s="2092"/>
      <c r="P186" s="2093"/>
      <c r="Q186" s="2093"/>
      <c r="R186" s="2093"/>
      <c r="S186" s="2094"/>
      <c r="T186" s="2095"/>
      <c r="U186" s="2092"/>
      <c r="V186" s="2093"/>
      <c r="W186" s="2093"/>
      <c r="X186" s="2093"/>
      <c r="Y186" s="2094"/>
      <c r="Z186" s="2095"/>
      <c r="AA186" s="2092"/>
      <c r="AB186" s="2093"/>
      <c r="AC186" s="2093"/>
      <c r="AD186" s="2093"/>
      <c r="AE186" s="2094"/>
      <c r="AF186" s="2095"/>
      <c r="AG186" s="2092"/>
      <c r="AH186" s="2093"/>
      <c r="AI186" s="2093"/>
      <c r="AJ186" s="2093"/>
      <c r="AK186" s="2094"/>
      <c r="AL186" s="2095"/>
      <c r="AM186" s="2092"/>
      <c r="AN186" s="2093"/>
      <c r="AO186" s="2093"/>
      <c r="AP186" s="2093"/>
      <c r="AQ186" s="2094"/>
      <c r="AR186" s="2095"/>
      <c r="AS186" s="2092"/>
      <c r="AT186" s="2093"/>
      <c r="AU186" s="2093"/>
      <c r="AV186" s="2093"/>
      <c r="AW186" s="2094"/>
      <c r="AX186" s="2095"/>
      <c r="AY186" s="2092"/>
      <c r="AZ186" s="2093"/>
      <c r="BA186" s="2093"/>
      <c r="BB186" s="2093"/>
      <c r="BC186" s="2094"/>
      <c r="BD186" s="2095"/>
      <c r="BE186" s="2092"/>
      <c r="BF186" s="2093"/>
      <c r="BG186" s="2093"/>
      <c r="BH186" s="2093"/>
      <c r="BI186" s="2094"/>
      <c r="BJ186" s="2095"/>
      <c r="BK186" s="2092"/>
      <c r="BL186" s="2093"/>
      <c r="BM186" s="2093"/>
      <c r="BN186" s="2093"/>
      <c r="BO186" s="2094"/>
      <c r="BP186" s="2095"/>
      <c r="BQ186" s="2092"/>
      <c r="BR186" s="2093"/>
      <c r="BS186" s="2093"/>
      <c r="BT186" s="2093"/>
      <c r="BU186" s="2094"/>
      <c r="BV186" s="2095"/>
      <c r="BW186" s="2092"/>
      <c r="BX186" s="2093"/>
      <c r="BY186" s="2093"/>
      <c r="BZ186" s="2093"/>
      <c r="CA186" s="2094"/>
      <c r="CB186" s="2095"/>
      <c r="CC186" s="2092"/>
      <c r="CD186" s="2093"/>
      <c r="CE186" s="2093"/>
      <c r="CF186" s="2093"/>
      <c r="CG186" s="2094"/>
      <c r="CH186" s="2095"/>
      <c r="CI186" s="2092"/>
      <c r="CJ186" s="2093"/>
      <c r="CK186" s="2093"/>
      <c r="CL186" s="2093"/>
      <c r="CM186" s="2094"/>
      <c r="CN186" s="2095"/>
      <c r="CO186" s="2092"/>
      <c r="CP186" s="2093"/>
      <c r="CQ186" s="2093"/>
      <c r="CR186" s="2093"/>
      <c r="CS186" s="2094"/>
      <c r="CT186" s="2095"/>
      <c r="CU186" s="2092"/>
      <c r="CV186" s="2093"/>
      <c r="CW186" s="2093"/>
      <c r="CX186" s="2093"/>
      <c r="CY186" s="2094"/>
      <c r="CZ186" s="20"/>
      <c r="DA186" s="20"/>
      <c r="DB186" s="20"/>
    </row>
    <row r="187" spans="1:106" ht="11.25" customHeight="1" x14ac:dyDescent="0.2">
      <c r="A187" s="2087" t="s">
        <v>687</v>
      </c>
      <c r="B187" s="39"/>
      <c r="C187" s="2096"/>
      <c r="D187" s="2097"/>
      <c r="E187" s="2097"/>
      <c r="F187" s="2097"/>
      <c r="G187" s="2098"/>
      <c r="H187" s="2099"/>
      <c r="I187" s="2096"/>
      <c r="J187" s="2097"/>
      <c r="K187" s="2097"/>
      <c r="L187" s="2097"/>
      <c r="M187" s="2098"/>
      <c r="N187" s="2099"/>
      <c r="O187" s="2096"/>
      <c r="P187" s="2097"/>
      <c r="Q187" s="2097"/>
      <c r="R187" s="2097"/>
      <c r="S187" s="2098"/>
      <c r="T187" s="2099"/>
      <c r="U187" s="2096"/>
      <c r="V187" s="2097"/>
      <c r="W187" s="2097"/>
      <c r="X187" s="2097"/>
      <c r="Y187" s="2098"/>
      <c r="Z187" s="2099"/>
      <c r="AA187" s="2096"/>
      <c r="AB187" s="2097"/>
      <c r="AC187" s="2097"/>
      <c r="AD187" s="2097"/>
      <c r="AE187" s="2098"/>
      <c r="AF187" s="2099"/>
      <c r="AG187" s="2096"/>
      <c r="AH187" s="2097"/>
      <c r="AI187" s="2097"/>
      <c r="AJ187" s="2097"/>
      <c r="AK187" s="2098"/>
      <c r="AL187" s="2099"/>
      <c r="AM187" s="2096"/>
      <c r="AN187" s="2097"/>
      <c r="AO187" s="2097"/>
      <c r="AP187" s="2097"/>
      <c r="AQ187" s="2098"/>
      <c r="AR187" s="2099"/>
      <c r="AS187" s="2096"/>
      <c r="AT187" s="2097"/>
      <c r="AU187" s="2097"/>
      <c r="AV187" s="2097"/>
      <c r="AW187" s="2098"/>
      <c r="AX187" s="2099"/>
      <c r="AY187" s="2100"/>
      <c r="AZ187" s="2101"/>
      <c r="BA187" s="2101"/>
      <c r="BB187" s="2101"/>
      <c r="BC187" s="2098"/>
      <c r="BD187" s="2099"/>
      <c r="BE187" s="2096"/>
      <c r="BF187" s="2097"/>
      <c r="BG187" s="2097"/>
      <c r="BH187" s="2097"/>
      <c r="BI187" s="2098"/>
      <c r="BJ187" s="2099"/>
      <c r="BK187" s="2096"/>
      <c r="BL187" s="2097"/>
      <c r="BM187" s="2097"/>
      <c r="BN187" s="2097"/>
      <c r="BO187" s="2098"/>
      <c r="BP187" s="2099"/>
      <c r="BQ187" s="2096"/>
      <c r="BR187" s="2097"/>
      <c r="BS187" s="2097"/>
      <c r="BT187" s="2097"/>
      <c r="BU187" s="2098"/>
      <c r="BV187" s="2099"/>
      <c r="BW187" s="2096"/>
      <c r="BX187" s="2097"/>
      <c r="BY187" s="2097"/>
      <c r="BZ187" s="2097"/>
      <c r="CA187" s="2098"/>
      <c r="CB187" s="2099"/>
      <c r="CC187" s="2096"/>
      <c r="CD187" s="2097"/>
      <c r="CE187" s="2097"/>
      <c r="CF187" s="2097"/>
      <c r="CG187" s="2098"/>
      <c r="CH187" s="2099"/>
      <c r="CI187" s="2096"/>
      <c r="CJ187" s="2097"/>
      <c r="CK187" s="2097"/>
      <c r="CL187" s="2097"/>
      <c r="CM187" s="2098"/>
      <c r="CN187" s="2099"/>
      <c r="CO187" s="2096"/>
      <c r="CP187" s="2097"/>
      <c r="CQ187" s="2097"/>
      <c r="CR187" s="2097"/>
      <c r="CS187" s="2098"/>
      <c r="CT187" s="2099"/>
      <c r="CU187" s="2096"/>
      <c r="CV187" s="2097"/>
      <c r="CW187" s="2097"/>
      <c r="CX187" s="2097"/>
      <c r="CY187" s="2098"/>
      <c r="CZ187" s="20"/>
      <c r="DA187" s="20"/>
      <c r="DB187" s="20"/>
    </row>
    <row r="188" spans="1:106" ht="11.25" customHeight="1" x14ac:dyDescent="0.2">
      <c r="A188" s="2073" t="s">
        <v>325</v>
      </c>
      <c r="B188" s="39"/>
      <c r="C188" s="2102"/>
      <c r="D188" s="2103"/>
      <c r="E188" s="2103"/>
      <c r="F188" s="2103"/>
      <c r="G188" s="2104"/>
      <c r="H188" s="2099"/>
      <c r="I188" s="2102">
        <f>+I33+I31+I38</f>
        <v>201.876</v>
      </c>
      <c r="J188" s="2103">
        <f t="shared" ref="J188:M188" si="235">+J33+J31+J38</f>
        <v>198.44399999999999</v>
      </c>
      <c r="K188" s="2103">
        <f t="shared" si="235"/>
        <v>198.232</v>
      </c>
      <c r="L188" s="2103">
        <f t="shared" si="235"/>
        <v>197.36799999999999</v>
      </c>
      <c r="M188" s="2104">
        <f t="shared" si="235"/>
        <v>197.36799999999999</v>
      </c>
      <c r="N188" s="2099"/>
      <c r="O188" s="2102">
        <f t="shared" ref="O188:S188" si="236">+O33+O31+O38</f>
        <v>198.55499999999998</v>
      </c>
      <c r="P188" s="2103">
        <f t="shared" si="236"/>
        <v>494.85300000000001</v>
      </c>
      <c r="Q188" s="2103">
        <f t="shared" si="236"/>
        <v>494.52699999999999</v>
      </c>
      <c r="R188" s="2103">
        <f t="shared" si="236"/>
        <v>496.19099999999997</v>
      </c>
      <c r="S188" s="2104">
        <f t="shared" si="236"/>
        <v>496.19099999999997</v>
      </c>
      <c r="T188" s="2099"/>
      <c r="U188" s="2102">
        <f t="shared" ref="U188:Y188" si="237">+U33+U31+U38</f>
        <v>496.80900000000003</v>
      </c>
      <c r="V188" s="2103">
        <f t="shared" si="237"/>
        <v>490.55799999999999</v>
      </c>
      <c r="W188" s="2103">
        <f t="shared" si="237"/>
        <v>949.99900000000002</v>
      </c>
      <c r="X188" s="2103">
        <f t="shared" si="237"/>
        <v>950</v>
      </c>
      <c r="Y188" s="2104">
        <f t="shared" si="237"/>
        <v>950</v>
      </c>
      <c r="Z188" s="2099"/>
      <c r="AA188" s="2102">
        <f t="shared" ref="AA188:AE188" si="238">+AA33+AA31+AA38</f>
        <v>950</v>
      </c>
      <c r="AB188" s="2103">
        <f t="shared" si="238"/>
        <v>950</v>
      </c>
      <c r="AC188" s="2103">
        <f t="shared" si="238"/>
        <v>950</v>
      </c>
      <c r="AD188" s="2103">
        <f t="shared" si="238"/>
        <v>945</v>
      </c>
      <c r="AE188" s="2104">
        <f t="shared" si="238"/>
        <v>945</v>
      </c>
      <c r="AF188" s="2099"/>
      <c r="AG188" s="2102">
        <f t="shared" ref="AG188:AK188" si="239">+AG33+AG31+AG38</f>
        <v>945</v>
      </c>
      <c r="AH188" s="2103">
        <f t="shared" si="239"/>
        <v>945</v>
      </c>
      <c r="AI188" s="2103">
        <f t="shared" si="239"/>
        <v>920</v>
      </c>
      <c r="AJ188" s="2103">
        <f t="shared" si="239"/>
        <v>920</v>
      </c>
      <c r="AK188" s="2104">
        <f t="shared" si="239"/>
        <v>920</v>
      </c>
      <c r="AL188" s="2099"/>
      <c r="AM188" s="2102">
        <f t="shared" ref="AM188:AQ188" si="240">+AM33+AM31+AM38</f>
        <v>920</v>
      </c>
      <c r="AN188" s="2103">
        <f t="shared" si="240"/>
        <v>922.76</v>
      </c>
      <c r="AO188" s="2103">
        <f t="shared" si="240"/>
        <v>873.072</v>
      </c>
      <c r="AP188" s="2103">
        <f t="shared" si="240"/>
        <v>873.00600000000009</v>
      </c>
      <c r="AQ188" s="2104">
        <f t="shared" si="240"/>
        <v>873.00600000000009</v>
      </c>
      <c r="AR188" s="2099"/>
      <c r="AS188" s="2102">
        <f t="shared" ref="AS188:AW188" si="241">+AS33+AS31+AS38</f>
        <v>873.197</v>
      </c>
      <c r="AT188" s="2103">
        <f t="shared" si="241"/>
        <v>873.25300000000004</v>
      </c>
      <c r="AU188" s="2103">
        <f t="shared" si="241"/>
        <v>798.16599999999994</v>
      </c>
      <c r="AV188" s="2103">
        <f t="shared" si="241"/>
        <v>589.95100000000002</v>
      </c>
      <c r="AW188" s="2104">
        <f t="shared" si="241"/>
        <v>589.95100000000002</v>
      </c>
      <c r="AX188" s="2099"/>
      <c r="AY188" s="2102">
        <f t="shared" ref="AY188:BC188" si="242">+AY33+AY31+AY38</f>
        <v>594.58899999999994</v>
      </c>
      <c r="AZ188" s="2103">
        <f t="shared" si="242"/>
        <v>661.12299999999993</v>
      </c>
      <c r="BA188" s="2103">
        <f t="shared" si="242"/>
        <v>666.524</v>
      </c>
      <c r="BB188" s="2103">
        <f t="shared" si="242"/>
        <v>846.99199999999996</v>
      </c>
      <c r="BC188" s="2104">
        <f t="shared" si="242"/>
        <v>846.99199999999996</v>
      </c>
      <c r="BD188" s="2099"/>
      <c r="BE188" s="2102">
        <f t="shared" ref="BE188:BI188" si="243">+BE33+BE31+BE38</f>
        <v>846.70900000000006</v>
      </c>
      <c r="BF188" s="2103">
        <f t="shared" si="243"/>
        <v>846.35599999999999</v>
      </c>
      <c r="BG188" s="2103">
        <f t="shared" si="243"/>
        <v>846.66100000000006</v>
      </c>
      <c r="BH188" s="2103">
        <f t="shared" si="243"/>
        <v>845.48299999999995</v>
      </c>
      <c r="BI188" s="2104">
        <f t="shared" si="243"/>
        <v>845.48299999999995</v>
      </c>
      <c r="BJ188" s="2099"/>
      <c r="BK188" s="2102">
        <f t="shared" ref="BK188:BO188" si="244">+BK33+BK31+BK38</f>
        <v>1171.296</v>
      </c>
      <c r="BL188" s="2103">
        <f t="shared" si="244"/>
        <v>1175.3630000000001</v>
      </c>
      <c r="BM188" s="2103">
        <f t="shared" si="244"/>
        <v>1164.376</v>
      </c>
      <c r="BN188" s="2103">
        <f t="shared" si="244"/>
        <v>1172.079</v>
      </c>
      <c r="BO188" s="2104">
        <f t="shared" si="244"/>
        <v>1172.079</v>
      </c>
      <c r="BP188" s="2099"/>
      <c r="BQ188" s="2102">
        <f t="shared" ref="BQ188:BU188" si="245">+BQ33+BQ31+BQ38</f>
        <v>1048.97</v>
      </c>
      <c r="BR188" s="2103">
        <f t="shared" si="245"/>
        <v>1049.586</v>
      </c>
      <c r="BS188" s="2103">
        <f t="shared" si="245"/>
        <v>1058.9059999999999</v>
      </c>
      <c r="BT188" s="2103">
        <f t="shared" si="245"/>
        <v>1059.587</v>
      </c>
      <c r="BU188" s="2104">
        <f t="shared" si="245"/>
        <v>1059.587</v>
      </c>
      <c r="BV188" s="2099"/>
      <c r="BW188" s="2102">
        <f t="shared" ref="BW188:CA188" si="246">+BW33+BW31+BW38</f>
        <v>1059.787</v>
      </c>
      <c r="BX188" s="2103">
        <f t="shared" si="246"/>
        <v>1072.412</v>
      </c>
      <c r="BY188" s="2103">
        <f t="shared" si="246"/>
        <v>1069.44</v>
      </c>
      <c r="BZ188" s="2103">
        <f t="shared" si="246"/>
        <v>1067.096</v>
      </c>
      <c r="CA188" s="2104">
        <f t="shared" si="246"/>
        <v>1067.096</v>
      </c>
      <c r="CB188" s="2099"/>
      <c r="CC188" s="2102">
        <f t="shared" ref="CC188:CG188" si="247">+CC33+CC31+CC38</f>
        <v>1071.5630000000001</v>
      </c>
      <c r="CD188" s="2103">
        <f t="shared" si="247"/>
        <v>1383.83</v>
      </c>
      <c r="CE188" s="2103">
        <f t="shared" si="247"/>
        <v>1746.9939999999999</v>
      </c>
      <c r="CF188" s="2103">
        <f t="shared" si="247"/>
        <v>1758.258</v>
      </c>
      <c r="CG188" s="2104">
        <f t="shared" si="247"/>
        <v>1758.258</v>
      </c>
      <c r="CH188" s="2099"/>
      <c r="CI188" s="2102">
        <f t="shared" ref="CI188:CM188" si="248">+CI33+CI31+CI38</f>
        <v>1758.258</v>
      </c>
      <c r="CJ188" s="2103">
        <f t="shared" si="248"/>
        <v>1758.258</v>
      </c>
      <c r="CK188" s="2103">
        <f t="shared" si="248"/>
        <v>1758.258</v>
      </c>
      <c r="CL188" s="2103">
        <f t="shared" si="248"/>
        <v>1758.258</v>
      </c>
      <c r="CM188" s="2104">
        <f t="shared" si="248"/>
        <v>1758.258</v>
      </c>
      <c r="CN188" s="2099"/>
      <c r="CO188" s="2102">
        <f t="shared" ref="CO188:CS188" si="249">+CO33+CO31+CO38</f>
        <v>1758.258</v>
      </c>
      <c r="CP188" s="2103">
        <f t="shared" si="249"/>
        <v>1758.258</v>
      </c>
      <c r="CQ188" s="2103">
        <f t="shared" si="249"/>
        <v>1758.258</v>
      </c>
      <c r="CR188" s="2103">
        <f t="shared" si="249"/>
        <v>1758.258</v>
      </c>
      <c r="CS188" s="2104">
        <f t="shared" si="249"/>
        <v>1758.258</v>
      </c>
      <c r="CT188" s="2099"/>
      <c r="CU188" s="2102">
        <f t="shared" ref="CU188:CY188" si="250">+CU33+CU31+CU38</f>
        <v>1758.258</v>
      </c>
      <c r="CV188" s="2103">
        <f t="shared" si="250"/>
        <v>1758.258</v>
      </c>
      <c r="CW188" s="2103">
        <f t="shared" si="250"/>
        <v>1758.258</v>
      </c>
      <c r="CX188" s="2103">
        <f t="shared" si="250"/>
        <v>1758.258</v>
      </c>
      <c r="CY188" s="2104">
        <f t="shared" si="250"/>
        <v>1758.258</v>
      </c>
      <c r="CZ188" s="20"/>
      <c r="DA188" s="20"/>
      <c r="DB188" s="20"/>
    </row>
    <row r="189" spans="1:106" ht="11.25" customHeight="1" x14ac:dyDescent="0.2">
      <c r="A189" s="2073" t="s">
        <v>688</v>
      </c>
      <c r="B189" s="39"/>
      <c r="C189" s="2102"/>
      <c r="D189" s="2103"/>
      <c r="E189" s="2103"/>
      <c r="F189" s="2103"/>
      <c r="G189" s="2104"/>
      <c r="H189" s="2099"/>
      <c r="I189" s="2102">
        <f>+I39-I16+I34-I23</f>
        <v>0.60999999999999943</v>
      </c>
      <c r="J189" s="2103">
        <f t="shared" ref="J189:M189" si="251">+J39-J16+J34-J23</f>
        <v>1.968</v>
      </c>
      <c r="K189" s="2103">
        <f t="shared" si="251"/>
        <v>-7.8999999999998849E-2</v>
      </c>
      <c r="L189" s="2103">
        <f t="shared" si="251"/>
        <v>0.78599999999999959</v>
      </c>
      <c r="M189" s="2104">
        <f t="shared" si="251"/>
        <v>0.78599999999999959</v>
      </c>
      <c r="N189" s="2099"/>
      <c r="O189" s="2102">
        <f t="shared" ref="O189:S189" si="252">+O39-O16+O34-O23</f>
        <v>4.1420000000000003</v>
      </c>
      <c r="P189" s="2103">
        <f t="shared" si="252"/>
        <v>13.669</v>
      </c>
      <c r="Q189" s="2103">
        <f t="shared" si="252"/>
        <v>9.49</v>
      </c>
      <c r="R189" s="2103">
        <f t="shared" si="252"/>
        <v>6.028999999999999</v>
      </c>
      <c r="S189" s="2104">
        <f t="shared" si="252"/>
        <v>6.028999999999999</v>
      </c>
      <c r="T189" s="2099"/>
      <c r="U189" s="2102">
        <f t="shared" ref="U189:Y189" si="253">+U39-U16+U34-U23</f>
        <v>-2.203000000000003</v>
      </c>
      <c r="V189" s="2103">
        <f t="shared" si="253"/>
        <v>-5.6090000000000009</v>
      </c>
      <c r="W189" s="2103">
        <f t="shared" si="253"/>
        <v>131.46</v>
      </c>
      <c r="X189" s="2103">
        <f t="shared" si="253"/>
        <v>134.93599999999998</v>
      </c>
      <c r="Y189" s="2104">
        <f t="shared" si="253"/>
        <v>134.93599999999998</v>
      </c>
      <c r="Z189" s="2099"/>
      <c r="AA189" s="2102">
        <f t="shared" ref="AA189:AE189" si="254">+AA39-AA16+AA34-AA23</f>
        <v>119.95299999999999</v>
      </c>
      <c r="AB189" s="2103">
        <f t="shared" si="254"/>
        <v>116.00399999999998</v>
      </c>
      <c r="AC189" s="2103">
        <f t="shared" si="254"/>
        <v>122.78900000000002</v>
      </c>
      <c r="AD189" s="2103">
        <f t="shared" si="254"/>
        <v>119.20299999999999</v>
      </c>
      <c r="AE189" s="2104">
        <f t="shared" si="254"/>
        <v>119.20299999999999</v>
      </c>
      <c r="AF189" s="2099"/>
      <c r="AG189" s="2102">
        <f t="shared" ref="AG189:AK189" si="255">+AG39-AG16+AG34-AG23</f>
        <v>123.27899999999997</v>
      </c>
      <c r="AH189" s="2103">
        <f t="shared" si="255"/>
        <v>114.62700000000001</v>
      </c>
      <c r="AI189" s="2103">
        <f t="shared" si="255"/>
        <v>137.22699999999998</v>
      </c>
      <c r="AJ189" s="2103">
        <f t="shared" si="255"/>
        <v>171.69</v>
      </c>
      <c r="AK189" s="2104">
        <f t="shared" si="255"/>
        <v>171.69</v>
      </c>
      <c r="AL189" s="2099"/>
      <c r="AM189" s="2102">
        <f t="shared" ref="AM189:AQ189" si="256">+AM39-AM16+AM34-AM23</f>
        <v>170.49200000000002</v>
      </c>
      <c r="AN189" s="2103">
        <f t="shared" si="256"/>
        <v>157.42600000000002</v>
      </c>
      <c r="AO189" s="2103">
        <f t="shared" si="256"/>
        <v>159.739</v>
      </c>
      <c r="AP189" s="2103">
        <f t="shared" si="256"/>
        <v>163.25799999999998</v>
      </c>
      <c r="AQ189" s="2104">
        <f t="shared" si="256"/>
        <v>163.25799999999998</v>
      </c>
      <c r="AR189" s="2099"/>
      <c r="AS189" s="2102">
        <f t="shared" ref="AS189:AW189" si="257">+AS39-AS16+AS34-AS23</f>
        <v>165.82999999999998</v>
      </c>
      <c r="AT189" s="2103">
        <f t="shared" si="257"/>
        <v>161.98999999999998</v>
      </c>
      <c r="AU189" s="2103">
        <f t="shared" si="257"/>
        <v>206.73499999999999</v>
      </c>
      <c r="AV189" s="2103">
        <f t="shared" si="257"/>
        <v>181.47699999999998</v>
      </c>
      <c r="AW189" s="2104">
        <f t="shared" si="257"/>
        <v>181.47699999999998</v>
      </c>
      <c r="AX189" s="2099"/>
      <c r="AY189" s="2102">
        <f t="shared" ref="AY189:BC189" si="258">+AY39-AY16+AY34-AY23</f>
        <v>180.64599999999999</v>
      </c>
      <c r="AZ189" s="2103">
        <f t="shared" si="258"/>
        <v>186.22499999999999</v>
      </c>
      <c r="BA189" s="2103">
        <f t="shared" si="258"/>
        <v>159.89499999999998</v>
      </c>
      <c r="BB189" s="2103">
        <f t="shared" si="258"/>
        <v>164.98800000000003</v>
      </c>
      <c r="BC189" s="2104">
        <f t="shared" si="258"/>
        <v>164.98800000000003</v>
      </c>
      <c r="BD189" s="2099"/>
      <c r="BE189" s="2102">
        <f t="shared" ref="BE189:BI189" si="259">+BE39-BE16+BE34-BE23</f>
        <v>153.43900000000002</v>
      </c>
      <c r="BF189" s="2103">
        <f t="shared" si="259"/>
        <v>158.36699999999999</v>
      </c>
      <c r="BG189" s="2103">
        <f t="shared" si="259"/>
        <v>154.23400000000001</v>
      </c>
      <c r="BH189" s="2103">
        <f t="shared" si="259"/>
        <v>101.58199999999998</v>
      </c>
      <c r="BI189" s="2104">
        <f t="shared" si="259"/>
        <v>101.58199999999998</v>
      </c>
      <c r="BJ189" s="2099"/>
      <c r="BK189" s="2102">
        <f t="shared" ref="BK189:BO189" si="260">+BK39-BK16+BK34-BK23</f>
        <v>95.894999999999996</v>
      </c>
      <c r="BL189" s="2103">
        <f t="shared" si="260"/>
        <v>93.902999999999992</v>
      </c>
      <c r="BM189" s="2103">
        <f t="shared" si="260"/>
        <v>83.509</v>
      </c>
      <c r="BN189" s="2103">
        <f t="shared" si="260"/>
        <v>82.753999999999991</v>
      </c>
      <c r="BO189" s="2104">
        <f t="shared" si="260"/>
        <v>82.753999999999991</v>
      </c>
      <c r="BP189" s="2099"/>
      <c r="BQ189" s="2102">
        <f t="shared" ref="BQ189:BU189" si="261">+BQ39-BQ16+BQ34-BQ23</f>
        <v>67.096999999999994</v>
      </c>
      <c r="BR189" s="2103">
        <f t="shared" si="261"/>
        <v>71.097999999999999</v>
      </c>
      <c r="BS189" s="2103">
        <f t="shared" si="261"/>
        <v>68.876000000000005</v>
      </c>
      <c r="BT189" s="2103">
        <f t="shared" si="261"/>
        <v>43.085000000000001</v>
      </c>
      <c r="BU189" s="2104">
        <f t="shared" si="261"/>
        <v>43.085000000000001</v>
      </c>
      <c r="BV189" s="2099"/>
      <c r="BW189" s="2102">
        <f t="shared" ref="BW189:CA189" si="262">+BW39-BW16+BW34-BW23</f>
        <v>40.991</v>
      </c>
      <c r="BX189" s="2103">
        <f t="shared" si="262"/>
        <v>45.038000000000004</v>
      </c>
      <c r="BY189" s="2103">
        <f t="shared" si="262"/>
        <v>32.686</v>
      </c>
      <c r="BZ189" s="2103">
        <f t="shared" si="262"/>
        <v>-27.762999999999998</v>
      </c>
      <c r="CA189" s="2104">
        <f t="shared" si="262"/>
        <v>-27.762999999999998</v>
      </c>
      <c r="CB189" s="2099"/>
      <c r="CC189" s="2102">
        <f t="shared" ref="CC189:CG189" si="263">+CC39-CC16+CC34-CC23</f>
        <v>-23.048000000000002</v>
      </c>
      <c r="CD189" s="2103">
        <f t="shared" si="263"/>
        <v>-24.465000000000003</v>
      </c>
      <c r="CE189" s="2103">
        <f t="shared" si="263"/>
        <v>-28.551000000000002</v>
      </c>
      <c r="CF189" s="2103">
        <f t="shared" si="263"/>
        <v>37.374000000000002</v>
      </c>
      <c r="CG189" s="2104">
        <f t="shared" si="263"/>
        <v>37.374000000000002</v>
      </c>
      <c r="CH189" s="2099"/>
      <c r="CI189" s="2102">
        <f t="shared" ref="CI189:CM189" si="264">+CI39-CI16+CI34-CI23</f>
        <v>-27.375757474764654</v>
      </c>
      <c r="CJ189" s="2103">
        <f t="shared" si="264"/>
        <v>-31.20062028014339</v>
      </c>
      <c r="CK189" s="2103">
        <f t="shared" si="264"/>
        <v>-32.238306233275381</v>
      </c>
      <c r="CL189" s="2103">
        <f t="shared" si="264"/>
        <v>-34.364777401237546</v>
      </c>
      <c r="CM189" s="2104">
        <f t="shared" si="264"/>
        <v>-34.364777401237546</v>
      </c>
      <c r="CN189" s="2099"/>
      <c r="CO189" s="2102">
        <f t="shared" ref="CO189:CS189" si="265">+CO39-CO16+CO34-CO23</f>
        <v>-30.394328426403497</v>
      </c>
      <c r="CP189" s="2103">
        <f t="shared" si="265"/>
        <v>-33.557722475627138</v>
      </c>
      <c r="CQ189" s="2103">
        <f t="shared" si="265"/>
        <v>-34.163814098544208</v>
      </c>
      <c r="CR189" s="2103">
        <f t="shared" si="265"/>
        <v>-37.408115621416364</v>
      </c>
      <c r="CS189" s="2104">
        <f t="shared" si="265"/>
        <v>-37.408115621416364</v>
      </c>
      <c r="CT189" s="2099"/>
      <c r="CU189" s="2102">
        <f t="shared" ref="CU189:CY189" si="266">+CU39-CU16+CU34-CU23</f>
        <v>-33.651418559795609</v>
      </c>
      <c r="CV189" s="2103">
        <f t="shared" si="266"/>
        <v>-36.936410210239686</v>
      </c>
      <c r="CW189" s="2103">
        <f t="shared" si="266"/>
        <v>-37.520499763668155</v>
      </c>
      <c r="CX189" s="2103">
        <f t="shared" si="266"/>
        <v>-41.047449633649926</v>
      </c>
      <c r="CY189" s="2104">
        <f t="shared" si="266"/>
        <v>-41.047449633649926</v>
      </c>
      <c r="CZ189" s="20"/>
      <c r="DA189" s="20"/>
      <c r="DB189" s="20"/>
    </row>
    <row r="190" spans="1:106" ht="11.25" customHeight="1" x14ac:dyDescent="0.2">
      <c r="A190" s="2073" t="s">
        <v>689</v>
      </c>
      <c r="B190" s="39"/>
      <c r="C190" s="2102"/>
      <c r="D190" s="2103"/>
      <c r="E190" s="2103"/>
      <c r="F190" s="2103"/>
      <c r="G190" s="2104"/>
      <c r="H190" s="2099"/>
      <c r="I190" s="2102">
        <f>+I40</f>
        <v>20.614000000000001</v>
      </c>
      <c r="J190" s="2103">
        <f t="shared" ref="J190:M190" si="267">+J40</f>
        <v>20.49</v>
      </c>
      <c r="K190" s="2103">
        <f t="shared" si="267"/>
        <v>15.506</v>
      </c>
      <c r="L190" s="2103">
        <f t="shared" si="267"/>
        <v>14.153</v>
      </c>
      <c r="M190" s="2104">
        <f t="shared" si="267"/>
        <v>14.153</v>
      </c>
      <c r="N190" s="2099"/>
      <c r="O190" s="2102">
        <f t="shared" ref="O190:S190" si="268">+O40</f>
        <v>15.021000000000001</v>
      </c>
      <c r="P190" s="2103">
        <f t="shared" si="268"/>
        <v>17.344000000000001</v>
      </c>
      <c r="Q190" s="2103">
        <f t="shared" si="268"/>
        <v>16.245000000000001</v>
      </c>
      <c r="R190" s="2103">
        <f t="shared" si="268"/>
        <v>18.018999999999998</v>
      </c>
      <c r="S190" s="2104">
        <f t="shared" si="268"/>
        <v>18.018999999999998</v>
      </c>
      <c r="T190" s="2099"/>
      <c r="U190" s="2102">
        <f t="shared" ref="U190:Y190" si="269">+U40</f>
        <v>17.78</v>
      </c>
      <c r="V190" s="2103">
        <f t="shared" si="269"/>
        <v>17.939</v>
      </c>
      <c r="W190" s="2103">
        <f t="shared" si="269"/>
        <v>46.391000000000005</v>
      </c>
      <c r="X190" s="2103">
        <f t="shared" si="269"/>
        <v>41.422000000000004</v>
      </c>
      <c r="Y190" s="2104">
        <f t="shared" si="269"/>
        <v>41.422000000000004</v>
      </c>
      <c r="Z190" s="2099"/>
      <c r="AA190" s="2102">
        <f t="shared" ref="AA190:AE190" si="270">+AA40</f>
        <v>44.014000000000003</v>
      </c>
      <c r="AB190" s="2103">
        <f t="shared" si="270"/>
        <v>43.008000000000003</v>
      </c>
      <c r="AC190" s="2103">
        <f t="shared" si="270"/>
        <v>37.725000000000001</v>
      </c>
      <c r="AD190" s="2103">
        <f t="shared" si="270"/>
        <v>36.515000000000001</v>
      </c>
      <c r="AE190" s="2104">
        <f t="shared" si="270"/>
        <v>36.515000000000001</v>
      </c>
      <c r="AF190" s="2099"/>
      <c r="AG190" s="2102">
        <f t="shared" ref="AG190:AK190" si="271">+AG40</f>
        <v>38.959000000000003</v>
      </c>
      <c r="AH190" s="2103">
        <f t="shared" si="271"/>
        <v>40.055</v>
      </c>
      <c r="AI190" s="2103">
        <f t="shared" si="271"/>
        <v>42.742000000000004</v>
      </c>
      <c r="AJ190" s="2103">
        <f t="shared" si="271"/>
        <v>47.075000000000003</v>
      </c>
      <c r="AK190" s="2104">
        <f t="shared" si="271"/>
        <v>47.075000000000003</v>
      </c>
      <c r="AL190" s="2099"/>
      <c r="AM190" s="2102">
        <f t="shared" ref="AM190:AQ190" si="272">+AM40</f>
        <v>51.879000000000005</v>
      </c>
      <c r="AN190" s="2103">
        <f t="shared" si="272"/>
        <v>37.570999999999998</v>
      </c>
      <c r="AO190" s="2103">
        <f t="shared" si="272"/>
        <v>60.649000000000001</v>
      </c>
      <c r="AP190" s="2103">
        <f t="shared" si="272"/>
        <v>51.396999999999998</v>
      </c>
      <c r="AQ190" s="2104">
        <f t="shared" si="272"/>
        <v>51.396999999999998</v>
      </c>
      <c r="AR190" s="2099"/>
      <c r="AS190" s="2102">
        <f t="shared" ref="AS190:AW190" si="273">+AS40</f>
        <v>58.845999999999997</v>
      </c>
      <c r="AT190" s="2103">
        <f t="shared" si="273"/>
        <v>60.783999999999999</v>
      </c>
      <c r="AU190" s="2103">
        <f t="shared" si="273"/>
        <v>50.713000000000001</v>
      </c>
      <c r="AV190" s="2103">
        <f t="shared" si="273"/>
        <v>63.881</v>
      </c>
      <c r="AW190" s="2104">
        <f t="shared" si="273"/>
        <v>63.881</v>
      </c>
      <c r="AX190" s="2099"/>
      <c r="AY190" s="2102">
        <f t="shared" ref="AY190:BC190" si="274">+AY40</f>
        <v>58.161999999999999</v>
      </c>
      <c r="AZ190" s="2103">
        <f t="shared" si="274"/>
        <v>57.149000000000001</v>
      </c>
      <c r="BA190" s="2103">
        <f t="shared" si="274"/>
        <v>59.725999999999999</v>
      </c>
      <c r="BB190" s="2103">
        <f t="shared" si="274"/>
        <v>58.746000000000002</v>
      </c>
      <c r="BC190" s="2104">
        <f t="shared" si="274"/>
        <v>58.746000000000002</v>
      </c>
      <c r="BD190" s="2099"/>
      <c r="BE190" s="2102">
        <f t="shared" ref="BE190:BI190" si="275">+BE40</f>
        <v>47.472000000000001</v>
      </c>
      <c r="BF190" s="2103">
        <f t="shared" si="275"/>
        <v>49.069000000000003</v>
      </c>
      <c r="BG190" s="2103">
        <f t="shared" si="275"/>
        <v>40.326999999999998</v>
      </c>
      <c r="BH190" s="2103">
        <f t="shared" si="275"/>
        <v>38.447000000000003</v>
      </c>
      <c r="BI190" s="2104">
        <f t="shared" si="275"/>
        <v>38.447000000000003</v>
      </c>
      <c r="BJ190" s="2099"/>
      <c r="BK190" s="2102">
        <f t="shared" ref="BK190:BO190" si="276">+BK40</f>
        <v>135.47</v>
      </c>
      <c r="BL190" s="2103">
        <f t="shared" si="276"/>
        <v>208.476</v>
      </c>
      <c r="BM190" s="2103">
        <f t="shared" si="276"/>
        <v>159.36500000000001</v>
      </c>
      <c r="BN190" s="2103">
        <f t="shared" si="276"/>
        <v>206.523</v>
      </c>
      <c r="BO190" s="2104">
        <f t="shared" si="276"/>
        <v>206.523</v>
      </c>
      <c r="BP190" s="2099"/>
      <c r="BQ190" s="2102">
        <f t="shared" ref="BQ190:BU190" si="277">+BQ40</f>
        <v>206.24199999999999</v>
      </c>
      <c r="BR190" s="2103">
        <f t="shared" si="277"/>
        <v>172.15299999999999</v>
      </c>
      <c r="BS190" s="2103">
        <f t="shared" si="277"/>
        <v>199.096</v>
      </c>
      <c r="BT190" s="2103">
        <f t="shared" si="277"/>
        <v>224.05799999999999</v>
      </c>
      <c r="BU190" s="2104">
        <f t="shared" si="277"/>
        <v>224.05799999999999</v>
      </c>
      <c r="BV190" s="2099"/>
      <c r="BW190" s="2102">
        <f t="shared" ref="BW190:CA190" si="278">+BW40</f>
        <v>143.227</v>
      </c>
      <c r="BX190" s="2103">
        <f t="shared" si="278"/>
        <v>120.16500000000001</v>
      </c>
      <c r="BY190" s="2103">
        <f t="shared" si="278"/>
        <v>302.52600000000001</v>
      </c>
      <c r="BZ190" s="2103">
        <f t="shared" si="278"/>
        <v>284.952</v>
      </c>
      <c r="CA190" s="2104">
        <f t="shared" si="278"/>
        <v>284.952</v>
      </c>
      <c r="CB190" s="2099"/>
      <c r="CC190" s="2102">
        <f t="shared" ref="CC190:CG190" si="279">+CC40</f>
        <v>252.34700000000001</v>
      </c>
      <c r="CD190" s="2103">
        <f t="shared" si="279"/>
        <v>324.524</v>
      </c>
      <c r="CE190" s="2103">
        <f t="shared" si="279"/>
        <v>446.65800000000002</v>
      </c>
      <c r="CF190" s="2103">
        <f t="shared" si="279"/>
        <v>337.74299999999999</v>
      </c>
      <c r="CG190" s="2104">
        <f t="shared" si="279"/>
        <v>337.74299999999999</v>
      </c>
      <c r="CH190" s="2099"/>
      <c r="CI190" s="2102">
        <f t="shared" ref="CI190:CM190" si="280">+CI40</f>
        <v>337.74299999999999</v>
      </c>
      <c r="CJ190" s="2103">
        <f t="shared" si="280"/>
        <v>337.74299999999999</v>
      </c>
      <c r="CK190" s="2103">
        <f t="shared" si="280"/>
        <v>337.74299999999999</v>
      </c>
      <c r="CL190" s="2103">
        <f t="shared" si="280"/>
        <v>337.74299999999999</v>
      </c>
      <c r="CM190" s="2104">
        <f t="shared" si="280"/>
        <v>337.74299999999999</v>
      </c>
      <c r="CN190" s="2099"/>
      <c r="CO190" s="2102">
        <f t="shared" ref="CO190:CS190" si="281">+CO40</f>
        <v>337.74299999999999</v>
      </c>
      <c r="CP190" s="2103">
        <f t="shared" si="281"/>
        <v>337.74299999999999</v>
      </c>
      <c r="CQ190" s="2103">
        <f t="shared" si="281"/>
        <v>337.74299999999999</v>
      </c>
      <c r="CR190" s="2103">
        <f t="shared" si="281"/>
        <v>337.74299999999999</v>
      </c>
      <c r="CS190" s="2104">
        <f t="shared" si="281"/>
        <v>337.74299999999999</v>
      </c>
      <c r="CT190" s="2099"/>
      <c r="CU190" s="2102">
        <f t="shared" ref="CU190:CY190" si="282">+CU40</f>
        <v>337.74299999999999</v>
      </c>
      <c r="CV190" s="2103">
        <f t="shared" si="282"/>
        <v>337.74299999999999</v>
      </c>
      <c r="CW190" s="2103">
        <f t="shared" si="282"/>
        <v>337.74299999999999</v>
      </c>
      <c r="CX190" s="2103">
        <f t="shared" si="282"/>
        <v>337.74299999999999</v>
      </c>
      <c r="CY190" s="2104">
        <f t="shared" si="282"/>
        <v>337.74299999999999</v>
      </c>
      <c r="CZ190" s="20"/>
      <c r="DA190" s="20"/>
      <c r="DB190" s="20"/>
    </row>
    <row r="191" spans="1:106" ht="11.25" customHeight="1" x14ac:dyDescent="0.2">
      <c r="A191" s="2105" t="s">
        <v>690</v>
      </c>
      <c r="B191" s="39"/>
      <c r="C191" s="2102"/>
      <c r="D191" s="2103"/>
      <c r="E191" s="2103"/>
      <c r="F191" s="2103"/>
      <c r="G191" s="2104"/>
      <c r="H191" s="2099"/>
      <c r="I191" s="2102"/>
      <c r="J191" s="2103"/>
      <c r="K191" s="2103"/>
      <c r="L191" s="2103"/>
      <c r="M191" s="2104"/>
      <c r="N191" s="2099"/>
      <c r="O191" s="2102"/>
      <c r="P191" s="2103"/>
      <c r="Q191" s="2103"/>
      <c r="R191" s="2103"/>
      <c r="S191" s="2104"/>
      <c r="T191" s="2099"/>
      <c r="U191" s="2102"/>
      <c r="V191" s="2103"/>
      <c r="W191" s="2103"/>
      <c r="X191" s="2103"/>
      <c r="Y191" s="2104"/>
      <c r="Z191" s="2099"/>
      <c r="AA191" s="2102"/>
      <c r="AB191" s="2103"/>
      <c r="AC191" s="2103"/>
      <c r="AD191" s="2103"/>
      <c r="AE191" s="2104"/>
      <c r="AF191" s="2099"/>
      <c r="AG191" s="2102"/>
      <c r="AH191" s="2103"/>
      <c r="AI191" s="2103"/>
      <c r="AJ191" s="2103"/>
      <c r="AK191" s="2104"/>
      <c r="AL191" s="2099"/>
      <c r="AM191" s="2102"/>
      <c r="AN191" s="2103"/>
      <c r="AO191" s="2103"/>
      <c r="AP191" s="2103"/>
      <c r="AQ191" s="2104"/>
      <c r="AR191" s="2099"/>
      <c r="AS191" s="2102"/>
      <c r="AT191" s="2103"/>
      <c r="AU191" s="2103"/>
      <c r="AV191" s="2103"/>
      <c r="AW191" s="2104"/>
      <c r="AX191" s="2099"/>
      <c r="AY191" s="2102"/>
      <c r="AZ191" s="2103"/>
      <c r="BA191" s="2103"/>
      <c r="BB191" s="2103"/>
      <c r="BC191" s="2104"/>
      <c r="BD191" s="2099"/>
      <c r="BE191" s="2102"/>
      <c r="BF191" s="2103"/>
      <c r="BG191" s="2103"/>
      <c r="BH191" s="2103"/>
      <c r="BI191" s="2104"/>
      <c r="BJ191" s="2099"/>
      <c r="BK191" s="2102"/>
      <c r="BL191" s="2103"/>
      <c r="BM191" s="2103"/>
      <c r="BN191" s="2103"/>
      <c r="BO191" s="2104"/>
      <c r="BP191" s="2099"/>
      <c r="BQ191" s="2102"/>
      <c r="BR191" s="2103"/>
      <c r="BS191" s="2103"/>
      <c r="BT191" s="2103"/>
      <c r="BU191" s="2104"/>
      <c r="BV191" s="2099"/>
      <c r="BW191" s="2102"/>
      <c r="BX191" s="2103"/>
      <c r="BY191" s="2103"/>
      <c r="BZ191" s="2103"/>
      <c r="CA191" s="2104"/>
      <c r="CB191" s="2099"/>
      <c r="CC191" s="2102"/>
      <c r="CD191" s="2103"/>
      <c r="CE191" s="2103"/>
      <c r="CF191" s="2103"/>
      <c r="CG191" s="2104"/>
      <c r="CH191" s="2099"/>
      <c r="CI191" s="2102"/>
      <c r="CJ191" s="2103"/>
      <c r="CK191" s="2103"/>
      <c r="CL191" s="2103"/>
      <c r="CM191" s="2104"/>
      <c r="CN191" s="2099"/>
      <c r="CO191" s="2102"/>
      <c r="CP191" s="2103"/>
      <c r="CQ191" s="2103"/>
      <c r="CR191" s="2103"/>
      <c r="CS191" s="2104"/>
      <c r="CT191" s="2099"/>
      <c r="CU191" s="2102"/>
      <c r="CV191" s="2103"/>
      <c r="CW191" s="2103"/>
      <c r="CX191" s="2103"/>
      <c r="CY191" s="2104"/>
      <c r="CZ191" s="20"/>
      <c r="DA191" s="20"/>
      <c r="DB191" s="20"/>
    </row>
    <row r="192" spans="1:106" ht="11.25" customHeight="1" x14ac:dyDescent="0.2">
      <c r="A192" s="2087" t="s">
        <v>691</v>
      </c>
      <c r="B192" s="39"/>
      <c r="C192" s="2102"/>
      <c r="D192" s="2103"/>
      <c r="E192" s="2103"/>
      <c r="F192" s="2103"/>
      <c r="G192" s="2104"/>
      <c r="H192" s="2099"/>
      <c r="I192" s="2102"/>
      <c r="J192" s="2103"/>
      <c r="K192" s="2103"/>
      <c r="L192" s="2103"/>
      <c r="M192" s="2104"/>
      <c r="N192" s="2099"/>
      <c r="O192" s="2102"/>
      <c r="P192" s="2103"/>
      <c r="Q192" s="2103"/>
      <c r="R192" s="2103"/>
      <c r="S192" s="2104"/>
      <c r="T192" s="2099"/>
      <c r="U192" s="2102"/>
      <c r="V192" s="2103"/>
      <c r="W192" s="2103"/>
      <c r="X192" s="2103"/>
      <c r="Y192" s="2104"/>
      <c r="Z192" s="2099"/>
      <c r="AA192" s="2102"/>
      <c r="AB192" s="2103"/>
      <c r="AC192" s="2103"/>
      <c r="AD192" s="2103"/>
      <c r="AE192" s="2104"/>
      <c r="AF192" s="2099"/>
      <c r="AG192" s="2102"/>
      <c r="AH192" s="2103"/>
      <c r="AI192" s="2103"/>
      <c r="AJ192" s="2103"/>
      <c r="AK192" s="2104"/>
      <c r="AL192" s="2099"/>
      <c r="AM192" s="2102"/>
      <c r="AN192" s="2103"/>
      <c r="AO192" s="2103"/>
      <c r="AP192" s="2103"/>
      <c r="AQ192" s="2104"/>
      <c r="AR192" s="2099"/>
      <c r="AS192" s="2102"/>
      <c r="AT192" s="2103"/>
      <c r="AU192" s="2103"/>
      <c r="AV192" s="2103"/>
      <c r="AW192" s="2104"/>
      <c r="AX192" s="2099"/>
      <c r="AY192" s="2102"/>
      <c r="AZ192" s="2103"/>
      <c r="BA192" s="2103"/>
      <c r="BB192" s="2103"/>
      <c r="BC192" s="2104"/>
      <c r="BD192" s="2099"/>
      <c r="BE192" s="2102"/>
      <c r="BF192" s="2103"/>
      <c r="BG192" s="2103"/>
      <c r="BH192" s="2103"/>
      <c r="BI192" s="2104"/>
      <c r="BJ192" s="2099"/>
      <c r="BK192" s="2102"/>
      <c r="BL192" s="2103"/>
      <c r="BM192" s="2103"/>
      <c r="BN192" s="2103"/>
      <c r="BO192" s="2104"/>
      <c r="BP192" s="2099"/>
      <c r="BQ192" s="2102"/>
      <c r="BR192" s="2103"/>
      <c r="BS192" s="2103"/>
      <c r="BT192" s="2103"/>
      <c r="BU192" s="2104"/>
      <c r="BV192" s="2099"/>
      <c r="BW192" s="2102"/>
      <c r="BX192" s="2103"/>
      <c r="BY192" s="2103"/>
      <c r="BZ192" s="2103"/>
      <c r="CA192" s="2104"/>
      <c r="CB192" s="2099"/>
      <c r="CC192" s="2102"/>
      <c r="CD192" s="2103"/>
      <c r="CE192" s="2103"/>
      <c r="CF192" s="2103"/>
      <c r="CG192" s="2104"/>
      <c r="CH192" s="2099"/>
      <c r="CI192" s="2102"/>
      <c r="CJ192" s="2103"/>
      <c r="CK192" s="2103"/>
      <c r="CL192" s="2103"/>
      <c r="CM192" s="2104"/>
      <c r="CN192" s="2099"/>
      <c r="CO192" s="2102"/>
      <c r="CP192" s="2103"/>
      <c r="CQ192" s="2103"/>
      <c r="CR192" s="2103"/>
      <c r="CS192" s="2104"/>
      <c r="CT192" s="2099"/>
      <c r="CU192" s="2102"/>
      <c r="CV192" s="2103"/>
      <c r="CW192" s="2103"/>
      <c r="CX192" s="2103"/>
      <c r="CY192" s="2104"/>
      <c r="CZ192" s="20"/>
      <c r="DA192" s="20"/>
      <c r="DB192" s="20"/>
    </row>
    <row r="193" spans="1:106" ht="11.25" customHeight="1" x14ac:dyDescent="0.2">
      <c r="A193" s="2073" t="s">
        <v>217</v>
      </c>
      <c r="B193" s="39"/>
      <c r="C193" s="2102"/>
      <c r="D193" s="2103"/>
      <c r="E193" s="2103"/>
      <c r="F193" s="2103"/>
      <c r="G193" s="2104"/>
      <c r="H193" s="2099"/>
      <c r="I193" s="2102">
        <f>+I43</f>
        <v>0</v>
      </c>
      <c r="J193" s="2103">
        <f t="shared" ref="J193:M193" si="283">+J43</f>
        <v>0</v>
      </c>
      <c r="K193" s="2103">
        <f t="shared" si="283"/>
        <v>0</v>
      </c>
      <c r="L193" s="2103">
        <f t="shared" si="283"/>
        <v>0</v>
      </c>
      <c r="M193" s="2104">
        <f t="shared" si="283"/>
        <v>0</v>
      </c>
      <c r="N193" s="2099"/>
      <c r="O193" s="2102">
        <f t="shared" ref="O193:S193" si="284">+O43</f>
        <v>0</v>
      </c>
      <c r="P193" s="2103">
        <f t="shared" si="284"/>
        <v>0</v>
      </c>
      <c r="Q193" s="2103">
        <f t="shared" si="284"/>
        <v>0</v>
      </c>
      <c r="R193" s="2103">
        <f t="shared" si="284"/>
        <v>0</v>
      </c>
      <c r="S193" s="2104">
        <f t="shared" si="284"/>
        <v>0</v>
      </c>
      <c r="T193" s="2099"/>
      <c r="U193" s="2102">
        <f t="shared" ref="U193:Y193" si="285">+U43</f>
        <v>0</v>
      </c>
      <c r="V193" s="2103">
        <f t="shared" si="285"/>
        <v>0</v>
      </c>
      <c r="W193" s="2103">
        <f t="shared" si="285"/>
        <v>0.497</v>
      </c>
      <c r="X193" s="2103">
        <f t="shared" si="285"/>
        <v>0.55300000000000005</v>
      </c>
      <c r="Y193" s="2104">
        <f t="shared" si="285"/>
        <v>0.55300000000000005</v>
      </c>
      <c r="Z193" s="2099"/>
      <c r="AA193" s="2102">
        <f t="shared" ref="AA193:AE193" si="286">+AA43</f>
        <v>0.61299999999999999</v>
      </c>
      <c r="AB193" s="2103">
        <f t="shared" si="286"/>
        <v>0.66900000000000004</v>
      </c>
      <c r="AC193" s="2103">
        <f t="shared" si="286"/>
        <v>0.376</v>
      </c>
      <c r="AD193" s="2103">
        <f t="shared" si="286"/>
        <v>0</v>
      </c>
      <c r="AE193" s="2104">
        <f t="shared" si="286"/>
        <v>0</v>
      </c>
      <c r="AF193" s="2099"/>
      <c r="AG193" s="2102">
        <f t="shared" ref="AG193:AK193" si="287">+AG43</f>
        <v>0</v>
      </c>
      <c r="AH193" s="2103">
        <f t="shared" si="287"/>
        <v>0</v>
      </c>
      <c r="AI193" s="2103">
        <f t="shared" si="287"/>
        <v>0</v>
      </c>
      <c r="AJ193" s="2103">
        <f t="shared" si="287"/>
        <v>0</v>
      </c>
      <c r="AK193" s="2104">
        <f t="shared" si="287"/>
        <v>0</v>
      </c>
      <c r="AL193" s="2099"/>
      <c r="AM193" s="2102">
        <f t="shared" ref="AM193:AQ193" si="288">+AM43</f>
        <v>0</v>
      </c>
      <c r="AN193" s="2103">
        <f t="shared" si="288"/>
        <v>0</v>
      </c>
      <c r="AO193" s="2103">
        <f t="shared" si="288"/>
        <v>0</v>
      </c>
      <c r="AP193" s="2103">
        <f t="shared" si="288"/>
        <v>0</v>
      </c>
      <c r="AQ193" s="2104">
        <f t="shared" si="288"/>
        <v>0</v>
      </c>
      <c r="AR193" s="2099"/>
      <c r="AS193" s="2102">
        <f t="shared" ref="AS193:AW193" si="289">+AS43</f>
        <v>0</v>
      </c>
      <c r="AT193" s="2103">
        <f t="shared" si="289"/>
        <v>0</v>
      </c>
      <c r="AU193" s="2103">
        <f t="shared" si="289"/>
        <v>41.768000000000001</v>
      </c>
      <c r="AV193" s="2103">
        <f t="shared" si="289"/>
        <v>9.4939999999999998</v>
      </c>
      <c r="AW193" s="2104">
        <f t="shared" si="289"/>
        <v>9.4939999999999998</v>
      </c>
      <c r="AX193" s="2099"/>
      <c r="AY193" s="2102">
        <f t="shared" ref="AY193:BC193" si="290">+AY43</f>
        <v>9.6910000000000007</v>
      </c>
      <c r="AZ193" s="2103">
        <f t="shared" si="290"/>
        <v>9.5060000000000002</v>
      </c>
      <c r="BA193" s="2103">
        <f t="shared" si="290"/>
        <v>9.6630000000000003</v>
      </c>
      <c r="BB193" s="2103">
        <f t="shared" si="290"/>
        <v>9.6590000000000007</v>
      </c>
      <c r="BC193" s="2104">
        <f t="shared" si="290"/>
        <v>9.6590000000000007</v>
      </c>
      <c r="BD193" s="2099"/>
      <c r="BE193" s="2102">
        <f t="shared" ref="BE193:BI193" si="291">+BE43</f>
        <v>9.7739999999999991</v>
      </c>
      <c r="BF193" s="2103">
        <f t="shared" si="291"/>
        <v>9.5280000000000005</v>
      </c>
      <c r="BG193" s="2103">
        <f t="shared" si="291"/>
        <v>9.8759999999999994</v>
      </c>
      <c r="BH193" s="2103">
        <f t="shared" si="291"/>
        <v>9.5389999999999997</v>
      </c>
      <c r="BI193" s="2104">
        <f t="shared" si="291"/>
        <v>9.5389999999999997</v>
      </c>
      <c r="BJ193" s="2099"/>
      <c r="BK193" s="2102">
        <f t="shared" ref="BK193:BO193" si="292">+BK43</f>
        <v>8.9039999999999999</v>
      </c>
      <c r="BL193" s="2103">
        <f t="shared" si="292"/>
        <v>9.01</v>
      </c>
      <c r="BM193" s="2103">
        <f t="shared" si="292"/>
        <v>8.359</v>
      </c>
      <c r="BN193" s="2103">
        <f t="shared" si="292"/>
        <v>8.2550000000000008</v>
      </c>
      <c r="BO193" s="2104">
        <f t="shared" si="292"/>
        <v>8.2550000000000008</v>
      </c>
      <c r="BP193" s="2099"/>
      <c r="BQ193" s="2102">
        <f t="shared" ref="BQ193:BU193" si="293">+BQ43</f>
        <v>7.5590000000000002</v>
      </c>
      <c r="BR193" s="2103">
        <f t="shared" si="293"/>
        <v>3.7290000000000001</v>
      </c>
      <c r="BS193" s="2103">
        <f t="shared" si="293"/>
        <v>2.298</v>
      </c>
      <c r="BT193" s="2103">
        <f t="shared" si="293"/>
        <v>2.0339999999999998</v>
      </c>
      <c r="BU193" s="2104">
        <f t="shared" si="293"/>
        <v>2.0339999999999998</v>
      </c>
      <c r="BV193" s="2099"/>
      <c r="BW193" s="2102">
        <f t="shared" ref="BW193:CA193" si="294">+BW43</f>
        <v>0</v>
      </c>
      <c r="BX193" s="2103">
        <f t="shared" si="294"/>
        <v>5.4320000000000004</v>
      </c>
      <c r="BY193" s="2103">
        <f t="shared" si="294"/>
        <v>0</v>
      </c>
      <c r="BZ193" s="2103">
        <f t="shared" si="294"/>
        <v>0</v>
      </c>
      <c r="CA193" s="2104">
        <f t="shared" si="294"/>
        <v>0</v>
      </c>
      <c r="CB193" s="2099"/>
      <c r="CC193" s="2102">
        <f t="shared" ref="CC193:CG193" si="295">+CC43</f>
        <v>0</v>
      </c>
      <c r="CD193" s="2103">
        <f t="shared" si="295"/>
        <v>0</v>
      </c>
      <c r="CE193" s="2103">
        <f t="shared" si="295"/>
        <v>0</v>
      </c>
      <c r="CF193" s="2103">
        <f t="shared" si="295"/>
        <v>0</v>
      </c>
      <c r="CG193" s="2104">
        <f t="shared" si="295"/>
        <v>0</v>
      </c>
      <c r="CH193" s="2099"/>
      <c r="CI193" s="2102">
        <f t="shared" ref="CI193:CM193" si="296">+CI43</f>
        <v>0</v>
      </c>
      <c r="CJ193" s="2103">
        <f t="shared" si="296"/>
        <v>0</v>
      </c>
      <c r="CK193" s="2103">
        <f t="shared" si="296"/>
        <v>0</v>
      </c>
      <c r="CL193" s="2103">
        <f t="shared" si="296"/>
        <v>0</v>
      </c>
      <c r="CM193" s="2104">
        <f t="shared" si="296"/>
        <v>0</v>
      </c>
      <c r="CN193" s="2099"/>
      <c r="CO193" s="2102">
        <f t="shared" ref="CO193:CS193" si="297">+CO43</f>
        <v>0</v>
      </c>
      <c r="CP193" s="2103">
        <f t="shared" si="297"/>
        <v>0</v>
      </c>
      <c r="CQ193" s="2103">
        <f t="shared" si="297"/>
        <v>0</v>
      </c>
      <c r="CR193" s="2103">
        <f t="shared" si="297"/>
        <v>0</v>
      </c>
      <c r="CS193" s="2104">
        <f t="shared" si="297"/>
        <v>0</v>
      </c>
      <c r="CT193" s="2099"/>
      <c r="CU193" s="2102">
        <f t="shared" ref="CU193:CY193" si="298">+CU43</f>
        <v>0</v>
      </c>
      <c r="CV193" s="2103">
        <f t="shared" si="298"/>
        <v>0</v>
      </c>
      <c r="CW193" s="2103">
        <f t="shared" si="298"/>
        <v>0</v>
      </c>
      <c r="CX193" s="2103">
        <f t="shared" si="298"/>
        <v>0</v>
      </c>
      <c r="CY193" s="2104">
        <f t="shared" si="298"/>
        <v>0</v>
      </c>
      <c r="CZ193" s="20"/>
      <c r="DA193" s="20"/>
      <c r="DB193" s="20"/>
    </row>
    <row r="194" spans="1:106" ht="11.25" customHeight="1" x14ac:dyDescent="0.2">
      <c r="A194" s="2073" t="s">
        <v>692</v>
      </c>
      <c r="B194" s="39"/>
      <c r="C194" s="2102"/>
      <c r="D194" s="2103"/>
      <c r="E194" s="2103"/>
      <c r="F194" s="2103"/>
      <c r="G194" s="2104"/>
      <c r="H194" s="2099"/>
      <c r="I194" s="2102">
        <v>0</v>
      </c>
      <c r="J194" s="2103">
        <v>0</v>
      </c>
      <c r="K194" s="2103">
        <v>0</v>
      </c>
      <c r="L194" s="2103">
        <v>0</v>
      </c>
      <c r="M194" s="2104">
        <v>0</v>
      </c>
      <c r="N194" s="2099"/>
      <c r="O194" s="2102">
        <v>0</v>
      </c>
      <c r="P194" s="2103">
        <v>0</v>
      </c>
      <c r="Q194" s="2103">
        <v>0</v>
      </c>
      <c r="R194" s="2103">
        <v>0</v>
      </c>
      <c r="S194" s="2104">
        <v>0</v>
      </c>
      <c r="T194" s="2099"/>
      <c r="U194" s="2102">
        <v>0</v>
      </c>
      <c r="V194" s="2103">
        <v>0</v>
      </c>
      <c r="W194" s="2103">
        <v>0</v>
      </c>
      <c r="X194" s="2103">
        <v>0</v>
      </c>
      <c r="Y194" s="2104">
        <v>0</v>
      </c>
      <c r="Z194" s="2099"/>
      <c r="AA194" s="2102">
        <v>0</v>
      </c>
      <c r="AB194" s="2103">
        <v>0</v>
      </c>
      <c r="AC194" s="2103">
        <v>0</v>
      </c>
      <c r="AD194" s="2103">
        <v>0</v>
      </c>
      <c r="AE194" s="2104">
        <v>0</v>
      </c>
      <c r="AF194" s="2099"/>
      <c r="AG194" s="2102">
        <v>0</v>
      </c>
      <c r="AH194" s="2103">
        <v>0</v>
      </c>
      <c r="AI194" s="2103">
        <v>0</v>
      </c>
      <c r="AJ194" s="2103">
        <v>0</v>
      </c>
      <c r="AK194" s="2104">
        <v>0</v>
      </c>
      <c r="AL194" s="2099"/>
      <c r="AM194" s="2102">
        <v>0</v>
      </c>
      <c r="AN194" s="2103">
        <v>0</v>
      </c>
      <c r="AO194" s="2103">
        <v>0</v>
      </c>
      <c r="AP194" s="2103">
        <v>0</v>
      </c>
      <c r="AQ194" s="2104">
        <v>0</v>
      </c>
      <c r="AR194" s="2099"/>
      <c r="AS194" s="2102">
        <v>0</v>
      </c>
      <c r="AT194" s="2103">
        <v>0</v>
      </c>
      <c r="AU194" s="2103">
        <v>0</v>
      </c>
      <c r="AV194" s="2103">
        <v>0</v>
      </c>
      <c r="AW194" s="2104">
        <v>0</v>
      </c>
      <c r="AX194" s="2099"/>
      <c r="AY194" s="2102">
        <v>0</v>
      </c>
      <c r="AZ194" s="2103">
        <v>0</v>
      </c>
      <c r="BA194" s="2103">
        <v>0</v>
      </c>
      <c r="BB194" s="2103">
        <v>0</v>
      </c>
      <c r="BC194" s="2104">
        <v>0</v>
      </c>
      <c r="BD194" s="2099"/>
      <c r="BE194" s="2102">
        <v>0</v>
      </c>
      <c r="BF194" s="2103">
        <v>0</v>
      </c>
      <c r="BG194" s="2103">
        <v>0</v>
      </c>
      <c r="BH194" s="2103">
        <v>0</v>
      </c>
      <c r="BI194" s="2104">
        <v>0</v>
      </c>
      <c r="BJ194" s="2099"/>
      <c r="BK194" s="2102">
        <v>0</v>
      </c>
      <c r="BL194" s="2103">
        <v>0</v>
      </c>
      <c r="BM194" s="2103">
        <v>0</v>
      </c>
      <c r="BN194" s="2103">
        <v>0</v>
      </c>
      <c r="BO194" s="2104">
        <v>0</v>
      </c>
      <c r="BP194" s="2099"/>
      <c r="BQ194" s="2102">
        <v>0</v>
      </c>
      <c r="BR194" s="2103">
        <v>0</v>
      </c>
      <c r="BS194" s="2103">
        <v>0</v>
      </c>
      <c r="BT194" s="2103">
        <v>0</v>
      </c>
      <c r="BU194" s="2104">
        <v>0</v>
      </c>
      <c r="BV194" s="2099"/>
      <c r="BW194" s="2102">
        <v>0</v>
      </c>
      <c r="BX194" s="2103">
        <v>0</v>
      </c>
      <c r="BY194" s="2103">
        <v>0</v>
      </c>
      <c r="BZ194" s="2103">
        <v>0</v>
      </c>
      <c r="CA194" s="2104">
        <v>0</v>
      </c>
      <c r="CB194" s="2099"/>
      <c r="CC194" s="2102">
        <v>0</v>
      </c>
      <c r="CD194" s="2103">
        <v>0</v>
      </c>
      <c r="CE194" s="2103">
        <v>0</v>
      </c>
      <c r="CF194" s="2103">
        <v>0</v>
      </c>
      <c r="CG194" s="2104">
        <v>0</v>
      </c>
      <c r="CH194" s="2099"/>
      <c r="CI194" s="2102">
        <v>0</v>
      </c>
      <c r="CJ194" s="2103">
        <v>0</v>
      </c>
      <c r="CK194" s="2103">
        <v>0</v>
      </c>
      <c r="CL194" s="2103">
        <v>0</v>
      </c>
      <c r="CM194" s="2104">
        <v>0</v>
      </c>
      <c r="CN194" s="2099"/>
      <c r="CO194" s="2102">
        <v>0</v>
      </c>
      <c r="CP194" s="2103">
        <v>0</v>
      </c>
      <c r="CQ194" s="2103">
        <v>0</v>
      </c>
      <c r="CR194" s="2103">
        <v>0</v>
      </c>
      <c r="CS194" s="2104">
        <v>0</v>
      </c>
      <c r="CT194" s="2099"/>
      <c r="CU194" s="2102">
        <v>0</v>
      </c>
      <c r="CV194" s="2103">
        <v>0</v>
      </c>
      <c r="CW194" s="2103">
        <v>0</v>
      </c>
      <c r="CX194" s="2103">
        <v>0</v>
      </c>
      <c r="CY194" s="2104">
        <v>0</v>
      </c>
      <c r="CZ194" s="20"/>
      <c r="DA194" s="20"/>
      <c r="DB194" s="20"/>
    </row>
    <row r="195" spans="1:106" ht="11.25" customHeight="1" x14ac:dyDescent="0.2">
      <c r="A195" s="2073" t="s">
        <v>207</v>
      </c>
      <c r="B195" s="39"/>
      <c r="C195" s="2102"/>
      <c r="D195" s="2103"/>
      <c r="E195" s="2103"/>
      <c r="F195" s="2103"/>
      <c r="G195" s="2104"/>
      <c r="H195" s="2099"/>
      <c r="I195" s="2102">
        <f>+I49</f>
        <v>410.53</v>
      </c>
      <c r="J195" s="2103">
        <f t="shared" ref="J195:M195" si="299">+J49</f>
        <v>412.952</v>
      </c>
      <c r="K195" s="2103">
        <f t="shared" si="299"/>
        <v>437.60899999999998</v>
      </c>
      <c r="L195" s="2103">
        <f t="shared" si="299"/>
        <v>450.45699999999999</v>
      </c>
      <c r="M195" s="2104">
        <f t="shared" si="299"/>
        <v>450.45699999999999</v>
      </c>
      <c r="N195" s="2099"/>
      <c r="O195" s="2102">
        <f t="shared" ref="O195:S195" si="300">+O49</f>
        <v>480.66499999999996</v>
      </c>
      <c r="P195" s="2103">
        <f t="shared" si="300"/>
        <v>508.62000000000006</v>
      </c>
      <c r="Q195" s="2103">
        <f t="shared" si="300"/>
        <v>528.73899999999992</v>
      </c>
      <c r="R195" s="2103">
        <f t="shared" si="300"/>
        <v>566.16499999999996</v>
      </c>
      <c r="S195" s="2104">
        <f t="shared" si="300"/>
        <v>566.16499999999996</v>
      </c>
      <c r="T195" s="2099"/>
      <c r="U195" s="2102">
        <f t="shared" ref="U195:Y195" si="301">+U49</f>
        <v>587.49400000000003</v>
      </c>
      <c r="V195" s="2103">
        <f t="shared" si="301"/>
        <v>617.24400000000003</v>
      </c>
      <c r="W195" s="2103">
        <f t="shared" si="301"/>
        <v>1327.9690000000001</v>
      </c>
      <c r="X195" s="2103">
        <f t="shared" si="301"/>
        <v>1391.5749999999998</v>
      </c>
      <c r="Y195" s="2104">
        <f t="shared" si="301"/>
        <v>1391.5749999999998</v>
      </c>
      <c r="Z195" s="2099"/>
      <c r="AA195" s="2102">
        <f t="shared" ref="AA195:AE195" si="302">+AA49</f>
        <v>1451.046</v>
      </c>
      <c r="AB195" s="2103">
        <f t="shared" si="302"/>
        <v>1479.029</v>
      </c>
      <c r="AC195" s="2103">
        <f t="shared" si="302"/>
        <v>1457.76</v>
      </c>
      <c r="AD195" s="2103">
        <f t="shared" si="302"/>
        <v>1453.8439999999998</v>
      </c>
      <c r="AE195" s="2104">
        <f t="shared" si="302"/>
        <v>1453.8439999999998</v>
      </c>
      <c r="AF195" s="2099"/>
      <c r="AG195" s="2102">
        <f t="shared" ref="AG195:AK195" si="303">+AG49</f>
        <v>1462.4389999999999</v>
      </c>
      <c r="AH195" s="2103">
        <f t="shared" si="303"/>
        <v>1534.614</v>
      </c>
      <c r="AI195" s="2103">
        <f t="shared" si="303"/>
        <v>2228.3089999999997</v>
      </c>
      <c r="AJ195" s="2103">
        <f t="shared" si="303"/>
        <v>2291.1690000000003</v>
      </c>
      <c r="AK195" s="2104">
        <f t="shared" si="303"/>
        <v>2291.1690000000003</v>
      </c>
      <c r="AL195" s="2099"/>
      <c r="AM195" s="2102">
        <f t="shared" ref="AM195:AQ195" si="304">+AM49</f>
        <v>2311.0650000000001</v>
      </c>
      <c r="AN195" s="2103">
        <f t="shared" si="304"/>
        <v>2334.5429999999997</v>
      </c>
      <c r="AO195" s="2103">
        <f t="shared" si="304"/>
        <v>2430.4690000000001</v>
      </c>
      <c r="AP195" s="2103">
        <f t="shared" si="304"/>
        <v>2476.3529999999996</v>
      </c>
      <c r="AQ195" s="2104">
        <f t="shared" si="304"/>
        <v>2476.3529999999996</v>
      </c>
      <c r="AR195" s="2099"/>
      <c r="AS195" s="2102">
        <f t="shared" ref="AS195:AW195" si="305">+AS49</f>
        <v>2536.2950000000001</v>
      </c>
      <c r="AT195" s="2103">
        <f t="shared" si="305"/>
        <v>2594.2269999999999</v>
      </c>
      <c r="AU195" s="2103">
        <f t="shared" si="305"/>
        <v>2542.7550000000001</v>
      </c>
      <c r="AV195" s="2103">
        <f t="shared" si="305"/>
        <v>2548.3040000000001</v>
      </c>
      <c r="AW195" s="2104">
        <f t="shared" si="305"/>
        <v>2548.3040000000001</v>
      </c>
      <c r="AX195" s="2099"/>
      <c r="AY195" s="2102">
        <f t="shared" ref="AY195:BC195" si="306">+AY49</f>
        <v>2625.3540000000003</v>
      </c>
      <c r="AZ195" s="2103">
        <f t="shared" si="306"/>
        <v>2632.1490000000003</v>
      </c>
      <c r="BA195" s="2103">
        <f t="shared" si="306"/>
        <v>2702.123</v>
      </c>
      <c r="BB195" s="2103">
        <f t="shared" si="306"/>
        <v>2714.7039999999997</v>
      </c>
      <c r="BC195" s="2104">
        <f t="shared" si="306"/>
        <v>2714.7039999999997</v>
      </c>
      <c r="BD195" s="2099"/>
      <c r="BE195" s="2102">
        <f t="shared" ref="BE195:BI195" si="307">+BE49</f>
        <v>2681.0150000000003</v>
      </c>
      <c r="BF195" s="2103">
        <f t="shared" si="307"/>
        <v>2585.77</v>
      </c>
      <c r="BG195" s="2103">
        <f t="shared" si="307"/>
        <v>2666.3679999999999</v>
      </c>
      <c r="BH195" s="2103">
        <f t="shared" si="307"/>
        <v>2714.3319999999999</v>
      </c>
      <c r="BI195" s="2104">
        <f t="shared" si="307"/>
        <v>2714.3319999999999</v>
      </c>
      <c r="BJ195" s="2099"/>
      <c r="BK195" s="2102">
        <f t="shared" ref="BK195:BO195" si="308">+BK49</f>
        <v>2723.6839999999997</v>
      </c>
      <c r="BL195" s="2103">
        <f t="shared" si="308"/>
        <v>2745.7669999999998</v>
      </c>
      <c r="BM195" s="2103">
        <f t="shared" si="308"/>
        <v>2705.3059999999996</v>
      </c>
      <c r="BN195" s="2103">
        <f t="shared" si="308"/>
        <v>2649.7439999999997</v>
      </c>
      <c r="BO195" s="2104">
        <f t="shared" si="308"/>
        <v>2649.7439999999997</v>
      </c>
      <c r="BP195" s="2099"/>
      <c r="BQ195" s="2102">
        <f t="shared" ref="BQ195:BU195" si="309">+BQ49</f>
        <v>2471.1840000000002</v>
      </c>
      <c r="BR195" s="2103">
        <f t="shared" si="309"/>
        <v>2533.7080000000001</v>
      </c>
      <c r="BS195" s="2103">
        <f t="shared" si="309"/>
        <v>2517.9810000000002</v>
      </c>
      <c r="BT195" s="2103">
        <f t="shared" si="309"/>
        <v>2559.92</v>
      </c>
      <c r="BU195" s="2104">
        <f t="shared" si="309"/>
        <v>2559.92</v>
      </c>
      <c r="BV195" s="2099"/>
      <c r="BW195" s="2102">
        <f t="shared" ref="BW195:CA195" si="310">+BW49</f>
        <v>2624.598</v>
      </c>
      <c r="BX195" s="2103">
        <f t="shared" si="310"/>
        <v>2621.0819999999999</v>
      </c>
      <c r="BY195" s="2103">
        <f t="shared" si="310"/>
        <v>2665.7</v>
      </c>
      <c r="BZ195" s="2103">
        <f t="shared" si="310"/>
        <v>2607.0959999999995</v>
      </c>
      <c r="CA195" s="2104">
        <f t="shared" si="310"/>
        <v>2607.0959999999995</v>
      </c>
      <c r="CB195" s="2099"/>
      <c r="CC195" s="2102">
        <f t="shared" ref="CC195:CG195" si="311">+CC49</f>
        <v>2429.8040000000001</v>
      </c>
      <c r="CD195" s="2103">
        <f t="shared" si="311"/>
        <v>2505.3739999999998</v>
      </c>
      <c r="CE195" s="2103">
        <f t="shared" si="311"/>
        <v>2566.596</v>
      </c>
      <c r="CF195" s="2103">
        <f t="shared" si="311"/>
        <v>2540.9960000000001</v>
      </c>
      <c r="CG195" s="2104">
        <f t="shared" si="311"/>
        <v>2540.9960000000001</v>
      </c>
      <c r="CH195" s="2099"/>
      <c r="CI195" s="2102">
        <f t="shared" ref="CI195:CM195" si="312">+CI49</f>
        <v>2496.1134701694709</v>
      </c>
      <c r="CJ195" s="2103">
        <f t="shared" si="312"/>
        <v>2472.8635889855827</v>
      </c>
      <c r="CK195" s="2103">
        <f t="shared" si="312"/>
        <v>2452.0337432675433</v>
      </c>
      <c r="CL195" s="2103">
        <f t="shared" si="312"/>
        <v>2448.8866556724879</v>
      </c>
      <c r="CM195" s="2104">
        <f t="shared" si="312"/>
        <v>2448.8866556724879</v>
      </c>
      <c r="CN195" s="2099"/>
      <c r="CO195" s="2102">
        <f t="shared" ref="CO195:CS195" si="313">+CO49</f>
        <v>2421.4417792075274</v>
      </c>
      <c r="CP195" s="2103">
        <f t="shared" si="313"/>
        <v>2409.0192524745917</v>
      </c>
      <c r="CQ195" s="2103">
        <f t="shared" si="313"/>
        <v>2401.9167311733272</v>
      </c>
      <c r="CR195" s="2103">
        <f t="shared" si="313"/>
        <v>2414.2492743189073</v>
      </c>
      <c r="CS195" s="2104">
        <f t="shared" si="313"/>
        <v>2414.2492743189073</v>
      </c>
      <c r="CT195" s="2099"/>
      <c r="CU195" s="2102">
        <f t="shared" ref="CU195:CY195" si="314">+CU49</f>
        <v>2413.2557720134901</v>
      </c>
      <c r="CV195" s="2103">
        <f t="shared" si="314"/>
        <v>2430.2956155107076</v>
      </c>
      <c r="CW195" s="2103">
        <f t="shared" si="314"/>
        <v>2453.5929921559227</v>
      </c>
      <c r="CX195" s="2103">
        <f t="shared" si="314"/>
        <v>2498.2875413956899</v>
      </c>
      <c r="CY195" s="2104">
        <f t="shared" si="314"/>
        <v>2498.2875413956899</v>
      </c>
      <c r="CZ195" s="20"/>
      <c r="DA195" s="20"/>
      <c r="DB195" s="20"/>
    </row>
    <row r="196" spans="1:106" ht="11.25" customHeight="1" x14ac:dyDescent="0.2">
      <c r="A196" s="2105" t="s">
        <v>693</v>
      </c>
      <c r="B196" s="39"/>
      <c r="C196" s="2102"/>
      <c r="D196" s="2103"/>
      <c r="E196" s="2103"/>
      <c r="F196" s="2103"/>
      <c r="G196" s="2104"/>
      <c r="H196" s="2099"/>
      <c r="I196" s="2102"/>
      <c r="J196" s="2103"/>
      <c r="K196" s="2103"/>
      <c r="L196" s="2103"/>
      <c r="M196" s="2104"/>
      <c r="N196" s="2099"/>
      <c r="O196" s="2102"/>
      <c r="P196" s="2103"/>
      <c r="Q196" s="2103"/>
      <c r="R196" s="2103"/>
      <c r="S196" s="2104"/>
      <c r="T196" s="2099"/>
      <c r="U196" s="2102"/>
      <c r="V196" s="2103"/>
      <c r="W196" s="2103"/>
      <c r="X196" s="2103"/>
      <c r="Y196" s="2104"/>
      <c r="Z196" s="2099"/>
      <c r="AA196" s="2102"/>
      <c r="AB196" s="2103"/>
      <c r="AC196" s="2103"/>
      <c r="AD196" s="2103"/>
      <c r="AE196" s="2104"/>
      <c r="AF196" s="2099"/>
      <c r="AG196" s="2102"/>
      <c r="AH196" s="2103"/>
      <c r="AI196" s="2103"/>
      <c r="AJ196" s="2103"/>
      <c r="AK196" s="2104"/>
      <c r="AL196" s="2099"/>
      <c r="AM196" s="2102"/>
      <c r="AN196" s="2103"/>
      <c r="AO196" s="2103"/>
      <c r="AP196" s="2103"/>
      <c r="AQ196" s="2104"/>
      <c r="AR196" s="2099"/>
      <c r="AS196" s="2102"/>
      <c r="AT196" s="2103"/>
      <c r="AU196" s="2103"/>
      <c r="AV196" s="2103"/>
      <c r="AW196" s="2104"/>
      <c r="AX196" s="2099"/>
      <c r="AY196" s="2102"/>
      <c r="AZ196" s="2103"/>
      <c r="BA196" s="2103"/>
      <c r="BB196" s="2103"/>
      <c r="BC196" s="2104"/>
      <c r="BD196" s="2099"/>
      <c r="BE196" s="2102"/>
      <c r="BF196" s="2103"/>
      <c r="BG196" s="2103"/>
      <c r="BH196" s="2103"/>
      <c r="BI196" s="2104"/>
      <c r="BJ196" s="2099"/>
      <c r="BK196" s="2102"/>
      <c r="BL196" s="2103"/>
      <c r="BM196" s="2103"/>
      <c r="BN196" s="2103"/>
      <c r="BO196" s="2104"/>
      <c r="BP196" s="2099"/>
      <c r="BQ196" s="2102"/>
      <c r="BR196" s="2103"/>
      <c r="BS196" s="2103"/>
      <c r="BT196" s="2103"/>
      <c r="BU196" s="2104"/>
      <c r="BV196" s="2099"/>
      <c r="BW196" s="2102"/>
      <c r="BX196" s="2103"/>
      <c r="BY196" s="2103"/>
      <c r="BZ196" s="2103"/>
      <c r="CA196" s="2104"/>
      <c r="CB196" s="2099"/>
      <c r="CC196" s="2102"/>
      <c r="CD196" s="2103"/>
      <c r="CE196" s="2103"/>
      <c r="CF196" s="2103"/>
      <c r="CG196" s="2104"/>
      <c r="CH196" s="2099"/>
      <c r="CI196" s="2102"/>
      <c r="CJ196" s="2103"/>
      <c r="CK196" s="2103"/>
      <c r="CL196" s="2103"/>
      <c r="CM196" s="2104"/>
      <c r="CN196" s="2099"/>
      <c r="CO196" s="2102"/>
      <c r="CP196" s="2103"/>
      <c r="CQ196" s="2103"/>
      <c r="CR196" s="2103"/>
      <c r="CS196" s="2104"/>
      <c r="CT196" s="2099"/>
      <c r="CU196" s="2102"/>
      <c r="CV196" s="2103"/>
      <c r="CW196" s="2103"/>
      <c r="CX196" s="2103"/>
      <c r="CY196" s="2104"/>
      <c r="CZ196" s="20"/>
      <c r="DA196" s="20"/>
      <c r="DB196" s="20"/>
    </row>
    <row r="197" spans="1:106" ht="11.25" customHeight="1" x14ac:dyDescent="0.2">
      <c r="A197" s="2087" t="s">
        <v>694</v>
      </c>
      <c r="B197" s="39"/>
      <c r="C197" s="2102"/>
      <c r="D197" s="2103"/>
      <c r="E197" s="2103"/>
      <c r="F197" s="2103"/>
      <c r="G197" s="2104"/>
      <c r="H197" s="2099"/>
      <c r="I197" s="2102"/>
      <c r="J197" s="2103"/>
      <c r="K197" s="2103"/>
      <c r="L197" s="2103"/>
      <c r="M197" s="2104"/>
      <c r="N197" s="2099"/>
      <c r="O197" s="2102"/>
      <c r="P197" s="2103"/>
      <c r="Q197" s="2103"/>
      <c r="R197" s="2103"/>
      <c r="S197" s="2104"/>
      <c r="T197" s="2099"/>
      <c r="U197" s="2102"/>
      <c r="V197" s="2103"/>
      <c r="W197" s="2103"/>
      <c r="X197" s="2103"/>
      <c r="Y197" s="2104"/>
      <c r="Z197" s="2099"/>
      <c r="AA197" s="2102"/>
      <c r="AB197" s="2103"/>
      <c r="AC197" s="2103"/>
      <c r="AD197" s="2103"/>
      <c r="AE197" s="2104"/>
      <c r="AF197" s="2099"/>
      <c r="AG197" s="2102"/>
      <c r="AH197" s="2103"/>
      <c r="AI197" s="2103"/>
      <c r="AJ197" s="2103"/>
      <c r="AK197" s="2104"/>
      <c r="AL197" s="2099"/>
      <c r="AM197" s="2102"/>
      <c r="AN197" s="2103"/>
      <c r="AO197" s="2103"/>
      <c r="AP197" s="2103"/>
      <c r="AQ197" s="2104"/>
      <c r="AR197" s="2099"/>
      <c r="AS197" s="2102"/>
      <c r="AT197" s="2103"/>
      <c r="AU197" s="2103"/>
      <c r="AV197" s="2103"/>
      <c r="AW197" s="2104"/>
      <c r="AX197" s="2099"/>
      <c r="AY197" s="2102"/>
      <c r="AZ197" s="2103"/>
      <c r="BA197" s="2103"/>
      <c r="BB197" s="2103"/>
      <c r="BC197" s="2104"/>
      <c r="BD197" s="2099"/>
      <c r="BE197" s="2102"/>
      <c r="BF197" s="2103"/>
      <c r="BG197" s="2103"/>
      <c r="BH197" s="2103"/>
      <c r="BI197" s="2104"/>
      <c r="BJ197" s="2099"/>
      <c r="BK197" s="2102"/>
      <c r="BL197" s="2103"/>
      <c r="BM197" s="2103"/>
      <c r="BN197" s="2103"/>
      <c r="BO197" s="2104"/>
      <c r="BP197" s="2099"/>
      <c r="BQ197" s="2102"/>
      <c r="BR197" s="2103"/>
      <c r="BS197" s="2103"/>
      <c r="BT197" s="2103"/>
      <c r="BU197" s="2104"/>
      <c r="BV197" s="2099"/>
      <c r="BW197" s="2102"/>
      <c r="BX197" s="2103"/>
      <c r="BY197" s="2103"/>
      <c r="BZ197" s="2103"/>
      <c r="CA197" s="2104"/>
      <c r="CB197" s="2099"/>
      <c r="CC197" s="2102"/>
      <c r="CD197" s="2103"/>
      <c r="CE197" s="2103"/>
      <c r="CF197" s="2103"/>
      <c r="CG197" s="2104"/>
      <c r="CH197" s="2099"/>
      <c r="CI197" s="2102"/>
      <c r="CJ197" s="2103"/>
      <c r="CK197" s="2103"/>
      <c r="CL197" s="2103"/>
      <c r="CM197" s="2104"/>
      <c r="CN197" s="2099"/>
      <c r="CO197" s="2102"/>
      <c r="CP197" s="2103"/>
      <c r="CQ197" s="2103"/>
      <c r="CR197" s="2103"/>
      <c r="CS197" s="2104"/>
      <c r="CT197" s="2099"/>
      <c r="CU197" s="2102"/>
      <c r="CV197" s="2103"/>
      <c r="CW197" s="2103"/>
      <c r="CX197" s="2103"/>
      <c r="CY197" s="2104"/>
      <c r="CZ197" s="20"/>
      <c r="DA197" s="20"/>
      <c r="DB197" s="20"/>
    </row>
    <row r="198" spans="1:106" ht="11.25" customHeight="1" x14ac:dyDescent="0.2">
      <c r="A198" s="2073" t="s">
        <v>695</v>
      </c>
      <c r="B198" s="39"/>
      <c r="C198" s="2102"/>
      <c r="D198" s="2103"/>
      <c r="E198" s="2103"/>
      <c r="F198" s="2103"/>
      <c r="G198" s="2104"/>
      <c r="H198" s="2099"/>
      <c r="I198" s="2102">
        <f>-I10</f>
        <v>-210.31399999999999</v>
      </c>
      <c r="J198" s="2103">
        <f t="shared" ref="J198:M198" si="315">-J10</f>
        <v>-156.995</v>
      </c>
      <c r="K198" s="2103">
        <f t="shared" si="315"/>
        <v>-171.19200000000001</v>
      </c>
      <c r="L198" s="2103">
        <f t="shared" si="315"/>
        <v>-191.70000000000002</v>
      </c>
      <c r="M198" s="2104">
        <f t="shared" si="315"/>
        <v>-191.70000000000002</v>
      </c>
      <c r="N198" s="2099"/>
      <c r="O198" s="2102">
        <f t="shared" ref="O198:S198" si="316">-O10</f>
        <v>-197.738</v>
      </c>
      <c r="P198" s="2103">
        <f t="shared" si="316"/>
        <v>-473.45699999999999</v>
      </c>
      <c r="Q198" s="2103">
        <f t="shared" si="316"/>
        <v>-491.98399999999998</v>
      </c>
      <c r="R198" s="2103">
        <f t="shared" si="316"/>
        <v>-430.35699999999997</v>
      </c>
      <c r="S198" s="2104">
        <f t="shared" si="316"/>
        <v>-430.35699999999997</v>
      </c>
      <c r="T198" s="2099"/>
      <c r="U198" s="2102">
        <f t="shared" ref="U198:Y198" si="317">-U10</f>
        <v>-386.06999999999994</v>
      </c>
      <c r="V198" s="2103">
        <f t="shared" si="317"/>
        <v>-380.37099999999992</v>
      </c>
      <c r="W198" s="2103">
        <f t="shared" si="317"/>
        <v>-308.685</v>
      </c>
      <c r="X198" s="2103">
        <f t="shared" si="317"/>
        <v>-347.32000000000005</v>
      </c>
      <c r="Y198" s="2104">
        <f t="shared" si="317"/>
        <v>-347.31999999999994</v>
      </c>
      <c r="Z198" s="2099"/>
      <c r="AA198" s="2102">
        <f t="shared" ref="AA198:AE198" si="318">-AA10</f>
        <v>-351.56099999999992</v>
      </c>
      <c r="AB198" s="2103">
        <f t="shared" si="318"/>
        <v>-380.66699999999992</v>
      </c>
      <c r="AC198" s="2103">
        <f t="shared" si="318"/>
        <v>-326.03399999999988</v>
      </c>
      <c r="AD198" s="2103">
        <f t="shared" si="318"/>
        <v>-333.31299999999987</v>
      </c>
      <c r="AE198" s="2104">
        <f t="shared" si="318"/>
        <v>-333.31299999999993</v>
      </c>
      <c r="AF198" s="2099"/>
      <c r="AG198" s="2102">
        <f t="shared" ref="AG198:AK198" si="319">-AG10</f>
        <v>-337.03599999999994</v>
      </c>
      <c r="AH198" s="2103">
        <f t="shared" si="319"/>
        <v>-390.31099999999998</v>
      </c>
      <c r="AI198" s="2103">
        <f t="shared" si="319"/>
        <v>-861.27299999999991</v>
      </c>
      <c r="AJ198" s="2103">
        <f t="shared" si="319"/>
        <v>-825.5569999999999</v>
      </c>
      <c r="AK198" s="2104">
        <f t="shared" si="319"/>
        <v>-825.5569999999999</v>
      </c>
      <c r="AL198" s="2099"/>
      <c r="AM198" s="2102">
        <f t="shared" ref="AM198:AQ198" si="320">-AM10</f>
        <v>-794.77</v>
      </c>
      <c r="AN198" s="2103">
        <f t="shared" si="320"/>
        <v>-844.20899999999995</v>
      </c>
      <c r="AO198" s="2103">
        <f t="shared" si="320"/>
        <v>-807.75199999999995</v>
      </c>
      <c r="AP198" s="2103">
        <f t="shared" si="320"/>
        <v>-828.40699999999993</v>
      </c>
      <c r="AQ198" s="2104">
        <f t="shared" si="320"/>
        <v>-828.40699999999993</v>
      </c>
      <c r="AR198" s="2099"/>
      <c r="AS198" s="2102">
        <f t="shared" ref="AS198:AW198" si="321">-AS10</f>
        <v>-776.5809999999999</v>
      </c>
      <c r="AT198" s="2103">
        <f t="shared" si="321"/>
        <v>-787.8649999999999</v>
      </c>
      <c r="AU198" s="2103">
        <f t="shared" si="321"/>
        <v>-393.8499999999998</v>
      </c>
      <c r="AV198" s="2103">
        <f t="shared" si="321"/>
        <v>-221.13299999999975</v>
      </c>
      <c r="AW198" s="2104">
        <f t="shared" si="321"/>
        <v>-221.13299999999992</v>
      </c>
      <c r="AX198" s="2099"/>
      <c r="AY198" s="2102">
        <f t="shared" ref="AY198:BC198" si="322">-AY10</f>
        <v>-219.85499999999993</v>
      </c>
      <c r="AZ198" s="2103">
        <f t="shared" si="322"/>
        <v>-214.00799999999992</v>
      </c>
      <c r="BA198" s="2103">
        <f t="shared" si="322"/>
        <v>-258.22899999999993</v>
      </c>
      <c r="BB198" s="2103">
        <f t="shared" si="322"/>
        <v>-394.03699999999992</v>
      </c>
      <c r="BC198" s="2104">
        <f t="shared" si="322"/>
        <v>-394.03699999999992</v>
      </c>
      <c r="BD198" s="2099"/>
      <c r="BE198" s="2102">
        <f t="shared" ref="BE198:BI198" si="323">-BE10</f>
        <v>-372.75699999999983</v>
      </c>
      <c r="BF198" s="2103">
        <f t="shared" si="323"/>
        <v>-299.81899999999985</v>
      </c>
      <c r="BG198" s="2103">
        <f t="shared" si="323"/>
        <v>-279.98799999999983</v>
      </c>
      <c r="BH198" s="2103">
        <f t="shared" si="323"/>
        <v>-330.30299999999983</v>
      </c>
      <c r="BI198" s="2104">
        <f t="shared" si="323"/>
        <v>-330.30299999999983</v>
      </c>
      <c r="BJ198" s="2099"/>
      <c r="BK198" s="2102">
        <f t="shared" ref="BK198:BO198" si="324">-BK10</f>
        <v>-564.27199999999993</v>
      </c>
      <c r="BL198" s="2103">
        <f t="shared" si="324"/>
        <v>-418.93399999999986</v>
      </c>
      <c r="BM198" s="2103">
        <f t="shared" si="324"/>
        <v>-484.20999999999981</v>
      </c>
      <c r="BN198" s="2103">
        <f t="shared" si="324"/>
        <v>-392.66699999999986</v>
      </c>
      <c r="BO198" s="2104">
        <f t="shared" si="324"/>
        <v>-392.66699999999975</v>
      </c>
      <c r="BP198" s="2099"/>
      <c r="BQ198" s="2102">
        <f t="shared" ref="BQ198:BU198" si="325">-BQ10</f>
        <v>-287.81099999999981</v>
      </c>
      <c r="BR198" s="2103">
        <f t="shared" si="325"/>
        <v>-234.32999999999981</v>
      </c>
      <c r="BS198" s="2103">
        <f t="shared" si="325"/>
        <v>-330.95099999999979</v>
      </c>
      <c r="BT198" s="2103">
        <f t="shared" si="325"/>
        <v>-290.01099999999985</v>
      </c>
      <c r="BU198" s="2104">
        <f t="shared" si="325"/>
        <v>-290.01099999999974</v>
      </c>
      <c r="BV198" s="2099"/>
      <c r="BW198" s="2102">
        <f t="shared" ref="BW198:CA198" si="326">-BW10</f>
        <v>-355.78499999999974</v>
      </c>
      <c r="BX198" s="2103">
        <f t="shared" si="326"/>
        <v>-328.15699999999975</v>
      </c>
      <c r="BY198" s="2103">
        <f t="shared" si="326"/>
        <v>-354.64599999999967</v>
      </c>
      <c r="BZ198" s="2103">
        <f t="shared" si="326"/>
        <v>-439.17999999999972</v>
      </c>
      <c r="CA198" s="2104">
        <f t="shared" si="326"/>
        <v>-439.17999999999978</v>
      </c>
      <c r="CB198" s="2099"/>
      <c r="CC198" s="2102">
        <f t="shared" ref="CC198:CG198" si="327">-CC10</f>
        <v>-245.44599999999977</v>
      </c>
      <c r="CD198" s="2103">
        <f t="shared" si="327"/>
        <v>-542.84099999999978</v>
      </c>
      <c r="CE198" s="2103">
        <f t="shared" si="327"/>
        <v>-671.75099999999975</v>
      </c>
      <c r="CF198" s="2103">
        <f t="shared" si="327"/>
        <v>-657.71399999999994</v>
      </c>
      <c r="CG198" s="2104">
        <f t="shared" si="327"/>
        <v>-657.71399999999994</v>
      </c>
      <c r="CH198" s="2099"/>
      <c r="CI198" s="2102">
        <f t="shared" ref="CI198:CM198" si="328">-CI10</f>
        <v>-653.10851546742424</v>
      </c>
      <c r="CJ198" s="2103">
        <f t="shared" si="328"/>
        <v>-632.4377082250877</v>
      </c>
      <c r="CK198" s="2103">
        <f t="shared" si="328"/>
        <v>-578.40583830112939</v>
      </c>
      <c r="CL198" s="2103">
        <f t="shared" si="328"/>
        <v>-615.41544111346411</v>
      </c>
      <c r="CM198" s="2104">
        <f t="shared" si="328"/>
        <v>-615.41544111346411</v>
      </c>
      <c r="CN198" s="2099"/>
      <c r="CO198" s="2102">
        <f t="shared" ref="CO198:CS198" si="329">-CO10</f>
        <v>-668.09187402808436</v>
      </c>
      <c r="CP198" s="2103">
        <f t="shared" si="329"/>
        <v>-673.00104294696462</v>
      </c>
      <c r="CQ198" s="2103">
        <f t="shared" si="329"/>
        <v>-621.09621669596527</v>
      </c>
      <c r="CR198" s="2103">
        <f t="shared" si="329"/>
        <v>-665.71756513920764</v>
      </c>
      <c r="CS198" s="2104">
        <f t="shared" si="329"/>
        <v>-665.71756513920764</v>
      </c>
      <c r="CT198" s="2099"/>
      <c r="CU198" s="2102">
        <f t="shared" ref="CU198:CY198" si="330">-CU10</f>
        <v>-753.34752713910893</v>
      </c>
      <c r="CV198" s="2103">
        <f t="shared" si="330"/>
        <v>-788.6013188684251</v>
      </c>
      <c r="CW198" s="2103">
        <f t="shared" si="330"/>
        <v>-750.20261024725744</v>
      </c>
      <c r="CX198" s="2103">
        <f t="shared" si="330"/>
        <v>-824.23982824323991</v>
      </c>
      <c r="CY198" s="2104">
        <f t="shared" si="330"/>
        <v>-824.23982824323991</v>
      </c>
      <c r="CZ198" s="20"/>
      <c r="DA198" s="20"/>
      <c r="DB198" s="20"/>
    </row>
    <row r="199" spans="1:106" ht="11.25" customHeight="1" x14ac:dyDescent="0.2">
      <c r="A199" s="2073" t="s">
        <v>696</v>
      </c>
      <c r="B199" s="39"/>
      <c r="C199" s="2102"/>
      <c r="D199" s="2103"/>
      <c r="E199" s="2103"/>
      <c r="F199" s="2103"/>
      <c r="G199" s="2104"/>
      <c r="H199" s="2099"/>
      <c r="I199" s="2102">
        <f>-I11</f>
        <v>-34.744</v>
      </c>
      <c r="J199" s="2103">
        <f t="shared" ref="J199:M199" si="331">-J11</f>
        <v>-51.759</v>
      </c>
      <c r="K199" s="2103">
        <f t="shared" si="331"/>
        <v>-40.006999999999998</v>
      </c>
      <c r="L199" s="2103">
        <f t="shared" si="331"/>
        <v>-15</v>
      </c>
      <c r="M199" s="2104">
        <f t="shared" si="331"/>
        <v>-15</v>
      </c>
      <c r="N199" s="2099"/>
      <c r="O199" s="2102">
        <f t="shared" ref="O199:S199" si="332">-O11</f>
        <v>-15</v>
      </c>
      <c r="P199" s="2103">
        <f t="shared" si="332"/>
        <v>-10.5</v>
      </c>
      <c r="Q199" s="2103">
        <f t="shared" si="332"/>
        <v>0</v>
      </c>
      <c r="R199" s="2103">
        <f t="shared" si="332"/>
        <v>-52.781999999999996</v>
      </c>
      <c r="S199" s="2104">
        <f t="shared" si="332"/>
        <v>-52.781999999999996</v>
      </c>
      <c r="T199" s="2099"/>
      <c r="U199" s="2102">
        <f t="shared" ref="U199:Y199" si="333">-U11</f>
        <v>-98.805000000000007</v>
      </c>
      <c r="V199" s="2103">
        <f t="shared" si="333"/>
        <v>-99.3</v>
      </c>
      <c r="W199" s="2103">
        <f t="shared" si="333"/>
        <v>0</v>
      </c>
      <c r="X199" s="2103">
        <f t="shared" si="333"/>
        <v>-2.3130000000000002</v>
      </c>
      <c r="Y199" s="2104">
        <f t="shared" si="333"/>
        <v>-2.3130000000000002</v>
      </c>
      <c r="Z199" s="2099"/>
      <c r="AA199" s="2102">
        <f t="shared" ref="AA199:AE199" si="334">-AA11</f>
        <v>0</v>
      </c>
      <c r="AB199" s="2103">
        <f t="shared" si="334"/>
        <v>0</v>
      </c>
      <c r="AC199" s="2103">
        <f t="shared" si="334"/>
        <v>0</v>
      </c>
      <c r="AD199" s="2103">
        <f t="shared" si="334"/>
        <v>0</v>
      </c>
      <c r="AE199" s="2104">
        <f t="shared" si="334"/>
        <v>0</v>
      </c>
      <c r="AF199" s="2099"/>
      <c r="AG199" s="2102">
        <f t="shared" ref="AG199:AK199" si="335">-AG11</f>
        <v>0</v>
      </c>
      <c r="AH199" s="2103">
        <f t="shared" si="335"/>
        <v>0</v>
      </c>
      <c r="AI199" s="2103">
        <f t="shared" si="335"/>
        <v>0</v>
      </c>
      <c r="AJ199" s="2103">
        <f t="shared" si="335"/>
        <v>-40</v>
      </c>
      <c r="AK199" s="2104">
        <f t="shared" si="335"/>
        <v>-40</v>
      </c>
      <c r="AL199" s="2099"/>
      <c r="AM199" s="2102">
        <f t="shared" ref="AM199:AQ199" si="336">-AM11</f>
        <v>-94</v>
      </c>
      <c r="AN199" s="2103">
        <f t="shared" si="336"/>
        <v>-74</v>
      </c>
      <c r="AO199" s="2103">
        <f t="shared" si="336"/>
        <v>-79.552000000000007</v>
      </c>
      <c r="AP199" s="2103">
        <f t="shared" si="336"/>
        <v>-106.077</v>
      </c>
      <c r="AQ199" s="2104">
        <f t="shared" si="336"/>
        <v>-106.077</v>
      </c>
      <c r="AR199" s="2099"/>
      <c r="AS199" s="2102">
        <f t="shared" ref="AS199:AW199" si="337">-AS11</f>
        <v>-162.346</v>
      </c>
      <c r="AT199" s="2103">
        <f t="shared" si="337"/>
        <v>-165.624</v>
      </c>
      <c r="AU199" s="2103">
        <f t="shared" si="337"/>
        <v>-92.497</v>
      </c>
      <c r="AV199" s="2103">
        <f t="shared" si="337"/>
        <v>-54.576999999999998</v>
      </c>
      <c r="AW199" s="2104">
        <f t="shared" si="337"/>
        <v>-54.576999999999998</v>
      </c>
      <c r="AX199" s="2099"/>
      <c r="AY199" s="2102">
        <f t="shared" ref="AY199:BC199" si="338">-AY11</f>
        <v>-55.503</v>
      </c>
      <c r="AZ199" s="2103">
        <f t="shared" si="338"/>
        <v>-52.319000000000003</v>
      </c>
      <c r="BA199" s="2103">
        <f t="shared" si="338"/>
        <v>-53.084000000000003</v>
      </c>
      <c r="BB199" s="2103">
        <f t="shared" si="338"/>
        <v>-90.450999999999993</v>
      </c>
      <c r="BC199" s="2104">
        <f t="shared" si="338"/>
        <v>-90.450999999999993</v>
      </c>
      <c r="BD199" s="2099"/>
      <c r="BE199" s="2102">
        <f t="shared" ref="BE199:BI199" si="339">-BE11</f>
        <v>-87.784000000000006</v>
      </c>
      <c r="BF199" s="2103">
        <f t="shared" si="339"/>
        <v>-73.379000000000005</v>
      </c>
      <c r="BG199" s="2103">
        <f t="shared" si="339"/>
        <v>-75.763000000000005</v>
      </c>
      <c r="BH199" s="2103">
        <f t="shared" si="339"/>
        <v>-49.923000000000002</v>
      </c>
      <c r="BI199" s="2104">
        <f t="shared" si="339"/>
        <v>-49.923000000000002</v>
      </c>
      <c r="BJ199" s="2099"/>
      <c r="BK199" s="2102">
        <f t="shared" ref="BK199:BO199" si="340">-BK11</f>
        <v>-113.70099999999999</v>
      </c>
      <c r="BL199" s="2103">
        <f t="shared" si="340"/>
        <v>-235.834</v>
      </c>
      <c r="BM199" s="2103">
        <f t="shared" si="340"/>
        <v>-207.81399999999999</v>
      </c>
      <c r="BN199" s="2103">
        <f t="shared" si="340"/>
        <v>-184.036</v>
      </c>
      <c r="BO199" s="2104">
        <f t="shared" si="340"/>
        <v>-184.036</v>
      </c>
      <c r="BP199" s="2099"/>
      <c r="BQ199" s="2102">
        <f t="shared" ref="BQ199:BU199" si="341">-BQ11</f>
        <v>-113.166</v>
      </c>
      <c r="BR199" s="2103">
        <f t="shared" si="341"/>
        <v>-137.173</v>
      </c>
      <c r="BS199" s="2103">
        <f t="shared" si="341"/>
        <v>-101.16</v>
      </c>
      <c r="BT199" s="2103">
        <f t="shared" si="341"/>
        <v>-130.81700000000001</v>
      </c>
      <c r="BU199" s="2104">
        <f t="shared" si="341"/>
        <v>-130.81700000000001</v>
      </c>
      <c r="BV199" s="2099"/>
      <c r="BW199" s="2102">
        <f t="shared" ref="BW199:CA199" si="342">-BW11</f>
        <v>-91.474000000000004</v>
      </c>
      <c r="BX199" s="2103">
        <f t="shared" si="342"/>
        <v>-78.281999999999996</v>
      </c>
      <c r="BY199" s="2103">
        <f t="shared" si="342"/>
        <v>-109.693</v>
      </c>
      <c r="BZ199" s="2103">
        <f t="shared" si="342"/>
        <v>-92.998999999999995</v>
      </c>
      <c r="CA199" s="2104">
        <f t="shared" si="342"/>
        <v>-92.998999999999995</v>
      </c>
      <c r="CB199" s="2099"/>
      <c r="CC199" s="2102">
        <f t="shared" ref="CC199:CG199" si="343">-CC11</f>
        <v>-27.943000000000001</v>
      </c>
      <c r="CD199" s="2103">
        <f t="shared" si="343"/>
        <v>-66.006</v>
      </c>
      <c r="CE199" s="2103">
        <f t="shared" si="343"/>
        <v>-303.19499999999999</v>
      </c>
      <c r="CF199" s="2103">
        <f t="shared" si="343"/>
        <v>-359.19799999999998</v>
      </c>
      <c r="CG199" s="2104">
        <f t="shared" si="343"/>
        <v>-359.19799999999998</v>
      </c>
      <c r="CH199" s="2099"/>
      <c r="CI199" s="2102">
        <f t="shared" ref="CI199:CM199" si="344">-CI11</f>
        <v>-359.19799999999998</v>
      </c>
      <c r="CJ199" s="2103">
        <f t="shared" si="344"/>
        <v>-359.19799999999998</v>
      </c>
      <c r="CK199" s="2103">
        <f t="shared" si="344"/>
        <v>-359.19799999999998</v>
      </c>
      <c r="CL199" s="2103">
        <f t="shared" si="344"/>
        <v>-359.19799999999998</v>
      </c>
      <c r="CM199" s="2104">
        <f t="shared" si="344"/>
        <v>-359.19799999999998</v>
      </c>
      <c r="CN199" s="2099"/>
      <c r="CO199" s="2102">
        <f t="shared" ref="CO199:CS199" si="345">-CO11</f>
        <v>-359.19799999999998</v>
      </c>
      <c r="CP199" s="2103">
        <f t="shared" si="345"/>
        <v>-359.19799999999998</v>
      </c>
      <c r="CQ199" s="2103">
        <f t="shared" si="345"/>
        <v>-359.19799999999998</v>
      </c>
      <c r="CR199" s="2103">
        <f t="shared" si="345"/>
        <v>-359.19799999999998</v>
      </c>
      <c r="CS199" s="2104">
        <f t="shared" si="345"/>
        <v>-359.19799999999998</v>
      </c>
      <c r="CT199" s="2099"/>
      <c r="CU199" s="2102">
        <f t="shared" ref="CU199:CY199" si="346">-CU11</f>
        <v>-359.19799999999998</v>
      </c>
      <c r="CV199" s="2103">
        <f t="shared" si="346"/>
        <v>-359.19799999999998</v>
      </c>
      <c r="CW199" s="2103">
        <f t="shared" si="346"/>
        <v>-359.19799999999998</v>
      </c>
      <c r="CX199" s="2103">
        <f t="shared" si="346"/>
        <v>-359.19799999999998</v>
      </c>
      <c r="CY199" s="2104">
        <f t="shared" si="346"/>
        <v>-359.19799999999998</v>
      </c>
      <c r="CZ199" s="20"/>
      <c r="DA199" s="20"/>
      <c r="DB199" s="20"/>
    </row>
    <row r="200" spans="1:106" ht="11.25" customHeight="1" x14ac:dyDescent="0.2">
      <c r="A200" s="2073" t="s">
        <v>697</v>
      </c>
      <c r="B200" s="39"/>
      <c r="C200" s="2102"/>
      <c r="D200" s="2103"/>
      <c r="E200" s="2103"/>
      <c r="F200" s="2103"/>
      <c r="G200" s="2104"/>
      <c r="H200" s="2099"/>
      <c r="I200" s="2102">
        <f>-I21</f>
        <v>-54.164999999999999</v>
      </c>
      <c r="J200" s="2103">
        <f t="shared" ref="J200:M200" si="347">-J21</f>
        <v>-81.531999999999996</v>
      </c>
      <c r="K200" s="2103">
        <f t="shared" si="347"/>
        <v>-83.188000000000002</v>
      </c>
      <c r="L200" s="2103">
        <f t="shared" si="347"/>
        <v>-93.914000000000001</v>
      </c>
      <c r="M200" s="2104">
        <f t="shared" si="347"/>
        <v>-93.914000000000001</v>
      </c>
      <c r="N200" s="2099"/>
      <c r="O200" s="2102">
        <f t="shared" ref="O200:S200" si="348">-O21</f>
        <v>-100.74299999999999</v>
      </c>
      <c r="P200" s="2103">
        <f t="shared" si="348"/>
        <v>-132.68799999999999</v>
      </c>
      <c r="Q200" s="2103">
        <f t="shared" si="348"/>
        <v>-140.411</v>
      </c>
      <c r="R200" s="2103">
        <f t="shared" si="348"/>
        <v>-160.14099999999999</v>
      </c>
      <c r="S200" s="2104">
        <f t="shared" si="348"/>
        <v>-160.14099999999999</v>
      </c>
      <c r="T200" s="2099"/>
      <c r="U200" s="2102">
        <f t="shared" ref="U200:Y200" si="349">-U21</f>
        <v>-153.38300000000001</v>
      </c>
      <c r="V200" s="2103">
        <f t="shared" si="349"/>
        <v>-159.01300000000001</v>
      </c>
      <c r="W200" s="2103">
        <f t="shared" si="349"/>
        <v>-1113.4970000000001</v>
      </c>
      <c r="X200" s="2103">
        <f t="shared" si="349"/>
        <v>-1107.8820000000001</v>
      </c>
      <c r="Y200" s="2104">
        <f t="shared" si="349"/>
        <v>-1107.8820000000001</v>
      </c>
      <c r="Z200" s="2099"/>
      <c r="AA200" s="2102">
        <f t="shared" ref="AA200:AE200" si="350">-AA21</f>
        <v>-1113.354</v>
      </c>
      <c r="AB200" s="2103">
        <f t="shared" si="350"/>
        <v>-1116.518</v>
      </c>
      <c r="AC200" s="2103">
        <f t="shared" si="350"/>
        <v>-1134.327</v>
      </c>
      <c r="AD200" s="2103">
        <f t="shared" si="350"/>
        <v>-1152.105</v>
      </c>
      <c r="AE200" s="2104">
        <f t="shared" si="350"/>
        <v>-1152.105</v>
      </c>
      <c r="AF200" s="2099"/>
      <c r="AG200" s="2102">
        <f t="shared" ref="AG200:AK200" si="351">-AG21</f>
        <v>-1148.924</v>
      </c>
      <c r="AH200" s="2103">
        <f t="shared" si="351"/>
        <v>-1169.617</v>
      </c>
      <c r="AI200" s="2103">
        <f t="shared" si="351"/>
        <v>-1273.7539999999999</v>
      </c>
      <c r="AJ200" s="2103">
        <f t="shared" si="351"/>
        <v>-1337.0640000000001</v>
      </c>
      <c r="AK200" s="2104">
        <f t="shared" si="351"/>
        <v>-1337.0640000000001</v>
      </c>
      <c r="AL200" s="2099"/>
      <c r="AM200" s="2102">
        <f t="shared" ref="AM200:AQ200" si="352">-AM21</f>
        <v>-1328.16</v>
      </c>
      <c r="AN200" s="2103">
        <f t="shared" si="352"/>
        <v>-1316.9549999999999</v>
      </c>
      <c r="AO200" s="2103">
        <f t="shared" si="352"/>
        <v>-1348.4390000000001</v>
      </c>
      <c r="AP200" s="2103">
        <f t="shared" si="352"/>
        <v>-1352.2809999999999</v>
      </c>
      <c r="AQ200" s="2104">
        <f t="shared" si="352"/>
        <v>-1352.2809999999999</v>
      </c>
      <c r="AR200" s="2099"/>
      <c r="AS200" s="2102">
        <f t="shared" ref="AS200:AW200" si="353">-AS21</f>
        <v>-1364.183</v>
      </c>
      <c r="AT200" s="2103">
        <f t="shared" si="353"/>
        <v>-1370.749</v>
      </c>
      <c r="AU200" s="2103">
        <f t="shared" si="353"/>
        <v>-1658.598</v>
      </c>
      <c r="AV200" s="2103">
        <f t="shared" si="353"/>
        <v>-1733.722</v>
      </c>
      <c r="AW200" s="2104">
        <f t="shared" si="353"/>
        <v>-1733.722</v>
      </c>
      <c r="AX200" s="2099"/>
      <c r="AY200" s="2102">
        <f t="shared" ref="AY200:BC200" si="354">-AY21</f>
        <v>-1743.0219999999999</v>
      </c>
      <c r="AZ200" s="2103">
        <f t="shared" si="354"/>
        <v>-1752.23</v>
      </c>
      <c r="BA200" s="2103">
        <f t="shared" si="354"/>
        <v>-1758.627</v>
      </c>
      <c r="BB200" s="2103">
        <f t="shared" si="354"/>
        <v>-1759.8979999999999</v>
      </c>
      <c r="BC200" s="2104">
        <f t="shared" si="354"/>
        <v>-1759.8979999999999</v>
      </c>
      <c r="BD200" s="2099"/>
      <c r="BE200" s="2102">
        <f t="shared" ref="BE200:BI200" si="355">-BE21</f>
        <v>-1756.2339999999999</v>
      </c>
      <c r="BF200" s="2103">
        <f t="shared" si="355"/>
        <v>-1791.789</v>
      </c>
      <c r="BG200" s="2103">
        <f t="shared" si="355"/>
        <v>-1865.8219999999999</v>
      </c>
      <c r="BH200" s="2103">
        <f t="shared" si="355"/>
        <v>-1855.691</v>
      </c>
      <c r="BI200" s="2104">
        <f t="shared" si="355"/>
        <v>-1855.691</v>
      </c>
      <c r="BJ200" s="2099"/>
      <c r="BK200" s="2102">
        <f t="shared" ref="BK200:BO200" si="356">-BK21</f>
        <v>-1864.0219999999999</v>
      </c>
      <c r="BL200" s="2103">
        <f t="shared" si="356"/>
        <v>-1882.4680000000001</v>
      </c>
      <c r="BM200" s="2103">
        <f t="shared" si="356"/>
        <v>-1833.473</v>
      </c>
      <c r="BN200" s="2103">
        <f t="shared" si="356"/>
        <v>-1887.963</v>
      </c>
      <c r="BO200" s="2104">
        <f t="shared" si="356"/>
        <v>-1887.963</v>
      </c>
      <c r="BP200" s="2099"/>
      <c r="BQ200" s="2102">
        <f t="shared" ref="BQ200:BU200" si="357">-BQ21</f>
        <v>-1862.3710000000001</v>
      </c>
      <c r="BR200" s="2103">
        <f t="shared" si="357"/>
        <v>-1872.067</v>
      </c>
      <c r="BS200" s="2103">
        <f t="shared" si="357"/>
        <v>-1846.471</v>
      </c>
      <c r="BT200" s="2103">
        <f t="shared" si="357"/>
        <v>-1875.6980000000001</v>
      </c>
      <c r="BU200" s="2104">
        <f t="shared" si="357"/>
        <v>-1875.6980000000001</v>
      </c>
      <c r="BV200" s="2099"/>
      <c r="BW200" s="2102">
        <f t="shared" ref="BW200:CA200" si="358">-BW21</f>
        <v>-1898.934</v>
      </c>
      <c r="BX200" s="2103">
        <f t="shared" si="358"/>
        <v>-1971.884</v>
      </c>
      <c r="BY200" s="2103">
        <f t="shared" si="358"/>
        <v>-1962.5139999999999</v>
      </c>
      <c r="BZ200" s="2103">
        <f t="shared" si="358"/>
        <v>-1925.518</v>
      </c>
      <c r="CA200" s="2104">
        <f t="shared" si="358"/>
        <v>-1925.518</v>
      </c>
      <c r="CB200" s="2099"/>
      <c r="CC200" s="2102">
        <f t="shared" ref="CC200:CG200" si="359">-CC21</f>
        <v>-1969.46</v>
      </c>
      <c r="CD200" s="2103">
        <f t="shared" si="359"/>
        <v>-1995.807</v>
      </c>
      <c r="CE200" s="2103">
        <f t="shared" si="359"/>
        <v>-2009.856</v>
      </c>
      <c r="CF200" s="2103">
        <f t="shared" si="359"/>
        <v>-2012.904</v>
      </c>
      <c r="CG200" s="2104">
        <f t="shared" si="359"/>
        <v>-2012.904</v>
      </c>
      <c r="CH200" s="2099"/>
      <c r="CI200" s="2102">
        <f t="shared" ref="CI200:CM200" si="360">-CI21</f>
        <v>-2012.904</v>
      </c>
      <c r="CJ200" s="2103">
        <f t="shared" si="360"/>
        <v>-2012.904</v>
      </c>
      <c r="CK200" s="2103">
        <f t="shared" si="360"/>
        <v>-2012.904</v>
      </c>
      <c r="CL200" s="2103">
        <f t="shared" si="360"/>
        <v>-2012.904</v>
      </c>
      <c r="CM200" s="2104">
        <f t="shared" si="360"/>
        <v>-2012.904</v>
      </c>
      <c r="CN200" s="2099"/>
      <c r="CO200" s="2102">
        <f t="shared" ref="CO200:CS200" si="361">-CO21</f>
        <v>-2012.904</v>
      </c>
      <c r="CP200" s="2103">
        <f t="shared" si="361"/>
        <v>-2012.904</v>
      </c>
      <c r="CQ200" s="2103">
        <f t="shared" si="361"/>
        <v>-2012.904</v>
      </c>
      <c r="CR200" s="2103">
        <f t="shared" si="361"/>
        <v>-2012.904</v>
      </c>
      <c r="CS200" s="2104">
        <f t="shared" si="361"/>
        <v>-2012.904</v>
      </c>
      <c r="CT200" s="2099"/>
      <c r="CU200" s="2102">
        <f t="shared" ref="CU200:CY200" si="362">-CU21</f>
        <v>-2012.904</v>
      </c>
      <c r="CV200" s="2103">
        <f t="shared" si="362"/>
        <v>-2012.904</v>
      </c>
      <c r="CW200" s="2103">
        <f t="shared" si="362"/>
        <v>-2012.904</v>
      </c>
      <c r="CX200" s="2103">
        <f t="shared" si="362"/>
        <v>-2012.904</v>
      </c>
      <c r="CY200" s="2104">
        <f t="shared" si="362"/>
        <v>-2012.904</v>
      </c>
      <c r="CZ200" s="20"/>
      <c r="DA200" s="20"/>
      <c r="DB200" s="20"/>
    </row>
    <row r="201" spans="1:106" ht="11.25" customHeight="1" x14ac:dyDescent="0.2">
      <c r="A201" s="2087" t="s">
        <v>698</v>
      </c>
      <c r="B201" s="39"/>
      <c r="C201" s="2107"/>
      <c r="D201" s="2108"/>
      <c r="E201" s="2108"/>
      <c r="F201" s="2108"/>
      <c r="G201" s="2109"/>
      <c r="H201" s="2099"/>
      <c r="I201" s="2107">
        <f t="shared" ref="I201:L202" si="363">+SUM(I187:I199)</f>
        <v>388.572</v>
      </c>
      <c r="J201" s="2108">
        <f t="shared" si="363"/>
        <v>425.1</v>
      </c>
      <c r="K201" s="2108">
        <f t="shared" si="363"/>
        <v>440.06900000000002</v>
      </c>
      <c r="L201" s="2108">
        <f t="shared" si="363"/>
        <v>456.06399999999996</v>
      </c>
      <c r="M201" s="2109">
        <f t="shared" ref="M201:S202" si="364">+L201</f>
        <v>456.06399999999996</v>
      </c>
      <c r="N201" s="2099"/>
      <c r="O201" s="2107">
        <f t="shared" ref="O201:R202" si="365">+SUM(O187:O199)</f>
        <v>485.64499999999992</v>
      </c>
      <c r="P201" s="2108">
        <f t="shared" si="365"/>
        <v>550.52900000000011</v>
      </c>
      <c r="Q201" s="2108">
        <f t="shared" si="365"/>
        <v>557.01699999999983</v>
      </c>
      <c r="R201" s="2108">
        <f t="shared" si="365"/>
        <v>603.26499999999999</v>
      </c>
      <c r="S201" s="2109">
        <f t="shared" si="364"/>
        <v>603.26499999999999</v>
      </c>
      <c r="T201" s="2099"/>
      <c r="U201" s="2110">
        <f t="shared" ref="U201:X202" si="366">+SUM(U187:U199)</f>
        <v>615.00500000000011</v>
      </c>
      <c r="V201" s="2111">
        <f t="shared" si="366"/>
        <v>640.46100000000024</v>
      </c>
      <c r="W201" s="2111">
        <f t="shared" si="366"/>
        <v>2147.6310000000003</v>
      </c>
      <c r="X201" s="2111">
        <f t="shared" si="366"/>
        <v>2168.8529999999996</v>
      </c>
      <c r="Y201" s="2112">
        <f t="shared" ref="Y201:AK202" si="367">+X201</f>
        <v>2168.8529999999996</v>
      </c>
      <c r="Z201" s="2106"/>
      <c r="AA201" s="2110">
        <f t="shared" ref="AA201:AD202" si="368">+SUM(AA187:AA199)</f>
        <v>2214.0650000000005</v>
      </c>
      <c r="AB201" s="2111">
        <f t="shared" si="368"/>
        <v>2208.0430000000001</v>
      </c>
      <c r="AC201" s="2111">
        <f t="shared" si="368"/>
        <v>2242.616</v>
      </c>
      <c r="AD201" s="2111">
        <f t="shared" si="368"/>
        <v>2221.2489999999998</v>
      </c>
      <c r="AE201" s="2112">
        <f t="shared" si="367"/>
        <v>2221.2489999999998</v>
      </c>
      <c r="AF201" s="2106"/>
      <c r="AG201" s="2110">
        <f t="shared" ref="AG201:AJ202" si="369">+SUM(AG187:AG199)</f>
        <v>2232.6409999999996</v>
      </c>
      <c r="AH201" s="2111">
        <f t="shared" si="369"/>
        <v>2243.9850000000001</v>
      </c>
      <c r="AI201" s="2111">
        <f t="shared" si="369"/>
        <v>2467.0049999999992</v>
      </c>
      <c r="AJ201" s="2111">
        <f t="shared" si="369"/>
        <v>2564.3770000000004</v>
      </c>
      <c r="AK201" s="2112">
        <f t="shared" si="367"/>
        <v>2564.3770000000004</v>
      </c>
      <c r="AL201" s="2106"/>
      <c r="AM201" s="2110">
        <f t="shared" ref="AM201:AP202" si="370">+SUM(AM187:AM199)</f>
        <v>2564.6659999999997</v>
      </c>
      <c r="AN201" s="2111">
        <f t="shared" si="370"/>
        <v>2534.0909999999994</v>
      </c>
      <c r="AO201" s="2111">
        <f t="shared" si="370"/>
        <v>2636.625</v>
      </c>
      <c r="AP201" s="2111">
        <f t="shared" si="370"/>
        <v>2629.5299999999997</v>
      </c>
      <c r="AQ201" s="2112">
        <f t="shared" ref="AQ201:BC202" si="371">+AP201</f>
        <v>2629.5299999999997</v>
      </c>
      <c r="AR201" s="2106"/>
      <c r="AS201" s="2110">
        <f t="shared" ref="AS201:AV202" si="372">+SUM(AS187:AS199)</f>
        <v>2695.2410000000004</v>
      </c>
      <c r="AT201" s="2111">
        <f t="shared" si="372"/>
        <v>2736.7650000000003</v>
      </c>
      <c r="AU201" s="2111">
        <f t="shared" si="372"/>
        <v>3153.7900000000004</v>
      </c>
      <c r="AV201" s="2111">
        <f t="shared" si="372"/>
        <v>3117.3969999999999</v>
      </c>
      <c r="AW201" s="2112">
        <f t="shared" si="371"/>
        <v>3117.3969999999999</v>
      </c>
      <c r="AX201" s="2106"/>
      <c r="AY201" s="2110">
        <f t="shared" ref="AY201:BB202" si="373">+SUM(AY187:AY199)</f>
        <v>3193.0839999999998</v>
      </c>
      <c r="AZ201" s="2111">
        <f t="shared" si="373"/>
        <v>3279.8250000000003</v>
      </c>
      <c r="BA201" s="2111">
        <f t="shared" si="373"/>
        <v>3286.6180000000004</v>
      </c>
      <c r="BB201" s="2111">
        <f t="shared" si="373"/>
        <v>3310.6010000000001</v>
      </c>
      <c r="BC201" s="2112">
        <f t="shared" si="371"/>
        <v>3310.6010000000001</v>
      </c>
      <c r="BD201" s="2106"/>
      <c r="BE201" s="2110">
        <f t="shared" ref="BE201:BH202" si="374">+SUM(BE187:BE199)</f>
        <v>3277.8680000000008</v>
      </c>
      <c r="BF201" s="2111">
        <f t="shared" si="374"/>
        <v>3275.8920000000003</v>
      </c>
      <c r="BG201" s="2111">
        <f t="shared" si="374"/>
        <v>3361.7150000000006</v>
      </c>
      <c r="BH201" s="2111">
        <f t="shared" si="374"/>
        <v>3329.1570000000002</v>
      </c>
      <c r="BI201" s="2112">
        <f t="shared" ref="BI201:BU202" si="375">+BH201</f>
        <v>3329.1570000000002</v>
      </c>
      <c r="BJ201" s="2106"/>
      <c r="BK201" s="2110">
        <f t="shared" ref="BK201:BN202" si="376">+SUM(BK187:BK199)</f>
        <v>3457.2759999999998</v>
      </c>
      <c r="BL201" s="2111">
        <f t="shared" si="376"/>
        <v>3577.7510000000007</v>
      </c>
      <c r="BM201" s="2111">
        <f t="shared" si="376"/>
        <v>3428.8909999999992</v>
      </c>
      <c r="BN201" s="2111">
        <f t="shared" si="376"/>
        <v>3542.6519999999996</v>
      </c>
      <c r="BO201" s="2112">
        <f t="shared" si="375"/>
        <v>3542.6519999999996</v>
      </c>
      <c r="BP201" s="2106"/>
      <c r="BQ201" s="2110">
        <f t="shared" ref="BQ201:BT202" si="377">+SUM(BQ187:BQ199)</f>
        <v>3400.0750000000003</v>
      </c>
      <c r="BR201" s="2111">
        <f t="shared" si="377"/>
        <v>3458.7710000000006</v>
      </c>
      <c r="BS201" s="2111">
        <f t="shared" si="377"/>
        <v>3415.0460000000003</v>
      </c>
      <c r="BT201" s="2111">
        <f t="shared" si="377"/>
        <v>3467.8560000000002</v>
      </c>
      <c r="BU201" s="2112">
        <f t="shared" si="375"/>
        <v>3467.8560000000002</v>
      </c>
      <c r="BV201" s="2106"/>
      <c r="BW201" s="2110">
        <f t="shared" ref="BW201:BZ202" si="378">+SUM(BW187:BW199)</f>
        <v>3421.3440000000001</v>
      </c>
      <c r="BX201" s="2111">
        <f t="shared" si="378"/>
        <v>3457.69</v>
      </c>
      <c r="BY201" s="2111">
        <f t="shared" si="378"/>
        <v>3606.0129999999999</v>
      </c>
      <c r="BZ201" s="2111">
        <f t="shared" si="378"/>
        <v>3399.2019999999998</v>
      </c>
      <c r="CA201" s="2112">
        <f t="shared" ref="CA201:CG202" si="379">+BZ201</f>
        <v>3399.2019999999998</v>
      </c>
      <c r="CB201" s="2106"/>
      <c r="CC201" s="2110">
        <f t="shared" ref="CC201:CF202" si="380">+SUM(CC187:CC199)</f>
        <v>3457.277</v>
      </c>
      <c r="CD201" s="2111">
        <f t="shared" si="380"/>
        <v>3580.4160000000002</v>
      </c>
      <c r="CE201" s="2111">
        <f t="shared" si="380"/>
        <v>3756.7510000000002</v>
      </c>
      <c r="CF201" s="2111">
        <f t="shared" si="380"/>
        <v>3657.4590000000003</v>
      </c>
      <c r="CG201" s="2112">
        <f t="shared" si="379"/>
        <v>3657.4590000000003</v>
      </c>
      <c r="CH201" s="2106"/>
      <c r="CI201" s="2110">
        <f t="shared" ref="CI201:CL201" si="381">+SUM(CI187:CI199)</f>
        <v>3552.4321972272828</v>
      </c>
      <c r="CJ201" s="2111">
        <f t="shared" si="381"/>
        <v>3546.0282604803519</v>
      </c>
      <c r="CK201" s="2111">
        <f t="shared" si="381"/>
        <v>3578.1925987331388</v>
      </c>
      <c r="CL201" s="2111">
        <f t="shared" si="381"/>
        <v>3535.9094371577871</v>
      </c>
      <c r="CM201" s="2112">
        <f t="shared" ref="CM201:CM202" si="382">+CL201</f>
        <v>3535.9094371577871</v>
      </c>
      <c r="CN201" s="2106"/>
      <c r="CO201" s="2110">
        <f t="shared" ref="CO201:CR201" si="383">+SUM(CO187:CO199)</f>
        <v>3459.7585767530391</v>
      </c>
      <c r="CP201" s="2111">
        <f t="shared" si="383"/>
        <v>3439.2634870520001</v>
      </c>
      <c r="CQ201" s="2111">
        <f t="shared" si="383"/>
        <v>3483.4597003788181</v>
      </c>
      <c r="CR201" s="2111">
        <f t="shared" si="383"/>
        <v>3447.9265935582835</v>
      </c>
      <c r="CS201" s="2112">
        <f t="shared" ref="CS201:CS202" si="384">+CR201</f>
        <v>3447.9265935582835</v>
      </c>
      <c r="CT201" s="2106"/>
      <c r="CU201" s="2110">
        <f t="shared" ref="CU201:CX201" si="385">+SUM(CU187:CU199)</f>
        <v>3363.0598263145862</v>
      </c>
      <c r="CV201" s="2111">
        <f t="shared" si="385"/>
        <v>3341.5608864320429</v>
      </c>
      <c r="CW201" s="2111">
        <f t="shared" si="385"/>
        <v>3402.6728821449974</v>
      </c>
      <c r="CX201" s="2111">
        <f t="shared" si="385"/>
        <v>3369.8032635188001</v>
      </c>
      <c r="CY201" s="2112">
        <f t="shared" ref="CY201:CY202" si="386">+CX201</f>
        <v>3369.8032635188001</v>
      </c>
      <c r="CZ201" s="20"/>
      <c r="DA201" s="20"/>
      <c r="DB201" s="20"/>
    </row>
    <row r="202" spans="1:106" ht="11.25" customHeight="1" x14ac:dyDescent="0.2">
      <c r="A202" s="2087" t="s">
        <v>699</v>
      </c>
      <c r="B202" s="39"/>
      <c r="C202" s="2107"/>
      <c r="D202" s="2108"/>
      <c r="E202" s="2108"/>
      <c r="F202" s="2108"/>
      <c r="G202" s="2109"/>
      <c r="H202" s="2099"/>
      <c r="I202" s="2107">
        <f t="shared" si="363"/>
        <v>334.40699999999998</v>
      </c>
      <c r="J202" s="2108">
        <f t="shared" si="363"/>
        <v>343.56800000000004</v>
      </c>
      <c r="K202" s="2108">
        <f t="shared" si="363"/>
        <v>356.88100000000003</v>
      </c>
      <c r="L202" s="2108">
        <f t="shared" si="363"/>
        <v>362.15</v>
      </c>
      <c r="M202" s="2109">
        <f t="shared" si="364"/>
        <v>362.15</v>
      </c>
      <c r="N202" s="2099"/>
      <c r="O202" s="2107">
        <f t="shared" si="365"/>
        <v>384.90199999999993</v>
      </c>
      <c r="P202" s="2108">
        <f t="shared" si="365"/>
        <v>417.84100000000012</v>
      </c>
      <c r="Q202" s="2108">
        <f t="shared" si="365"/>
        <v>416.60599999999982</v>
      </c>
      <c r="R202" s="2108">
        <f t="shared" si="365"/>
        <v>443.12400000000002</v>
      </c>
      <c r="S202" s="2109">
        <f t="shared" si="364"/>
        <v>443.12400000000002</v>
      </c>
      <c r="T202" s="2099"/>
      <c r="U202" s="2110">
        <f t="shared" si="366"/>
        <v>461.62200000000007</v>
      </c>
      <c r="V202" s="2111">
        <f t="shared" si="366"/>
        <v>481.44800000000021</v>
      </c>
      <c r="W202" s="2111">
        <f t="shared" si="366"/>
        <v>1034.1340000000002</v>
      </c>
      <c r="X202" s="2111">
        <f t="shared" si="366"/>
        <v>1060.9709999999995</v>
      </c>
      <c r="Y202" s="2112">
        <f t="shared" si="367"/>
        <v>1060.9709999999995</v>
      </c>
      <c r="Z202" s="2106"/>
      <c r="AA202" s="2110">
        <f t="shared" si="368"/>
        <v>1100.7110000000005</v>
      </c>
      <c r="AB202" s="2111">
        <f t="shared" si="368"/>
        <v>1091.5250000000001</v>
      </c>
      <c r="AC202" s="2111">
        <f t="shared" si="368"/>
        <v>1108.289</v>
      </c>
      <c r="AD202" s="2111">
        <f t="shared" si="368"/>
        <v>1069.1439999999998</v>
      </c>
      <c r="AE202" s="2112">
        <f t="shared" si="367"/>
        <v>1069.1439999999998</v>
      </c>
      <c r="AF202" s="2106"/>
      <c r="AG202" s="2110">
        <f t="shared" si="369"/>
        <v>1083.7169999999996</v>
      </c>
      <c r="AH202" s="2111">
        <f t="shared" si="369"/>
        <v>1074.3680000000002</v>
      </c>
      <c r="AI202" s="2111">
        <f t="shared" si="369"/>
        <v>1193.2509999999993</v>
      </c>
      <c r="AJ202" s="2111">
        <f t="shared" si="369"/>
        <v>1227.3130000000003</v>
      </c>
      <c r="AK202" s="2112">
        <f t="shared" si="367"/>
        <v>1227.3130000000003</v>
      </c>
      <c r="AL202" s="2106"/>
      <c r="AM202" s="2110">
        <f t="shared" si="370"/>
        <v>1236.5059999999996</v>
      </c>
      <c r="AN202" s="2111">
        <f t="shared" si="370"/>
        <v>1217.1359999999995</v>
      </c>
      <c r="AO202" s="2111">
        <f t="shared" si="370"/>
        <v>1288.1859999999999</v>
      </c>
      <c r="AP202" s="2111">
        <f t="shared" si="370"/>
        <v>1277.2489999999998</v>
      </c>
      <c r="AQ202" s="2112">
        <f t="shared" si="371"/>
        <v>1277.2489999999998</v>
      </c>
      <c r="AR202" s="2106"/>
      <c r="AS202" s="2110">
        <f t="shared" si="372"/>
        <v>1331.0580000000004</v>
      </c>
      <c r="AT202" s="2111">
        <f t="shared" si="372"/>
        <v>1366.0160000000003</v>
      </c>
      <c r="AU202" s="2111">
        <f t="shared" si="372"/>
        <v>1495.1920000000005</v>
      </c>
      <c r="AV202" s="2111">
        <f t="shared" si="372"/>
        <v>1383.675</v>
      </c>
      <c r="AW202" s="2112">
        <f t="shared" si="371"/>
        <v>1383.675</v>
      </c>
      <c r="AX202" s="2106"/>
      <c r="AY202" s="2110">
        <f t="shared" si="373"/>
        <v>1450.0619999999999</v>
      </c>
      <c r="AZ202" s="2111">
        <f t="shared" si="373"/>
        <v>1527.5950000000003</v>
      </c>
      <c r="BA202" s="2111">
        <f t="shared" si="373"/>
        <v>1527.9910000000004</v>
      </c>
      <c r="BB202" s="2111">
        <f t="shared" si="373"/>
        <v>1550.7030000000002</v>
      </c>
      <c r="BC202" s="2112">
        <f t="shared" si="371"/>
        <v>1550.7030000000002</v>
      </c>
      <c r="BD202" s="2106"/>
      <c r="BE202" s="2110">
        <f t="shared" si="374"/>
        <v>1521.6340000000009</v>
      </c>
      <c r="BF202" s="2111">
        <f t="shared" si="374"/>
        <v>1484.1030000000003</v>
      </c>
      <c r="BG202" s="2111">
        <f t="shared" si="374"/>
        <v>1495.8930000000007</v>
      </c>
      <c r="BH202" s="2111">
        <f t="shared" si="374"/>
        <v>1473.4660000000001</v>
      </c>
      <c r="BI202" s="2112">
        <f t="shared" si="375"/>
        <v>1473.4660000000001</v>
      </c>
      <c r="BJ202" s="2106"/>
      <c r="BK202" s="2110">
        <f t="shared" si="376"/>
        <v>1593.2539999999999</v>
      </c>
      <c r="BL202" s="2111">
        <f t="shared" si="376"/>
        <v>1695.2830000000006</v>
      </c>
      <c r="BM202" s="2111">
        <f t="shared" si="376"/>
        <v>1595.4179999999992</v>
      </c>
      <c r="BN202" s="2111">
        <f t="shared" si="376"/>
        <v>1654.6889999999996</v>
      </c>
      <c r="BO202" s="2112">
        <f t="shared" si="375"/>
        <v>1654.6889999999996</v>
      </c>
      <c r="BP202" s="2106"/>
      <c r="BQ202" s="2110">
        <f t="shared" si="377"/>
        <v>1537.7040000000002</v>
      </c>
      <c r="BR202" s="2111">
        <f t="shared" si="377"/>
        <v>1586.7040000000006</v>
      </c>
      <c r="BS202" s="2111">
        <f t="shared" si="377"/>
        <v>1568.5750000000003</v>
      </c>
      <c r="BT202" s="2111">
        <f t="shared" si="377"/>
        <v>1592.1580000000001</v>
      </c>
      <c r="BU202" s="2112">
        <f t="shared" si="375"/>
        <v>1592.1580000000001</v>
      </c>
      <c r="BV202" s="2106"/>
      <c r="BW202" s="2110">
        <f t="shared" si="378"/>
        <v>1522.41</v>
      </c>
      <c r="BX202" s="2111">
        <f t="shared" si="378"/>
        <v>1485.806</v>
      </c>
      <c r="BY202" s="2111">
        <f t="shared" si="378"/>
        <v>1643.499</v>
      </c>
      <c r="BZ202" s="2111">
        <f t="shared" si="378"/>
        <v>1473.6839999999997</v>
      </c>
      <c r="CA202" s="2112">
        <f t="shared" si="379"/>
        <v>1473.6839999999997</v>
      </c>
      <c r="CB202" s="2106"/>
      <c r="CC202" s="2110">
        <f t="shared" si="380"/>
        <v>1487.817</v>
      </c>
      <c r="CD202" s="2111">
        <f t="shared" si="380"/>
        <v>1584.6090000000002</v>
      </c>
      <c r="CE202" s="2111">
        <f t="shared" si="380"/>
        <v>1746.8950000000002</v>
      </c>
      <c r="CF202" s="2111">
        <f t="shared" si="380"/>
        <v>1644.5550000000003</v>
      </c>
      <c r="CG202" s="2112">
        <f t="shared" si="379"/>
        <v>1644.5550000000003</v>
      </c>
      <c r="CH202" s="2106"/>
      <c r="CI202" s="2110">
        <f t="shared" ref="CI202:CL202" si="387">+SUM(CI188:CI200)</f>
        <v>1539.5281972272828</v>
      </c>
      <c r="CJ202" s="2111">
        <f t="shared" si="387"/>
        <v>1533.1242604803519</v>
      </c>
      <c r="CK202" s="2111">
        <f t="shared" si="387"/>
        <v>1565.2885987331388</v>
      </c>
      <c r="CL202" s="2111">
        <f t="shared" si="387"/>
        <v>1523.0054371577871</v>
      </c>
      <c r="CM202" s="2112">
        <f t="shared" si="382"/>
        <v>1523.0054371577871</v>
      </c>
      <c r="CN202" s="2106"/>
      <c r="CO202" s="2110">
        <f t="shared" ref="CO202:CR202" si="388">+SUM(CO188:CO200)</f>
        <v>1446.8545767530391</v>
      </c>
      <c r="CP202" s="2111">
        <f t="shared" si="388"/>
        <v>1426.3594870520001</v>
      </c>
      <c r="CQ202" s="2111">
        <f t="shared" si="388"/>
        <v>1470.5557003788181</v>
      </c>
      <c r="CR202" s="2111">
        <f t="shared" si="388"/>
        <v>1435.0225935582835</v>
      </c>
      <c r="CS202" s="2112">
        <f t="shared" si="384"/>
        <v>1435.0225935582835</v>
      </c>
      <c r="CT202" s="2106"/>
      <c r="CU202" s="2110">
        <f t="shared" ref="CU202:CX202" si="389">+SUM(CU188:CU200)</f>
        <v>1350.1558263145862</v>
      </c>
      <c r="CV202" s="2111">
        <f t="shared" si="389"/>
        <v>1328.6568864320429</v>
      </c>
      <c r="CW202" s="2111">
        <f t="shared" si="389"/>
        <v>1389.7688821449974</v>
      </c>
      <c r="CX202" s="2111">
        <f t="shared" si="389"/>
        <v>1356.8992635188001</v>
      </c>
      <c r="CY202" s="2112">
        <f t="shared" si="386"/>
        <v>1356.8992635188001</v>
      </c>
      <c r="CZ202" s="20"/>
      <c r="DA202" s="20"/>
      <c r="DB202" s="20"/>
    </row>
    <row r="203" spans="1:106" ht="11.25" customHeight="1" x14ac:dyDescent="0.2">
      <c r="A203" s="2073"/>
      <c r="B203" s="39"/>
      <c r="C203" s="2113"/>
      <c r="D203" s="2114"/>
      <c r="E203" s="2114"/>
      <c r="F203" s="2114"/>
      <c r="G203" s="2115"/>
      <c r="H203" s="2116"/>
      <c r="I203" s="2113"/>
      <c r="J203" s="2114"/>
      <c r="K203" s="2114"/>
      <c r="L203" s="2114"/>
      <c r="M203" s="2115"/>
      <c r="N203" s="2116"/>
      <c r="O203" s="2113"/>
      <c r="P203" s="2114"/>
      <c r="Q203" s="2114"/>
      <c r="R203" s="2114"/>
      <c r="S203" s="2115"/>
      <c r="T203" s="2116"/>
      <c r="U203" s="2113"/>
      <c r="V203" s="2114"/>
      <c r="W203" s="2114"/>
      <c r="X203" s="2114"/>
      <c r="Y203" s="2115"/>
      <c r="Z203" s="2116"/>
      <c r="AA203" s="2113"/>
      <c r="AB203" s="2114"/>
      <c r="AC203" s="2114"/>
      <c r="AD203" s="2114"/>
      <c r="AE203" s="2115"/>
      <c r="AF203" s="2116"/>
      <c r="AG203" s="2113"/>
      <c r="AH203" s="2114"/>
      <c r="AI203" s="2114"/>
      <c r="AJ203" s="2114"/>
      <c r="AK203" s="2115"/>
      <c r="AL203" s="2116"/>
      <c r="AM203" s="2113"/>
      <c r="AN203" s="2114"/>
      <c r="AO203" s="2114"/>
      <c r="AP203" s="2114"/>
      <c r="AQ203" s="2115"/>
      <c r="AR203" s="2116"/>
      <c r="AS203" s="2113"/>
      <c r="AT203" s="2114"/>
      <c r="AU203" s="2114"/>
      <c r="AV203" s="2114"/>
      <c r="AW203" s="2115"/>
      <c r="AX203" s="2116"/>
      <c r="AY203" s="2117"/>
      <c r="AZ203" s="2078"/>
      <c r="BA203" s="2078"/>
      <c r="BB203" s="2078"/>
      <c r="BC203" s="2115"/>
      <c r="BD203" s="2116"/>
      <c r="BE203" s="2117"/>
      <c r="BF203" s="2078"/>
      <c r="BG203" s="2114"/>
      <c r="BH203" s="2114"/>
      <c r="BI203" s="2115"/>
      <c r="BJ203" s="2116"/>
      <c r="BK203" s="2117"/>
      <c r="BL203" s="2078"/>
      <c r="BM203" s="2114"/>
      <c r="BN203" s="2114"/>
      <c r="BO203" s="2115"/>
      <c r="BP203" s="2116"/>
      <c r="BQ203" s="2113"/>
      <c r="BR203" s="2114"/>
      <c r="BS203" s="2114"/>
      <c r="BT203" s="2114"/>
      <c r="BU203" s="2115"/>
      <c r="BV203" s="2116"/>
      <c r="BW203" s="2113"/>
      <c r="BX203" s="2114"/>
      <c r="BY203" s="2114"/>
      <c r="BZ203" s="2114"/>
      <c r="CA203" s="2115"/>
      <c r="CB203" s="2116"/>
      <c r="CC203" s="2113"/>
      <c r="CD203" s="2114"/>
      <c r="CE203" s="2114"/>
      <c r="CF203" s="2114"/>
      <c r="CG203" s="2115"/>
      <c r="CH203" s="2116"/>
      <c r="CI203" s="2113"/>
      <c r="CJ203" s="2114"/>
      <c r="CK203" s="2114"/>
      <c r="CL203" s="2114"/>
      <c r="CM203" s="2115"/>
      <c r="CN203" s="2116"/>
      <c r="CO203" s="2113"/>
      <c r="CP203" s="2114"/>
      <c r="CQ203" s="2114"/>
      <c r="CR203" s="2114"/>
      <c r="CS203" s="2115"/>
      <c r="CT203" s="2116"/>
      <c r="CU203" s="2113"/>
      <c r="CV203" s="2114"/>
      <c r="CW203" s="2114"/>
      <c r="CX203" s="2114"/>
      <c r="CY203" s="2115"/>
      <c r="CZ203" s="20"/>
      <c r="DA203" s="20"/>
      <c r="DB203" s="20"/>
    </row>
    <row r="204" spans="1:106" ht="11.25" customHeight="1" x14ac:dyDescent="0.2">
      <c r="A204" s="2087" t="s">
        <v>700</v>
      </c>
      <c r="B204" s="39"/>
      <c r="C204" s="2118"/>
      <c r="D204" s="2093"/>
      <c r="E204" s="2093"/>
      <c r="F204" s="2093"/>
      <c r="G204" s="2094"/>
      <c r="H204" s="2116"/>
      <c r="I204" s="2118">
        <f>+I184*4/I201</f>
        <v>0.14159649469110669</v>
      </c>
      <c r="J204" s="2093">
        <f t="shared" ref="J204:L204" si="390">+J184*4/J201</f>
        <v>0.14659246674727636</v>
      </c>
      <c r="K204" s="2093">
        <f t="shared" si="390"/>
        <v>0.15745904882425263</v>
      </c>
      <c r="L204" s="2093">
        <f t="shared" si="390"/>
        <v>0.17301936021914971</v>
      </c>
      <c r="M204" s="2094">
        <f>+M184/AVERAGE(I201:L201)</f>
        <v>0.15529700299072136</v>
      </c>
      <c r="N204" s="2116"/>
      <c r="O204" s="2118">
        <f t="shared" ref="O204:R204" si="391">+O184*4/O201</f>
        <v>0.15217957796652398</v>
      </c>
      <c r="P204" s="2093">
        <f t="shared" si="391"/>
        <v>0.13640849060452953</v>
      </c>
      <c r="Q204" s="2093">
        <f t="shared" si="391"/>
        <v>0.14947412500665302</v>
      </c>
      <c r="R204" s="2093">
        <f t="shared" si="391"/>
        <v>0.14975075202681604</v>
      </c>
      <c r="S204" s="2094">
        <f t="shared" ref="S204" si="392">+S184/AVERAGE(O201:R201)</f>
        <v>0.14685335324717169</v>
      </c>
      <c r="T204" s="2116"/>
      <c r="U204" s="2118">
        <f t="shared" ref="U204:X204" si="393">+U184*4/U201</f>
        <v>0.14572976179879929</v>
      </c>
      <c r="V204" s="2093">
        <f t="shared" si="393"/>
        <v>0.15488233409178764</v>
      </c>
      <c r="W204" s="2093">
        <f t="shared" si="393"/>
        <v>6.4092861152985833E-2</v>
      </c>
      <c r="X204" s="2093">
        <f t="shared" si="393"/>
        <v>6.5400866947642244E-2</v>
      </c>
      <c r="Y204" s="2094">
        <f t="shared" ref="Y204" si="394">+Y184/AVERAGE(U201:X201)</f>
        <v>8.3877425740893116E-2</v>
      </c>
      <c r="Z204" s="2116"/>
      <c r="AA204" s="2118">
        <f t="shared" ref="AA204:AD204" si="395">+AA184*4/AA201</f>
        <v>7.3526520535454845E-2</v>
      </c>
      <c r="AB204" s="2093">
        <f t="shared" si="395"/>
        <v>8.2053377783909892E-2</v>
      </c>
      <c r="AC204" s="2093">
        <f t="shared" si="395"/>
        <v>8.6468293311014729E-2</v>
      </c>
      <c r="AD204" s="2093">
        <f t="shared" si="395"/>
        <v>8.3708938530699648E-2</v>
      </c>
      <c r="AE204" s="2094">
        <f t="shared" ref="AE204" si="396">+AE184/AVERAGE(AA201:AD201)</f>
        <v>8.1419199926337338E-2</v>
      </c>
      <c r="AF204" s="2116"/>
      <c r="AG204" s="2118">
        <f t="shared" ref="AG204:AJ204" si="397">+AG184*4/AG201</f>
        <v>7.6831305688573298E-2</v>
      </c>
      <c r="AH204" s="2093">
        <f t="shared" si="397"/>
        <v>9.2067474889231934E-2</v>
      </c>
      <c r="AI204" s="2093">
        <f t="shared" si="397"/>
        <v>9.4202658197967845E-2</v>
      </c>
      <c r="AJ204" s="2093">
        <f t="shared" si="397"/>
        <v>9.3457242070039498E-2</v>
      </c>
      <c r="AK204" s="2094">
        <f t="shared" ref="AK204" si="398">+AK184/AVERAGE(AG201:AJ201)</f>
        <v>8.9424590097582135E-2</v>
      </c>
      <c r="AL204" s="2116"/>
      <c r="AM204" s="2118">
        <f t="shared" ref="AM204:AP204" si="399">+AM184*4/AM201</f>
        <v>8.0650461805283305E-2</v>
      </c>
      <c r="AN204" s="2093">
        <f t="shared" si="399"/>
        <v>8.6894440708256568E-2</v>
      </c>
      <c r="AO204" s="2093">
        <f t="shared" si="399"/>
        <v>9.4002995782587223E-2</v>
      </c>
      <c r="AP204" s="2093">
        <f t="shared" si="399"/>
        <v>0.10028630149603711</v>
      </c>
      <c r="AQ204" s="2094">
        <f t="shared" ref="AQ204" si="400">+AQ184/AVERAGE(AM201:AP201)</f>
        <v>9.0531625883669545E-2</v>
      </c>
      <c r="AR204" s="2116"/>
      <c r="AS204" s="2118">
        <f t="shared" ref="AS204:AV204" si="401">+AS184*4/AS201</f>
        <v>7.7488335241100118E-2</v>
      </c>
      <c r="AT204" s="2093">
        <f t="shared" si="401"/>
        <v>8.8661306665114042E-2</v>
      </c>
      <c r="AU204" s="2093">
        <f t="shared" si="401"/>
        <v>7.1508765794244422E-2</v>
      </c>
      <c r="AV204" s="2093">
        <f t="shared" si="401"/>
        <v>9.5993698348910875E-2</v>
      </c>
      <c r="AW204" s="2094">
        <f t="shared" ref="AW204" si="402">+AW184/AVERAGE(AS201:AV201)</f>
        <v>8.3418883874648589E-2</v>
      </c>
      <c r="AX204" s="2116"/>
      <c r="AY204" s="2118">
        <f t="shared" ref="AY204:BB204" si="403">+AY184*4/AY201</f>
        <v>7.2671688638127369E-2</v>
      </c>
      <c r="AZ204" s="2093">
        <f t="shared" si="403"/>
        <v>8.0170578303721526E-2</v>
      </c>
      <c r="BA204" s="2093">
        <f t="shared" si="403"/>
        <v>7.9690178538231224E-2</v>
      </c>
      <c r="BB204" s="2093">
        <f t="shared" si="403"/>
        <v>0.11062829081323031</v>
      </c>
      <c r="BC204" s="2094">
        <f t="shared" ref="BC204" si="404">+BC184/AVERAGE(AY201:BB201)</f>
        <v>8.5836778725729479E-2</v>
      </c>
      <c r="BD204" s="2116"/>
      <c r="BE204" s="2118">
        <f t="shared" ref="BE204:BH204" si="405">+BE184*4/BE201</f>
        <v>7.2676161318296781E-2</v>
      </c>
      <c r="BF204" s="2093">
        <f t="shared" si="405"/>
        <v>7.8945175583892135E-2</v>
      </c>
      <c r="BG204" s="2093">
        <f t="shared" si="405"/>
        <v>8.5442261835771485E-2</v>
      </c>
      <c r="BH204" s="2093">
        <f t="shared" si="405"/>
        <v>0.10737427843422205</v>
      </c>
      <c r="BI204" s="2094">
        <f t="shared" ref="BI204" si="406">+BI184/AVERAGE(BE201:BH201)</f>
        <v>8.6228782324503178E-2</v>
      </c>
      <c r="BJ204" s="2116"/>
      <c r="BK204" s="2118">
        <f t="shared" ref="BK204:BN204" si="407">+BK184*4/BK201</f>
        <v>6.7216027144796478E-2</v>
      </c>
      <c r="BL204" s="2093">
        <f t="shared" si="407"/>
        <v>7.0645481445850325E-2</v>
      </c>
      <c r="BM204" s="2093">
        <f t="shared" si="407"/>
        <v>7.9568441159926631E-2</v>
      </c>
      <c r="BN204" s="2093">
        <f t="shared" si="407"/>
        <v>7.3339687115091895E-2</v>
      </c>
      <c r="BO204" s="2094">
        <f t="shared" ref="BO204" si="408">+BO184/AVERAGE(BK201:BN201)</f>
        <v>7.2635500825491778E-2</v>
      </c>
      <c r="BP204" s="2116"/>
      <c r="BQ204" s="2118">
        <f t="shared" ref="BQ204:BT204" si="409">+BQ184*4/BQ201</f>
        <v>6.4166667241437297E-2</v>
      </c>
      <c r="BR204" s="2093">
        <f t="shared" si="409"/>
        <v>7.3801993741967359E-2</v>
      </c>
      <c r="BS204" s="2093">
        <f t="shared" si="409"/>
        <v>7.7188572662209923E-2</v>
      </c>
      <c r="BT204" s="2093">
        <f t="shared" si="409"/>
        <v>9.0795472925558882E-2</v>
      </c>
      <c r="BU204" s="2094">
        <f t="shared" ref="BU204" si="410">+BU184/AVERAGE(BQ201:BT201)</f>
        <v>7.655979132122423E-2</v>
      </c>
      <c r="BV204" s="2116"/>
      <c r="BW204" s="2118">
        <f t="shared" ref="BW204:BZ204" si="411">+BW184*4/BW201</f>
        <v>5.4147168374971862E-2</v>
      </c>
      <c r="BX204" s="2093">
        <f t="shared" si="411"/>
        <v>6.7158672701816288E-2</v>
      </c>
      <c r="BY204" s="2093">
        <f t="shared" si="411"/>
        <v>7.9817113918474236E-2</v>
      </c>
      <c r="BZ204" s="2093">
        <f t="shared" si="411"/>
        <v>0.11221579597183315</v>
      </c>
      <c r="CA204" s="2094">
        <f t="shared" ref="CA204" si="412">+CA184/AVERAGE(BW201:BZ201)</f>
        <v>7.8279782411108972E-2</v>
      </c>
      <c r="CB204" s="2116"/>
      <c r="CC204" s="2118">
        <f t="shared" ref="CC204:CF204" si="413">+CC184*4/CC201</f>
        <v>6.0794383712207627E-2</v>
      </c>
      <c r="CD204" s="2093">
        <f t="shared" si="413"/>
        <v>8.151676131302002E-2</v>
      </c>
      <c r="CE204" s="2093">
        <f t="shared" si="413"/>
        <v>8.3996847126980134E-2</v>
      </c>
      <c r="CF204" s="2093">
        <f t="shared" si="413"/>
        <v>0.11087508878779131</v>
      </c>
      <c r="CG204" s="2094">
        <f t="shared" ref="CG204" si="414">+CG184/AVERAGE(CC201:CF201)</f>
        <v>8.4641544086668519E-2</v>
      </c>
      <c r="CH204" s="2116"/>
      <c r="CI204" s="2118">
        <f t="shared" ref="CI204:CL204" si="415">+CI184*4/CI201</f>
        <v>6.4379535129994656E-2</v>
      </c>
      <c r="CJ204" s="2093">
        <f t="shared" si="415"/>
        <v>8.7851634853865976E-2</v>
      </c>
      <c r="CK204" s="2093">
        <f t="shared" si="415"/>
        <v>8.9760423721537086E-2</v>
      </c>
      <c r="CL204" s="2093">
        <f t="shared" si="415"/>
        <v>0.11056102995545611</v>
      </c>
      <c r="CM204" s="2094">
        <f t="shared" ref="CM204" si="416">+CM184/AVERAGE(CI201:CL201)</f>
        <v>8.8115157765851673E-2</v>
      </c>
      <c r="CN204" s="2116"/>
      <c r="CO204" s="2118">
        <f t="shared" ref="CO204:CR204" si="417">+CO184*4/CO201</f>
        <v>8.3183952825621132E-2</v>
      </c>
      <c r="CP204" s="2093">
        <f t="shared" si="417"/>
        <v>0.10009279659550348</v>
      </c>
      <c r="CQ204" s="2093">
        <f t="shared" si="417"/>
        <v>0.10497061402459568</v>
      </c>
      <c r="CR204" s="2093">
        <f t="shared" si="417"/>
        <v>0.12788143561066787</v>
      </c>
      <c r="CS204" s="2094">
        <f t="shared" ref="CS204" si="418">+CS184/AVERAGE(CO201:CR201)</f>
        <v>0.10401924252817164</v>
      </c>
      <c r="CT204" s="2116"/>
      <c r="CU204" s="2118">
        <f t="shared" ref="CU204:CX204" si="419">+CU184*4/CU201</f>
        <v>0.10083925334113013</v>
      </c>
      <c r="CV204" s="2093">
        <f t="shared" si="419"/>
        <v>0.12010271840544216</v>
      </c>
      <c r="CW204" s="2093">
        <f t="shared" si="419"/>
        <v>0.12455444102513794</v>
      </c>
      <c r="CX204" s="2093">
        <f t="shared" si="419"/>
        <v>0.15099530284191881</v>
      </c>
      <c r="CY204" s="2094">
        <f t="shared" ref="CY204" si="420">+CY184/AVERAGE(CU201:CX201)</f>
        <v>0.12414405629803495</v>
      </c>
      <c r="CZ204" s="20"/>
      <c r="DA204" s="20"/>
      <c r="DB204" s="20"/>
    </row>
    <row r="205" spans="1:106" ht="11.25" customHeight="1" x14ac:dyDescent="0.2">
      <c r="A205" s="2087" t="s">
        <v>701</v>
      </c>
      <c r="B205" s="39"/>
      <c r="C205" s="2118"/>
      <c r="D205" s="2093"/>
      <c r="E205" s="2093"/>
      <c r="F205" s="2093"/>
      <c r="G205" s="2094"/>
      <c r="H205" s="2116"/>
      <c r="I205" s="2118">
        <f>+I184*4/I202</f>
        <v>0.1645313439464865</v>
      </c>
      <c r="J205" s="2093">
        <f>+J184*4/J202</f>
        <v>0.18138027294237874</v>
      </c>
      <c r="K205" s="2093">
        <f>+K184*4/K202</f>
        <v>0.19416232905937841</v>
      </c>
      <c r="L205" s="2093">
        <f>+L184*4/L202</f>
        <v>0.21788734363933812</v>
      </c>
      <c r="M205" s="2094">
        <f>+M184/AVERAGE(I202:L202)</f>
        <v>0.19006904207895337</v>
      </c>
      <c r="N205" s="2116"/>
      <c r="O205" s="2118">
        <f t="shared" ref="O205:R205" si="421">+O184*4/O202</f>
        <v>0.19201056669373642</v>
      </c>
      <c r="P205" s="2093">
        <f t="shared" si="421"/>
        <v>0.17972585247503484</v>
      </c>
      <c r="Q205" s="2093">
        <f t="shared" si="421"/>
        <v>0.19985220733458195</v>
      </c>
      <c r="R205" s="2093">
        <f t="shared" si="421"/>
        <v>0.20386931744039405</v>
      </c>
      <c r="S205" s="2094">
        <f t="shared" ref="S205" si="422">+S184/AVERAGE(O202:R202)</f>
        <v>0.19402235636901755</v>
      </c>
      <c r="T205" s="2116"/>
      <c r="U205" s="2118">
        <f t="shared" ref="U205:X205" si="423">+U184*4/U202</f>
        <v>0.1941513449425516</v>
      </c>
      <c r="V205" s="2093">
        <f t="shared" si="423"/>
        <v>0.20603698545795268</v>
      </c>
      <c r="W205" s="2093">
        <f t="shared" si="423"/>
        <v>0.13310442891428781</v>
      </c>
      <c r="X205" s="2093">
        <f t="shared" si="423"/>
        <v>0.13369344353615203</v>
      </c>
      <c r="Y205" s="2094">
        <f t="shared" ref="Y205" si="424">+Y184/AVERAGE(U202:X202)</f>
        <v>0.15382946089575794</v>
      </c>
      <c r="Z205" s="2116"/>
      <c r="AA205" s="2118">
        <f t="shared" ref="AA205:AD205" si="425">+AA184*4/AA202</f>
        <v>0.14789758228030048</v>
      </c>
      <c r="AB205" s="2093">
        <f t="shared" si="425"/>
        <v>0.16598555822552644</v>
      </c>
      <c r="AC205" s="2093">
        <f t="shared" si="425"/>
        <v>0.17496806164454812</v>
      </c>
      <c r="AD205" s="2093">
        <f t="shared" si="425"/>
        <v>0.17391333253741131</v>
      </c>
      <c r="AE205" s="2094">
        <f t="shared" ref="AE205" si="426">+AE184/AVERAGE(AA202:AD202)</f>
        <v>0.16557062153381313</v>
      </c>
      <c r="AF205" s="2116"/>
      <c r="AG205" s="2118">
        <f t="shared" ref="AG205:AJ205" si="427">+AG184*4/AG202</f>
        <v>0.15828553318241018</v>
      </c>
      <c r="AH205" s="2093">
        <f t="shared" si="427"/>
        <v>0.19229726931490246</v>
      </c>
      <c r="AI205" s="2093">
        <f t="shared" si="427"/>
        <v>0.19476072409549855</v>
      </c>
      <c r="AJ205" s="2093">
        <f t="shared" si="427"/>
        <v>0.19527178645369325</v>
      </c>
      <c r="AK205" s="2094">
        <f t="shared" ref="AK205" si="428">+AK184/AVERAGE(AG202:AJ202)</f>
        <v>0.18569882033860466</v>
      </c>
      <c r="AL205" s="2116"/>
      <c r="AM205" s="2118">
        <f t="shared" ref="AM205:AP205" si="429">+AM184*4/AM202</f>
        <v>0.16727900817004426</v>
      </c>
      <c r="AN205" s="2093">
        <f t="shared" si="429"/>
        <v>0.18091521419859952</v>
      </c>
      <c r="AO205" s="2093">
        <f t="shared" si="429"/>
        <v>0.19240284303296579</v>
      </c>
      <c r="AP205" s="2093">
        <f t="shared" si="429"/>
        <v>0.20646392236194702</v>
      </c>
      <c r="AQ205" s="2094">
        <f t="shared" ref="AQ205" si="430">+AQ184/AVERAGE(AM202:AP202)</f>
        <v>0.1869571507871183</v>
      </c>
      <c r="AR205" s="2116"/>
      <c r="AS205" s="2118">
        <f t="shared" ref="AS205:AV205" si="431">+AS184*4/AS202</f>
        <v>0.15690506211116112</v>
      </c>
      <c r="AT205" s="2093">
        <f t="shared" si="431"/>
        <v>0.17762980882753263</v>
      </c>
      <c r="AU205" s="2093">
        <f t="shared" si="431"/>
        <v>0.15083255560103992</v>
      </c>
      <c r="AV205" s="2093">
        <f t="shared" si="431"/>
        <v>0.21627222234397508</v>
      </c>
      <c r="AW205" s="2094">
        <f t="shared" ref="AW205" si="432">+AW184/AVERAGE(AS202:AV202)</f>
        <v>0.17508565779831606</v>
      </c>
      <c r="AX205" s="2116"/>
      <c r="AY205" s="2118">
        <f t="shared" ref="AY205:BB205" si="433">+AY184*4/AY202</f>
        <v>0.16002543770086128</v>
      </c>
      <c r="AZ205" s="2093">
        <f t="shared" si="433"/>
        <v>0.1721303532579011</v>
      </c>
      <c r="BA205" s="2093">
        <f t="shared" si="433"/>
        <v>0.17140884678441456</v>
      </c>
      <c r="BB205" s="2093">
        <f t="shared" si="433"/>
        <v>0.23618070655346063</v>
      </c>
      <c r="BC205" s="2094">
        <f t="shared" ref="BC205" si="434">+BC184/AVERAGE(AY202:BB202)</f>
        <v>0.18524317448789887</v>
      </c>
      <c r="BD205" s="2116"/>
      <c r="BE205" s="2118">
        <f t="shared" ref="BE205:BH205" si="435">+BE184*4/BE202</f>
        <v>0.15655726905949968</v>
      </c>
      <c r="BF205" s="2093">
        <f t="shared" si="435"/>
        <v>0.17425735891233124</v>
      </c>
      <c r="BG205" s="2093">
        <f t="shared" si="435"/>
        <v>0.19201409007679057</v>
      </c>
      <c r="BH205" s="2093">
        <f t="shared" si="435"/>
        <v>0.24260202181064194</v>
      </c>
      <c r="BI205" s="2094">
        <f t="shared" ref="BI205" si="436">+BI184/AVERAGE(BE202:BH202)</f>
        <v>0.19113809881818616</v>
      </c>
      <c r="BJ205" s="2116"/>
      <c r="BK205" s="2118">
        <f t="shared" ref="BK205:BN205" si="437">+BK184*4/BK202</f>
        <v>0.14585518533959646</v>
      </c>
      <c r="BL205" s="2093">
        <f t="shared" si="437"/>
        <v>0.14909129737534818</v>
      </c>
      <c r="BM205" s="2093">
        <f t="shared" si="437"/>
        <v>0.17100942309620554</v>
      </c>
      <c r="BN205" s="2093">
        <f t="shared" si="437"/>
        <v>0.15701862358283314</v>
      </c>
      <c r="BO205" s="2094">
        <f t="shared" ref="BO205" si="438">+BO184/AVERAGE(BK202:BN202)</f>
        <v>0.15559406916744642</v>
      </c>
      <c r="BP205" s="2116"/>
      <c r="BQ205" s="2118">
        <f t="shared" ref="BQ205:BT205" si="439">+BQ184*4/BQ202</f>
        <v>0.14188132509308027</v>
      </c>
      <c r="BR205" s="2093">
        <f t="shared" si="439"/>
        <v>0.16087701026587073</v>
      </c>
      <c r="BS205" s="2093">
        <f t="shared" si="439"/>
        <v>0.16805222977274872</v>
      </c>
      <c r="BT205" s="2093">
        <f t="shared" si="439"/>
        <v>0.19776028858802766</v>
      </c>
      <c r="BU205" s="2094">
        <f t="shared" ref="BU205" si="440">+BU184/AVERAGE(BQ202:BT202)</f>
        <v>0.16738930109425551</v>
      </c>
      <c r="BV205" s="2116"/>
      <c r="BW205" s="2118">
        <f t="shared" ref="BW205:BZ205" si="441">+BW184*4/BW202</f>
        <v>0.12168606987388399</v>
      </c>
      <c r="BX205" s="2093">
        <f t="shared" si="441"/>
        <v>0.15628815001039378</v>
      </c>
      <c r="BY205" s="2093">
        <f t="shared" si="441"/>
        <v>0.17512730486145658</v>
      </c>
      <c r="BZ205" s="2093">
        <f t="shared" si="441"/>
        <v>0.25883714425823123</v>
      </c>
      <c r="CA205" s="2094">
        <f t="shared" ref="CA205" si="442">+CA184/AVERAGE(BW202:BZ202)</f>
        <v>0.17743431744799928</v>
      </c>
      <c r="CB205" s="2116"/>
      <c r="CC205" s="2118">
        <f t="shared" ref="CC205:CF205" si="443">+CC184*4/CC202</f>
        <v>0.14126940647767169</v>
      </c>
      <c r="CD205" s="2093">
        <f t="shared" si="443"/>
        <v>0.18418670881795943</v>
      </c>
      <c r="CE205" s="2093">
        <f t="shared" si="443"/>
        <v>0.18063778271798231</v>
      </c>
      <c r="CF205" s="2093">
        <f t="shared" si="443"/>
        <v>0.24658408588506092</v>
      </c>
      <c r="CG205" s="2094">
        <f t="shared" ref="CG205" si="444">+CG184/AVERAGE(CC202:CF202)</f>
        <v>0.18924115885124604</v>
      </c>
      <c r="CH205" s="2116"/>
      <c r="CI205" s="2118">
        <f t="shared" ref="CI205:CL205" si="445">+CI184*4/CI202</f>
        <v>0.14855455966978567</v>
      </c>
      <c r="CJ205" s="2093">
        <f t="shared" si="445"/>
        <v>0.20319577998433339</v>
      </c>
      <c r="CK205" s="2093">
        <f t="shared" si="445"/>
        <v>0.20518905208886112</v>
      </c>
      <c r="CL205" s="2093">
        <f t="shared" si="445"/>
        <v>0.25668574757745949</v>
      </c>
      <c r="CM205" s="2094">
        <f t="shared" ref="CM205" si="446">+CM184/AVERAGE(CI202:CL202)</f>
        <v>0.20327107006718703</v>
      </c>
      <c r="CN205" s="2116"/>
      <c r="CO205" s="2118">
        <f t="shared" ref="CO205:CR205" si="447">+CO184*4/CO202</f>
        <v>0.1989117627028707</v>
      </c>
      <c r="CP205" s="2093">
        <f t="shared" si="447"/>
        <v>0.24134554000781702</v>
      </c>
      <c r="CQ205" s="2093">
        <f t="shared" si="447"/>
        <v>0.24865491567881695</v>
      </c>
      <c r="CR205" s="2093">
        <f t="shared" si="447"/>
        <v>0.30726053000400011</v>
      </c>
      <c r="CS205" s="2094">
        <f t="shared" ref="CS205" si="448">+CS184/AVERAGE(CO202:CR202)</f>
        <v>0.24894969609008849</v>
      </c>
      <c r="CT205" s="2116"/>
      <c r="CU205" s="2118">
        <f t="shared" ref="CU205:CX205" si="449">+CU184*4/CU202</f>
        <v>0.25117726059280565</v>
      </c>
      <c r="CV205" s="2093">
        <f t="shared" si="449"/>
        <v>0.30205732591769041</v>
      </c>
      <c r="CW205" s="2093">
        <f t="shared" si="449"/>
        <v>0.30495575506974648</v>
      </c>
      <c r="CX205" s="2093">
        <f t="shared" si="449"/>
        <v>0.37499059655555467</v>
      </c>
      <c r="CY205" s="2094">
        <f t="shared" ref="CY205" si="450">+CY184/AVERAGE(CU202:CX202)</f>
        <v>0.30837846723410323</v>
      </c>
      <c r="CZ205" s="20"/>
      <c r="DA205" s="20"/>
      <c r="DB205" s="20"/>
    </row>
    <row r="206" spans="1:106" ht="11.25" customHeight="1" x14ac:dyDescent="0.2">
      <c r="A206" s="2124"/>
      <c r="B206" s="39"/>
      <c r="C206" s="2121"/>
      <c r="D206" s="2119"/>
      <c r="E206" s="2119"/>
      <c r="F206" s="2119"/>
      <c r="G206" s="2120"/>
      <c r="H206" s="2083"/>
      <c r="I206" s="2121"/>
      <c r="J206" s="2119"/>
      <c r="K206" s="2119"/>
      <c r="L206" s="2119"/>
      <c r="M206" s="2120"/>
      <c r="N206" s="2083"/>
      <c r="O206" s="2121"/>
      <c r="P206" s="2119"/>
      <c r="Q206" s="2119"/>
      <c r="R206" s="2119"/>
      <c r="S206" s="2120"/>
      <c r="T206" s="2083"/>
      <c r="U206" s="2121"/>
      <c r="V206" s="2119"/>
      <c r="W206" s="2119"/>
      <c r="X206" s="2119"/>
      <c r="Y206" s="2120"/>
      <c r="Z206" s="2083"/>
      <c r="AA206" s="2121"/>
      <c r="AB206" s="2119"/>
      <c r="AC206" s="2119"/>
      <c r="AD206" s="2119"/>
      <c r="AE206" s="2120"/>
      <c r="AF206" s="2083"/>
      <c r="AG206" s="2121"/>
      <c r="AH206" s="2119"/>
      <c r="AI206" s="2119"/>
      <c r="AJ206" s="2119"/>
      <c r="AK206" s="2120"/>
      <c r="AL206" s="2083"/>
      <c r="AM206" s="2121"/>
      <c r="AN206" s="2119"/>
      <c r="AO206" s="2119"/>
      <c r="AP206" s="2119"/>
      <c r="AQ206" s="2120"/>
      <c r="AR206" s="2083"/>
      <c r="AS206" s="2121"/>
      <c r="AT206" s="2119"/>
      <c r="AU206" s="2119"/>
      <c r="AV206" s="2119"/>
      <c r="AW206" s="2120"/>
      <c r="AX206" s="2083"/>
      <c r="AY206" s="2122"/>
      <c r="AZ206" s="2123"/>
      <c r="BA206" s="2123"/>
      <c r="BB206" s="2123"/>
      <c r="BC206" s="2120"/>
      <c r="BD206" s="2083"/>
      <c r="BE206" s="2122"/>
      <c r="BF206" s="2123"/>
      <c r="BG206" s="2119"/>
      <c r="BH206" s="2119"/>
      <c r="BI206" s="2120"/>
      <c r="BJ206" s="2083"/>
      <c r="BK206" s="2121"/>
      <c r="BL206" s="2119"/>
      <c r="BM206" s="2119"/>
      <c r="BN206" s="2119"/>
      <c r="BO206" s="2120"/>
      <c r="BP206" s="2083"/>
      <c r="BQ206" s="2121"/>
      <c r="BR206" s="2119"/>
      <c r="BS206" s="2119"/>
      <c r="BT206" s="2119"/>
      <c r="BU206" s="2120"/>
      <c r="BV206" s="2083"/>
      <c r="BW206" s="2121"/>
      <c r="BX206" s="2119"/>
      <c r="BY206" s="2119"/>
      <c r="BZ206" s="2119"/>
      <c r="CA206" s="2120"/>
      <c r="CB206" s="2083"/>
      <c r="CC206" s="2121"/>
      <c r="CD206" s="2119"/>
      <c r="CE206" s="2119"/>
      <c r="CF206" s="2119"/>
      <c r="CG206" s="2120"/>
      <c r="CH206" s="2083"/>
      <c r="CI206" s="2121"/>
      <c r="CJ206" s="2119"/>
      <c r="CK206" s="2119"/>
      <c r="CL206" s="2119"/>
      <c r="CM206" s="2120"/>
      <c r="CN206" s="2083"/>
      <c r="CO206" s="2121"/>
      <c r="CP206" s="2119"/>
      <c r="CQ206" s="2119"/>
      <c r="CR206" s="2119"/>
      <c r="CS206" s="2120"/>
      <c r="CT206" s="2083"/>
      <c r="CU206" s="2121"/>
      <c r="CV206" s="2119"/>
      <c r="CW206" s="2119"/>
      <c r="CX206" s="2119"/>
      <c r="CY206" s="2120"/>
      <c r="CZ206" s="20"/>
      <c r="DA206" s="20"/>
      <c r="DB206" s="20"/>
    </row>
    <row r="207" spans="1:106" ht="11.25" customHeight="1" x14ac:dyDescent="0.2">
      <c r="A207" s="35"/>
      <c r="B207" s="39"/>
      <c r="C207" s="20"/>
      <c r="D207" s="20"/>
      <c r="E207" s="20"/>
      <c r="F207" s="20"/>
      <c r="G207" s="20"/>
      <c r="H207" s="39"/>
      <c r="I207" s="20"/>
      <c r="J207" s="20"/>
      <c r="K207" s="20"/>
      <c r="L207" s="20"/>
      <c r="M207" s="20"/>
      <c r="N207" s="39"/>
      <c r="O207" s="20"/>
      <c r="P207" s="20"/>
      <c r="Q207" s="20"/>
      <c r="R207" s="20"/>
      <c r="S207" s="20"/>
      <c r="T207" s="39"/>
      <c r="U207" s="20"/>
      <c r="V207" s="20"/>
      <c r="W207" s="20"/>
      <c r="X207" s="20"/>
      <c r="Y207" s="20"/>
      <c r="Z207" s="39"/>
      <c r="AA207" s="20"/>
      <c r="AB207" s="20"/>
      <c r="AC207" s="20"/>
      <c r="AD207" s="20"/>
      <c r="AE207" s="20"/>
      <c r="AF207" s="39"/>
      <c r="AG207" s="20"/>
      <c r="AH207" s="20"/>
      <c r="AI207" s="20"/>
      <c r="AJ207" s="20"/>
      <c r="AK207" s="20"/>
      <c r="AL207" s="39"/>
      <c r="AM207" s="20"/>
      <c r="AN207" s="20"/>
      <c r="AO207" s="20"/>
      <c r="AP207" s="20"/>
      <c r="AQ207" s="20"/>
      <c r="AR207" s="39"/>
      <c r="AS207" s="20"/>
      <c r="AT207" s="20"/>
      <c r="AU207" s="20"/>
      <c r="AV207" s="20"/>
      <c r="AW207" s="20"/>
      <c r="AX207" s="39"/>
      <c r="AY207" s="20"/>
      <c r="AZ207" s="20"/>
      <c r="BA207" s="20"/>
      <c r="BB207" s="20"/>
      <c r="BC207" s="20"/>
      <c r="BD207" s="20"/>
      <c r="BE207" s="20"/>
      <c r="BF207" s="20"/>
      <c r="BG207" s="20"/>
      <c r="BH207" s="20"/>
      <c r="BI207" s="20"/>
      <c r="BJ207" s="39"/>
      <c r="BK207" s="20"/>
      <c r="BL207" s="20"/>
      <c r="BM207" s="20"/>
      <c r="BN207" s="20"/>
      <c r="BO207" s="20"/>
      <c r="BP207" s="39"/>
      <c r="BQ207" s="20"/>
      <c r="BR207" s="20"/>
      <c r="BS207" s="20"/>
      <c r="BT207" s="20"/>
      <c r="BU207" s="20"/>
      <c r="BV207" s="39"/>
      <c r="BW207" s="20"/>
      <c r="BX207" s="20"/>
      <c r="BY207" s="20"/>
      <c r="BZ207" s="20"/>
      <c r="CA207" s="20"/>
      <c r="CB207" s="39"/>
      <c r="CC207" s="20"/>
      <c r="CD207" s="20"/>
      <c r="CE207" s="20"/>
      <c r="CF207" s="20"/>
      <c r="CG207" s="20"/>
      <c r="CH207" s="39"/>
      <c r="CI207" s="20"/>
      <c r="CJ207" s="20"/>
      <c r="CK207" s="20"/>
      <c r="CL207" s="20"/>
      <c r="CM207" s="20"/>
      <c r="CN207" s="39"/>
      <c r="CO207" s="20"/>
      <c r="CP207" s="20"/>
      <c r="CQ207" s="20"/>
      <c r="CR207" s="20"/>
      <c r="CS207" s="20"/>
      <c r="CT207" s="39"/>
      <c r="CU207" s="20"/>
      <c r="CV207" s="20"/>
      <c r="CW207" s="20"/>
      <c r="CX207" s="20"/>
      <c r="CY207" s="20"/>
      <c r="CZ207" s="20"/>
      <c r="DA207" s="20"/>
      <c r="DB207" s="20"/>
    </row>
    <row r="208" spans="1:106" ht="11.25" customHeight="1" x14ac:dyDescent="0.2">
      <c r="A208" s="35"/>
      <c r="B208" s="39"/>
      <c r="C208" s="20"/>
      <c r="D208" s="20"/>
      <c r="E208" s="20"/>
      <c r="F208" s="20"/>
      <c r="G208" s="20"/>
      <c r="H208" s="39"/>
      <c r="I208" s="20"/>
      <c r="J208" s="20"/>
      <c r="K208" s="20"/>
      <c r="L208" s="20"/>
      <c r="M208" s="20"/>
      <c r="N208" s="39"/>
      <c r="O208" s="20"/>
      <c r="P208" s="20"/>
      <c r="Q208" s="20"/>
      <c r="R208" s="20"/>
      <c r="S208" s="20"/>
      <c r="T208" s="39"/>
      <c r="U208" s="20"/>
      <c r="V208" s="20"/>
      <c r="W208" s="20"/>
      <c r="X208" s="20"/>
      <c r="Y208" s="20"/>
      <c r="Z208" s="39"/>
      <c r="AA208" s="20"/>
      <c r="AB208" s="20"/>
      <c r="AC208" s="20"/>
      <c r="AD208" s="20"/>
      <c r="AE208" s="20"/>
      <c r="AF208" s="39"/>
      <c r="AG208" s="20"/>
      <c r="AH208" s="20"/>
      <c r="AI208" s="20"/>
      <c r="AJ208" s="20"/>
      <c r="AK208" s="20"/>
      <c r="AL208" s="39"/>
      <c r="AM208" s="20"/>
      <c r="AN208" s="20"/>
      <c r="AO208" s="20"/>
      <c r="AP208" s="20"/>
      <c r="AQ208" s="20"/>
      <c r="AR208" s="39"/>
      <c r="AS208" s="20"/>
      <c r="AT208" s="20"/>
      <c r="AU208" s="20"/>
      <c r="AV208" s="20"/>
      <c r="AW208" s="20"/>
      <c r="AX208" s="39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39"/>
      <c r="BK208" s="20"/>
      <c r="BL208" s="20"/>
      <c r="BM208" s="20"/>
      <c r="BN208" s="20"/>
      <c r="BO208" s="20"/>
      <c r="BP208" s="39"/>
      <c r="BQ208" s="20"/>
      <c r="BR208" s="20"/>
      <c r="BS208" s="20"/>
      <c r="BT208" s="20"/>
      <c r="BU208" s="20"/>
      <c r="BV208" s="39"/>
      <c r="BW208" s="20"/>
      <c r="BX208" s="20"/>
      <c r="BY208" s="20"/>
      <c r="BZ208" s="20"/>
      <c r="CA208" s="20"/>
      <c r="CB208" s="39"/>
      <c r="CC208" s="20"/>
      <c r="CD208" s="20"/>
      <c r="CE208" s="20"/>
      <c r="CF208" s="20"/>
      <c r="CG208" s="20"/>
      <c r="CH208" s="39"/>
      <c r="CI208" s="20"/>
      <c r="CJ208" s="20"/>
      <c r="CK208" s="20"/>
      <c r="CL208" s="20"/>
      <c r="CM208" s="20"/>
      <c r="CN208" s="39"/>
      <c r="CO208" s="20"/>
      <c r="CP208" s="20"/>
      <c r="CQ208" s="20"/>
      <c r="CR208" s="20"/>
      <c r="CS208" s="20"/>
      <c r="CT208" s="39"/>
      <c r="CU208" s="20"/>
      <c r="CV208" s="20"/>
      <c r="CW208" s="20"/>
      <c r="CX208" s="20"/>
      <c r="CY208" s="20"/>
      <c r="CZ208" s="20"/>
      <c r="DA208" s="20"/>
      <c r="DB208" s="20"/>
    </row>
    <row r="209" spans="1:106" ht="11.25" customHeight="1" x14ac:dyDescent="0.2">
      <c r="A209" s="35"/>
      <c r="B209" s="39"/>
      <c r="C209" s="20"/>
      <c r="D209" s="20"/>
      <c r="E209" s="20"/>
      <c r="F209" s="20"/>
      <c r="G209" s="20"/>
      <c r="H209" s="39"/>
      <c r="I209" s="20"/>
      <c r="J209" s="20"/>
      <c r="K209" s="20"/>
      <c r="L209" s="20"/>
      <c r="M209" s="20"/>
      <c r="N209" s="39"/>
      <c r="O209" s="20"/>
      <c r="P209" s="20"/>
      <c r="Q209" s="20"/>
      <c r="R209" s="20"/>
      <c r="S209" s="20"/>
      <c r="T209" s="39"/>
      <c r="U209" s="20"/>
      <c r="V209" s="20"/>
      <c r="W209" s="20"/>
      <c r="X209" s="20"/>
      <c r="Y209" s="20"/>
      <c r="Z209" s="39"/>
      <c r="AA209" s="20"/>
      <c r="AB209" s="20"/>
      <c r="AC209" s="20"/>
      <c r="AD209" s="20"/>
      <c r="AE209" s="20"/>
      <c r="AF209" s="39"/>
      <c r="AG209" s="20"/>
      <c r="AH209" s="20"/>
      <c r="AI209" s="20"/>
      <c r="AJ209" s="20"/>
      <c r="AK209" s="20"/>
      <c r="AL209" s="39"/>
      <c r="AM209" s="20"/>
      <c r="AN209" s="20"/>
      <c r="AO209" s="20"/>
      <c r="AP209" s="20"/>
      <c r="AQ209" s="20"/>
      <c r="AR209" s="39"/>
      <c r="AS209" s="20"/>
      <c r="AT209" s="20"/>
      <c r="AU209" s="20"/>
      <c r="AV209" s="20"/>
      <c r="AW209" s="20"/>
      <c r="AX209" s="39"/>
      <c r="AY209" s="20"/>
      <c r="AZ209" s="20"/>
      <c r="BA209" s="20"/>
      <c r="BB209" s="20"/>
      <c r="BC209" s="20"/>
      <c r="BD209" s="20"/>
      <c r="BE209" s="20"/>
      <c r="BF209" s="20"/>
      <c r="BG209" s="20"/>
      <c r="BH209" s="20"/>
      <c r="BI209" s="20"/>
      <c r="BJ209" s="39"/>
      <c r="BK209" s="20"/>
      <c r="BL209" s="20"/>
      <c r="BM209" s="20"/>
      <c r="BN209" s="20"/>
      <c r="BO209" s="20"/>
      <c r="BP209" s="39"/>
      <c r="BQ209" s="20"/>
      <c r="BR209" s="20"/>
      <c r="BS209" s="20"/>
      <c r="BT209" s="20"/>
      <c r="BU209" s="20"/>
      <c r="BV209" s="39"/>
      <c r="BW209" s="20"/>
      <c r="BX209" s="20"/>
      <c r="BY209" s="20"/>
      <c r="BZ209" s="20"/>
      <c r="CA209" s="20"/>
      <c r="CB209" s="39"/>
      <c r="CC209" s="20"/>
      <c r="CD209" s="20"/>
      <c r="CE209" s="20"/>
      <c r="CF209" s="20"/>
      <c r="CG209" s="20"/>
      <c r="CH209" s="39"/>
      <c r="CI209" s="20"/>
      <c r="CJ209" s="20"/>
      <c r="CK209" s="20"/>
      <c r="CL209" s="20"/>
      <c r="CM209" s="20"/>
      <c r="CN209" s="39"/>
      <c r="CO209" s="20"/>
      <c r="CP209" s="20"/>
      <c r="CQ209" s="20"/>
      <c r="CR209" s="20"/>
      <c r="CS209" s="20"/>
      <c r="CT209" s="39"/>
      <c r="CU209" s="20"/>
      <c r="CV209" s="20"/>
      <c r="CW209" s="20"/>
      <c r="CX209" s="20"/>
      <c r="CY209" s="20"/>
      <c r="CZ209" s="20"/>
      <c r="DA209" s="20"/>
      <c r="DB209" s="20"/>
    </row>
    <row r="210" spans="1:106" ht="11.25" customHeight="1" x14ac:dyDescent="0.2">
      <c r="A210" s="35"/>
      <c r="B210" s="39"/>
      <c r="C210" s="20"/>
      <c r="D210" s="20"/>
      <c r="E210" s="20"/>
      <c r="F210" s="20"/>
      <c r="G210" s="20"/>
      <c r="H210" s="39"/>
      <c r="I210" s="20"/>
      <c r="J210" s="20"/>
      <c r="K210" s="20"/>
      <c r="L210" s="20"/>
      <c r="M210" s="20"/>
      <c r="N210" s="39"/>
      <c r="O210" s="20"/>
      <c r="P210" s="20"/>
      <c r="Q210" s="20"/>
      <c r="R210" s="20"/>
      <c r="S210" s="20"/>
      <c r="T210" s="39"/>
      <c r="U210" s="20"/>
      <c r="V210" s="20"/>
      <c r="W210" s="20"/>
      <c r="X210" s="20"/>
      <c r="Y210" s="20"/>
      <c r="Z210" s="39"/>
      <c r="AA210" s="20"/>
      <c r="AB210" s="20"/>
      <c r="AC210" s="20"/>
      <c r="AD210" s="20"/>
      <c r="AE210" s="20"/>
      <c r="AF210" s="39"/>
      <c r="AG210" s="20"/>
      <c r="AH210" s="20"/>
      <c r="AI210" s="20"/>
      <c r="AJ210" s="20"/>
      <c r="AK210" s="20"/>
      <c r="AL210" s="39"/>
      <c r="AM210" s="20"/>
      <c r="AN210" s="20"/>
      <c r="AO210" s="20"/>
      <c r="AP210" s="20"/>
      <c r="AQ210" s="20"/>
      <c r="AR210" s="39"/>
      <c r="AS210" s="20"/>
      <c r="AT210" s="20"/>
      <c r="AU210" s="20"/>
      <c r="AV210" s="20"/>
      <c r="AW210" s="20"/>
      <c r="AX210" s="39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39"/>
      <c r="BK210" s="20"/>
      <c r="BL210" s="20"/>
      <c r="BM210" s="20"/>
      <c r="BN210" s="20"/>
      <c r="BO210" s="20"/>
      <c r="BP210" s="39"/>
      <c r="BQ210" s="20"/>
      <c r="BR210" s="20"/>
      <c r="BS210" s="20"/>
      <c r="BT210" s="20"/>
      <c r="BU210" s="20"/>
      <c r="BV210" s="39"/>
      <c r="BW210" s="20"/>
      <c r="BX210" s="20"/>
      <c r="BY210" s="20"/>
      <c r="BZ210" s="20"/>
      <c r="CA210" s="20"/>
      <c r="CB210" s="39"/>
      <c r="CC210" s="20"/>
      <c r="CD210" s="20"/>
      <c r="CE210" s="20"/>
      <c r="CF210" s="20"/>
      <c r="CG210" s="20"/>
      <c r="CH210" s="39"/>
      <c r="CI210" s="20"/>
      <c r="CJ210" s="20"/>
      <c r="CK210" s="20"/>
      <c r="CL210" s="20"/>
      <c r="CM210" s="20"/>
      <c r="CN210" s="39"/>
      <c r="CO210" s="20"/>
      <c r="CP210" s="20"/>
      <c r="CQ210" s="20"/>
      <c r="CR210" s="20"/>
      <c r="CS210" s="20"/>
      <c r="CT210" s="39"/>
      <c r="CU210" s="20"/>
      <c r="CV210" s="20"/>
      <c r="CW210" s="20"/>
      <c r="CX210" s="20"/>
      <c r="CY210" s="20"/>
      <c r="CZ210" s="20"/>
      <c r="DA210" s="20"/>
      <c r="DB210" s="20"/>
    </row>
    <row r="211" spans="1:106" ht="11.25" customHeight="1" x14ac:dyDescent="0.2">
      <c r="A211" s="35"/>
      <c r="B211" s="39"/>
      <c r="C211" s="20"/>
      <c r="D211" s="20"/>
      <c r="E211" s="20"/>
      <c r="F211" s="20"/>
      <c r="G211" s="20"/>
      <c r="H211" s="39"/>
      <c r="I211" s="20"/>
      <c r="J211" s="20"/>
      <c r="K211" s="20"/>
      <c r="L211" s="20"/>
      <c r="M211" s="20"/>
      <c r="N211" s="39"/>
      <c r="O211" s="20"/>
      <c r="P211" s="20"/>
      <c r="Q211" s="20"/>
      <c r="R211" s="20"/>
      <c r="S211" s="20"/>
      <c r="T211" s="39"/>
      <c r="U211" s="20"/>
      <c r="V211" s="20"/>
      <c r="W211" s="20"/>
      <c r="X211" s="20"/>
      <c r="Y211" s="20"/>
      <c r="Z211" s="39"/>
      <c r="AA211" s="20"/>
      <c r="AB211" s="20"/>
      <c r="AC211" s="20"/>
      <c r="AD211" s="20"/>
      <c r="AE211" s="20"/>
      <c r="AF211" s="39"/>
      <c r="AG211" s="20"/>
      <c r="AH211" s="20"/>
      <c r="AI211" s="20"/>
      <c r="AJ211" s="20"/>
      <c r="AK211" s="20"/>
      <c r="AL211" s="39"/>
      <c r="AM211" s="20"/>
      <c r="AN211" s="20"/>
      <c r="AO211" s="20"/>
      <c r="AP211" s="20"/>
      <c r="AQ211" s="20"/>
      <c r="AR211" s="39"/>
      <c r="AS211" s="20"/>
      <c r="AT211" s="20"/>
      <c r="AU211" s="20"/>
      <c r="AV211" s="20"/>
      <c r="AW211" s="20"/>
      <c r="AX211" s="39"/>
      <c r="AY211" s="20"/>
      <c r="AZ211" s="20"/>
      <c r="BA211" s="20"/>
      <c r="BB211" s="20"/>
      <c r="BC211" s="20"/>
      <c r="BD211" s="20"/>
      <c r="BE211" s="20"/>
      <c r="BF211" s="20"/>
      <c r="BG211" s="20"/>
      <c r="BH211" s="20"/>
      <c r="BI211" s="20"/>
      <c r="BJ211" s="39"/>
      <c r="BK211" s="20"/>
      <c r="BL211" s="20"/>
      <c r="BM211" s="20"/>
      <c r="BN211" s="20"/>
      <c r="BO211" s="20"/>
      <c r="BP211" s="39"/>
      <c r="BQ211" s="20"/>
      <c r="BR211" s="20"/>
      <c r="BS211" s="20"/>
      <c r="BT211" s="20"/>
      <c r="BU211" s="20"/>
      <c r="BV211" s="39"/>
      <c r="BW211" s="20"/>
      <c r="BX211" s="20"/>
      <c r="BY211" s="20"/>
      <c r="BZ211" s="20"/>
      <c r="CA211" s="20"/>
      <c r="CB211" s="39"/>
      <c r="CC211" s="20"/>
      <c r="CD211" s="20"/>
      <c r="CE211" s="20"/>
      <c r="CF211" s="20"/>
      <c r="CG211" s="20"/>
      <c r="CH211" s="39"/>
      <c r="CI211" s="20"/>
      <c r="CJ211" s="20"/>
      <c r="CK211" s="20"/>
      <c r="CL211" s="20"/>
      <c r="CM211" s="20"/>
      <c r="CN211" s="39"/>
      <c r="CO211" s="20"/>
      <c r="CP211" s="20"/>
      <c r="CQ211" s="20"/>
      <c r="CR211" s="20"/>
      <c r="CS211" s="20"/>
      <c r="CT211" s="39"/>
      <c r="CU211" s="20"/>
      <c r="CV211" s="20"/>
      <c r="CW211" s="20"/>
      <c r="CX211" s="20"/>
      <c r="CY211" s="20"/>
      <c r="CZ211" s="20"/>
      <c r="DA211" s="20"/>
      <c r="DB211" s="20"/>
    </row>
    <row r="212" spans="1:106" ht="11.25" customHeight="1" x14ac:dyDescent="0.2">
      <c r="A212" s="35"/>
      <c r="B212" s="39"/>
      <c r="C212" s="20"/>
      <c r="D212" s="20"/>
      <c r="E212" s="20"/>
      <c r="F212" s="20"/>
      <c r="G212" s="20"/>
      <c r="H212" s="39"/>
      <c r="I212" s="20"/>
      <c r="J212" s="20"/>
      <c r="K212" s="20"/>
      <c r="L212" s="20"/>
      <c r="M212" s="20"/>
      <c r="N212" s="39"/>
      <c r="O212" s="20"/>
      <c r="P212" s="20"/>
      <c r="Q212" s="20"/>
      <c r="R212" s="20"/>
      <c r="S212" s="20"/>
      <c r="T212" s="39"/>
      <c r="U212" s="20"/>
      <c r="V212" s="20"/>
      <c r="W212" s="20"/>
      <c r="X212" s="20"/>
      <c r="Y212" s="20"/>
      <c r="Z212" s="39"/>
      <c r="AA212" s="20"/>
      <c r="AB212" s="20"/>
      <c r="AC212" s="20"/>
      <c r="AD212" s="20"/>
      <c r="AE212" s="20"/>
      <c r="AF212" s="39"/>
      <c r="AG212" s="20"/>
      <c r="AH212" s="20"/>
      <c r="AI212" s="20"/>
      <c r="AJ212" s="20"/>
      <c r="AK212" s="20"/>
      <c r="AL212" s="39"/>
      <c r="AM212" s="20"/>
      <c r="AN212" s="20"/>
      <c r="AO212" s="20"/>
      <c r="AP212" s="20"/>
      <c r="AQ212" s="20"/>
      <c r="AR212" s="39"/>
      <c r="AS212" s="20"/>
      <c r="AT212" s="20"/>
      <c r="AU212" s="20"/>
      <c r="AV212" s="20"/>
      <c r="AW212" s="20"/>
      <c r="AX212" s="39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39"/>
      <c r="BK212" s="20"/>
      <c r="BL212" s="20"/>
      <c r="BM212" s="20"/>
      <c r="BN212" s="20"/>
      <c r="BO212" s="20"/>
      <c r="BP212" s="39"/>
      <c r="BQ212" s="20"/>
      <c r="BR212" s="20"/>
      <c r="BS212" s="20"/>
      <c r="BT212" s="20"/>
      <c r="BU212" s="20"/>
      <c r="BV212" s="39"/>
      <c r="BW212" s="20"/>
      <c r="BX212" s="20"/>
      <c r="BY212" s="20"/>
      <c r="BZ212" s="20"/>
      <c r="CA212" s="20"/>
      <c r="CB212" s="39"/>
      <c r="CC212" s="20"/>
      <c r="CD212" s="20"/>
      <c r="CE212" s="20"/>
      <c r="CF212" s="20"/>
      <c r="CG212" s="20"/>
      <c r="CH212" s="39"/>
      <c r="CI212" s="20"/>
      <c r="CJ212" s="20"/>
      <c r="CK212" s="20"/>
      <c r="CL212" s="20"/>
      <c r="CM212" s="20"/>
      <c r="CN212" s="39"/>
      <c r="CO212" s="20"/>
      <c r="CP212" s="20"/>
      <c r="CQ212" s="20"/>
      <c r="CR212" s="20"/>
      <c r="CS212" s="20"/>
      <c r="CT212" s="39"/>
      <c r="CU212" s="20"/>
      <c r="CV212" s="20"/>
      <c r="CW212" s="20"/>
      <c r="CX212" s="20"/>
      <c r="CY212" s="20"/>
      <c r="CZ212" s="20"/>
      <c r="DA212" s="20"/>
      <c r="DB212" s="20"/>
    </row>
    <row r="213" spans="1:106" ht="11.25" customHeight="1" x14ac:dyDescent="0.2">
      <c r="A213" s="39"/>
      <c r="B213" s="39"/>
      <c r="C213" s="20"/>
      <c r="D213" s="20"/>
      <c r="E213" s="20"/>
      <c r="F213" s="20"/>
      <c r="G213" s="20"/>
      <c r="H213" s="39"/>
      <c r="I213" s="20"/>
      <c r="J213" s="20"/>
      <c r="K213" s="20"/>
      <c r="L213" s="20"/>
      <c r="M213" s="20"/>
      <c r="N213" s="39"/>
      <c r="O213" s="20"/>
      <c r="P213" s="20"/>
      <c r="Q213" s="20"/>
      <c r="R213" s="20"/>
      <c r="S213" s="20"/>
      <c r="T213" s="39"/>
      <c r="U213" s="20"/>
      <c r="V213" s="20"/>
      <c r="W213" s="20"/>
      <c r="X213" s="20"/>
      <c r="Y213" s="20"/>
      <c r="Z213" s="39"/>
      <c r="AA213" s="20"/>
      <c r="AB213" s="20"/>
      <c r="AC213" s="20"/>
      <c r="AD213" s="20"/>
      <c r="AE213" s="20"/>
      <c r="AF213" s="39"/>
      <c r="AG213" s="20"/>
      <c r="AH213" s="20"/>
      <c r="AI213" s="20"/>
      <c r="AJ213" s="20"/>
      <c r="AK213" s="20"/>
      <c r="AL213" s="39"/>
      <c r="AM213" s="20"/>
      <c r="AN213" s="20"/>
      <c r="AO213" s="20"/>
      <c r="AP213" s="20"/>
      <c r="AQ213" s="20"/>
      <c r="AR213" s="39"/>
      <c r="AS213" s="20"/>
      <c r="AT213" s="20"/>
      <c r="AU213" s="20"/>
      <c r="AV213" s="20"/>
      <c r="AW213" s="20"/>
      <c r="AX213" s="39"/>
      <c r="AY213" s="20"/>
      <c r="AZ213" s="20"/>
      <c r="BA213" s="20"/>
      <c r="BB213" s="20"/>
      <c r="BC213" s="20"/>
      <c r="BD213" s="20"/>
      <c r="BE213" s="20"/>
      <c r="BF213" s="20"/>
      <c r="BG213" s="20"/>
      <c r="BH213" s="20"/>
      <c r="BI213" s="20"/>
      <c r="BJ213" s="39"/>
      <c r="BK213" s="20"/>
      <c r="BL213" s="20"/>
      <c r="BM213" s="20"/>
      <c r="BN213" s="20"/>
      <c r="BO213" s="20"/>
      <c r="BP213" s="39"/>
      <c r="BQ213" s="20"/>
      <c r="BR213" s="20"/>
      <c r="BS213" s="20"/>
      <c r="BT213" s="20"/>
      <c r="BU213" s="20"/>
      <c r="BV213" s="39"/>
      <c r="BW213" s="20"/>
      <c r="BX213" s="20"/>
      <c r="BY213" s="20"/>
      <c r="BZ213" s="20"/>
      <c r="CA213" s="20"/>
      <c r="CB213" s="39"/>
      <c r="CC213" s="20"/>
      <c r="CD213" s="20"/>
      <c r="CE213" s="20"/>
      <c r="CF213" s="20"/>
      <c r="CG213" s="20"/>
      <c r="CH213" s="39"/>
      <c r="CI213" s="20"/>
      <c r="CJ213" s="20"/>
      <c r="CK213" s="20"/>
      <c r="CL213" s="20"/>
      <c r="CM213" s="20"/>
      <c r="CN213" s="39"/>
      <c r="CO213" s="20"/>
      <c r="CP213" s="20"/>
      <c r="CQ213" s="20"/>
      <c r="CR213" s="20"/>
      <c r="CS213" s="20"/>
      <c r="CT213" s="39"/>
      <c r="CU213" s="20"/>
      <c r="CV213" s="20"/>
      <c r="CW213" s="20"/>
      <c r="CX213" s="20"/>
      <c r="CY213" s="20"/>
      <c r="CZ213" s="20"/>
      <c r="DA213" s="20"/>
      <c r="DB213" s="20"/>
    </row>
    <row r="214" spans="1:106" customFormat="1" ht="11.25" customHeight="1" outlineLevel="1" x14ac:dyDescent="0.2"/>
    <row r="216" spans="1:106" x14ac:dyDescent="0.2">
      <c r="BM216" s="1071"/>
      <c r="BO216" s="1071"/>
    </row>
    <row r="217" spans="1:106" x14ac:dyDescent="0.2">
      <c r="BO217" s="1071"/>
    </row>
  </sheetData>
  <phoneticPr fontId="4" type="noConversion"/>
  <pageMargins left="0" right="0" top="0" bottom="0" header="0" footer="0"/>
  <pageSetup paperSize="5" scale="37" orientation="landscape" r:id="rId1"/>
  <headerFooter alignWithMargins="0"/>
  <cellWatches>
    <cellWatch r="BG52"/>
  </cellWatches>
  <ignoredErrors>
    <ignoredError sqref="BC12 M108:M114 BB122 M107 M115:M126 M127:M128 AQ115:AW126 AQ107:AW107 AQ108:AW114 S107:AP126 AX107:AZ126 BI33:BJ33 BI111:BI114 BM123 BM122:BN122 BM126 BM111 BL122:BL123 BK111 BK122 BI122:BI124 BI115:BI119 BH119 BH117 BF110:BF112 BG110:BG112 BF119:BF123 BF117 BE122 BD122:BD126 BJ107:BJ126 BC122 BI107 BH122:BH123 BG117 BI108:BI109 BG126:BH126 BG119:BG123 BO122 BI126 BC107:BH107 BC126 BK126:BL126 BC124:BC125 BP122:BW122 BC119:BE121 BH120:BI121 BC123 BC113:BH114 BC108:BH109 BK108:BW109 BC118:BH118 BC117:BE117 BK107:BW107 BK124:BW124 BK119:BW121 BK123 BK110:BW110 BK118:BW118 BK117:BP117 BE126:BF126 BE125:BI125 BE123 BC110:BE112 BH110:BI110 BC115:BH116 BE124:BH124 BK112:BW116 BL111 BN123:BW123 BN111:BW111 BN126:BW126 BH111:BH112 CB107 CH107 BK125:BW125 CB125 BY122:CC122 CB108:CB109 CB124 CB119:CB121 CB110 CB118 CB117 CB112 CB123 CB111 CB126 CB115:CB116 CB114 CH125:CL125 CM107 CM114 BR117:BV117 CH114 CB113 CH108:CM109 CH119:CM121 CH110:CM110 CH118:CM118 CH117:CM117 CH112:CM112 CH111:CM111 CH115:CM116 CH113:CM113 CH124:CM124 CE123 CH126:CM126 CE122 CH123:CM123 CH122:CM122" formula="1"/>
    <ignoredError sqref="BD10:BD11 BC17:BC22 BD32:BD38 BI36:BI37 BC25:BC28 BD13:BD30 BI27:BI28 BC35:BC37 BI18:BI19" evalError="1"/>
    <ignoredError sqref="BD12" evalError="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  <pageSetUpPr fitToPage="1"/>
  </sheetPr>
  <dimension ref="A1:DI99"/>
  <sheetViews>
    <sheetView zoomScaleNormal="100" workbookViewId="0">
      <pane xSplit="2" ySplit="7" topLeftCell="C8" activePane="bottomRight" state="frozen"/>
      <selection activeCell="BC8" sqref="BC8"/>
      <selection pane="topRight" activeCell="BC8" sqref="BC8"/>
      <selection pane="bottomLeft" activeCell="BC8" sqref="BC8"/>
      <selection pane="bottomRight" sqref="A1:XFD1048576"/>
    </sheetView>
  </sheetViews>
  <sheetFormatPr defaultColWidth="9.7109375" defaultRowHeight="12.75" outlineLevelRow="1" outlineLevelCol="1" x14ac:dyDescent="0.2"/>
  <cols>
    <col min="1" max="1" width="41.7109375" style="5" customWidth="1"/>
    <col min="2" max="2" width="0.85546875" style="5" customWidth="1"/>
    <col min="3" max="7" width="8.7109375" style="5" hidden="1" customWidth="1" outlineLevel="1"/>
    <col min="8" max="8" width="0.85546875" style="5" hidden="1" customWidth="1" outlineLevel="1"/>
    <col min="9" max="13" width="8.7109375" style="5" hidden="1" customWidth="1" outlineLevel="1"/>
    <col min="14" max="14" width="0.85546875" style="5" hidden="1" customWidth="1" outlineLevel="1"/>
    <col min="15" max="19" width="8.7109375" style="5" hidden="1" customWidth="1" outlineLevel="1"/>
    <col min="20" max="20" width="0.85546875" style="5" hidden="1" customWidth="1" outlineLevel="1"/>
    <col min="21" max="25" width="8.7109375" style="5" hidden="1" customWidth="1" outlineLevel="1"/>
    <col min="26" max="26" width="0.85546875" style="5" hidden="1" customWidth="1" outlineLevel="1"/>
    <col min="27" max="31" width="8.7109375" style="5" hidden="1" customWidth="1" outlineLevel="1"/>
    <col min="32" max="32" width="0.85546875" style="5" hidden="1" customWidth="1" outlineLevel="1"/>
    <col min="33" max="37" width="8.7109375" style="5" hidden="1" customWidth="1" outlineLevel="1"/>
    <col min="38" max="38" width="0.85546875" style="5" hidden="1" customWidth="1" outlineLevel="1"/>
    <col min="39" max="42" width="8.7109375" style="5" hidden="1" customWidth="1" outlineLevel="1"/>
    <col min="43" max="43" width="8.7109375" style="5" hidden="1" customWidth="1" outlineLevel="1" collapsed="1"/>
    <col min="44" max="44" width="0.85546875" style="5" hidden="1" customWidth="1" outlineLevel="1"/>
    <col min="45" max="48" width="8.7109375" style="5" hidden="1" customWidth="1" outlineLevel="1"/>
    <col min="49" max="49" width="8.7109375" style="5" hidden="1" customWidth="1" outlineLevel="1" collapsed="1"/>
    <col min="50" max="50" width="0.85546875" style="5" hidden="1" customWidth="1" outlineLevel="1"/>
    <col min="51" max="54" width="8.7109375" style="5" hidden="1" customWidth="1" outlineLevel="1"/>
    <col min="55" max="55" width="8.7109375" style="5" customWidth="1" collapsed="1"/>
    <col min="56" max="56" width="0.85546875" style="5" customWidth="1"/>
    <col min="57" max="60" width="8.7109375" style="5" hidden="1" customWidth="1" outlineLevel="1"/>
    <col min="61" max="61" width="8.7109375" style="5" customWidth="1" collapsed="1"/>
    <col min="62" max="62" width="0.85546875" style="5" customWidth="1"/>
    <col min="63" max="66" width="8.7109375" style="5" hidden="1" customWidth="1" outlineLevel="1"/>
    <col min="67" max="67" width="8.7109375" style="5" customWidth="1" collapsed="1"/>
    <col min="68" max="68" width="0.85546875" style="5" customWidth="1"/>
    <col min="69" max="72" width="8.7109375" style="5" hidden="1" customWidth="1" outlineLevel="1"/>
    <col min="73" max="73" width="8.7109375" style="5" customWidth="1" collapsed="1"/>
    <col min="74" max="74" width="0.85546875" style="5" customWidth="1"/>
    <col min="75" max="78" width="8.7109375" style="5" hidden="1" customWidth="1" outlineLevel="1"/>
    <col min="79" max="79" width="8.7109375" style="5" customWidth="1" collapsed="1"/>
    <col min="80" max="80" width="0.85546875" style="5" customWidth="1"/>
    <col min="81" max="84" width="8.7109375" style="5" customWidth="1" outlineLevel="1"/>
    <col min="85" max="85" width="8.7109375" style="5" customWidth="1"/>
    <col min="86" max="86" width="0.85546875" style="5" customWidth="1"/>
    <col min="87" max="90" width="8.7109375" style="5" customWidth="1" outlineLevel="1"/>
    <col min="91" max="91" width="8.7109375" style="5" customWidth="1"/>
    <col min="92" max="92" width="0.85546875" style="5" customWidth="1"/>
    <col min="93" max="96" width="8.7109375" style="5" hidden="1" customWidth="1" outlineLevel="1"/>
    <col min="97" max="97" width="8.7109375" style="5" customWidth="1" collapsed="1"/>
    <col min="98" max="98" width="0.85546875" style="5" customWidth="1"/>
    <col min="99" max="102" width="8.7109375" style="5" hidden="1" customWidth="1" outlineLevel="1"/>
    <col min="103" max="103" width="8.7109375" style="5" customWidth="1" collapsed="1"/>
    <col min="104" max="106" width="8.7109375" style="5" customWidth="1"/>
    <col min="107" max="107" width="29.42578125" hidden="1" customWidth="1" outlineLevel="1"/>
    <col min="108" max="112" width="9.7109375" hidden="1" customWidth="1" outlineLevel="1"/>
    <col min="113" max="113" width="9.7109375" style="5" customWidth="1" collapsed="1"/>
    <col min="114" max="16384" width="9.7109375" style="5"/>
  </cols>
  <sheetData>
    <row r="1" spans="1:112" ht="11.25" customHeight="1" x14ac:dyDescent="0.2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39"/>
      <c r="DA1" s="39"/>
      <c r="DB1" s="48"/>
    </row>
    <row r="2" spans="1:112" ht="11.25" customHeight="1" x14ac:dyDescent="0.2">
      <c r="A2" s="339" t="s">
        <v>309</v>
      </c>
      <c r="B2" s="39"/>
      <c r="C2" s="48"/>
      <c r="D2" s="48"/>
      <c r="E2" s="48"/>
      <c r="F2" s="48"/>
      <c r="G2" s="48"/>
      <c r="H2" s="39"/>
      <c r="I2" s="48"/>
      <c r="J2" s="48"/>
      <c r="K2" s="48"/>
      <c r="L2" s="48"/>
      <c r="M2" s="48"/>
      <c r="N2" s="39"/>
      <c r="O2" s="48"/>
      <c r="P2" s="48"/>
      <c r="Q2" s="48"/>
      <c r="R2" s="48"/>
      <c r="S2" s="48"/>
      <c r="T2" s="39"/>
      <c r="U2" s="48"/>
      <c r="V2" s="48"/>
      <c r="W2" s="48"/>
      <c r="X2" s="48"/>
      <c r="Y2" s="48"/>
      <c r="Z2" s="39"/>
      <c r="AA2" s="48"/>
      <c r="AB2" s="48"/>
      <c r="AC2" s="48"/>
      <c r="AD2" s="48"/>
      <c r="AE2" s="48"/>
      <c r="AF2" s="39"/>
      <c r="AG2" s="48"/>
      <c r="AH2" s="48"/>
      <c r="AI2" s="48"/>
      <c r="AJ2" s="48"/>
      <c r="AK2" s="48"/>
      <c r="AL2" s="39"/>
      <c r="AM2" s="48"/>
      <c r="AN2" s="48"/>
      <c r="AO2" s="48"/>
      <c r="AP2" s="48"/>
      <c r="AQ2" s="48"/>
      <c r="AR2" s="39"/>
      <c r="AS2" s="48"/>
      <c r="AT2" s="48"/>
      <c r="AU2" s="48"/>
      <c r="AV2" s="48"/>
      <c r="AW2" s="48"/>
      <c r="AX2" s="39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39"/>
      <c r="DA2" s="39"/>
      <c r="DB2" s="48"/>
    </row>
    <row r="3" spans="1:112" ht="11.25" customHeight="1" x14ac:dyDescent="0.2">
      <c r="A3" s="534" t="s">
        <v>81</v>
      </c>
      <c r="B3" s="535"/>
      <c r="C3" s="240"/>
      <c r="D3" s="240"/>
      <c r="E3" s="240"/>
      <c r="F3" s="240"/>
      <c r="G3" s="240"/>
      <c r="H3" s="535"/>
      <c r="I3" s="240"/>
      <c r="J3" s="240"/>
      <c r="K3" s="240"/>
      <c r="L3" s="240"/>
      <c r="M3" s="240"/>
      <c r="N3" s="535"/>
      <c r="O3" s="240"/>
      <c r="P3" s="240"/>
      <c r="Q3" s="240"/>
      <c r="R3" s="240"/>
      <c r="S3" s="240"/>
      <c r="T3" s="535"/>
      <c r="U3" s="240"/>
      <c r="V3" s="240"/>
      <c r="W3" s="240"/>
      <c r="X3" s="240"/>
      <c r="Y3" s="240"/>
      <c r="Z3" s="535"/>
      <c r="AA3" s="240"/>
      <c r="AB3" s="240"/>
      <c r="AC3" s="240"/>
      <c r="AD3" s="240"/>
      <c r="AE3" s="240"/>
      <c r="AF3" s="535"/>
      <c r="AG3" s="240"/>
      <c r="AH3" s="240"/>
      <c r="AI3" s="240"/>
      <c r="AJ3" s="240"/>
      <c r="AK3" s="240"/>
      <c r="AL3" s="535"/>
      <c r="AM3" s="240"/>
      <c r="AN3" s="240"/>
      <c r="AO3" s="240"/>
      <c r="AP3" s="240"/>
      <c r="AQ3" s="240"/>
      <c r="AR3" s="535"/>
      <c r="AS3" s="240"/>
      <c r="AT3" s="240"/>
      <c r="AU3" s="240"/>
      <c r="AV3" s="240"/>
      <c r="AW3" s="240"/>
      <c r="AX3" s="535"/>
      <c r="AY3" s="240"/>
      <c r="AZ3" s="240"/>
      <c r="BA3" s="240"/>
      <c r="BB3" s="240"/>
      <c r="BC3" s="240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  <c r="BP3" s="240"/>
      <c r="BQ3" s="240"/>
      <c r="BR3" s="240"/>
      <c r="BS3" s="240"/>
      <c r="BT3" s="240"/>
      <c r="BU3" s="240"/>
      <c r="BV3" s="240"/>
      <c r="BW3" s="240"/>
      <c r="BX3" s="240"/>
      <c r="BY3" s="240"/>
      <c r="BZ3" s="240"/>
      <c r="CA3" s="240"/>
      <c r="CB3" s="240"/>
      <c r="CC3" s="240"/>
      <c r="CD3" s="240"/>
      <c r="CE3" s="240"/>
      <c r="CF3" s="240"/>
      <c r="CG3" s="240"/>
      <c r="CH3" s="240"/>
      <c r="CI3" s="240"/>
      <c r="CJ3" s="240"/>
      <c r="CK3" s="240"/>
      <c r="CL3" s="240"/>
      <c r="CM3" s="240"/>
      <c r="CN3" s="240"/>
      <c r="CO3" s="240"/>
      <c r="CP3" s="240"/>
      <c r="CQ3" s="240"/>
      <c r="CR3" s="240"/>
      <c r="CS3" s="240"/>
      <c r="CT3" s="240"/>
      <c r="CU3" s="240"/>
      <c r="CV3" s="240"/>
      <c r="CW3" s="240"/>
      <c r="CX3" s="240"/>
      <c r="CY3" s="240"/>
      <c r="CZ3" s="39"/>
      <c r="DA3" s="39"/>
      <c r="DB3" s="48"/>
    </row>
    <row r="4" spans="1:112" ht="11.25" customHeight="1" x14ac:dyDescent="0.2">
      <c r="A4" s="532" t="s">
        <v>6</v>
      </c>
      <c r="B4" s="533"/>
      <c r="C4" s="39"/>
      <c r="D4" s="39"/>
      <c r="E4" s="39"/>
      <c r="F4" s="39"/>
      <c r="G4" s="39"/>
      <c r="H4" s="533"/>
      <c r="I4" s="39"/>
      <c r="J4" s="39"/>
      <c r="K4" s="39"/>
      <c r="L4" s="39"/>
      <c r="M4" s="39"/>
      <c r="N4" s="533"/>
      <c r="O4" s="39"/>
      <c r="P4" s="39"/>
      <c r="Q4" s="39"/>
      <c r="R4" s="39"/>
      <c r="S4" s="39"/>
      <c r="T4" s="533"/>
      <c r="U4" s="39"/>
      <c r="V4" s="39"/>
      <c r="W4" s="39"/>
      <c r="X4" s="39"/>
      <c r="Y4" s="39"/>
      <c r="Z4" s="533"/>
      <c r="AA4" s="39"/>
      <c r="AB4" s="39"/>
      <c r="AC4" s="39"/>
      <c r="AD4" s="39"/>
      <c r="AE4" s="39"/>
      <c r="AF4" s="533"/>
      <c r="AG4" s="39"/>
      <c r="AH4" s="39"/>
      <c r="AI4" s="39"/>
      <c r="AJ4" s="39"/>
      <c r="AK4" s="39"/>
      <c r="AL4" s="533"/>
      <c r="AM4" s="39"/>
      <c r="AN4" s="39"/>
      <c r="AO4" s="39"/>
      <c r="AP4" s="39"/>
      <c r="AQ4" s="39"/>
      <c r="AR4" s="533"/>
      <c r="AS4" s="39"/>
      <c r="AT4" s="39"/>
      <c r="AU4" s="39"/>
      <c r="AV4" s="39"/>
      <c r="AW4" s="39"/>
      <c r="AX4" s="533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48"/>
    </row>
    <row r="5" spans="1:112" ht="11.25" customHeight="1" x14ac:dyDescent="0.2">
      <c r="A5" s="342" t="s">
        <v>7</v>
      </c>
      <c r="B5" s="247"/>
      <c r="C5" s="48"/>
      <c r="D5" s="48"/>
      <c r="E5" s="48"/>
      <c r="F5" s="48"/>
      <c r="G5" s="48"/>
      <c r="H5" s="247"/>
      <c r="I5" s="48"/>
      <c r="J5" s="48"/>
      <c r="K5" s="48"/>
      <c r="L5" s="48"/>
      <c r="M5" s="48"/>
      <c r="N5" s="247"/>
      <c r="O5" s="48"/>
      <c r="P5" s="48"/>
      <c r="Q5" s="48"/>
      <c r="R5" s="48"/>
      <c r="S5" s="48"/>
      <c r="T5" s="247"/>
      <c r="U5" s="48"/>
      <c r="V5" s="48"/>
      <c r="W5" s="48"/>
      <c r="X5" s="48"/>
      <c r="Y5" s="48"/>
      <c r="Z5" s="247"/>
      <c r="AA5" s="48"/>
      <c r="AB5" s="48"/>
      <c r="AC5" s="48"/>
      <c r="AD5" s="48"/>
      <c r="AE5" s="48"/>
      <c r="AF5" s="247"/>
      <c r="AG5" s="48"/>
      <c r="AH5" s="48"/>
      <c r="AI5" s="48"/>
      <c r="AJ5" s="48"/>
      <c r="AK5" s="48"/>
      <c r="AL5" s="247"/>
      <c r="AM5" s="48"/>
      <c r="AN5" s="48"/>
      <c r="AO5" s="48"/>
      <c r="AP5" s="48"/>
      <c r="AQ5" s="48"/>
      <c r="AR5" s="247"/>
      <c r="AS5" s="48"/>
      <c r="AT5" s="48"/>
      <c r="AU5" s="48"/>
      <c r="AV5" s="48"/>
      <c r="AW5" s="48"/>
      <c r="AX5" s="247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8"/>
      <c r="BT5" s="48"/>
      <c r="BU5" s="48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48"/>
      <c r="CP5" s="48"/>
      <c r="CQ5" s="48"/>
      <c r="CR5" s="48"/>
      <c r="CS5" s="48"/>
      <c r="CT5" s="48"/>
      <c r="CU5" s="48"/>
      <c r="CV5" s="48"/>
      <c r="CW5" s="48"/>
      <c r="CX5" s="48"/>
      <c r="CY5" s="48"/>
      <c r="CZ5" s="39"/>
      <c r="DA5" s="39"/>
      <c r="DB5" s="48"/>
    </row>
    <row r="6" spans="1:112" ht="11.25" customHeight="1" x14ac:dyDescent="0.2">
      <c r="A6" s="247"/>
      <c r="B6" s="247"/>
      <c r="C6" s="343" t="s">
        <v>95</v>
      </c>
      <c r="D6" s="344"/>
      <c r="E6" s="344"/>
      <c r="F6" s="344"/>
      <c r="G6" s="345">
        <v>2004</v>
      </c>
      <c r="H6" s="346"/>
      <c r="I6" s="343" t="s">
        <v>94</v>
      </c>
      <c r="J6" s="344"/>
      <c r="K6" s="344"/>
      <c r="L6" s="344"/>
      <c r="M6" s="345">
        <f>G6+1</f>
        <v>2005</v>
      </c>
      <c r="N6" s="347"/>
      <c r="O6" s="343" t="s">
        <v>93</v>
      </c>
      <c r="P6" s="344"/>
      <c r="Q6" s="344"/>
      <c r="R6" s="344"/>
      <c r="S6" s="345">
        <f>M6+1</f>
        <v>2006</v>
      </c>
      <c r="T6" s="251"/>
      <c r="U6" s="343">
        <v>2007</v>
      </c>
      <c r="V6" s="344"/>
      <c r="W6" s="344"/>
      <c r="X6" s="344"/>
      <c r="Y6" s="345">
        <f>S6+1</f>
        <v>2007</v>
      </c>
      <c r="Z6" s="346"/>
      <c r="AA6" s="343">
        <f>U6+1</f>
        <v>2008</v>
      </c>
      <c r="AB6" s="344"/>
      <c r="AC6" s="344"/>
      <c r="AD6" s="344"/>
      <c r="AE6" s="345">
        <f>Y6+1</f>
        <v>2008</v>
      </c>
      <c r="AF6" s="347"/>
      <c r="AG6" s="343">
        <f>AA6+1</f>
        <v>2009</v>
      </c>
      <c r="AH6" s="344"/>
      <c r="AI6" s="344"/>
      <c r="AJ6" s="344"/>
      <c r="AK6" s="345">
        <f>AE6+1</f>
        <v>2009</v>
      </c>
      <c r="AL6" s="347"/>
      <c r="AM6" s="343">
        <f>AG6+1</f>
        <v>2010</v>
      </c>
      <c r="AN6" s="344"/>
      <c r="AO6" s="344"/>
      <c r="AP6" s="344"/>
      <c r="AQ6" s="345">
        <f>AK6+1</f>
        <v>2010</v>
      </c>
      <c r="AR6" s="347"/>
      <c r="AS6" s="343">
        <f>AM6+1</f>
        <v>2011</v>
      </c>
      <c r="AT6" s="344"/>
      <c r="AU6" s="344"/>
      <c r="AV6" s="344"/>
      <c r="AW6" s="345">
        <f>AQ6+1</f>
        <v>2011</v>
      </c>
      <c r="AX6" s="347"/>
      <c r="AY6" s="343">
        <f>AS6+1</f>
        <v>2012</v>
      </c>
      <c r="AZ6" s="344"/>
      <c r="BA6" s="344"/>
      <c r="BB6" s="344"/>
      <c r="BC6" s="345">
        <f>AW6+1</f>
        <v>2012</v>
      </c>
      <c r="BD6" s="347"/>
      <c r="BE6" s="343">
        <f>AY6+1</f>
        <v>2013</v>
      </c>
      <c r="BF6" s="344"/>
      <c r="BG6" s="344"/>
      <c r="BH6" s="344"/>
      <c r="BI6" s="345">
        <f>BC6+1</f>
        <v>2013</v>
      </c>
      <c r="BJ6" s="347"/>
      <c r="BK6" s="343">
        <f>BE6+1</f>
        <v>2014</v>
      </c>
      <c r="BL6" s="344"/>
      <c r="BM6" s="344"/>
      <c r="BN6" s="344"/>
      <c r="BO6" s="345">
        <f>BI6+1</f>
        <v>2014</v>
      </c>
      <c r="BP6" s="347"/>
      <c r="BQ6" s="343">
        <f>BK6+1</f>
        <v>2015</v>
      </c>
      <c r="BR6" s="344"/>
      <c r="BS6" s="344"/>
      <c r="BT6" s="344"/>
      <c r="BU6" s="345">
        <f>BO6+1</f>
        <v>2015</v>
      </c>
      <c r="BV6" s="347"/>
      <c r="BW6" s="343">
        <f>BQ6+1</f>
        <v>2016</v>
      </c>
      <c r="BX6" s="344"/>
      <c r="BY6" s="344"/>
      <c r="BZ6" s="344"/>
      <c r="CA6" s="345">
        <f>BU6+1</f>
        <v>2016</v>
      </c>
      <c r="CB6" s="347"/>
      <c r="CC6" s="343">
        <f>BW6+1</f>
        <v>2017</v>
      </c>
      <c r="CD6" s="344"/>
      <c r="CE6" s="344"/>
      <c r="CF6" s="344"/>
      <c r="CG6" s="345">
        <f>CA6+1</f>
        <v>2017</v>
      </c>
      <c r="CH6" s="347"/>
      <c r="CI6" s="348">
        <f>CC6+1</f>
        <v>2018</v>
      </c>
      <c r="CJ6" s="344"/>
      <c r="CK6" s="344"/>
      <c r="CL6" s="344"/>
      <c r="CM6" s="349">
        <f>CG6+1</f>
        <v>2018</v>
      </c>
      <c r="CN6" s="347"/>
      <c r="CO6" s="348">
        <f>CI6+1</f>
        <v>2019</v>
      </c>
      <c r="CP6" s="344"/>
      <c r="CQ6" s="344"/>
      <c r="CR6" s="344"/>
      <c r="CS6" s="349">
        <f>CM6+1</f>
        <v>2019</v>
      </c>
      <c r="CT6" s="347"/>
      <c r="CU6" s="348">
        <f>CO6+1</f>
        <v>2020</v>
      </c>
      <c r="CV6" s="344"/>
      <c r="CW6" s="344"/>
      <c r="CX6" s="344"/>
      <c r="CY6" s="349">
        <f>CS6+1</f>
        <v>2020</v>
      </c>
      <c r="CZ6" s="39"/>
      <c r="DA6" s="39"/>
      <c r="DB6" s="48"/>
    </row>
    <row r="7" spans="1:112" ht="11.25" customHeight="1" x14ac:dyDescent="0.2">
      <c r="A7" s="240"/>
      <c r="B7" s="48"/>
      <c r="C7" s="357">
        <v>38077</v>
      </c>
      <c r="D7" s="358">
        <f>C7+FLOOR(365/4,1)</f>
        <v>38168</v>
      </c>
      <c r="E7" s="358">
        <f>D7+FLOOR(365/4,1)</f>
        <v>38259</v>
      </c>
      <c r="F7" s="358">
        <f>E7+FLOOR(365/4,1)</f>
        <v>38350</v>
      </c>
      <c r="G7" s="359"/>
      <c r="H7" s="365"/>
      <c r="I7" s="357">
        <f>F7+FLOOR(365/4,1)</f>
        <v>38441</v>
      </c>
      <c r="J7" s="358">
        <f>I7+FLOOR(365/4,1)</f>
        <v>38532</v>
      </c>
      <c r="K7" s="358">
        <f>J7+FLOOR(365/4,1)</f>
        <v>38623</v>
      </c>
      <c r="L7" s="358">
        <f>K7+FLOOR(365/4,1)</f>
        <v>38714</v>
      </c>
      <c r="M7" s="359"/>
      <c r="N7" s="364"/>
      <c r="O7" s="357">
        <f>L7+FLOOR(365/4,1)</f>
        <v>38805</v>
      </c>
      <c r="P7" s="358">
        <f>O7+FLOOR(365/4,1)</f>
        <v>38896</v>
      </c>
      <c r="Q7" s="358">
        <f>P7+FLOOR(365/4,1)</f>
        <v>38987</v>
      </c>
      <c r="R7" s="358">
        <f>Q7+FLOOR(365/4,1)</f>
        <v>39078</v>
      </c>
      <c r="S7" s="359"/>
      <c r="T7" s="337"/>
      <c r="U7" s="357">
        <f>R7+FLOOR(365/4,1)</f>
        <v>39169</v>
      </c>
      <c r="V7" s="358">
        <f>U7+FLOOR(365/4,1)</f>
        <v>39260</v>
      </c>
      <c r="W7" s="358">
        <f>V7+FLOOR(365/4,1)</f>
        <v>39351</v>
      </c>
      <c r="X7" s="358">
        <f>W7+FLOOR(365/4,1)</f>
        <v>39442</v>
      </c>
      <c r="Y7" s="359"/>
      <c r="Z7" s="365"/>
      <c r="AA7" s="357">
        <f>X7+FLOOR(365/4,1)</f>
        <v>39533</v>
      </c>
      <c r="AB7" s="358">
        <f>AA7+FLOOR(365/4,1)</f>
        <v>39624</v>
      </c>
      <c r="AC7" s="358">
        <f>AB7+FLOOR(365/4,1)</f>
        <v>39715</v>
      </c>
      <c r="AD7" s="358">
        <f>AC7+FLOOR(365/4,1)</f>
        <v>39806</v>
      </c>
      <c r="AE7" s="359"/>
      <c r="AF7" s="359"/>
      <c r="AG7" s="357">
        <f>AD7+FLOOR(365/4,1)</f>
        <v>39897</v>
      </c>
      <c r="AH7" s="358">
        <f>AG7+FLOOR(365/4,1)</f>
        <v>39988</v>
      </c>
      <c r="AI7" s="358">
        <f>AH7+FLOOR(365/4,1)</f>
        <v>40079</v>
      </c>
      <c r="AJ7" s="358">
        <f>AI7+FLOOR(365/4,1)</f>
        <v>40170</v>
      </c>
      <c r="AK7" s="359"/>
      <c r="AL7" s="359"/>
      <c r="AM7" s="357">
        <f>AJ7+FLOOR(365/4,1)</f>
        <v>40261</v>
      </c>
      <c r="AN7" s="358">
        <f>AM7+FLOOR(365/4,1)</f>
        <v>40352</v>
      </c>
      <c r="AO7" s="358">
        <f>AN7+FLOOR(365/4,1)</f>
        <v>40443</v>
      </c>
      <c r="AP7" s="358">
        <f>AO7+FLOOR(365/4,1)</f>
        <v>40534</v>
      </c>
      <c r="AQ7" s="359"/>
      <c r="AR7" s="359"/>
      <c r="AS7" s="357">
        <f>AP7+FLOOR(365/4,1)</f>
        <v>40625</v>
      </c>
      <c r="AT7" s="358">
        <f>AS7+FLOOR(365/4,1)</f>
        <v>40716</v>
      </c>
      <c r="AU7" s="358">
        <f>AT7+FLOOR(365/4,1)</f>
        <v>40807</v>
      </c>
      <c r="AV7" s="358">
        <f>AU7+FLOOR(365/4,1)</f>
        <v>40898</v>
      </c>
      <c r="AW7" s="359"/>
      <c r="AX7" s="359"/>
      <c r="AY7" s="357">
        <f>AV7+FLOOR(365/4,1)</f>
        <v>40989</v>
      </c>
      <c r="AZ7" s="358">
        <f>AY7+FLOOR(365/4,1)</f>
        <v>41080</v>
      </c>
      <c r="BA7" s="358">
        <f>AZ7+FLOOR(365/4,1)</f>
        <v>41171</v>
      </c>
      <c r="BB7" s="358">
        <f>BA7+FLOOR(365/4,1)</f>
        <v>41262</v>
      </c>
      <c r="BC7" s="359"/>
      <c r="BD7" s="364"/>
      <c r="BE7" s="357">
        <f>BB7+FLOOR(365/4,1)</f>
        <v>41353</v>
      </c>
      <c r="BF7" s="358">
        <f>BE7+FLOOR(365/4,1)</f>
        <v>41444</v>
      </c>
      <c r="BG7" s="358">
        <f>BF7+FLOOR(365/4,1)</f>
        <v>41535</v>
      </c>
      <c r="BH7" s="358">
        <f>BG7+FLOOR(365/4,1)</f>
        <v>41626</v>
      </c>
      <c r="BI7" s="359"/>
      <c r="BJ7" s="359"/>
      <c r="BK7" s="357">
        <f>BH7+FLOOR(365/4,1)</f>
        <v>41717</v>
      </c>
      <c r="BL7" s="358">
        <f>BK7+FLOOR(365/4,1)</f>
        <v>41808</v>
      </c>
      <c r="BM7" s="358">
        <f>BL7+FLOOR(365/4,1)</f>
        <v>41899</v>
      </c>
      <c r="BN7" s="358">
        <f>BM7+FLOOR(365/4,1)</f>
        <v>41990</v>
      </c>
      <c r="BO7" s="359"/>
      <c r="BP7" s="364"/>
      <c r="BQ7" s="357">
        <f>BN7+FLOOR(365/4,1)</f>
        <v>42081</v>
      </c>
      <c r="BR7" s="358">
        <f>BQ7+FLOOR(365/4,1)</f>
        <v>42172</v>
      </c>
      <c r="BS7" s="358">
        <f>BR7+FLOOR(365/4,1)</f>
        <v>42263</v>
      </c>
      <c r="BT7" s="358">
        <f>BS7+FLOOR(365/4,1)</f>
        <v>42354</v>
      </c>
      <c r="BU7" s="359"/>
      <c r="BV7" s="364"/>
      <c r="BW7" s="357">
        <f>BT7+FLOOR(365/4,1)</f>
        <v>42445</v>
      </c>
      <c r="BX7" s="358">
        <f>BW7+FLOOR(365/4,1)</f>
        <v>42536</v>
      </c>
      <c r="BY7" s="358">
        <f>BX7+FLOOR(365/4,1)</f>
        <v>42627</v>
      </c>
      <c r="BZ7" s="358">
        <f>BY7+FLOOR(365/4,1)</f>
        <v>42718</v>
      </c>
      <c r="CA7" s="359"/>
      <c r="CB7" s="364"/>
      <c r="CC7" s="357">
        <f>BZ7+FLOOR(365/4,1)</f>
        <v>42809</v>
      </c>
      <c r="CD7" s="358">
        <f>CC7+FLOOR(365/4,1)</f>
        <v>42900</v>
      </c>
      <c r="CE7" s="358">
        <f>CD7+FLOOR(365/4,1)</f>
        <v>42991</v>
      </c>
      <c r="CF7" s="358">
        <f>CE7+FLOOR(365/4,1)</f>
        <v>43082</v>
      </c>
      <c r="CG7" s="359"/>
      <c r="CH7" s="364"/>
      <c r="CI7" s="362">
        <f>CF7+FLOOR(365/4,1)</f>
        <v>43173</v>
      </c>
      <c r="CJ7" s="360">
        <f>CI7+FLOOR(365/4,1)</f>
        <v>43264</v>
      </c>
      <c r="CK7" s="360">
        <f>CJ7+FLOOR(365/4,1)</f>
        <v>43355</v>
      </c>
      <c r="CL7" s="361">
        <f>CK7+FLOOR(365/4,1)</f>
        <v>43446</v>
      </c>
      <c r="CM7" s="359"/>
      <c r="CN7" s="364"/>
      <c r="CO7" s="362">
        <f>CL7+FLOOR(365/4,1)</f>
        <v>43537</v>
      </c>
      <c r="CP7" s="360">
        <f>CO7+FLOOR(365/4,1)</f>
        <v>43628</v>
      </c>
      <c r="CQ7" s="360">
        <f>CP7+FLOOR(365/4,1)</f>
        <v>43719</v>
      </c>
      <c r="CR7" s="361">
        <f>CQ7+FLOOR(365/4,1)</f>
        <v>43810</v>
      </c>
      <c r="CS7" s="359"/>
      <c r="CT7" s="364"/>
      <c r="CU7" s="362">
        <f>CR7+FLOOR(365/4,1)</f>
        <v>43901</v>
      </c>
      <c r="CV7" s="360">
        <f>CU7+FLOOR(365/4,1)</f>
        <v>43992</v>
      </c>
      <c r="CW7" s="360">
        <f>CV7+FLOOR(365/4,1)</f>
        <v>44083</v>
      </c>
      <c r="CX7" s="361">
        <f>CW7+FLOOR(365/4,1)</f>
        <v>44174</v>
      </c>
      <c r="CY7" s="359"/>
      <c r="CZ7" s="253"/>
      <c r="DA7" s="253"/>
      <c r="DB7" s="48"/>
    </row>
    <row r="8" spans="1:112" ht="11.25" customHeight="1" x14ac:dyDescent="0.2">
      <c r="A8" s="218" t="s">
        <v>56</v>
      </c>
      <c r="B8" s="48"/>
      <c r="C8" s="59"/>
      <c r="D8" s="48"/>
      <c r="E8" s="48"/>
      <c r="F8" s="48"/>
      <c r="G8" s="58"/>
      <c r="H8" s="48"/>
      <c r="I8" s="59"/>
      <c r="J8" s="48"/>
      <c r="K8" s="48"/>
      <c r="L8" s="48"/>
      <c r="M8" s="58"/>
      <c r="N8" s="48"/>
      <c r="O8" s="59"/>
      <c r="P8" s="48"/>
      <c r="Q8" s="48"/>
      <c r="R8" s="48"/>
      <c r="S8" s="58"/>
      <c r="T8" s="48"/>
      <c r="U8" s="59"/>
      <c r="V8" s="48"/>
      <c r="W8" s="48"/>
      <c r="X8" s="48"/>
      <c r="Y8" s="58"/>
      <c r="Z8" s="48"/>
      <c r="AA8" s="59"/>
      <c r="AB8" s="48"/>
      <c r="AC8" s="48"/>
      <c r="AD8" s="48"/>
      <c r="AE8" s="58"/>
      <c r="AF8" s="48"/>
      <c r="AG8" s="59"/>
      <c r="AH8" s="48"/>
      <c r="AI8" s="48"/>
      <c r="AJ8" s="48"/>
      <c r="AK8" s="58"/>
      <c r="AL8" s="48"/>
      <c r="AM8" s="59"/>
      <c r="AN8" s="48"/>
      <c r="AO8" s="48"/>
      <c r="AP8" s="48"/>
      <c r="AQ8" s="58"/>
      <c r="AR8" s="48"/>
      <c r="AS8" s="59"/>
      <c r="AT8" s="48"/>
      <c r="AU8" s="48"/>
      <c r="AV8" s="48"/>
      <c r="AW8" s="58"/>
      <c r="AX8" s="48"/>
      <c r="AY8" s="59"/>
      <c r="AZ8" s="48"/>
      <c r="BA8" s="48"/>
      <c r="BB8" s="48"/>
      <c r="BC8" s="58"/>
      <c r="BD8" s="48"/>
      <c r="BE8" s="59"/>
      <c r="BF8" s="48"/>
      <c r="BG8" s="48"/>
      <c r="BH8" s="48"/>
      <c r="BI8" s="58"/>
      <c r="BJ8" s="48"/>
      <c r="BK8" s="59"/>
      <c r="BL8" s="48"/>
      <c r="BM8" s="48"/>
      <c r="BN8" s="48"/>
      <c r="BO8" s="58"/>
      <c r="BP8" s="48"/>
      <c r="BQ8" s="59"/>
      <c r="BR8" s="48"/>
      <c r="BS8" s="48"/>
      <c r="BT8" s="48"/>
      <c r="BU8" s="58"/>
      <c r="BV8" s="48"/>
      <c r="BW8" s="59"/>
      <c r="BX8" s="48"/>
      <c r="BY8" s="48"/>
      <c r="BZ8" s="48"/>
      <c r="CA8" s="58"/>
      <c r="CB8" s="48"/>
      <c r="CC8" s="59"/>
      <c r="CD8" s="48"/>
      <c r="CE8" s="48"/>
      <c r="CF8" s="48"/>
      <c r="CG8" s="58"/>
      <c r="CH8" s="48"/>
      <c r="CI8" s="59"/>
      <c r="CJ8" s="48"/>
      <c r="CK8" s="48"/>
      <c r="CL8" s="48"/>
      <c r="CM8" s="191"/>
      <c r="CN8" s="48"/>
      <c r="CO8" s="59"/>
      <c r="CP8" s="48"/>
      <c r="CQ8" s="48"/>
      <c r="CR8" s="48"/>
      <c r="CS8" s="58"/>
      <c r="CT8" s="48"/>
      <c r="CU8" s="59"/>
      <c r="CV8" s="48"/>
      <c r="CW8" s="48"/>
      <c r="CX8" s="48"/>
      <c r="CY8" s="58"/>
      <c r="CZ8" s="39"/>
      <c r="DA8" s="39"/>
      <c r="DB8" s="48"/>
    </row>
    <row r="9" spans="1:112" s="272" customFormat="1" ht="11.25" customHeight="1" x14ac:dyDescent="0.2">
      <c r="A9" s="203" t="s">
        <v>57</v>
      </c>
      <c r="B9" s="214"/>
      <c r="C9" s="301"/>
      <c r="D9" s="214"/>
      <c r="E9" s="214"/>
      <c r="F9" s="214"/>
      <c r="G9" s="401">
        <v>48.704999999999998</v>
      </c>
      <c r="H9" s="49"/>
      <c r="I9" s="402">
        <v>13.948</v>
      </c>
      <c r="J9" s="403">
        <f>27.725-I9</f>
        <v>13.777000000000001</v>
      </c>
      <c r="K9" s="403">
        <f>45.365-I9-J9</f>
        <v>17.64</v>
      </c>
      <c r="L9" s="404">
        <f>62.225-I9-J9-K9</f>
        <v>16.86</v>
      </c>
      <c r="M9" s="60">
        <f>SUM(I9:L9)</f>
        <v>62.225000000000001</v>
      </c>
      <c r="N9" s="49"/>
      <c r="O9" s="402">
        <v>17.579999999999998</v>
      </c>
      <c r="P9" s="403">
        <f>31.734-O9</f>
        <v>14.154000000000003</v>
      </c>
      <c r="Q9" s="403">
        <f>51.092-O9-P9</f>
        <v>19.357999999999997</v>
      </c>
      <c r="R9" s="254">
        <f>70.539-O9-P9-Q9</f>
        <v>19.447000000000003</v>
      </c>
      <c r="S9" s="60">
        <f>SUM(O9:R9)</f>
        <v>70.539000000000001</v>
      </c>
      <c r="T9" s="49"/>
      <c r="U9" s="402">
        <v>19.867000000000001</v>
      </c>
      <c r="V9" s="403">
        <f>42.45-U9</f>
        <v>22.583000000000002</v>
      </c>
      <c r="W9" s="403">
        <f>35.122-U9-V9</f>
        <v>-7.328000000000003</v>
      </c>
      <c r="X9" s="254">
        <f>50.122-U9-V9-W9</f>
        <v>15</v>
      </c>
      <c r="Y9" s="60">
        <f>SUM(U9:X9)</f>
        <v>50.122</v>
      </c>
      <c r="Z9" s="49"/>
      <c r="AA9" s="402">
        <v>20.332999999999998</v>
      </c>
      <c r="AB9" s="403">
        <f>43.559-AA9</f>
        <v>23.225999999999999</v>
      </c>
      <c r="AC9" s="403">
        <f>64.35-AA9-AB9</f>
        <v>20.790999999999997</v>
      </c>
      <c r="AD9" s="254">
        <f>89.033-AA9-AB9-AC9</f>
        <v>24.683000000000007</v>
      </c>
      <c r="AE9" s="60">
        <f>SUM(AA9:AD9)</f>
        <v>89.033000000000001</v>
      </c>
      <c r="AF9" s="49"/>
      <c r="AG9" s="402">
        <v>24.684000000000001</v>
      </c>
      <c r="AH9" s="403">
        <f>55.613-AG9</f>
        <v>30.928999999999998</v>
      </c>
      <c r="AI9" s="403">
        <f>93.303-AG9-AH9</f>
        <v>37.69</v>
      </c>
      <c r="AJ9" s="254">
        <f>137.767-AG9-AH9-AI9</f>
        <v>44.463999999999999</v>
      </c>
      <c r="AK9" s="60">
        <f>SUM(AG9:AJ9)</f>
        <v>137.767</v>
      </c>
      <c r="AL9" s="49"/>
      <c r="AM9" s="402">
        <v>33.014000000000003</v>
      </c>
      <c r="AN9" s="403">
        <f>71.533-AM9</f>
        <v>38.518999999999998</v>
      </c>
      <c r="AO9" s="403">
        <f>108.022-AM9-AN9</f>
        <v>36.489000000000011</v>
      </c>
      <c r="AP9" s="254">
        <f>144.311-AM9-AN9-AO9</f>
        <v>36.28899999999998</v>
      </c>
      <c r="AQ9" s="60">
        <f>SUM(AM9:AP9)</f>
        <v>144.31100000000001</v>
      </c>
      <c r="AR9" s="49"/>
      <c r="AS9" s="402">
        <v>27.981000000000002</v>
      </c>
      <c r="AT9" s="403">
        <f>61.269-AS9</f>
        <v>33.287999999999997</v>
      </c>
      <c r="AU9" s="403">
        <f>95.736-AS9-AT9</f>
        <v>34.466999999999999</v>
      </c>
      <c r="AV9" s="254">
        <f>94.949-AS9-AT9-AU9</f>
        <v>-0.78700000000000614</v>
      </c>
      <c r="AW9" s="60">
        <f>SUM(AS9:AV9)</f>
        <v>94.948999999999984</v>
      </c>
      <c r="AX9" s="49"/>
      <c r="AY9" s="402">
        <v>28.49</v>
      </c>
      <c r="AZ9" s="403">
        <f>62.172-AY9</f>
        <v>33.682000000000002</v>
      </c>
      <c r="BA9" s="403">
        <f>91.253-AZ9-AY9</f>
        <v>29.081</v>
      </c>
      <c r="BB9" s="254">
        <f>129.537-SUM(AY9:BA9)</f>
        <v>38.284000000000006</v>
      </c>
      <c r="BC9" s="60">
        <f>SUM(AY9:BB9)</f>
        <v>129.53700000000001</v>
      </c>
      <c r="BD9" s="49"/>
      <c r="BE9" s="402">
        <v>20.073</v>
      </c>
      <c r="BF9" s="403">
        <f>-31.665-BE9</f>
        <v>-51.738</v>
      </c>
      <c r="BG9" s="403">
        <f>9.111-SUM(BE9:BF9)</f>
        <v>40.775999999999996</v>
      </c>
      <c r="BH9" s="403">
        <f>69.098-SUM(BE9:BG9)</f>
        <v>59.987000000000002</v>
      </c>
      <c r="BI9" s="60">
        <f>SUM(BE9:BH9)</f>
        <v>69.097999999999999</v>
      </c>
      <c r="BJ9" s="49"/>
      <c r="BK9" s="402">
        <v>23.283000000000001</v>
      </c>
      <c r="BL9" s="1061">
        <f>56.339-BK9</f>
        <v>33.055999999999997</v>
      </c>
      <c r="BM9" s="1061">
        <f>91.153-SUM(BK9:BL9)</f>
        <v>34.814000000000007</v>
      </c>
      <c r="BN9" s="1061">
        <f>117.202-SUM(BK9:BM9)</f>
        <v>26.048999999999992</v>
      </c>
      <c r="BO9" s="60">
        <f>SUM(BK9:BN9)</f>
        <v>117.202</v>
      </c>
      <c r="BP9" s="49"/>
      <c r="BQ9" s="1474">
        <v>19.364000000000001</v>
      </c>
      <c r="BR9" s="1061">
        <f>44.47-BQ9</f>
        <v>25.105999999999998</v>
      </c>
      <c r="BS9" s="1061">
        <f>78.484-SUM(BQ9:BR9)</f>
        <v>34.013999999999996</v>
      </c>
      <c r="BT9" s="1061">
        <f>126.857-SUM(BQ9:BS9)</f>
        <v>48.373000000000005</v>
      </c>
      <c r="BU9" s="60">
        <f>SUM(BQ9:BT9)</f>
        <v>126.857</v>
      </c>
      <c r="BV9" s="49"/>
      <c r="BW9" s="1474">
        <v>14.836</v>
      </c>
      <c r="BX9" s="1061">
        <f>35.838-BW9</f>
        <v>21.002000000000002</v>
      </c>
      <c r="BY9" s="1061">
        <f>69.545-SUM(BW9:BX9)</f>
        <v>33.707000000000001</v>
      </c>
      <c r="BZ9" s="1061">
        <f>80.303-SUM(BW9:BY9)</f>
        <v>10.757999999999996</v>
      </c>
      <c r="CA9" s="60">
        <f>SUM(BW9:BZ9)</f>
        <v>80.302999999999997</v>
      </c>
      <c r="CB9" s="49"/>
      <c r="CC9" s="1474">
        <v>17.651</v>
      </c>
      <c r="CD9" s="1061">
        <f>31.602-CC9</f>
        <v>13.951000000000001</v>
      </c>
      <c r="CE9" s="1061">
        <f>80.087-SUM(CC9:CD9)</f>
        <v>48.484999999999999</v>
      </c>
      <c r="CF9" s="1061">
        <f>40.394-SUM(CC9:CE9)</f>
        <v>-39.693000000000005</v>
      </c>
      <c r="CG9" s="60">
        <f>SUM(CC9:CF9)</f>
        <v>40.393999999999998</v>
      </c>
      <c r="CH9" s="49"/>
      <c r="CI9" s="858">
        <f>'P&amp;L'!CI30</f>
        <v>-3.4374540413930106</v>
      </c>
      <c r="CJ9" s="855">
        <f>'P&amp;L'!CJ30</f>
        <v>16.999924978567108</v>
      </c>
      <c r="CK9" s="855">
        <f>'P&amp;L'!CK30</f>
        <v>19.095683584062144</v>
      </c>
      <c r="CL9" s="855">
        <f>'P&amp;L'!CL30</f>
        <v>36.113919467058246</v>
      </c>
      <c r="CM9" s="60">
        <f>SUM(CI9:CL9)</f>
        <v>68.772073988294494</v>
      </c>
      <c r="CN9" s="49"/>
      <c r="CO9" s="858">
        <f>'P&amp;L'!CO30</f>
        <v>13.056895901787733</v>
      </c>
      <c r="CP9" s="855">
        <f>'P&amp;L'!CP30</f>
        <v>27.090684993430919</v>
      </c>
      <c r="CQ9" s="855">
        <f>'P&amp;L'!CQ30</f>
        <v>32.221286792940518</v>
      </c>
      <c r="CR9" s="855">
        <f>'P&amp;L'!CR30</f>
        <v>50.642507013887865</v>
      </c>
      <c r="CS9" s="60">
        <f>SUM(CO9:CR9)</f>
        <v>123.01137470204704</v>
      </c>
      <c r="CT9" s="49"/>
      <c r="CU9" s="858">
        <f>'P&amp;L'!CU30</f>
        <v>38.490429394646739</v>
      </c>
      <c r="CV9" s="855">
        <f>'P&amp;L'!CV30</f>
        <v>55.497215306517631</v>
      </c>
      <c r="CW9" s="855">
        <f>'P&amp;L'!CW30</f>
        <v>61.572220469068732</v>
      </c>
      <c r="CX9" s="855">
        <f>'P&amp;L'!CX30</f>
        <v>81.867221229251939</v>
      </c>
      <c r="CY9" s="60">
        <f>SUM(CU9:CX9)</f>
        <v>237.42708639948506</v>
      </c>
      <c r="CZ9" s="255"/>
      <c r="DA9" s="255"/>
      <c r="DB9" s="214"/>
      <c r="DC9"/>
      <c r="DD9"/>
      <c r="DE9"/>
      <c r="DF9"/>
      <c r="DG9"/>
      <c r="DH9"/>
    </row>
    <row r="10" spans="1:112" ht="11.25" customHeight="1" x14ac:dyDescent="0.2">
      <c r="A10" s="203" t="s">
        <v>178</v>
      </c>
      <c r="B10" s="48"/>
      <c r="C10" s="59"/>
      <c r="D10" s="48"/>
      <c r="E10" s="48"/>
      <c r="F10" s="48"/>
      <c r="G10" s="331"/>
      <c r="H10" s="122"/>
      <c r="I10" s="53"/>
      <c r="J10" s="122"/>
      <c r="K10" s="122"/>
      <c r="L10" s="52"/>
      <c r="M10" s="304"/>
      <c r="N10" s="122"/>
      <c r="O10" s="53"/>
      <c r="P10" s="122"/>
      <c r="Q10" s="122"/>
      <c r="R10" s="122"/>
      <c r="S10" s="331"/>
      <c r="T10" s="122"/>
      <c r="U10" s="53"/>
      <c r="V10" s="122"/>
      <c r="W10" s="122"/>
      <c r="X10" s="122"/>
      <c r="Y10" s="331"/>
      <c r="Z10" s="122"/>
      <c r="AA10" s="53"/>
      <c r="AB10" s="122"/>
      <c r="AC10" s="122"/>
      <c r="AD10" s="122"/>
      <c r="AE10" s="6"/>
      <c r="AF10" s="28"/>
      <c r="AG10" s="19"/>
      <c r="AH10" s="28"/>
      <c r="AI10" s="28"/>
      <c r="AJ10" s="28"/>
      <c r="AK10" s="6"/>
      <c r="AL10" s="28"/>
      <c r="AM10" s="19"/>
      <c r="AN10" s="28"/>
      <c r="AO10" s="28"/>
      <c r="AP10" s="28"/>
      <c r="AQ10" s="6"/>
      <c r="AR10" s="28"/>
      <c r="AS10" s="19"/>
      <c r="AT10" s="28"/>
      <c r="AU10" s="28"/>
      <c r="AV10" s="28"/>
      <c r="AW10" s="6"/>
      <c r="AX10" s="28"/>
      <c r="AY10" s="19"/>
      <c r="AZ10" s="28"/>
      <c r="BA10" s="28"/>
      <c r="BB10" s="28"/>
      <c r="BC10" s="6"/>
      <c r="BD10" s="28"/>
      <c r="BE10" s="19"/>
      <c r="BF10" s="28"/>
      <c r="BG10" s="28"/>
      <c r="BH10" s="28"/>
      <c r="BI10" s="6"/>
      <c r="BJ10" s="28"/>
      <c r="BK10" s="19"/>
      <c r="BL10" s="1063"/>
      <c r="BM10" s="1063"/>
      <c r="BN10" s="1063"/>
      <c r="BO10" s="6"/>
      <c r="BP10" s="28"/>
      <c r="BQ10" s="19"/>
      <c r="BR10" s="1063"/>
      <c r="BS10" s="28"/>
      <c r="BT10" s="1063"/>
      <c r="BU10" s="6"/>
      <c r="BV10" s="28"/>
      <c r="BW10" s="19"/>
      <c r="BX10" s="1063"/>
      <c r="BY10" s="1063"/>
      <c r="BZ10" s="1063"/>
      <c r="CA10" s="6"/>
      <c r="CB10" s="28"/>
      <c r="CC10" s="19"/>
      <c r="CD10" s="1063"/>
      <c r="CE10" s="1063"/>
      <c r="CF10" s="1063"/>
      <c r="CG10" s="6"/>
      <c r="CH10" s="28"/>
      <c r="CI10" s="19"/>
      <c r="CJ10" s="28"/>
      <c r="CK10" s="28"/>
      <c r="CL10" s="28"/>
      <c r="CM10" s="6"/>
      <c r="CN10" s="28"/>
      <c r="CO10" s="19"/>
      <c r="CP10" s="28"/>
      <c r="CQ10" s="28"/>
      <c r="CR10" s="28"/>
      <c r="CS10" s="6"/>
      <c r="CT10" s="28"/>
      <c r="CU10" s="19"/>
      <c r="CV10" s="28"/>
      <c r="CW10" s="28"/>
      <c r="CX10" s="28"/>
      <c r="CY10" s="6"/>
      <c r="CZ10" s="20"/>
      <c r="DA10" s="20"/>
      <c r="DB10" s="48"/>
    </row>
    <row r="11" spans="1:112" ht="11.25" customHeight="1" x14ac:dyDescent="0.2">
      <c r="A11" s="354" t="s">
        <v>316</v>
      </c>
      <c r="B11" s="48"/>
      <c r="C11" s="59"/>
      <c r="D11" s="48"/>
      <c r="E11" s="48"/>
      <c r="F11" s="48"/>
      <c r="G11" s="331">
        <v>22.960999999999999</v>
      </c>
      <c r="H11" s="122"/>
      <c r="I11" s="53">
        <v>6.0179999999999998</v>
      </c>
      <c r="J11" s="122">
        <f>12.5-I11</f>
        <v>6.4820000000000002</v>
      </c>
      <c r="K11" s="122">
        <f>18.786-I11-J11</f>
        <v>6.2860000000000005</v>
      </c>
      <c r="L11" s="52">
        <f>(21.258+3.697)-I11-J11-K11</f>
        <v>6.1689999999999978</v>
      </c>
      <c r="M11" s="304">
        <f>SUM(I11:L11)</f>
        <v>24.954999999999998</v>
      </c>
      <c r="N11" s="122"/>
      <c r="O11" s="53">
        <f>6.72</f>
        <v>6.72</v>
      </c>
      <c r="P11" s="122">
        <f>14.063-O11</f>
        <v>7.3430000000000009</v>
      </c>
      <c r="Q11" s="122">
        <f>21.965-O11-P11</f>
        <v>7.9020000000000001</v>
      </c>
      <c r="R11" s="51">
        <f>(21.818+8.22)-O11-P11-Q11</f>
        <v>8.073000000000004</v>
      </c>
      <c r="S11" s="304">
        <f>SUM(O11:R11)</f>
        <v>30.038000000000004</v>
      </c>
      <c r="T11" s="122"/>
      <c r="U11" s="53">
        <f>6.138+2.598</f>
        <v>8.7360000000000007</v>
      </c>
      <c r="V11" s="122">
        <f>(12.868+5.256)-U11</f>
        <v>9.3880000000000017</v>
      </c>
      <c r="W11" s="122">
        <f>(21.295+16.613)-U11-V11</f>
        <v>19.783999999999999</v>
      </c>
      <c r="X11" s="51">
        <f>(31.257+31.326)-U11-V11-W11</f>
        <v>24.67499999999999</v>
      </c>
      <c r="Y11" s="304">
        <f>SUM(U11:X11)</f>
        <v>62.582999999999991</v>
      </c>
      <c r="Z11" s="122"/>
      <c r="AA11" s="53">
        <f>10.953+14.477</f>
        <v>25.43</v>
      </c>
      <c r="AB11" s="122">
        <f>(21.436+29.241)-AA11</f>
        <v>25.247</v>
      </c>
      <c r="AC11" s="122">
        <f>(32.693+46.036)-AA11-AB11</f>
        <v>28.052</v>
      </c>
      <c r="AD11" s="51">
        <f>(42.618+63.086)-AA11-AB11-AC11</f>
        <v>26.975000000000001</v>
      </c>
      <c r="AE11" s="304">
        <f>SUM(AA11:AD11)</f>
        <v>105.70400000000001</v>
      </c>
      <c r="AF11" s="122"/>
      <c r="AG11" s="53">
        <f>10.462+16.904</f>
        <v>27.366</v>
      </c>
      <c r="AH11" s="122">
        <f>(22.13+34.079)-AG11</f>
        <v>28.843000000000004</v>
      </c>
      <c r="AI11" s="122">
        <f>(35.005+51.578)-AG11-AH11</f>
        <v>30.373999999999995</v>
      </c>
      <c r="AJ11" s="51">
        <f>(48.575+71.819)-AG11-AH11-AI11</f>
        <v>33.811000000000007</v>
      </c>
      <c r="AK11" s="304">
        <f>SUM(AG11:AJ11)</f>
        <v>120.39400000000001</v>
      </c>
      <c r="AL11" s="122"/>
      <c r="AM11" s="53">
        <f>12.711+21.23</f>
        <v>33.941000000000003</v>
      </c>
      <c r="AN11" s="122">
        <f>(26.431+42.35)-AM11</f>
        <v>34.840000000000003</v>
      </c>
      <c r="AO11" s="122">
        <f>(40.529+63.846)-AM11-AN11</f>
        <v>35.593999999999994</v>
      </c>
      <c r="AP11" s="51">
        <f>(57.511+85.268)-AM11-AN11-AO11</f>
        <v>38.403999999999996</v>
      </c>
      <c r="AQ11" s="304">
        <f>SUM(AM11:AP11)</f>
        <v>142.779</v>
      </c>
      <c r="AR11" s="122"/>
      <c r="AS11" s="53">
        <f>15.709+22.982</f>
        <v>38.691000000000003</v>
      </c>
      <c r="AT11" s="122">
        <f>77.641-AS11</f>
        <v>38.950000000000003</v>
      </c>
      <c r="AU11" s="122">
        <f>(50.087+70.511)-AS11-AT11</f>
        <v>42.956999999999994</v>
      </c>
      <c r="AV11" s="51">
        <f>(70.456+96.921)-AS11-AT11-AU11</f>
        <v>46.779000000000011</v>
      </c>
      <c r="AW11" s="6">
        <f>SUM(AS11:AV11)</f>
        <v>167.37700000000001</v>
      </c>
      <c r="AX11" s="122"/>
      <c r="AY11" s="53">
        <f>18.058+27.175</f>
        <v>45.233000000000004</v>
      </c>
      <c r="AZ11" s="51">
        <f>(93.435-AY11)</f>
        <v>48.201999999999998</v>
      </c>
      <c r="BA11" s="51">
        <f>143.576-AZ11-AY11</f>
        <v>50.140999999999991</v>
      </c>
      <c r="BB11" s="51">
        <f>197.892-SUM(AY11:BA11)</f>
        <v>54.316000000000003</v>
      </c>
      <c r="BC11" s="6">
        <f>SUM(AY11:BB11)</f>
        <v>197.892</v>
      </c>
      <c r="BD11" s="28"/>
      <c r="BE11" s="53">
        <v>45.085000000000001</v>
      </c>
      <c r="BF11" s="51">
        <f>94.665+42.768-BE11</f>
        <v>92.347999999999985</v>
      </c>
      <c r="BG11" s="122">
        <f>145.096-SUM(BE11:BF11)</f>
        <v>7.6630000000000109</v>
      </c>
      <c r="BH11" s="51">
        <f>199.355-SUM(BE11:BG11)</f>
        <v>54.258999999999986</v>
      </c>
      <c r="BI11" s="6">
        <f>SUM(BE11:BH11)</f>
        <v>199.35499999999999</v>
      </c>
      <c r="BJ11" s="28"/>
      <c r="BK11" s="53">
        <v>49.122</v>
      </c>
      <c r="BL11" s="1063">
        <f>98.366-BK11</f>
        <v>49.244</v>
      </c>
      <c r="BM11" s="1063">
        <f>149.683-SUM(BK11:BL11)</f>
        <v>51.316999999999993</v>
      </c>
      <c r="BN11" s="1063">
        <f>200.782-SUM(BK11:BM11)</f>
        <v>51.099000000000018</v>
      </c>
      <c r="BO11" s="6">
        <f>SUM(BK11:BN11)</f>
        <v>200.78200000000001</v>
      </c>
      <c r="BP11" s="28"/>
      <c r="BQ11" s="53">
        <v>46.125999999999998</v>
      </c>
      <c r="BR11" s="1063">
        <f>90.187-BQ11</f>
        <v>44.061</v>
      </c>
      <c r="BS11" s="1063">
        <f>139.666-SUM(BQ11:BR11)</f>
        <v>49.478999999999999</v>
      </c>
      <c r="BT11" s="1063">
        <f>191.473-SUM(BQ11:BS11)</f>
        <v>51.807000000000016</v>
      </c>
      <c r="BU11" s="6">
        <f>SUM(BQ11:BT11)</f>
        <v>191.47300000000001</v>
      </c>
      <c r="BV11" s="28"/>
      <c r="BW11" s="53">
        <v>50.804000000000002</v>
      </c>
      <c r="BX11" s="1063">
        <f>103.289-BW11</f>
        <v>52.484999999999999</v>
      </c>
      <c r="BY11" s="1063">
        <f>156.695-SUM(BW11:BX11)</f>
        <v>53.405999999999992</v>
      </c>
      <c r="BZ11" s="1063">
        <f>213.056-SUM(BW11:BY11)</f>
        <v>56.361000000000018</v>
      </c>
      <c r="CA11" s="6">
        <f>SUM(BW11:BZ11)</f>
        <v>213.05600000000001</v>
      </c>
      <c r="CB11" s="28"/>
      <c r="CC11" s="53">
        <v>54.753</v>
      </c>
      <c r="CD11" s="1063">
        <f>111.348-CC11</f>
        <v>56.594999999999999</v>
      </c>
      <c r="CE11" s="1063">
        <f>163.628-SUM(CC11:CD11)</f>
        <v>52.279999999999987</v>
      </c>
      <c r="CF11" s="1063">
        <f>216.448-SUM(CC11:CE11)</f>
        <v>52.820000000000022</v>
      </c>
      <c r="CG11" s="6">
        <f>SUM(CC11:CF11)</f>
        <v>216.44800000000001</v>
      </c>
      <c r="CH11" s="28"/>
      <c r="CI11" s="19">
        <f>-BS!CI113-BS!CI125</f>
        <v>52.354543750000005</v>
      </c>
      <c r="CJ11" s="28">
        <f>-BS!CJ113-BS!CJ125</f>
        <v>52.771596305279616</v>
      </c>
      <c r="CK11" s="28">
        <f>-BS!CK113-BS!CK125</f>
        <v>53.246918254859921</v>
      </c>
      <c r="CL11" s="28">
        <f>-BS!CL113-BS!CL125</f>
        <v>53.738048701382482</v>
      </c>
      <c r="CM11" s="6">
        <f>SUM(CI11:CL11)</f>
        <v>212.11110701152199</v>
      </c>
      <c r="CN11" s="28"/>
      <c r="CO11" s="19">
        <f>-BS!CO113-BS!CO125</f>
        <v>54.261574607104464</v>
      </c>
      <c r="CP11" s="28">
        <f>-BS!CP113-BS!CP125</f>
        <v>54.724613204225449</v>
      </c>
      <c r="CQ11" s="28">
        <f>-BS!CQ113-BS!CQ125</f>
        <v>55.235844132565084</v>
      </c>
      <c r="CR11" s="28">
        <f>-BS!CR113-BS!CR125</f>
        <v>55.756308487972589</v>
      </c>
      <c r="CS11" s="6">
        <f>SUM(CO11:CR11)</f>
        <v>219.97834043186759</v>
      </c>
      <c r="CT11" s="28"/>
      <c r="CU11" s="19">
        <f>-BS!CU113-BS!CU125</f>
        <v>56.326197749392605</v>
      </c>
      <c r="CV11" s="28">
        <f>-BS!CV113-BS!CV125</f>
        <v>56.838856079014491</v>
      </c>
      <c r="CW11" s="28">
        <f>-BS!CW113-BS!CW125</f>
        <v>57.401559203311116</v>
      </c>
      <c r="CX11" s="28">
        <f>-BS!CX113-BS!CX125</f>
        <v>57.973160566898244</v>
      </c>
      <c r="CY11" s="6">
        <f>SUM(CU11:CX11)</f>
        <v>228.53977359861648</v>
      </c>
      <c r="CZ11" s="20"/>
      <c r="DA11" s="20"/>
      <c r="DB11" s="48"/>
    </row>
    <row r="12" spans="1:112" ht="11.25" customHeight="1" x14ac:dyDescent="0.2">
      <c r="A12" s="354" t="s">
        <v>85</v>
      </c>
      <c r="B12" s="48"/>
      <c r="C12" s="59"/>
      <c r="D12" s="48"/>
      <c r="E12" s="48"/>
      <c r="F12" s="48"/>
      <c r="G12" s="6">
        <f>SUM(G13:G14)</f>
        <v>0</v>
      </c>
      <c r="H12" s="122"/>
      <c r="I12" s="19">
        <f>SUM(I13:I14)</f>
        <v>0</v>
      </c>
      <c r="J12" s="20">
        <f>SUM(J13:J14)</f>
        <v>1.4990000000000001</v>
      </c>
      <c r="K12" s="20">
        <f>SUM(K13:K14)</f>
        <v>2.5000000000000022E-2</v>
      </c>
      <c r="L12" s="20">
        <f>SUM(L13:L14)</f>
        <v>3.8289999999999997</v>
      </c>
      <c r="M12" s="6">
        <f>SUM(M13:M14)</f>
        <v>5.3529999999999998</v>
      </c>
      <c r="N12" s="405"/>
      <c r="O12" s="19">
        <f>SUM(O13:O14)</f>
        <v>0.66100000000000003</v>
      </c>
      <c r="P12" s="20">
        <f>SUM(P13:P14)</f>
        <v>3.7730000000000006</v>
      </c>
      <c r="Q12" s="20">
        <f>SUM(Q13:Q14)</f>
        <v>0</v>
      </c>
      <c r="R12" s="20">
        <f>SUM(R13:R14)</f>
        <v>2.5109999999999992</v>
      </c>
      <c r="S12" s="6">
        <f>SUM(S13:S14)</f>
        <v>6.9449999999999985</v>
      </c>
      <c r="T12" s="122"/>
      <c r="U12" s="19">
        <f>SUM(U13:U14)</f>
        <v>0</v>
      </c>
      <c r="V12" s="20">
        <f>SUM(V13:V14)</f>
        <v>0</v>
      </c>
      <c r="W12" s="20">
        <f>SUM(W13:W14)</f>
        <v>27.242999999999999</v>
      </c>
      <c r="X12" s="20">
        <f>SUM(X13:X14)</f>
        <v>1.496</v>
      </c>
      <c r="Y12" s="6">
        <f>SUM(Y13:Y14)</f>
        <v>28.738999999999997</v>
      </c>
      <c r="Z12" s="28"/>
      <c r="AA12" s="19">
        <f>SUM(AA13:AA14)</f>
        <v>0</v>
      </c>
      <c r="AB12" s="20">
        <f>SUM(AB13:AB14)</f>
        <v>0</v>
      </c>
      <c r="AC12" s="20">
        <f>SUM(AC13:AC14)</f>
        <v>0</v>
      </c>
      <c r="AD12" s="20">
        <f>SUM(AD13:AD14)</f>
        <v>6.8540000000000001</v>
      </c>
      <c r="AE12" s="6">
        <f>SUM(AE13:AE14)</f>
        <v>6.8540000000000001</v>
      </c>
      <c r="AF12" s="28"/>
      <c r="AG12" s="19">
        <f>SUM(AG13:AG14)</f>
        <v>0</v>
      </c>
      <c r="AH12" s="20">
        <f>SUM(AH13:AH14)</f>
        <v>0</v>
      </c>
      <c r="AI12" s="20">
        <f>SUM(AI13:AI14)</f>
        <v>0</v>
      </c>
      <c r="AJ12" s="20">
        <f>SUM(AJ13:AJ14)</f>
        <v>10.029999999999999</v>
      </c>
      <c r="AK12" s="6">
        <f>SUM(AK13:AK14)</f>
        <v>10.029999999999999</v>
      </c>
      <c r="AL12" s="28"/>
      <c r="AM12" s="19">
        <f>SUM(AM13:AM14)</f>
        <v>0</v>
      </c>
      <c r="AN12" s="20">
        <f>SUM(AN13:AN14)</f>
        <v>0</v>
      </c>
      <c r="AO12" s="20">
        <f>SUM(AO13:AO14)</f>
        <v>0</v>
      </c>
      <c r="AP12" s="20">
        <f>SUM(AP13:AP14)</f>
        <v>0</v>
      </c>
      <c r="AQ12" s="6">
        <f>SUM(AQ13:AQ14)</f>
        <v>0</v>
      </c>
      <c r="AR12" s="28"/>
      <c r="AS12" s="19">
        <f>SUM(AS13:AS14)</f>
        <v>0</v>
      </c>
      <c r="AT12" s="20">
        <f>SUM(AT13:AT14)</f>
        <v>0</v>
      </c>
      <c r="AU12" s="20">
        <f>SUM(AU13:AU14)</f>
        <v>0</v>
      </c>
      <c r="AV12" s="20">
        <f>SUM(AV13:AV14)</f>
        <v>43.029000000000003</v>
      </c>
      <c r="AW12" s="6">
        <f>SUM(AW13:AW14)</f>
        <v>43.029000000000003</v>
      </c>
      <c r="AX12" s="28"/>
      <c r="AY12" s="19">
        <f>SUM(AY13:AY14)</f>
        <v>0</v>
      </c>
      <c r="AZ12" s="20">
        <f>SUM(AZ13:AZ14)</f>
        <v>0</v>
      </c>
      <c r="BA12" s="20">
        <f>SUM(BA13:BA14)</f>
        <v>0</v>
      </c>
      <c r="BB12" s="20">
        <f>SUM(BB13:BB14)</f>
        <v>16.908999999999999</v>
      </c>
      <c r="BC12" s="6">
        <f>SUM(BC13:BC14)</f>
        <v>16.908999999999999</v>
      </c>
      <c r="BD12" s="28"/>
      <c r="BE12" s="19">
        <f>SUM(BE13:BE14)</f>
        <v>0</v>
      </c>
      <c r="BF12" s="20">
        <f>SUM(BF13:BF14)</f>
        <v>0</v>
      </c>
      <c r="BG12" s="20">
        <f>SUM(BG13:BG14)</f>
        <v>0</v>
      </c>
      <c r="BH12" s="20">
        <f>SUM(BH13:BH14)</f>
        <v>42.768000000000001</v>
      </c>
      <c r="BI12" s="6">
        <f>SUM(BI13:BI14)</f>
        <v>42.768000000000001</v>
      </c>
      <c r="BJ12" s="28"/>
      <c r="BK12" s="19">
        <f>SUM(BK13:BK14)</f>
        <v>0</v>
      </c>
      <c r="BL12" s="20">
        <f>SUM(BL13:BL14)</f>
        <v>0</v>
      </c>
      <c r="BM12" s="20">
        <f>SUM(BM13:BM14)</f>
        <v>0</v>
      </c>
      <c r="BN12" s="20">
        <f>SUM(BN13:BN14)</f>
        <v>34.296999999999997</v>
      </c>
      <c r="BO12" s="6">
        <f>SUM(BO13:BO14)</f>
        <v>34.296999999999997</v>
      </c>
      <c r="BP12" s="28"/>
      <c r="BQ12" s="19">
        <f>SUM(BQ13:BQ14)</f>
        <v>0</v>
      </c>
      <c r="BR12" s="20">
        <f>SUM(BR13:BR14)</f>
        <v>0</v>
      </c>
      <c r="BS12" s="20">
        <f>SUM(BS13:BS14)</f>
        <v>2.1890000000000001</v>
      </c>
      <c r="BT12" s="20">
        <f>SUM(BT13:BT14)</f>
        <v>3.282</v>
      </c>
      <c r="BU12" s="6">
        <f>SUM(BU13:BU14)</f>
        <v>5.4710000000000001</v>
      </c>
      <c r="BV12" s="28"/>
      <c r="BW12" s="19">
        <f>SUM(BW13:BW14)</f>
        <v>0</v>
      </c>
      <c r="BX12" s="20">
        <f>SUM(BX13:BX14)</f>
        <v>0</v>
      </c>
      <c r="BY12" s="20">
        <f>SUM(BY13:BY14)</f>
        <v>0</v>
      </c>
      <c r="BZ12" s="20">
        <f>SUM(BZ13:BZ14)</f>
        <v>44.399000000000001</v>
      </c>
      <c r="CA12" s="6">
        <f>SUM(CA13:CA14)</f>
        <v>44.399000000000001</v>
      </c>
      <c r="CB12" s="28"/>
      <c r="CC12" s="19">
        <f>SUM(CC13:CC14)</f>
        <v>0</v>
      </c>
      <c r="CD12" s="20">
        <f>SUM(CD13:CD14)</f>
        <v>3.1219999999999999</v>
      </c>
      <c r="CE12" s="20">
        <f>SUM(CE13:CE14)</f>
        <v>2.0149999999999997</v>
      </c>
      <c r="CF12" s="20">
        <f>SUM(CF13:CF14)</f>
        <v>0</v>
      </c>
      <c r="CG12" s="6">
        <f>SUM(CG13:CG14)</f>
        <v>5.1369999999999996</v>
      </c>
      <c r="CH12" s="28"/>
      <c r="CI12" s="19">
        <f>SUM(CI13:CI14)</f>
        <v>0</v>
      </c>
      <c r="CJ12" s="20">
        <f>SUM(CJ13:CJ14)</f>
        <v>0</v>
      </c>
      <c r="CK12" s="20">
        <f>SUM(CK13:CK14)</f>
        <v>0</v>
      </c>
      <c r="CL12" s="20">
        <f>SUM(CL13:CL14)</f>
        <v>0</v>
      </c>
      <c r="CM12" s="6">
        <f>SUM(CM13:CM14)</f>
        <v>0</v>
      </c>
      <c r="CN12" s="28"/>
      <c r="CO12" s="19">
        <f>SUM(CO13:CO14)</f>
        <v>0</v>
      </c>
      <c r="CP12" s="20">
        <f>SUM(CP13:CP14)</f>
        <v>0</v>
      </c>
      <c r="CQ12" s="20">
        <f>SUM(CQ13:CQ14)</f>
        <v>0</v>
      </c>
      <c r="CR12" s="20">
        <f>SUM(CR13:CR14)</f>
        <v>0</v>
      </c>
      <c r="CS12" s="6">
        <f>SUM(CS13:CS14)</f>
        <v>0</v>
      </c>
      <c r="CT12" s="28"/>
      <c r="CU12" s="19">
        <f>SUM(CU13:CU14)</f>
        <v>0</v>
      </c>
      <c r="CV12" s="20">
        <f>SUM(CV13:CV14)</f>
        <v>0</v>
      </c>
      <c r="CW12" s="20">
        <f>SUM(CW13:CW14)</f>
        <v>0</v>
      </c>
      <c r="CX12" s="20">
        <f>SUM(CX13:CX14)</f>
        <v>0</v>
      </c>
      <c r="CY12" s="6">
        <f>SUM(CY13:CY14)</f>
        <v>0</v>
      </c>
      <c r="CZ12" s="20"/>
      <c r="DA12" s="20"/>
      <c r="DB12" s="48"/>
    </row>
    <row r="13" spans="1:112" ht="11.25" hidden="1" customHeight="1" outlineLevel="1" x14ac:dyDescent="0.2">
      <c r="A13" s="432" t="s">
        <v>12</v>
      </c>
      <c r="B13" s="48"/>
      <c r="C13" s="59"/>
      <c r="D13" s="48"/>
      <c r="E13" s="48"/>
      <c r="F13" s="48"/>
      <c r="G13" s="331">
        <v>0</v>
      </c>
      <c r="H13" s="122"/>
      <c r="I13" s="53">
        <v>0</v>
      </c>
      <c r="J13" s="122">
        <f>0.714-I13</f>
        <v>0.71399999999999997</v>
      </c>
      <c r="K13" s="122">
        <f>0.739-I13-J13</f>
        <v>2.5000000000000022E-2</v>
      </c>
      <c r="L13" s="51">
        <f>3.239-I13-J13-K13</f>
        <v>2.5</v>
      </c>
      <c r="M13" s="304">
        <f t="shared" ref="M13:M28" si="0">SUM(I13:L13)</f>
        <v>3.2389999999999999</v>
      </c>
      <c r="N13" s="122"/>
      <c r="O13" s="53">
        <v>0.2</v>
      </c>
      <c r="P13" s="122">
        <f>0.3-O13</f>
        <v>9.9999999999999978E-2</v>
      </c>
      <c r="Q13" s="122">
        <f>0.3-O13-P13</f>
        <v>0</v>
      </c>
      <c r="R13" s="51">
        <f>2.2-O13-P13-Q13</f>
        <v>1.9</v>
      </c>
      <c r="S13" s="304">
        <f t="shared" ref="S13:S28" si="1">SUM(O13:R13)</f>
        <v>2.1999999999999997</v>
      </c>
      <c r="T13" s="122"/>
      <c r="U13" s="53">
        <v>0</v>
      </c>
      <c r="V13" s="122">
        <v>0</v>
      </c>
      <c r="W13" s="122">
        <f>25.9-U13-V13</f>
        <v>25.9</v>
      </c>
      <c r="X13" s="51">
        <f>25.9-U13-V13-W13</f>
        <v>0</v>
      </c>
      <c r="Y13" s="304">
        <f t="shared" ref="Y13:Y28" si="2">SUM(U13:X13)</f>
        <v>25.9</v>
      </c>
      <c r="Z13" s="122"/>
      <c r="AA13" s="53">
        <v>0</v>
      </c>
      <c r="AB13" s="122">
        <v>0</v>
      </c>
      <c r="AC13" s="122">
        <v>0</v>
      </c>
      <c r="AD13" s="51">
        <f>0.985-AA13-AB13-AC13</f>
        <v>0.98499999999999999</v>
      </c>
      <c r="AE13" s="304">
        <f t="shared" ref="AE13:AE28" si="3">SUM(AA13:AD13)</f>
        <v>0.98499999999999999</v>
      </c>
      <c r="AF13" s="122"/>
      <c r="AG13" s="53">
        <v>0</v>
      </c>
      <c r="AH13" s="122">
        <v>0</v>
      </c>
      <c r="AI13" s="122">
        <v>0</v>
      </c>
      <c r="AJ13" s="51">
        <v>0</v>
      </c>
      <c r="AK13" s="304">
        <f t="shared" ref="AK13:AK28" si="4">SUM(AG13:AJ13)</f>
        <v>0</v>
      </c>
      <c r="AL13" s="122"/>
      <c r="AM13" s="53">
        <v>0</v>
      </c>
      <c r="AN13" s="122">
        <v>0</v>
      </c>
      <c r="AO13" s="122">
        <v>0</v>
      </c>
      <c r="AP13" s="51">
        <v>0</v>
      </c>
      <c r="AQ13" s="304">
        <f t="shared" ref="AQ13:AQ28" si="5">SUM(AM13:AP13)</f>
        <v>0</v>
      </c>
      <c r="AR13" s="122"/>
      <c r="AS13" s="53">
        <v>0</v>
      </c>
      <c r="AT13" s="122">
        <v>0</v>
      </c>
      <c r="AU13" s="122">
        <v>0</v>
      </c>
      <c r="AV13" s="51">
        <v>0</v>
      </c>
      <c r="AW13" s="6">
        <f t="shared" ref="AW13:AW28" si="6">SUM(AS13:AV13)</f>
        <v>0</v>
      </c>
      <c r="AX13" s="122"/>
      <c r="AY13" s="53">
        <v>0</v>
      </c>
      <c r="AZ13" s="51">
        <v>0</v>
      </c>
      <c r="BA13" s="51">
        <v>0</v>
      </c>
      <c r="BB13" s="51">
        <f>0-SUM(AY13:BA13)</f>
        <v>0</v>
      </c>
      <c r="BC13" s="6">
        <f t="shared" ref="BC13:BC20" si="7">SUM(AY13:BB13)</f>
        <v>0</v>
      </c>
      <c r="BD13" s="50"/>
      <c r="BE13" s="53">
        <v>0</v>
      </c>
      <c r="BF13" s="51">
        <f>0-BE13</f>
        <v>0</v>
      </c>
      <c r="BG13" s="122">
        <f>0-SUM(BE13:BF13)</f>
        <v>0</v>
      </c>
      <c r="BH13" s="51">
        <f>0-SUM(BE13:BG13)</f>
        <v>0</v>
      </c>
      <c r="BI13" s="6">
        <f t="shared" ref="BI13:BI20" si="8">SUM(BE13:BH13)</f>
        <v>0</v>
      </c>
      <c r="BJ13" s="50"/>
      <c r="BK13" s="53">
        <v>0</v>
      </c>
      <c r="BL13" s="1062">
        <f>0-BK13</f>
        <v>0</v>
      </c>
      <c r="BM13" s="1062">
        <f>0-SUM(BK13:BL13)</f>
        <v>0</v>
      </c>
      <c r="BN13" s="1062">
        <f>0-SUM(BK13:BM13)</f>
        <v>0</v>
      </c>
      <c r="BO13" s="6">
        <f>SUM(BK13:BN13)</f>
        <v>0</v>
      </c>
      <c r="BP13" s="50"/>
      <c r="BQ13" s="53">
        <v>0</v>
      </c>
      <c r="BR13" s="1062">
        <v>0</v>
      </c>
      <c r="BS13" s="1063">
        <f>0-SUM(BQ13:BR13)</f>
        <v>0</v>
      </c>
      <c r="BT13" s="1063">
        <f>0-SUM(BQ13:BS13)</f>
        <v>0</v>
      </c>
      <c r="BU13" s="6">
        <f>SUM(BQ13:BT13)</f>
        <v>0</v>
      </c>
      <c r="BV13" s="50"/>
      <c r="BW13" s="53">
        <v>0</v>
      </c>
      <c r="BX13" s="1062">
        <f>0-BW13</f>
        <v>0</v>
      </c>
      <c r="BY13" s="1062">
        <f>0-SUM(BW13:BX13)</f>
        <v>0</v>
      </c>
      <c r="BZ13" s="1063">
        <f t="shared" ref="BZ13:BZ22" si="9">0-SUM(BW13:BY13)</f>
        <v>0</v>
      </c>
      <c r="CA13" s="6">
        <f>SUM(BW13:BZ13)</f>
        <v>0</v>
      </c>
      <c r="CB13" s="50"/>
      <c r="CC13" s="53">
        <v>0</v>
      </c>
      <c r="CD13" s="1062">
        <f t="shared" ref="CD13:CD22" si="10">0-CC13</f>
        <v>0</v>
      </c>
      <c r="CE13" s="1062">
        <f t="shared" ref="CE13:CE22" si="11">0-SUM(CC13:CD13)</f>
        <v>0</v>
      </c>
      <c r="CF13" s="1063">
        <f t="shared" ref="CF13:CF22" si="12">0-SUM(CC13:CE13)</f>
        <v>0</v>
      </c>
      <c r="CG13" s="6">
        <f>SUM(CC13:CF13)</f>
        <v>0</v>
      </c>
      <c r="CH13" s="50"/>
      <c r="CI13" s="53">
        <v>0</v>
      </c>
      <c r="CJ13" s="122">
        <v>0</v>
      </c>
      <c r="CK13" s="122">
        <v>0</v>
      </c>
      <c r="CL13" s="122">
        <v>0</v>
      </c>
      <c r="CM13" s="6">
        <f>SUM(CI13:CL13)</f>
        <v>0</v>
      </c>
      <c r="CN13" s="50"/>
      <c r="CO13" s="53">
        <v>0</v>
      </c>
      <c r="CP13" s="122">
        <v>0</v>
      </c>
      <c r="CQ13" s="122">
        <v>0</v>
      </c>
      <c r="CR13" s="122">
        <v>0</v>
      </c>
      <c r="CS13" s="6">
        <f>SUM(CO13:CR13)</f>
        <v>0</v>
      </c>
      <c r="CT13" s="50"/>
      <c r="CU13" s="53">
        <v>0</v>
      </c>
      <c r="CV13" s="122">
        <v>0</v>
      </c>
      <c r="CW13" s="122">
        <v>0</v>
      </c>
      <c r="CX13" s="122">
        <v>0</v>
      </c>
      <c r="CY13" s="6">
        <f>SUM(CU13:CX13)</f>
        <v>0</v>
      </c>
      <c r="CZ13" s="259"/>
      <c r="DA13" s="259"/>
      <c r="DB13" s="48"/>
    </row>
    <row r="14" spans="1:112" ht="11.25" hidden="1" customHeight="1" outlineLevel="1" x14ac:dyDescent="0.2">
      <c r="A14" s="432" t="s">
        <v>86</v>
      </c>
      <c r="B14" s="48"/>
      <c r="C14" s="59"/>
      <c r="D14" s="48"/>
      <c r="E14" s="48"/>
      <c r="F14" s="48"/>
      <c r="G14" s="331">
        <v>0</v>
      </c>
      <c r="H14" s="122"/>
      <c r="I14" s="53">
        <v>0</v>
      </c>
      <c r="J14" s="122">
        <f>0.785-I14</f>
        <v>0.78500000000000003</v>
      </c>
      <c r="K14" s="122">
        <f>0.785-I14-J14</f>
        <v>0</v>
      </c>
      <c r="L14" s="51">
        <f>2.114-I14-J14-K14</f>
        <v>1.3289999999999997</v>
      </c>
      <c r="M14" s="304">
        <f t="shared" si="0"/>
        <v>2.1139999999999999</v>
      </c>
      <c r="N14" s="122"/>
      <c r="O14" s="53">
        <v>0.46100000000000002</v>
      </c>
      <c r="P14" s="122">
        <f>4.134-O14</f>
        <v>3.6730000000000005</v>
      </c>
      <c r="Q14" s="122">
        <f>4.134-O14-P14</f>
        <v>0</v>
      </c>
      <c r="R14" s="51">
        <f>4.745-O14-P14-Q14</f>
        <v>0.61099999999999932</v>
      </c>
      <c r="S14" s="304">
        <f t="shared" si="1"/>
        <v>4.7449999999999992</v>
      </c>
      <c r="T14" s="122"/>
      <c r="U14" s="53">
        <v>0</v>
      </c>
      <c r="V14" s="122">
        <v>0</v>
      </c>
      <c r="W14" s="122">
        <f>1.343-U14-V14</f>
        <v>1.343</v>
      </c>
      <c r="X14" s="51">
        <f>2.839-U14-V14-W14</f>
        <v>1.496</v>
      </c>
      <c r="Y14" s="304">
        <f t="shared" si="2"/>
        <v>2.839</v>
      </c>
      <c r="Z14" s="122"/>
      <c r="AA14" s="53">
        <v>0</v>
      </c>
      <c r="AB14" s="122">
        <v>0</v>
      </c>
      <c r="AC14" s="122">
        <v>0</v>
      </c>
      <c r="AD14" s="51">
        <f>5.869-AA14-AB14-AC14</f>
        <v>5.8689999999999998</v>
      </c>
      <c r="AE14" s="304">
        <f t="shared" si="3"/>
        <v>5.8689999999999998</v>
      </c>
      <c r="AF14" s="122"/>
      <c r="AG14" s="53">
        <v>0</v>
      </c>
      <c r="AH14" s="122">
        <v>0</v>
      </c>
      <c r="AI14" s="122">
        <v>0</v>
      </c>
      <c r="AJ14" s="51">
        <f>10.03-AG14-AH14-AI14</f>
        <v>10.029999999999999</v>
      </c>
      <c r="AK14" s="304">
        <f t="shared" si="4"/>
        <v>10.029999999999999</v>
      </c>
      <c r="AL14" s="122"/>
      <c r="AM14" s="53">
        <v>0</v>
      </c>
      <c r="AN14" s="122">
        <v>0</v>
      </c>
      <c r="AO14" s="122">
        <v>0</v>
      </c>
      <c r="AP14" s="51">
        <v>0</v>
      </c>
      <c r="AQ14" s="304">
        <f t="shared" si="5"/>
        <v>0</v>
      </c>
      <c r="AR14" s="122"/>
      <c r="AS14" s="53">
        <v>0</v>
      </c>
      <c r="AT14" s="122">
        <v>0</v>
      </c>
      <c r="AU14" s="122">
        <v>0</v>
      </c>
      <c r="AV14" s="51">
        <f>43.029-AS14-AT14-AU14</f>
        <v>43.029000000000003</v>
      </c>
      <c r="AW14" s="6">
        <f t="shared" si="6"/>
        <v>43.029000000000003</v>
      </c>
      <c r="AX14" s="122"/>
      <c r="AY14" s="53">
        <v>0</v>
      </c>
      <c r="AZ14" s="51">
        <v>0</v>
      </c>
      <c r="BA14" s="51">
        <v>0</v>
      </c>
      <c r="BB14" s="51">
        <f>16.909-SUM(AY14:BA14)</f>
        <v>16.908999999999999</v>
      </c>
      <c r="BC14" s="6">
        <f t="shared" si="7"/>
        <v>16.908999999999999</v>
      </c>
      <c r="BD14" s="50"/>
      <c r="BE14" s="53">
        <v>0</v>
      </c>
      <c r="BF14" s="51">
        <f>0-BE14</f>
        <v>0</v>
      </c>
      <c r="BG14" s="122">
        <f>0-SUM(BE14:BF14)</f>
        <v>0</v>
      </c>
      <c r="BH14" s="51">
        <f>42.768-SUM(BE14:BG14)</f>
        <v>42.768000000000001</v>
      </c>
      <c r="BI14" s="6">
        <f t="shared" si="8"/>
        <v>42.768000000000001</v>
      </c>
      <c r="BJ14" s="50"/>
      <c r="BK14" s="53">
        <v>0</v>
      </c>
      <c r="BL14" s="1062">
        <f>0-BK14</f>
        <v>0</v>
      </c>
      <c r="BM14" s="1062">
        <f>0-SUM(BK14:BL14)</f>
        <v>0</v>
      </c>
      <c r="BN14" s="1062">
        <f>34.297-SUM(BK14:BM14)</f>
        <v>34.296999999999997</v>
      </c>
      <c r="BO14" s="6">
        <f>SUM(BK14:BN14)</f>
        <v>34.296999999999997</v>
      </c>
      <c r="BP14" s="50"/>
      <c r="BQ14" s="53">
        <v>0</v>
      </c>
      <c r="BR14" s="1062">
        <v>0</v>
      </c>
      <c r="BS14" s="1063">
        <f>2.189-SUM(BQ14:BR14)</f>
        <v>2.1890000000000001</v>
      </c>
      <c r="BT14" s="1063">
        <f>5.471-SUM(BQ14:BS14)</f>
        <v>3.282</v>
      </c>
      <c r="BU14" s="6">
        <f>SUM(BQ14:BT14)</f>
        <v>5.4710000000000001</v>
      </c>
      <c r="BV14" s="50"/>
      <c r="BW14" s="53">
        <v>0</v>
      </c>
      <c r="BX14" s="1062">
        <f>0-BW14</f>
        <v>0</v>
      </c>
      <c r="BY14" s="1062">
        <f>0-SUM(BW14:BX14)</f>
        <v>0</v>
      </c>
      <c r="BZ14" s="1063">
        <f>44.399-SUM(BW14:BY14)</f>
        <v>44.399000000000001</v>
      </c>
      <c r="CA14" s="6">
        <f>SUM(BW14:BZ14)</f>
        <v>44.399000000000001</v>
      </c>
      <c r="CB14" s="50"/>
      <c r="CC14" s="53">
        <v>0</v>
      </c>
      <c r="CD14" s="1062">
        <f>3.122-CC14</f>
        <v>3.1219999999999999</v>
      </c>
      <c r="CE14" s="1062">
        <f>5.137-SUM(CC14:CD14)</f>
        <v>2.0149999999999997</v>
      </c>
      <c r="CF14" s="1063">
        <f>5.137-SUM(CC14:CE14)</f>
        <v>0</v>
      </c>
      <c r="CG14" s="6">
        <f>SUM(CC14:CF14)</f>
        <v>5.1369999999999996</v>
      </c>
      <c r="CH14" s="50"/>
      <c r="CI14" s="53">
        <v>0</v>
      </c>
      <c r="CJ14" s="122">
        <v>0</v>
      </c>
      <c r="CK14" s="122">
        <v>0</v>
      </c>
      <c r="CL14" s="122">
        <v>0</v>
      </c>
      <c r="CM14" s="6">
        <f>SUM(CI14:CL14)</f>
        <v>0</v>
      </c>
      <c r="CN14" s="50"/>
      <c r="CO14" s="53">
        <v>0</v>
      </c>
      <c r="CP14" s="122">
        <v>0</v>
      </c>
      <c r="CQ14" s="122">
        <v>0</v>
      </c>
      <c r="CR14" s="122">
        <v>0</v>
      </c>
      <c r="CS14" s="6">
        <f>SUM(CO14:CR14)</f>
        <v>0</v>
      </c>
      <c r="CT14" s="50"/>
      <c r="CU14" s="53">
        <v>0</v>
      </c>
      <c r="CV14" s="122">
        <v>0</v>
      </c>
      <c r="CW14" s="122">
        <v>0</v>
      </c>
      <c r="CX14" s="122">
        <v>0</v>
      </c>
      <c r="CY14" s="6">
        <f>SUM(CU14:CX14)</f>
        <v>0</v>
      </c>
      <c r="CZ14" s="259"/>
      <c r="DA14" s="259"/>
      <c r="DB14" s="48"/>
    </row>
    <row r="15" spans="1:112" ht="11.25" customHeight="1" collapsed="1" x14ac:dyDescent="0.2">
      <c r="A15" s="354" t="s">
        <v>58</v>
      </c>
      <c r="B15" s="48"/>
      <c r="C15" s="59"/>
      <c r="D15" s="48"/>
      <c r="E15" s="48"/>
      <c r="F15" s="48"/>
      <c r="G15" s="331">
        <v>0</v>
      </c>
      <c r="H15" s="122"/>
      <c r="I15" s="53">
        <v>0</v>
      </c>
      <c r="J15" s="122">
        <v>0</v>
      </c>
      <c r="K15" s="122">
        <v>0</v>
      </c>
      <c r="L15" s="51">
        <v>0</v>
      </c>
      <c r="M15" s="304">
        <f t="shared" si="0"/>
        <v>0</v>
      </c>
      <c r="N15" s="122"/>
      <c r="O15" s="53">
        <v>8.4000000000000005E-2</v>
      </c>
      <c r="P15" s="122">
        <f>0.144-O15</f>
        <v>5.9999999999999984E-2</v>
      </c>
      <c r="Q15" s="122">
        <f>0.187-O15-P15</f>
        <v>4.300000000000001E-2</v>
      </c>
      <c r="R15" s="51">
        <f>0.326-O15-P15-Q15</f>
        <v>0.13899999999999998</v>
      </c>
      <c r="S15" s="304">
        <f t="shared" si="1"/>
        <v>0.32599999999999996</v>
      </c>
      <c r="T15" s="122"/>
      <c r="U15" s="53">
        <v>0.32700000000000001</v>
      </c>
      <c r="V15" s="122">
        <f>1.217-U15</f>
        <v>0.89000000000000012</v>
      </c>
      <c r="W15" s="122">
        <f>3.99-U15-V15</f>
        <v>2.7730000000000001</v>
      </c>
      <c r="X15" s="51">
        <f>8.982-U15-V15-W15</f>
        <v>4.9919999999999991</v>
      </c>
      <c r="Y15" s="304">
        <f t="shared" si="2"/>
        <v>8.9819999999999993</v>
      </c>
      <c r="Z15" s="122"/>
      <c r="AA15" s="53">
        <v>2.1779999999999999</v>
      </c>
      <c r="AB15" s="122">
        <f>4.541-AA15</f>
        <v>2.3630000000000004</v>
      </c>
      <c r="AC15" s="122">
        <f>6.651-AA15-AB15</f>
        <v>2.1099999999999994</v>
      </c>
      <c r="AD15" s="51">
        <f>9.791-AA15-AB15-AC15</f>
        <v>3.1400000000000006</v>
      </c>
      <c r="AE15" s="304">
        <f t="shared" si="3"/>
        <v>9.7910000000000004</v>
      </c>
      <c r="AF15" s="122"/>
      <c r="AG15" s="53">
        <v>2.1880000000000002</v>
      </c>
      <c r="AH15" s="122">
        <f>5.003-AG15</f>
        <v>2.8149999999999999</v>
      </c>
      <c r="AI15" s="122">
        <f>7.352-AG15-AH15</f>
        <v>2.3489999999999998</v>
      </c>
      <c r="AJ15" s="51">
        <f>9.747-AG15-AH15-AI15</f>
        <v>2.395</v>
      </c>
      <c r="AK15" s="304">
        <f t="shared" si="4"/>
        <v>9.7469999999999999</v>
      </c>
      <c r="AL15" s="122"/>
      <c r="AM15" s="53">
        <v>2.581</v>
      </c>
      <c r="AN15" s="122">
        <f>6.308-AM15</f>
        <v>3.7269999999999999</v>
      </c>
      <c r="AO15" s="122">
        <f>9.958-AM15-AN15</f>
        <v>3.6500000000000008</v>
      </c>
      <c r="AP15" s="51">
        <f>13.592-AM15-AN15-AO15</f>
        <v>3.6339999999999999</v>
      </c>
      <c r="AQ15" s="304">
        <f t="shared" si="5"/>
        <v>13.592000000000001</v>
      </c>
      <c r="AR15" s="122"/>
      <c r="AS15" s="53">
        <v>3.9510000000000001</v>
      </c>
      <c r="AT15" s="122">
        <f>9.245-AS15</f>
        <v>5.2939999999999987</v>
      </c>
      <c r="AU15" s="122">
        <f>14.321-AS15-AT15</f>
        <v>5.0760000000000005</v>
      </c>
      <c r="AV15" s="51">
        <f>19.539-AS15-AT15-AU15</f>
        <v>5.2180000000000017</v>
      </c>
      <c r="AW15" s="6">
        <f t="shared" si="6"/>
        <v>19.539000000000001</v>
      </c>
      <c r="AX15" s="122"/>
      <c r="AY15" s="53">
        <v>5.2080000000000002</v>
      </c>
      <c r="AZ15" s="51">
        <f>12.627-AY15</f>
        <v>7.4190000000000005</v>
      </c>
      <c r="BA15" s="51">
        <f>18.944-AZ15-AY15</f>
        <v>6.3169999999999984</v>
      </c>
      <c r="BB15" s="51">
        <f>25.356-SUM(AY15:BA15)</f>
        <v>6.4120000000000026</v>
      </c>
      <c r="BC15" s="6">
        <f t="shared" si="7"/>
        <v>25.356000000000002</v>
      </c>
      <c r="BD15" s="50"/>
      <c r="BE15" s="53">
        <v>8.5969999999999995</v>
      </c>
      <c r="BF15" s="51">
        <f>18.457-BE15</f>
        <v>9.8600000000000012</v>
      </c>
      <c r="BG15" s="122">
        <f>26.745-SUM(BE15:BF15)</f>
        <v>8.2880000000000003</v>
      </c>
      <c r="BH15" s="51">
        <f>37.935-SUM(BE15:BG15)</f>
        <v>11.190000000000001</v>
      </c>
      <c r="BI15" s="6">
        <f t="shared" si="8"/>
        <v>37.935000000000002</v>
      </c>
      <c r="BJ15" s="50"/>
      <c r="BK15" s="53">
        <v>10.145</v>
      </c>
      <c r="BL15" s="1062">
        <f>19.413-BK15</f>
        <v>9.2680000000000007</v>
      </c>
      <c r="BM15" s="1062">
        <f>29.603-SUM(BK15:BL15)</f>
        <v>10.190000000000001</v>
      </c>
      <c r="BN15" s="1062">
        <f>42.188-SUM(BK15:BM15)</f>
        <v>12.585000000000001</v>
      </c>
      <c r="BO15" s="6">
        <f t="shared" ref="BO15:BO20" si="13">SUM(BK15:BN15)</f>
        <v>42.188000000000002</v>
      </c>
      <c r="BP15" s="50"/>
      <c r="BQ15" s="53">
        <v>9.7449999999999992</v>
      </c>
      <c r="BR15" s="1062">
        <f>20.03-BQ15</f>
        <v>10.285000000000002</v>
      </c>
      <c r="BS15" s="1063">
        <f>22.575-SUM(BQ15:BR15)</f>
        <v>2.5449999999999982</v>
      </c>
      <c r="BT15" s="1063">
        <f>27.565-SUM(BQ15:BS15)</f>
        <v>4.990000000000002</v>
      </c>
      <c r="BU15" s="6">
        <f t="shared" ref="BU15:BU28" si="14">SUM(BQ15:BT15)</f>
        <v>27.565000000000001</v>
      </c>
      <c r="BV15" s="50"/>
      <c r="BW15" s="53">
        <v>5.9180000000000001</v>
      </c>
      <c r="BX15" s="1062">
        <f>13.88-BW15</f>
        <v>7.9620000000000006</v>
      </c>
      <c r="BY15" s="1062">
        <f>23.038-SUM(BW15:BX15)</f>
        <v>9.1579999999999995</v>
      </c>
      <c r="BZ15" s="1063">
        <f>28.288-SUM(BW15:BY15)</f>
        <v>5.25</v>
      </c>
      <c r="CA15" s="6">
        <f t="shared" ref="CA15:CA28" si="15">SUM(BW15:BZ15)</f>
        <v>28.288</v>
      </c>
      <c r="CB15" s="50"/>
      <c r="CC15" s="53">
        <v>8.9049999999999994</v>
      </c>
      <c r="CD15" s="1062">
        <f>19.058-CC15</f>
        <v>10.153</v>
      </c>
      <c r="CE15" s="1062">
        <f>27.692-SUM(CC15:CD15)</f>
        <v>8.6340000000000003</v>
      </c>
      <c r="CF15" s="1063">
        <f>34.442-SUM(CC15:CE15)</f>
        <v>6.75</v>
      </c>
      <c r="CG15" s="6">
        <f t="shared" ref="CG15:CG28" si="16">SUM(CC15:CF15)</f>
        <v>34.442</v>
      </c>
      <c r="CH15" s="50"/>
      <c r="CI15" s="19">
        <f>'P&amp;L'!CI9*BS!CI177</f>
        <v>8.5549242108639536</v>
      </c>
      <c r="CJ15" s="28">
        <f>'P&amp;L'!CJ9*BS!CJ177</f>
        <v>9.7501938375448063</v>
      </c>
      <c r="CK15" s="28">
        <f>'P&amp;L'!CK9*BS!CK177</f>
        <v>10.074470697898555</v>
      </c>
      <c r="CL15" s="28">
        <f>'P&amp;L'!CL9*BS!CL177</f>
        <v>10.738992937886731</v>
      </c>
      <c r="CM15" s="6">
        <f>SUM(CI15:CL15)</f>
        <v>39.118581684194041</v>
      </c>
      <c r="CN15" s="50"/>
      <c r="CO15" s="19">
        <f>'P&amp;L'!CO9*BS!CO177</f>
        <v>9.4982276332510924</v>
      </c>
      <c r="CP15" s="28">
        <f>'P&amp;L'!CP9*BS!CP177</f>
        <v>10.486788273633477</v>
      </c>
      <c r="CQ15" s="28">
        <f>'P&amp;L'!CQ9*BS!CQ177</f>
        <v>10.676191905795063</v>
      </c>
      <c r="CR15" s="28">
        <f>'P&amp;L'!CR9*BS!CR177</f>
        <v>11.690036131692612</v>
      </c>
      <c r="CS15" s="6">
        <f t="shared" ref="CS15:CS27" si="17">SUM(CO15:CR15)</f>
        <v>42.351243944372243</v>
      </c>
      <c r="CT15" s="50"/>
      <c r="CU15" s="19">
        <f>'P&amp;L'!CU9*BS!CU177</f>
        <v>10.516068299936126</v>
      </c>
      <c r="CV15" s="28">
        <f>'P&amp;L'!CV9*BS!CV177</f>
        <v>11.542628190699899</v>
      </c>
      <c r="CW15" s="28">
        <f>'P&amp;L'!CW9*BS!CW177</f>
        <v>11.725156176146296</v>
      </c>
      <c r="CX15" s="28">
        <f>'P&amp;L'!CX9*BS!CX177</f>
        <v>12.8273280105156</v>
      </c>
      <c r="CY15" s="6">
        <f t="shared" ref="CY15:CY27" si="18">SUM(CU15:CX15)</f>
        <v>46.611180677297924</v>
      </c>
      <c r="CZ15" s="259"/>
      <c r="DA15" s="259"/>
      <c r="DB15" s="48"/>
    </row>
    <row r="16" spans="1:112" ht="11.25" customHeight="1" x14ac:dyDescent="0.2">
      <c r="A16" s="354" t="s">
        <v>91</v>
      </c>
      <c r="B16" s="48"/>
      <c r="C16" s="59"/>
      <c r="D16" s="48"/>
      <c r="E16" s="48"/>
      <c r="F16" s="48"/>
      <c r="G16" s="331">
        <v>0.77500000000000002</v>
      </c>
      <c r="H16" s="122"/>
      <c r="I16" s="53">
        <v>1.206</v>
      </c>
      <c r="J16" s="122">
        <f>1.508-I16</f>
        <v>0.30200000000000005</v>
      </c>
      <c r="K16" s="122">
        <f>2.3-I16-J16</f>
        <v>0.79199999999999982</v>
      </c>
      <c r="L16" s="51">
        <f>3.169-I16-J16-K16</f>
        <v>0.86900000000000022</v>
      </c>
      <c r="M16" s="304">
        <f t="shared" si="0"/>
        <v>3.169</v>
      </c>
      <c r="N16" s="122"/>
      <c r="O16" s="53">
        <v>-2.214</v>
      </c>
      <c r="P16" s="122">
        <f>-2.733-O16</f>
        <v>-0.51900000000000013</v>
      </c>
      <c r="Q16" s="122">
        <f>-3.281-O16-P16</f>
        <v>-0.54800000000000004</v>
      </c>
      <c r="R16" s="51">
        <f>-7.385-O16-P16-Q16</f>
        <v>-4.1039999999999992</v>
      </c>
      <c r="S16" s="304">
        <f t="shared" si="1"/>
        <v>-7.3849999999999998</v>
      </c>
      <c r="T16" s="122"/>
      <c r="U16" s="53">
        <v>-0.53500000000000003</v>
      </c>
      <c r="V16" s="122">
        <f>-1.077-U16</f>
        <v>-0.54199999999999993</v>
      </c>
      <c r="W16" s="122">
        <f>-9.368-U16-V16</f>
        <v>-8.2910000000000004</v>
      </c>
      <c r="X16" s="51">
        <f>-9.944-U16-V16-W16</f>
        <v>-0.57600000000000051</v>
      </c>
      <c r="Y16" s="304">
        <f t="shared" si="2"/>
        <v>-9.9440000000000008</v>
      </c>
      <c r="Z16" s="122"/>
      <c r="AA16" s="53">
        <v>-3.2909999999999999</v>
      </c>
      <c r="AB16" s="122">
        <f>-3.732-AA16</f>
        <v>-0.44100000000000028</v>
      </c>
      <c r="AC16" s="122">
        <f>-5.86-AA16-AB16</f>
        <v>-2.1280000000000001</v>
      </c>
      <c r="AD16" s="51">
        <f>-1.775-AA16-AB16-AC16</f>
        <v>4.0850000000000009</v>
      </c>
      <c r="AE16" s="304">
        <f t="shared" si="3"/>
        <v>-1.7749999999999995</v>
      </c>
      <c r="AF16" s="122"/>
      <c r="AG16" s="53">
        <v>-0.57299999999999995</v>
      </c>
      <c r="AH16" s="122">
        <f>-1.45-AG16</f>
        <v>-0.877</v>
      </c>
      <c r="AI16" s="122">
        <f>-2.316-AG16-AH16</f>
        <v>-0.86599999999999988</v>
      </c>
      <c r="AJ16" s="51">
        <f>-5.942-AG16-AH16-AI16</f>
        <v>-3.6260000000000003</v>
      </c>
      <c r="AK16" s="304">
        <f t="shared" si="4"/>
        <v>-5.9420000000000002</v>
      </c>
      <c r="AL16" s="122"/>
      <c r="AM16" s="53">
        <v>-0.81699999999999995</v>
      </c>
      <c r="AN16" s="122">
        <f>-1.536-AM16</f>
        <v>-0.71900000000000008</v>
      </c>
      <c r="AO16" s="122">
        <f>-1.634-AM16-AN16</f>
        <v>-9.7999999999999865E-2</v>
      </c>
      <c r="AP16" s="51">
        <f>-1.976-AM16-AN16-AO16</f>
        <v>-0.34200000000000008</v>
      </c>
      <c r="AQ16" s="304">
        <f t="shared" si="5"/>
        <v>-1.976</v>
      </c>
      <c r="AR16" s="122"/>
      <c r="AS16" s="53">
        <v>-1.673</v>
      </c>
      <c r="AT16" s="122">
        <f>-2.185-AS16</f>
        <v>-0.51200000000000001</v>
      </c>
      <c r="AU16" s="122">
        <f>-2.215-AS16-AT16</f>
        <v>-2.9999999999999805E-2</v>
      </c>
      <c r="AV16" s="51">
        <f>-4.153-AS16-AT16-AU16</f>
        <v>-1.9379999999999997</v>
      </c>
      <c r="AW16" s="6">
        <f t="shared" si="6"/>
        <v>-4.1529999999999996</v>
      </c>
      <c r="AX16" s="122"/>
      <c r="AY16" s="53">
        <v>-2.2829999999999999</v>
      </c>
      <c r="AZ16" s="51">
        <f>-3.138-AY16</f>
        <v>-0.85499999999999998</v>
      </c>
      <c r="BA16" s="51">
        <f>-4.358-AZ16-AY16</f>
        <v>-1.2199999999999998</v>
      </c>
      <c r="BB16" s="51">
        <f>-1.489-SUM(AY16:BA16)</f>
        <v>2.8689999999999998</v>
      </c>
      <c r="BC16" s="6">
        <f t="shared" si="7"/>
        <v>-1.4889999999999999</v>
      </c>
      <c r="BD16" s="50"/>
      <c r="BE16" s="53">
        <v>-4.7549999999999999</v>
      </c>
      <c r="BF16" s="51">
        <f>-3.072-BE16</f>
        <v>1.6829999999999998</v>
      </c>
      <c r="BG16" s="122">
        <f>-3.437-SUM(BE16:BF16)</f>
        <v>-0.36499999999999977</v>
      </c>
      <c r="BH16" s="51">
        <f>-3.13-SUM(BE16:BG16)</f>
        <v>0.30699999999999994</v>
      </c>
      <c r="BI16" s="6">
        <f t="shared" si="8"/>
        <v>-3.13</v>
      </c>
      <c r="BJ16" s="50"/>
      <c r="BK16" s="53">
        <v>-2.82</v>
      </c>
      <c r="BL16" s="1062">
        <f>-2.818-BK16</f>
        <v>1.9999999999997797E-3</v>
      </c>
      <c r="BM16" s="1062">
        <f>-2.966-SUM(BK16:BL16)</f>
        <v>-0.14800000000000013</v>
      </c>
      <c r="BN16" s="1062">
        <f>-1.596-SUM(BK16:BM16)</f>
        <v>1.37</v>
      </c>
      <c r="BO16" s="6">
        <f t="shared" si="13"/>
        <v>-1.5960000000000001</v>
      </c>
      <c r="BP16" s="50"/>
      <c r="BQ16" s="53">
        <v>-1.913</v>
      </c>
      <c r="BR16" s="1062">
        <f>-2.099-BQ16</f>
        <v>-0.18600000000000017</v>
      </c>
      <c r="BS16" s="1063">
        <f>-2.513-SUM(BQ16:BR16)</f>
        <v>-0.4139999999999997</v>
      </c>
      <c r="BT16" s="1063">
        <f>-3.328-SUM(BQ16:BS16)</f>
        <v>-0.81499999999999995</v>
      </c>
      <c r="BU16" s="6">
        <f t="shared" si="14"/>
        <v>-3.3279999999999998</v>
      </c>
      <c r="BV16" s="50"/>
      <c r="BW16" s="53">
        <v>-5.8000000000000003E-2</v>
      </c>
      <c r="BX16" s="1062">
        <f>-0.074-BW16</f>
        <v>-1.5999999999999993E-2</v>
      </c>
      <c r="BY16" s="1062">
        <f>-0.448-SUM(BW16:BX16)</f>
        <v>-0.374</v>
      </c>
      <c r="BZ16" s="1063">
        <f>-0.782-SUM(BW16:BY16)</f>
        <v>-0.33400000000000002</v>
      </c>
      <c r="CA16" s="6">
        <f t="shared" si="15"/>
        <v>-0.78200000000000003</v>
      </c>
      <c r="CB16" s="50"/>
      <c r="CC16" s="53">
        <v>0</v>
      </c>
      <c r="CD16" s="1062">
        <f t="shared" si="10"/>
        <v>0</v>
      </c>
      <c r="CE16" s="1062">
        <f t="shared" si="11"/>
        <v>0</v>
      </c>
      <c r="CF16" s="1063">
        <f t="shared" si="12"/>
        <v>0</v>
      </c>
      <c r="CG16" s="6">
        <f t="shared" si="16"/>
        <v>0</v>
      </c>
      <c r="CH16" s="50"/>
      <c r="CI16" s="1064">
        <v>0</v>
      </c>
      <c r="CJ16" s="1063">
        <v>0</v>
      </c>
      <c r="CK16" s="1063">
        <v>0</v>
      </c>
      <c r="CL16" s="1063">
        <v>0</v>
      </c>
      <c r="CM16" s="6">
        <f t="shared" ref="CM16:CM27" si="19">SUM(CI16:CL16)</f>
        <v>0</v>
      </c>
      <c r="CN16" s="50"/>
      <c r="CO16" s="1064">
        <v>0</v>
      </c>
      <c r="CP16" s="1063">
        <v>0</v>
      </c>
      <c r="CQ16" s="1063">
        <v>0</v>
      </c>
      <c r="CR16" s="1063">
        <v>0</v>
      </c>
      <c r="CS16" s="6">
        <f t="shared" si="17"/>
        <v>0</v>
      </c>
      <c r="CT16" s="50"/>
      <c r="CU16" s="1064">
        <v>0</v>
      </c>
      <c r="CV16" s="1063">
        <v>0</v>
      </c>
      <c r="CW16" s="1063">
        <v>0</v>
      </c>
      <c r="CX16" s="1063">
        <v>0</v>
      </c>
      <c r="CY16" s="6">
        <f t="shared" si="18"/>
        <v>0</v>
      </c>
      <c r="CZ16" s="259"/>
      <c r="DA16" s="259"/>
      <c r="DB16" s="48"/>
    </row>
    <row r="17" spans="1:112" ht="11.25" customHeight="1" x14ac:dyDescent="0.2">
      <c r="A17" s="354" t="s">
        <v>87</v>
      </c>
      <c r="B17" s="48"/>
      <c r="C17" s="59"/>
      <c r="D17" s="48"/>
      <c r="E17" s="48"/>
      <c r="F17" s="48"/>
      <c r="G17" s="331">
        <v>0.128</v>
      </c>
      <c r="H17" s="122"/>
      <c r="I17" s="53">
        <v>5.0000000000000001E-3</v>
      </c>
      <c r="J17" s="122">
        <f>0.023-I17</f>
        <v>1.7999999999999999E-2</v>
      </c>
      <c r="K17" s="122">
        <f>0.051-I17-J17</f>
        <v>2.8000000000000001E-2</v>
      </c>
      <c r="L17" s="51">
        <f>0.054-I17-J17-K17</f>
        <v>3.0000000000000027E-3</v>
      </c>
      <c r="M17" s="304">
        <f t="shared" si="0"/>
        <v>5.4000000000000006E-2</v>
      </c>
      <c r="N17" s="122"/>
      <c r="O17" s="53">
        <v>1.4E-2</v>
      </c>
      <c r="P17" s="122">
        <f>0.329-O17</f>
        <v>0.315</v>
      </c>
      <c r="Q17" s="122">
        <f>0.393-O17-P17</f>
        <v>6.4000000000000001E-2</v>
      </c>
      <c r="R17" s="51">
        <f>0.378-O17-P17-Q17</f>
        <v>-1.5000000000000013E-2</v>
      </c>
      <c r="S17" s="304">
        <f t="shared" si="1"/>
        <v>0.378</v>
      </c>
      <c r="T17" s="122"/>
      <c r="U17" s="53">
        <v>0.22900000000000001</v>
      </c>
      <c r="V17" s="122">
        <f>0-U17</f>
        <v>-0.22900000000000001</v>
      </c>
      <c r="W17" s="122">
        <f>0-U17-V17</f>
        <v>0</v>
      </c>
      <c r="X17" s="51">
        <f>1.807-U17-V17-W17</f>
        <v>1.8069999999999999</v>
      </c>
      <c r="Y17" s="304">
        <f t="shared" si="2"/>
        <v>1.8069999999999999</v>
      </c>
      <c r="Z17" s="122"/>
      <c r="AA17" s="53">
        <v>0</v>
      </c>
      <c r="AB17" s="122">
        <v>0</v>
      </c>
      <c r="AC17" s="122">
        <v>0</v>
      </c>
      <c r="AD17" s="51">
        <v>0</v>
      </c>
      <c r="AE17" s="304">
        <f t="shared" si="3"/>
        <v>0</v>
      </c>
      <c r="AF17" s="122"/>
      <c r="AG17" s="53">
        <v>0</v>
      </c>
      <c r="AH17" s="122">
        <v>0</v>
      </c>
      <c r="AI17" s="122">
        <v>0</v>
      </c>
      <c r="AJ17" s="51">
        <v>0</v>
      </c>
      <c r="AK17" s="304">
        <f t="shared" si="4"/>
        <v>0</v>
      </c>
      <c r="AL17" s="122"/>
      <c r="AM17" s="53">
        <v>0</v>
      </c>
      <c r="AN17" s="122">
        <v>0</v>
      </c>
      <c r="AO17" s="122">
        <v>0</v>
      </c>
      <c r="AP17" s="51">
        <v>0</v>
      </c>
      <c r="AQ17" s="304">
        <f t="shared" si="5"/>
        <v>0</v>
      </c>
      <c r="AR17" s="122"/>
      <c r="AS17" s="53">
        <v>0</v>
      </c>
      <c r="AT17" s="122">
        <v>0</v>
      </c>
      <c r="AU17" s="122">
        <v>0</v>
      </c>
      <c r="AV17" s="51">
        <v>0</v>
      </c>
      <c r="AW17" s="6">
        <f t="shared" si="6"/>
        <v>0</v>
      </c>
      <c r="AX17" s="122"/>
      <c r="AY17" s="53">
        <v>0</v>
      </c>
      <c r="AZ17" s="51">
        <v>0</v>
      </c>
      <c r="BA17" s="51">
        <v>0</v>
      </c>
      <c r="BB17" s="51">
        <f>0-SUM(AY17:BA17)</f>
        <v>0</v>
      </c>
      <c r="BC17" s="6">
        <f t="shared" si="7"/>
        <v>0</v>
      </c>
      <c r="BD17" s="50"/>
      <c r="BE17" s="53">
        <v>0</v>
      </c>
      <c r="BF17" s="51">
        <f>0-BE17</f>
        <v>0</v>
      </c>
      <c r="BG17" s="122">
        <f>0-SUM(BE17:BF17)</f>
        <v>0</v>
      </c>
      <c r="BH17" s="51">
        <f>0-SUM(BE17:BG17)</f>
        <v>0</v>
      </c>
      <c r="BI17" s="6">
        <f t="shared" si="8"/>
        <v>0</v>
      </c>
      <c r="BJ17" s="50"/>
      <c r="BK17" s="53">
        <v>0</v>
      </c>
      <c r="BL17" s="1062">
        <f>0-BK17</f>
        <v>0</v>
      </c>
      <c r="BM17" s="1062">
        <f>0-SUM(BK17:BL17)</f>
        <v>0</v>
      </c>
      <c r="BN17" s="1062">
        <f>0-SUM(BK17:BM17)</f>
        <v>0</v>
      </c>
      <c r="BO17" s="6">
        <f t="shared" si="13"/>
        <v>0</v>
      </c>
      <c r="BP17" s="50"/>
      <c r="BQ17" s="53">
        <v>0</v>
      </c>
      <c r="BR17" s="1062">
        <v>0</v>
      </c>
      <c r="BS17" s="1063">
        <f>0-SUM(BQ17:BR17)</f>
        <v>0</v>
      </c>
      <c r="BT17" s="1063">
        <f>0-SUM(BQ17:BS17)</f>
        <v>0</v>
      </c>
      <c r="BU17" s="6">
        <f t="shared" si="14"/>
        <v>0</v>
      </c>
      <c r="BV17" s="50"/>
      <c r="BW17" s="53">
        <v>0</v>
      </c>
      <c r="BX17" s="1062">
        <f>0-BW17</f>
        <v>0</v>
      </c>
      <c r="BY17" s="1062">
        <f>0-SUM(BW17:BX17)</f>
        <v>0</v>
      </c>
      <c r="BZ17" s="1063">
        <f t="shared" si="9"/>
        <v>0</v>
      </c>
      <c r="CA17" s="6">
        <f t="shared" si="15"/>
        <v>0</v>
      </c>
      <c r="CB17" s="50"/>
      <c r="CC17" s="53">
        <v>0</v>
      </c>
      <c r="CD17" s="1062">
        <f t="shared" si="10"/>
        <v>0</v>
      </c>
      <c r="CE17" s="1062">
        <f t="shared" si="11"/>
        <v>0</v>
      </c>
      <c r="CF17" s="1063">
        <f t="shared" si="12"/>
        <v>0</v>
      </c>
      <c r="CG17" s="6">
        <f t="shared" si="16"/>
        <v>0</v>
      </c>
      <c r="CH17" s="50"/>
      <c r="CI17" s="53">
        <v>0</v>
      </c>
      <c r="CJ17" s="122">
        <v>0</v>
      </c>
      <c r="CK17" s="122">
        <v>0</v>
      </c>
      <c r="CL17" s="122">
        <v>0</v>
      </c>
      <c r="CM17" s="6">
        <f t="shared" si="19"/>
        <v>0</v>
      </c>
      <c r="CN17" s="50"/>
      <c r="CO17" s="53">
        <v>0</v>
      </c>
      <c r="CP17" s="122">
        <v>0</v>
      </c>
      <c r="CQ17" s="122">
        <v>0</v>
      </c>
      <c r="CR17" s="122">
        <v>0</v>
      </c>
      <c r="CS17" s="6">
        <f t="shared" si="17"/>
        <v>0</v>
      </c>
      <c r="CT17" s="50"/>
      <c r="CU17" s="53">
        <v>0</v>
      </c>
      <c r="CV17" s="122">
        <v>0</v>
      </c>
      <c r="CW17" s="122">
        <v>0</v>
      </c>
      <c r="CX17" s="122">
        <v>0</v>
      </c>
      <c r="CY17" s="6">
        <f t="shared" si="18"/>
        <v>0</v>
      </c>
      <c r="CZ17" s="259"/>
      <c r="DA17" s="259"/>
      <c r="DB17" s="48"/>
    </row>
    <row r="18" spans="1:112" ht="11.25" customHeight="1" x14ac:dyDescent="0.2">
      <c r="A18" s="354" t="s">
        <v>29</v>
      </c>
      <c r="B18" s="48"/>
      <c r="C18" s="59"/>
      <c r="D18" s="48"/>
      <c r="E18" s="48"/>
      <c r="F18" s="48"/>
      <c r="G18" s="331">
        <v>-10.474</v>
      </c>
      <c r="H18" s="122"/>
      <c r="I18" s="53">
        <v>3.165</v>
      </c>
      <c r="J18" s="122">
        <f>1.714-I18</f>
        <v>-1.4510000000000001</v>
      </c>
      <c r="K18" s="122">
        <f>-0.697-I18-J18</f>
        <v>-2.411</v>
      </c>
      <c r="L18" s="51">
        <f>-2.202-I18-J18-K18</f>
        <v>-1.5049999999999999</v>
      </c>
      <c r="M18" s="304">
        <f t="shared" si="0"/>
        <v>-2.202</v>
      </c>
      <c r="N18" s="122"/>
      <c r="O18" s="53">
        <v>2.0659999999999998</v>
      </c>
      <c r="P18" s="122">
        <f>6.141-O18</f>
        <v>4.0750000000000002</v>
      </c>
      <c r="Q18" s="122">
        <f>1.879-O18-P18</f>
        <v>-4.2620000000000005</v>
      </c>
      <c r="R18" s="51">
        <f>5.21-O18-P18-Q18</f>
        <v>3.3310000000000004</v>
      </c>
      <c r="S18" s="304">
        <f t="shared" si="1"/>
        <v>5.21</v>
      </c>
      <c r="T18" s="122"/>
      <c r="U18" s="53">
        <v>0.49199999999999999</v>
      </c>
      <c r="V18" s="122">
        <f>0-U18</f>
        <v>-0.49199999999999999</v>
      </c>
      <c r="W18" s="122">
        <f>0-U18-V18</f>
        <v>0</v>
      </c>
      <c r="X18" s="51">
        <f>-1.654-U18-V18-W18</f>
        <v>-1.6539999999999999</v>
      </c>
      <c r="Y18" s="304">
        <f t="shared" si="2"/>
        <v>-1.6539999999999999</v>
      </c>
      <c r="Z18" s="122"/>
      <c r="AA18" s="53">
        <v>-14.194000000000001</v>
      </c>
      <c r="AB18" s="122">
        <f>-18.399-AA18</f>
        <v>-4.2050000000000001</v>
      </c>
      <c r="AC18" s="122">
        <f>-19.498-AA18-AB18</f>
        <v>-1.0990000000000002</v>
      </c>
      <c r="AD18" s="51">
        <f>-17.694-AA18-AB18-AC18</f>
        <v>1.804000000000002</v>
      </c>
      <c r="AE18" s="304">
        <f t="shared" si="3"/>
        <v>-17.693999999999999</v>
      </c>
      <c r="AF18" s="122"/>
      <c r="AG18" s="53">
        <v>-3.5590000000000002</v>
      </c>
      <c r="AH18" s="122">
        <f>-19.029-AG18</f>
        <v>-15.469999999999999</v>
      </c>
      <c r="AI18" s="122">
        <f>-22.284-AG18-AH18</f>
        <v>-3.254999999999999</v>
      </c>
      <c r="AJ18" s="51">
        <f>-10.61-AG18-AH18-AI18</f>
        <v>11.673999999999999</v>
      </c>
      <c r="AK18" s="304">
        <f t="shared" si="4"/>
        <v>-10.61</v>
      </c>
      <c r="AL18" s="122"/>
      <c r="AM18" s="53">
        <v>-4.5010000000000003</v>
      </c>
      <c r="AN18" s="122">
        <f>-15.578-AM18</f>
        <v>-11.076999999999998</v>
      </c>
      <c r="AO18" s="122">
        <f>-18.535-AM18-AN18</f>
        <v>-2.9570000000000007</v>
      </c>
      <c r="AP18" s="51">
        <f>-19.942-AM18-AN18-AO18</f>
        <v>-1.407</v>
      </c>
      <c r="AQ18" s="304">
        <f t="shared" si="5"/>
        <v>-19.942</v>
      </c>
      <c r="AR18" s="122"/>
      <c r="AS18" s="53">
        <v>-1.4419999999999999</v>
      </c>
      <c r="AT18" s="122">
        <f>-5.281-AS18</f>
        <v>-3.8389999999999995</v>
      </c>
      <c r="AU18" s="122">
        <f>-6.837-AS18-AT18</f>
        <v>-1.556</v>
      </c>
      <c r="AV18" s="51">
        <f>-31.861-AS18-AT18-AU18</f>
        <v>-25.024000000000001</v>
      </c>
      <c r="AW18" s="6">
        <f t="shared" si="6"/>
        <v>-31.861000000000001</v>
      </c>
      <c r="AX18" s="122"/>
      <c r="AY18" s="53">
        <v>-10.576000000000001</v>
      </c>
      <c r="AZ18" s="51">
        <f>-17.514-AY18</f>
        <v>-6.9379999999999988</v>
      </c>
      <c r="BA18" s="51">
        <f>-28.872-AZ18-AY18</f>
        <v>-11.358000000000001</v>
      </c>
      <c r="BB18" s="51">
        <f>-22.767-SUM(AY18:BA18)</f>
        <v>6.1050000000000004</v>
      </c>
      <c r="BC18" s="6">
        <f t="shared" si="7"/>
        <v>-22.766999999999999</v>
      </c>
      <c r="BD18" s="28"/>
      <c r="BE18" s="53">
        <v>-10.602</v>
      </c>
      <c r="BF18" s="51">
        <f>-14.294-BE18</f>
        <v>-3.6920000000000002</v>
      </c>
      <c r="BG18" s="122">
        <f>-17.802-SUM(BE18:BF18)</f>
        <v>-3.5079999999999991</v>
      </c>
      <c r="BH18" s="51">
        <f>-68.086-SUM(BE18:BG18)</f>
        <v>-50.283999999999999</v>
      </c>
      <c r="BI18" s="6">
        <f t="shared" si="8"/>
        <v>-68.085999999999999</v>
      </c>
      <c r="BJ18" s="28"/>
      <c r="BK18" s="53">
        <v>-6.7969999999999997</v>
      </c>
      <c r="BL18" s="1062">
        <f>-13.671-BK18</f>
        <v>-6.8739999999999997</v>
      </c>
      <c r="BM18" s="1062">
        <f>-16.991-SUM(BK18:BL18)</f>
        <v>-3.3200000000000003</v>
      </c>
      <c r="BN18" s="1062">
        <f>-41.291-SUM(BK18:BM18)</f>
        <v>-24.299999999999997</v>
      </c>
      <c r="BO18" s="6">
        <f t="shared" si="13"/>
        <v>-41.290999999999997</v>
      </c>
      <c r="BP18" s="28"/>
      <c r="BQ18" s="53">
        <v>-4.5199999999999996</v>
      </c>
      <c r="BR18" s="1062">
        <f>-5.769-BQ18</f>
        <v>-1.2490000000000006</v>
      </c>
      <c r="BS18" s="1063">
        <f>-7.899-SUM(BQ18:BR18)</f>
        <v>-2.13</v>
      </c>
      <c r="BT18" s="1063">
        <f>-37.194-SUM(BQ18:BS18)</f>
        <v>-29.295000000000002</v>
      </c>
      <c r="BU18" s="6">
        <f t="shared" si="14"/>
        <v>-37.194000000000003</v>
      </c>
      <c r="BV18" s="28"/>
      <c r="BW18" s="53">
        <v>-5.5389999999999997</v>
      </c>
      <c r="BX18" s="1062">
        <f>-8.379-BW18</f>
        <v>-2.84</v>
      </c>
      <c r="BY18" s="1062">
        <f>-11.695-SUM(BW18:BX18)</f>
        <v>-3.3160000000000007</v>
      </c>
      <c r="BZ18" s="1063">
        <f>-65.974-SUM(BW18:BY18)</f>
        <v>-54.279000000000003</v>
      </c>
      <c r="CA18" s="6">
        <f t="shared" si="15"/>
        <v>-65.974000000000004</v>
      </c>
      <c r="CB18" s="28"/>
      <c r="CC18" s="53">
        <v>1.306</v>
      </c>
      <c r="CD18" s="1062">
        <f>-2.101-CC18</f>
        <v>-3.407</v>
      </c>
      <c r="CE18" s="1062">
        <f>-6.377-SUM(CC18:CD18)</f>
        <v>-4.2759999999999998</v>
      </c>
      <c r="CF18" s="1063">
        <f>60.176-SUM(CC18:CE18)</f>
        <v>66.552999999999997</v>
      </c>
      <c r="CG18" s="6">
        <f t="shared" si="16"/>
        <v>60.175999999999995</v>
      </c>
      <c r="CH18" s="28"/>
      <c r="CI18" s="19">
        <f>BS!CG16-BS!CI16+BS!CG23-BS!CI23+BS!CI34-BS!CG34+BS!CI39-BS!CG39</f>
        <v>-64.749757474764664</v>
      </c>
      <c r="CJ18" s="28">
        <f>BS!CI16-BS!CJ16+BS!CI23-BS!CJ23+BS!CJ34-BS!CI34+BS!CJ39-BS!CI39</f>
        <v>-3.8248628053787357</v>
      </c>
      <c r="CK18" s="28">
        <f>BS!CJ16-BS!CK16+BS!CJ23-BS!CK23+BS!CK34-BS!CJ34+BS!CK39-BS!CJ39</f>
        <v>-1.0376859531319909</v>
      </c>
      <c r="CL18" s="28">
        <f>BS!CK16-BS!CL16+BS!CK23-BS!CL23+BS!CL34-BS!CK34+BS!CL39-BS!CK39</f>
        <v>-2.1264711679621655</v>
      </c>
      <c r="CM18" s="6">
        <f t="shared" si="19"/>
        <v>-71.738777401237542</v>
      </c>
      <c r="CN18" s="28"/>
      <c r="CO18" s="19">
        <f>BS!CM16-BS!CO16+BS!CM23-BS!CO23+BS!CO34-BS!CM34+BS!CO39-BS!CM39</f>
        <v>3.9704489748340492</v>
      </c>
      <c r="CP18" s="28">
        <f>BS!CO16-BS!CP16+BS!CO23-BS!CP23+BS!CP34-BS!CO34+BS!CP39-BS!CO39</f>
        <v>-3.1633940492236405</v>
      </c>
      <c r="CQ18" s="28">
        <f>BS!CP16-BS!CQ16+BS!CP23-BS!CQ23+BS!CQ34-BS!CP34+BS!CQ39-BS!CP39</f>
        <v>-0.60609162291707008</v>
      </c>
      <c r="CR18" s="28">
        <f>BS!CQ16-BS!CR16+BS!CQ23-BS!CR23+BS!CR34-BS!CQ34+BS!CR39-BS!CQ39</f>
        <v>-3.2443015228721563</v>
      </c>
      <c r="CS18" s="6">
        <f t="shared" si="17"/>
        <v>-3.0433382201788177</v>
      </c>
      <c r="CT18" s="28"/>
      <c r="CU18" s="19">
        <f>BS!CS16-BS!CU16+BS!CS23-BS!CU23+BS!CU34-BS!CS34+BS!CU39-BS!CS39</f>
        <v>3.7566970616207556</v>
      </c>
      <c r="CV18" s="28">
        <f>BS!CU16-BS!CV16+BS!CU23-BS!CV23+BS!CV34-BS!CU34+BS!CV39-BS!CU39</f>
        <v>-3.284991650444077</v>
      </c>
      <c r="CW18" s="28">
        <f>BS!CV16-BS!CW16+BS!CV23-BS!CW23+BS!CW34-BS!CV34+BS!CW39-BS!CV39</f>
        <v>-0.5840895534284698</v>
      </c>
      <c r="CX18" s="28">
        <f>BS!CW16-BS!CX16+BS!CW23-BS!CX23+BS!CX34-BS!CW34+BS!CX39-BS!CW39</f>
        <v>-3.5269498699817703</v>
      </c>
      <c r="CY18" s="6">
        <f t="shared" si="18"/>
        <v>-3.6393340122335616</v>
      </c>
      <c r="CZ18" s="20"/>
      <c r="DA18" s="20"/>
      <c r="DB18" s="48"/>
    </row>
    <row r="19" spans="1:112" ht="11.25" customHeight="1" x14ac:dyDescent="0.2">
      <c r="A19" s="354" t="s">
        <v>47</v>
      </c>
      <c r="B19" s="48"/>
      <c r="C19" s="59"/>
      <c r="D19" s="48"/>
      <c r="E19" s="48"/>
      <c r="F19" s="48"/>
      <c r="G19" s="331">
        <f>9.796+0.159-0.481+2.243</f>
        <v>11.717000000000001</v>
      </c>
      <c r="H19" s="122"/>
      <c r="I19" s="53">
        <f>0.054+0.125+0.493-0.123</f>
        <v>0.54899999999999993</v>
      </c>
      <c r="J19" s="122">
        <f>(0.304+0.309+1.142-0.123)-I19</f>
        <v>1.083</v>
      </c>
      <c r="K19" s="122">
        <f>(0.313+0.506+1.145-0.123)-I19-J19</f>
        <v>0.20900000000000007</v>
      </c>
      <c r="L19" s="51">
        <f>1.436-I19-J19-K19</f>
        <v>-0.40500000000000003</v>
      </c>
      <c r="M19" s="304">
        <f t="shared" si="0"/>
        <v>1.4359999999999999</v>
      </c>
      <c r="N19" s="122"/>
      <c r="O19" s="53">
        <f>-0.326</f>
        <v>-0.32600000000000001</v>
      </c>
      <c r="P19" s="122">
        <f>(-0.579+0.023)-O19</f>
        <v>-0.22999999999999993</v>
      </c>
      <c r="Q19" s="122">
        <f>(0.5-0.053-0.799)-O19-P19</f>
        <v>0.2039999999999999</v>
      </c>
      <c r="R19" s="51">
        <f>0.511-O19-P19-Q19</f>
        <v>0.86299999999999999</v>
      </c>
      <c r="S19" s="304">
        <f t="shared" si="1"/>
        <v>0.5109999999999999</v>
      </c>
      <c r="T19" s="122"/>
      <c r="U19" s="53">
        <v>-0.38500000000000001</v>
      </c>
      <c r="V19" s="122">
        <f>-0.148-U19</f>
        <v>0.23700000000000002</v>
      </c>
      <c r="W19" s="122">
        <f>1.208-U19-V19</f>
        <v>1.3559999999999999</v>
      </c>
      <c r="X19" s="51">
        <f>0.002-U19-V19-W19</f>
        <v>-1.206</v>
      </c>
      <c r="Y19" s="304">
        <f t="shared" si="2"/>
        <v>2.0000000000000018E-3</v>
      </c>
      <c r="Z19" s="122"/>
      <c r="AA19" s="53">
        <f>-0.78-0.191</f>
        <v>-0.97100000000000009</v>
      </c>
      <c r="AB19" s="122">
        <f>(-0.78-0.332)-AA19</f>
        <v>-0.14100000000000001</v>
      </c>
      <c r="AC19" s="122">
        <f>(-0.78+5.331)-AA19-AB19</f>
        <v>5.6630000000000003</v>
      </c>
      <c r="AD19" s="51">
        <f>-0.843-AA19-AB19-AC19</f>
        <v>-5.3940000000000001</v>
      </c>
      <c r="AE19" s="304">
        <f t="shared" si="3"/>
        <v>-0.84299999999999997</v>
      </c>
      <c r="AF19" s="122"/>
      <c r="AG19" s="53">
        <v>1.488</v>
      </c>
      <c r="AH19" s="122">
        <f>1.742-AG19</f>
        <v>0.254</v>
      </c>
      <c r="AI19" s="122">
        <f>5.094-AG19-AH19</f>
        <v>3.3520000000000003</v>
      </c>
      <c r="AJ19" s="51">
        <f>(1.907-11.501)-AG19-AH19-AI19</f>
        <v>-14.687999999999999</v>
      </c>
      <c r="AK19" s="304">
        <f t="shared" si="4"/>
        <v>-9.5939999999999976</v>
      </c>
      <c r="AL19" s="122"/>
      <c r="AM19" s="53">
        <v>0.14499999999999999</v>
      </c>
      <c r="AN19" s="122">
        <f>-0.514-AM19</f>
        <v>-0.65900000000000003</v>
      </c>
      <c r="AO19" s="122">
        <f>-11.038-AM19-AN19</f>
        <v>-10.523999999999999</v>
      </c>
      <c r="AP19" s="51">
        <f>-12.113-AM19-AN19-AO19</f>
        <v>-1.0749999999999993</v>
      </c>
      <c r="AQ19" s="304">
        <f t="shared" si="5"/>
        <v>-12.112999999999998</v>
      </c>
      <c r="AR19" s="122"/>
      <c r="AS19" s="53">
        <v>-1.37</v>
      </c>
      <c r="AT19" s="122">
        <f>0.051-AS19</f>
        <v>1.421</v>
      </c>
      <c r="AU19" s="122">
        <f>-9.648-AS19-AT19</f>
        <v>-9.6989999999999981</v>
      </c>
      <c r="AV19" s="51">
        <f>-1.184-AS19-AT19-AU19</f>
        <v>8.4639999999999986</v>
      </c>
      <c r="AW19" s="6">
        <f t="shared" si="6"/>
        <v>-1.1839999999999993</v>
      </c>
      <c r="AX19" s="122"/>
      <c r="AY19" s="53">
        <v>-0.66100000000000003</v>
      </c>
      <c r="AZ19" s="122">
        <f>21.827-AY19</f>
        <v>22.488000000000003</v>
      </c>
      <c r="BA19" s="122">
        <f>6.172-AZ19-AY19</f>
        <v>-15.655000000000003</v>
      </c>
      <c r="BB19" s="51">
        <f>(-11.463+-5.227)-SUM(AY19:BA19)</f>
        <v>-22.861999999999995</v>
      </c>
      <c r="BC19" s="6">
        <f t="shared" si="7"/>
        <v>-16.689999999999998</v>
      </c>
      <c r="BD19" s="28"/>
      <c r="BE19" s="53">
        <v>0.748</v>
      </c>
      <c r="BF19" s="122">
        <f>5.376-BE19</f>
        <v>4.6280000000000001</v>
      </c>
      <c r="BG19" s="122">
        <f>-17.048+42.768-SUM(BE19:BF19)</f>
        <v>20.344000000000001</v>
      </c>
      <c r="BH19" s="51">
        <f>-11.127-13.521-SUM(BE19:BG19)</f>
        <v>-50.368000000000009</v>
      </c>
      <c r="BI19" s="6">
        <f t="shared" si="8"/>
        <v>-24.648000000000007</v>
      </c>
      <c r="BJ19" s="28"/>
      <c r="BK19" s="53">
        <f>4.56+1.201+1.2</f>
        <v>6.9609999999999994</v>
      </c>
      <c r="BL19" s="1062">
        <f>1.2+4.56+7.186-BK19</f>
        <v>5.9850000000000003</v>
      </c>
      <c r="BM19" s="1062">
        <f>4.56+55.248+6-SUM(BK19:BL19)</f>
        <v>52.861999999999995</v>
      </c>
      <c r="BN19" s="1062">
        <f>4.56+10.632-SUM(BK19:BM19)</f>
        <v>-50.615999999999993</v>
      </c>
      <c r="BO19" s="6">
        <f t="shared" si="13"/>
        <v>15.192</v>
      </c>
      <c r="BP19" s="28"/>
      <c r="BQ19" s="53">
        <f>7.564+22.133</f>
        <v>29.696999999999999</v>
      </c>
      <c r="BR19" s="1062">
        <f>2.189+7.564+40.555-BQ19</f>
        <v>20.611000000000001</v>
      </c>
      <c r="BS19" s="1063">
        <f>7.564+65.827-SUM(BQ19:BR19)</f>
        <v>23.082999999999991</v>
      </c>
      <c r="BT19" s="1063">
        <f>19.955+7.564+6.039-5.225+2.609-SUM(BQ19:BS19)</f>
        <v>-42.448999999999991</v>
      </c>
      <c r="BU19" s="6">
        <f t="shared" si="14"/>
        <v>30.942</v>
      </c>
      <c r="BV19" s="28"/>
      <c r="BW19" s="53">
        <f>5.057-0.33-1.5+1.107</f>
        <v>4.3340000000000005</v>
      </c>
      <c r="BX19" s="1062">
        <f>10.152-1.36-5.501-0.142-BW19</f>
        <v>-1.1850000000000009</v>
      </c>
      <c r="BY19" s="1062">
        <f>15.288+0.717-1.36-5.501+3.621-SUM(BW19:BX19)</f>
        <v>9.6159999999999997</v>
      </c>
      <c r="BZ19" s="1063">
        <f>20.451-1.36-6.501+19.435-SUM(BW19:BY19)</f>
        <v>19.259999999999998</v>
      </c>
      <c r="CA19" s="6">
        <f t="shared" si="15"/>
        <v>32.024999999999999</v>
      </c>
      <c r="CB19" s="28"/>
      <c r="CC19" s="53">
        <f>5.196+1.055-3.998</f>
        <v>2.2529999999999992</v>
      </c>
      <c r="CD19" s="1062">
        <f>10.432+1.055-4.384-CC19</f>
        <v>4.8500000000000005</v>
      </c>
      <c r="CE19" s="1062">
        <f>16.325+1.055-2.769-2.481-SUM(CC19:CD19)</f>
        <v>5.0269999999999992</v>
      </c>
      <c r="CF19" s="1063">
        <f>24.773+1.055-3.269-4.521-SUM(CC19:CE19)</f>
        <v>5.9079999999999977</v>
      </c>
      <c r="CG19" s="6">
        <f t="shared" si="16"/>
        <v>18.037999999999997</v>
      </c>
      <c r="CH19" s="28"/>
      <c r="CI19" s="53">
        <v>0</v>
      </c>
      <c r="CJ19" s="122">
        <v>0</v>
      </c>
      <c r="CK19" s="122">
        <v>0</v>
      </c>
      <c r="CL19" s="122">
        <v>0</v>
      </c>
      <c r="CM19" s="6">
        <f t="shared" si="19"/>
        <v>0</v>
      </c>
      <c r="CN19" s="28"/>
      <c r="CO19" s="53">
        <v>0</v>
      </c>
      <c r="CP19" s="122">
        <v>0</v>
      </c>
      <c r="CQ19" s="122">
        <v>0</v>
      </c>
      <c r="CR19" s="122">
        <v>0</v>
      </c>
      <c r="CS19" s="6">
        <f t="shared" si="17"/>
        <v>0</v>
      </c>
      <c r="CT19" s="28"/>
      <c r="CU19" s="53">
        <v>0</v>
      </c>
      <c r="CV19" s="122">
        <v>0</v>
      </c>
      <c r="CW19" s="122">
        <v>0</v>
      </c>
      <c r="CX19" s="122">
        <v>0</v>
      </c>
      <c r="CY19" s="6">
        <f t="shared" si="18"/>
        <v>0</v>
      </c>
      <c r="CZ19" s="20"/>
      <c r="DA19" s="20"/>
      <c r="DB19" s="48"/>
    </row>
    <row r="20" spans="1:112" s="272" customFormat="1" ht="11.25" customHeight="1" x14ac:dyDescent="0.2">
      <c r="A20" s="433" t="s">
        <v>59</v>
      </c>
      <c r="B20" s="214"/>
      <c r="C20" s="301"/>
      <c r="D20" s="214"/>
      <c r="E20" s="214"/>
      <c r="F20" s="214"/>
      <c r="G20" s="406">
        <f>SUM(G21:G28)</f>
        <v>-20.014000000000003</v>
      </c>
      <c r="H20" s="403"/>
      <c r="I20" s="407">
        <f>SUM(I21:I28)</f>
        <v>-4.1740000000000004</v>
      </c>
      <c r="J20" s="408">
        <f>SUM(J21:J28)</f>
        <v>3.2080000000000002</v>
      </c>
      <c r="K20" s="408">
        <f>SUM(K21:K28)</f>
        <v>-3.3350000000000009</v>
      </c>
      <c r="L20" s="408">
        <f>SUM(L21:L28)</f>
        <v>0.54799999999999827</v>
      </c>
      <c r="M20" s="60">
        <f t="shared" si="0"/>
        <v>-3.7530000000000028</v>
      </c>
      <c r="N20" s="403"/>
      <c r="O20" s="407">
        <f>SUM(O21:O28)</f>
        <v>-2.2569999999999988</v>
      </c>
      <c r="P20" s="408">
        <f>SUM(P21:P28)</f>
        <v>-5.423</v>
      </c>
      <c r="Q20" s="408">
        <f>SUM(Q21:Q28)</f>
        <v>0.88999999999999813</v>
      </c>
      <c r="R20" s="408">
        <f>SUM(R21:R28)</f>
        <v>1.7070000000000012</v>
      </c>
      <c r="S20" s="60">
        <f t="shared" si="1"/>
        <v>-5.0830000000000002</v>
      </c>
      <c r="T20" s="403"/>
      <c r="U20" s="407">
        <f>SUM(U21:U28)</f>
        <v>-7.5510000000000002</v>
      </c>
      <c r="V20" s="408">
        <f>SUM(V21:V28)</f>
        <v>-17.899999999999999</v>
      </c>
      <c r="W20" s="408">
        <f>SUM(W21:W28)</f>
        <v>-7.9559999999999986</v>
      </c>
      <c r="X20" s="408">
        <f>SUM(X21:X28)</f>
        <v>-22.419000000000011</v>
      </c>
      <c r="Y20" s="60">
        <f t="shared" si="2"/>
        <v>-55.826000000000008</v>
      </c>
      <c r="Z20" s="403"/>
      <c r="AA20" s="407">
        <f>SUM(AA21:AA28)</f>
        <v>-23.806999999999995</v>
      </c>
      <c r="AB20" s="408">
        <f>SUM(AB21:AB28)</f>
        <v>1.2709999999999955</v>
      </c>
      <c r="AC20" s="408">
        <f>SUM(AC21:AC28)</f>
        <v>-21.913000000000004</v>
      </c>
      <c r="AD20" s="408">
        <f>SUM(AD21:AD28)</f>
        <v>26.377000000000002</v>
      </c>
      <c r="AE20" s="60">
        <f t="shared" si="3"/>
        <v>-18.072000000000003</v>
      </c>
      <c r="AF20" s="403"/>
      <c r="AG20" s="407">
        <f>SUM(AG21:AG28)</f>
        <v>-37.82</v>
      </c>
      <c r="AH20" s="408">
        <f>SUM(AH21:AH28)</f>
        <v>27.178999999999998</v>
      </c>
      <c r="AI20" s="408">
        <f>SUM(AI21:AI28)</f>
        <v>7.2400000000000038</v>
      </c>
      <c r="AJ20" s="408">
        <f>SUM(AJ21:AJ28)</f>
        <v>-31.396000000000001</v>
      </c>
      <c r="AK20" s="60">
        <f t="shared" si="4"/>
        <v>-34.796999999999997</v>
      </c>
      <c r="AL20" s="403"/>
      <c r="AM20" s="407">
        <f>SUM(AM21:AM28)</f>
        <v>-34.808999999999997</v>
      </c>
      <c r="AN20" s="408">
        <f>SUM(AN21:AN28)</f>
        <v>-17.705000000000005</v>
      </c>
      <c r="AO20" s="408">
        <f>SUM(AO21:AO28)</f>
        <v>26.295000000000005</v>
      </c>
      <c r="AP20" s="408">
        <f>SUM(AP21:AP28)</f>
        <v>10.32</v>
      </c>
      <c r="AQ20" s="60">
        <f t="shared" si="5"/>
        <v>-15.898999999999997</v>
      </c>
      <c r="AR20" s="403"/>
      <c r="AS20" s="407">
        <f>SUM(AS21:AS28)</f>
        <v>-16.094999999999999</v>
      </c>
      <c r="AT20" s="408">
        <f>SUM(AT21:AT28)</f>
        <v>-18.585000000000001</v>
      </c>
      <c r="AU20" s="408">
        <f>SUM(AU21:AU28)</f>
        <v>-12.175000000000001</v>
      </c>
      <c r="AV20" s="408">
        <f>SUM(AV21:AV28)</f>
        <v>3.9379999999999988</v>
      </c>
      <c r="AW20" s="60">
        <f>SUM(AS20:AV20)</f>
        <v>-42.917000000000002</v>
      </c>
      <c r="AX20" s="403"/>
      <c r="AY20" s="407">
        <f>SUM(AY21:AY28)</f>
        <v>-54.287999999999997</v>
      </c>
      <c r="AZ20" s="408">
        <f>SUM(AZ21:AZ28)</f>
        <v>-15.081999999999999</v>
      </c>
      <c r="BA20" s="408">
        <f>SUM(BA21:BA28)</f>
        <v>17.620999999999999</v>
      </c>
      <c r="BB20" s="408">
        <f>SUM(BB21:BB28)</f>
        <v>-32.119</v>
      </c>
      <c r="BC20" s="60">
        <f t="shared" si="7"/>
        <v>-83.867999999999995</v>
      </c>
      <c r="BD20" s="49"/>
      <c r="BE20" s="407">
        <f>SUM(BE21:BE28)</f>
        <v>-13.270999999999999</v>
      </c>
      <c r="BF20" s="408">
        <f>SUM(BF21:BF28)</f>
        <v>-5.1319999999999988</v>
      </c>
      <c r="BG20" s="408">
        <f>SUM(BG21:BG28)</f>
        <v>9.7399999999999949</v>
      </c>
      <c r="BH20" s="408">
        <f>SUM(BH21:BH28)</f>
        <v>14.328000000000007</v>
      </c>
      <c r="BI20" s="60">
        <f t="shared" si="8"/>
        <v>5.6650000000000027</v>
      </c>
      <c r="BJ20" s="49"/>
      <c r="BK20" s="407">
        <f>SUM(BK21:BK28)</f>
        <v>-34.283999999999999</v>
      </c>
      <c r="BL20" s="408">
        <f>SUM(BL21:BL28)</f>
        <v>-17.076999999999998</v>
      </c>
      <c r="BM20" s="408">
        <f>SUM(BM21:BM28)</f>
        <v>-55.981000000000002</v>
      </c>
      <c r="BN20" s="1089">
        <f>SUM(BN21:BN28)</f>
        <v>28.533000000000001</v>
      </c>
      <c r="BO20" s="60">
        <f t="shared" si="13"/>
        <v>-78.808999999999997</v>
      </c>
      <c r="BP20" s="49"/>
      <c r="BQ20" s="407">
        <f>SUM(BQ21:BQ28)</f>
        <v>-35.655999999999999</v>
      </c>
      <c r="BR20" s="408">
        <f>SUM(BR21:BR28)</f>
        <v>-26.798000000000005</v>
      </c>
      <c r="BS20" s="408">
        <f>SUM(BS21:BS28)</f>
        <v>-12.704000000000001</v>
      </c>
      <c r="BT20" s="1089">
        <f>SUM(BT21:BT28)</f>
        <v>50.869</v>
      </c>
      <c r="BU20" s="60">
        <f t="shared" si="14"/>
        <v>-24.289000000000016</v>
      </c>
      <c r="BV20" s="49"/>
      <c r="BW20" s="407">
        <f>SUM(BW21:BW28)</f>
        <v>-21.603999999999999</v>
      </c>
      <c r="BX20" s="408">
        <f>SUM(BX21:BX28)</f>
        <v>21.668999999999997</v>
      </c>
      <c r="BY20" s="408">
        <f>SUM(BY21:BY28)</f>
        <v>-8.3859999999999957</v>
      </c>
      <c r="BZ20" s="1089">
        <f>SUM(BZ21:BZ28)</f>
        <v>18.608000000000001</v>
      </c>
      <c r="CA20" s="60">
        <f t="shared" si="15"/>
        <v>10.287000000000003</v>
      </c>
      <c r="CB20" s="49"/>
      <c r="CC20" s="407">
        <f>SUM(CC21:CC28)</f>
        <v>-24.710999999999999</v>
      </c>
      <c r="CD20" s="408">
        <f>SUM(CD21:CD28)</f>
        <v>-15.905000000000001</v>
      </c>
      <c r="CE20" s="408">
        <f>SUM(CE21:CE28)</f>
        <v>-30.967999999999996</v>
      </c>
      <c r="CF20" s="1089">
        <f>SUM(CF21:CF28)</f>
        <v>-16.272000000000002</v>
      </c>
      <c r="CG20" s="60">
        <f>SUM(CC20:CF20)</f>
        <v>-87.856000000000009</v>
      </c>
      <c r="CH20" s="49"/>
      <c r="CI20" s="407">
        <f>SUM(CI21:CI28)</f>
        <v>74.915061970964288</v>
      </c>
      <c r="CJ20" s="408">
        <f>SUM(CJ21:CJ28)</f>
        <v>-21.01715558073284</v>
      </c>
      <c r="CK20" s="408">
        <f>SUM(CK21:CK28)</f>
        <v>-59.217632693110652</v>
      </c>
      <c r="CL20" s="408">
        <f>SUM(CL21:CL28)</f>
        <v>16.46649451247491</v>
      </c>
      <c r="CM20" s="60">
        <f t="shared" si="19"/>
        <v>11.146768209595706</v>
      </c>
      <c r="CN20" s="49"/>
      <c r="CO20" s="407">
        <f>SUM(CO21:CO28)</f>
        <v>46.584677644095763</v>
      </c>
      <c r="CP20" s="408">
        <f>SUM(CP21:CP28)</f>
        <v>-6.9638739917389429</v>
      </c>
      <c r="CQ20" s="408">
        <f>SUM(CQ21:CQ28)</f>
        <v>-71.673958504315777</v>
      </c>
      <c r="CR20" s="408">
        <f>SUM(CR21:CR28)</f>
        <v>10.170892274962263</v>
      </c>
      <c r="CS20" s="60">
        <f t="shared" si="17"/>
        <v>-21.882262576996695</v>
      </c>
      <c r="CT20" s="49"/>
      <c r="CU20" s="407">
        <f>SUM(CU21:CU28)</f>
        <v>55.882347074138949</v>
      </c>
      <c r="CV20" s="408">
        <f>SUM(CV21:CV28)</f>
        <v>-5.3290829006520042</v>
      </c>
      <c r="CW20" s="408">
        <f>SUM(CW21:CW28)</f>
        <v>-88.028148858284922</v>
      </c>
      <c r="CX20" s="408">
        <f>SUM(CX21:CX28)</f>
        <v>8.2475108866389775</v>
      </c>
      <c r="CY20" s="60">
        <f t="shared" si="18"/>
        <v>-29.227373798159</v>
      </c>
      <c r="CZ20" s="255"/>
      <c r="DA20" s="255"/>
      <c r="DB20" s="214"/>
      <c r="DC20"/>
      <c r="DD20"/>
      <c r="DE20"/>
      <c r="DF20"/>
      <c r="DG20"/>
      <c r="DH20"/>
    </row>
    <row r="21" spans="1:112" ht="11.25" hidden="1" customHeight="1" outlineLevel="1" x14ac:dyDescent="0.2">
      <c r="A21" s="432" t="s">
        <v>60</v>
      </c>
      <c r="B21" s="48"/>
      <c r="C21" s="59"/>
      <c r="D21" s="48"/>
      <c r="E21" s="48"/>
      <c r="F21" s="48"/>
      <c r="G21" s="331">
        <v>-4.1929999999999996</v>
      </c>
      <c r="H21" s="122"/>
      <c r="I21" s="53">
        <v>0.68300000000000005</v>
      </c>
      <c r="J21" s="122">
        <f>-3.025-I21</f>
        <v>-3.7080000000000002</v>
      </c>
      <c r="K21" s="122">
        <f>0.374-I21-J21</f>
        <v>3.399</v>
      </c>
      <c r="L21" s="51">
        <f>-0.131-I21-J21-K21</f>
        <v>-0.50499999999999989</v>
      </c>
      <c r="M21" s="304">
        <f t="shared" si="0"/>
        <v>-0.13100000000000023</v>
      </c>
      <c r="N21" s="122"/>
      <c r="O21" s="53">
        <v>-3.0739999999999998</v>
      </c>
      <c r="P21" s="122">
        <f>-0.012-O21</f>
        <v>3.0619999999999998</v>
      </c>
      <c r="Q21" s="122">
        <f>-3.471-O21-P21</f>
        <v>-3.4590000000000001</v>
      </c>
      <c r="R21" s="51">
        <f>-3.621-O21-P21-Q21</f>
        <v>-0.14999999999999991</v>
      </c>
      <c r="S21" s="304">
        <f t="shared" si="1"/>
        <v>-3.621</v>
      </c>
      <c r="T21" s="122"/>
      <c r="U21" s="53">
        <v>-5.069</v>
      </c>
      <c r="V21" s="122">
        <f>-10.577-U21</f>
        <v>-5.508</v>
      </c>
      <c r="W21" s="122">
        <f>-13.681-U21-V21</f>
        <v>-3.1039999999999983</v>
      </c>
      <c r="X21" s="51">
        <f>-20.806-U21-V21-W21</f>
        <v>-7.1250000000000044</v>
      </c>
      <c r="Y21" s="304">
        <f t="shared" si="2"/>
        <v>-20.806000000000001</v>
      </c>
      <c r="Z21" s="122"/>
      <c r="AA21" s="53">
        <v>-13.000999999999999</v>
      </c>
      <c r="AB21" s="122">
        <f>-7.841-AA21</f>
        <v>5.1599999999999993</v>
      </c>
      <c r="AC21" s="122">
        <f>-14.209-AA21-AB21</f>
        <v>-6.3679999999999994</v>
      </c>
      <c r="AD21" s="51">
        <f>-19.078-AA21-AB21-AC21</f>
        <v>-4.8689999999999989</v>
      </c>
      <c r="AE21" s="304">
        <f t="shared" si="3"/>
        <v>-19.077999999999999</v>
      </c>
      <c r="AF21" s="122"/>
      <c r="AG21" s="53">
        <v>-4.9459999999999997</v>
      </c>
      <c r="AH21" s="122">
        <f>-6.677-AG21</f>
        <v>-1.7309999999999999</v>
      </c>
      <c r="AI21" s="122">
        <f>-11.775-AG21-AH21</f>
        <v>-5.0980000000000008</v>
      </c>
      <c r="AJ21" s="51">
        <f>-25.213-AG21-AH21-AI21</f>
        <v>-13.438000000000001</v>
      </c>
      <c r="AK21" s="304">
        <f t="shared" si="4"/>
        <v>-25.213000000000001</v>
      </c>
      <c r="AL21" s="122"/>
      <c r="AM21" s="53">
        <v>0.29299999999999998</v>
      </c>
      <c r="AN21" s="122">
        <f>-5.613-AM21</f>
        <v>-5.9060000000000006</v>
      </c>
      <c r="AO21" s="122">
        <f>-4.891-AM21-AN21</f>
        <v>0.72200000000000042</v>
      </c>
      <c r="AP21" s="51">
        <f>-6.884-AM21-AN21-AO21</f>
        <v>-1.9930000000000003</v>
      </c>
      <c r="AQ21" s="304">
        <f t="shared" si="5"/>
        <v>-6.8840000000000003</v>
      </c>
      <c r="AR21" s="122"/>
      <c r="AS21" s="53">
        <v>-0.47899999999999998</v>
      </c>
      <c r="AT21" s="122">
        <f>-4.557-AS21</f>
        <v>-4.0780000000000003</v>
      </c>
      <c r="AU21" s="122">
        <f>-8.146-AS21-AT21</f>
        <v>-3.5890000000000004</v>
      </c>
      <c r="AV21" s="51">
        <f>-28.203-AS21-AT21-AU21</f>
        <v>-20.057000000000002</v>
      </c>
      <c r="AW21" s="6">
        <f t="shared" si="6"/>
        <v>-28.203000000000003</v>
      </c>
      <c r="AX21" s="122"/>
      <c r="AY21" s="53">
        <v>2.3460000000000001</v>
      </c>
      <c r="AZ21" s="122">
        <f>4.684-AY21</f>
        <v>2.3380000000000001</v>
      </c>
      <c r="BA21" s="122">
        <f>4.815-AZ21-AY21</f>
        <v>0.13100000000000023</v>
      </c>
      <c r="BB21" s="51">
        <f>-14.289-SUM(AY21:BA21)</f>
        <v>-19.103999999999999</v>
      </c>
      <c r="BC21" s="6">
        <f t="shared" ref="BC21:BC28" si="20">SUM(AY21:BB21)</f>
        <v>-14.288999999999998</v>
      </c>
      <c r="BD21" s="28"/>
      <c r="BE21" s="53">
        <v>1.0249999999999999</v>
      </c>
      <c r="BF21" s="122">
        <f>-2.599-BE21</f>
        <v>-3.6240000000000001</v>
      </c>
      <c r="BG21" s="122">
        <f>15.926-SUM(BE21:BF21)</f>
        <v>18.524999999999999</v>
      </c>
      <c r="BH21" s="51">
        <f>-14.921-SUM(BE21:BG21)</f>
        <v>-30.846999999999998</v>
      </c>
      <c r="BI21" s="6">
        <f t="shared" ref="BI21:BI28" si="21">SUM(BE21:BH21)</f>
        <v>-14.920999999999999</v>
      </c>
      <c r="BJ21" s="28"/>
      <c r="BK21" s="53">
        <v>15.12</v>
      </c>
      <c r="BL21" s="1062">
        <f>13.095-BK21</f>
        <v>-2.0249999999999986</v>
      </c>
      <c r="BM21" s="1062">
        <f>-7.081-SUM(BK21:BL21)</f>
        <v>-20.176000000000002</v>
      </c>
      <c r="BN21" s="1062">
        <f>-16.561-SUM(BK21:BM21)</f>
        <v>-9.4799999999999986</v>
      </c>
      <c r="BO21" s="6">
        <f t="shared" ref="BO21:BO28" si="22">SUM(BK21:BN21)</f>
        <v>-16.561</v>
      </c>
      <c r="BP21" s="28"/>
      <c r="BQ21" s="53">
        <v>20.667000000000002</v>
      </c>
      <c r="BR21" s="1062">
        <f>9.892-BQ21</f>
        <v>-10.775000000000002</v>
      </c>
      <c r="BS21" s="1063">
        <f>5.221-SUM(BQ21:BR21)</f>
        <v>-4.6709999999999994</v>
      </c>
      <c r="BT21" s="1063">
        <f>-24.764-SUM(BQ21:BS21)</f>
        <v>-29.984999999999999</v>
      </c>
      <c r="BU21" s="6">
        <f t="shared" si="14"/>
        <v>-24.763999999999999</v>
      </c>
      <c r="BV21" s="28"/>
      <c r="BW21" s="53">
        <v>22.626000000000001</v>
      </c>
      <c r="BX21" s="1062">
        <f>25.72-BW21</f>
        <v>3.0939999999999976</v>
      </c>
      <c r="BY21" s="1062">
        <f>19.05-SUM(BW21:BX21)</f>
        <v>-6.6699999999999982</v>
      </c>
      <c r="BZ21" s="1063">
        <f>-12.238-SUM(BW21:BY21)</f>
        <v>-31.288</v>
      </c>
      <c r="CA21" s="6">
        <f t="shared" si="15"/>
        <v>-12.238</v>
      </c>
      <c r="CB21" s="28"/>
      <c r="CC21" s="53">
        <v>34.28</v>
      </c>
      <c r="CD21" s="1062">
        <f>13.48-CC21</f>
        <v>-20.8</v>
      </c>
      <c r="CE21" s="1062">
        <f>-0.208-SUM(CC21:CD21)</f>
        <v>-13.688000000000001</v>
      </c>
      <c r="CF21" s="1063">
        <f>-34.165-SUM(CC21:CE21)</f>
        <v>-33.957000000000001</v>
      </c>
      <c r="CG21" s="6">
        <f t="shared" si="16"/>
        <v>-34.164999999999999</v>
      </c>
      <c r="CH21" s="28"/>
      <c r="CI21" s="19">
        <f>BS!CG12-BS!CI12-CI17</f>
        <v>58.196521389744078</v>
      </c>
      <c r="CJ21" s="28">
        <f>BS!CI12-BS!CJ12-CJ17</f>
        <v>-31.074408329334631</v>
      </c>
      <c r="CK21" s="28">
        <f>BS!CJ12-BS!CK12-CK17</f>
        <v>-19.767324534969305</v>
      </c>
      <c r="CL21" s="28">
        <f>BS!CK12-BS!CL12-CL17</f>
        <v>-53.077521002117351</v>
      </c>
      <c r="CM21" s="6">
        <f t="shared" si="19"/>
        <v>-45.722732476677209</v>
      </c>
      <c r="CN21" s="28"/>
      <c r="CO21" s="19">
        <f>BS!CM12-BS!CO12-CO17</f>
        <v>82.3712727148922</v>
      </c>
      <c r="CP21" s="28">
        <f>BS!CO12-BS!CP12-CP17</f>
        <v>-23.148817714475342</v>
      </c>
      <c r="CQ21" s="28">
        <f>BS!CP12-BS!CQ12-CQ17</f>
        <v>-20.684210628452774</v>
      </c>
      <c r="CR21" s="28">
        <f>BS!CQ12-BS!CR12-CR17</f>
        <v>-66.611440901764752</v>
      </c>
      <c r="CS21" s="6">
        <f t="shared" si="17"/>
        <v>-28.073196529800668</v>
      </c>
      <c r="CT21" s="28"/>
      <c r="CU21" s="19">
        <f>BS!CS12-BS!CU12-CU17</f>
        <v>88.320539247754311</v>
      </c>
      <c r="CV21" s="28">
        <f>BS!CU12-BS!CV12-CV17</f>
        <v>-22.684690230072022</v>
      </c>
      <c r="CW21" s="28">
        <f>BS!CV12-BS!CW12-CW17</f>
        <v>-26.929193235382456</v>
      </c>
      <c r="CX21" s="28">
        <f>BS!CW12-BS!CX12-CX17</f>
        <v>-72.284065533324679</v>
      </c>
      <c r="CY21" s="6">
        <f t="shared" si="18"/>
        <v>-33.577409751024845</v>
      </c>
      <c r="CZ21" s="20"/>
      <c r="DA21" s="20"/>
      <c r="DB21" s="48"/>
    </row>
    <row r="22" spans="1:112" ht="11.25" hidden="1" customHeight="1" outlineLevel="1" x14ac:dyDescent="0.2">
      <c r="A22" s="432" t="s">
        <v>26</v>
      </c>
      <c r="B22" s="48"/>
      <c r="C22" s="59"/>
      <c r="D22" s="48"/>
      <c r="E22" s="48"/>
      <c r="F22" s="48"/>
      <c r="G22" s="331">
        <v>-0.36799999999999999</v>
      </c>
      <c r="H22" s="122"/>
      <c r="I22" s="53">
        <v>0</v>
      </c>
      <c r="J22" s="122">
        <f>0.017-I22</f>
        <v>1.7000000000000001E-2</v>
      </c>
      <c r="K22" s="122">
        <f>2.363-I22-J22</f>
        <v>2.3460000000000001</v>
      </c>
      <c r="L22" s="51">
        <f>1.897-I22-J22-K22</f>
        <v>-0.46599999999999997</v>
      </c>
      <c r="M22" s="304">
        <f t="shared" si="0"/>
        <v>1.897</v>
      </c>
      <c r="N22" s="122"/>
      <c r="O22" s="53">
        <v>-0.159</v>
      </c>
      <c r="P22" s="122">
        <f>-0.172-O22</f>
        <v>-1.2999999999999984E-2</v>
      </c>
      <c r="Q22" s="122">
        <f>-0.148-O22-P22</f>
        <v>2.3999999999999994E-2</v>
      </c>
      <c r="R22" s="51">
        <f>-5.385-O22-P22-Q22</f>
        <v>-5.2370000000000001</v>
      </c>
      <c r="S22" s="304">
        <f t="shared" si="1"/>
        <v>-5.3849999999999998</v>
      </c>
      <c r="T22" s="122"/>
      <c r="U22" s="53">
        <v>-2.7410000000000001</v>
      </c>
      <c r="V22" s="122">
        <f>0-U22</f>
        <v>2.7410000000000001</v>
      </c>
      <c r="W22" s="122">
        <f>0-U22-V22</f>
        <v>0</v>
      </c>
      <c r="X22" s="51">
        <f>-7.598-U22-V22-W22</f>
        <v>-7.597999999999999</v>
      </c>
      <c r="Y22" s="304">
        <f t="shared" si="2"/>
        <v>-7.597999999999999</v>
      </c>
      <c r="Z22" s="122"/>
      <c r="AA22" s="53">
        <v>0</v>
      </c>
      <c r="AB22" s="122">
        <v>0</v>
      </c>
      <c r="AC22" s="122">
        <v>0</v>
      </c>
      <c r="AD22" s="51">
        <f>4.705-AA22-AB22-AC22</f>
        <v>4.7050000000000001</v>
      </c>
      <c r="AE22" s="304">
        <f t="shared" si="3"/>
        <v>4.7050000000000001</v>
      </c>
      <c r="AF22" s="122"/>
      <c r="AG22" s="53">
        <v>0</v>
      </c>
      <c r="AH22" s="122">
        <v>0</v>
      </c>
      <c r="AI22" s="122">
        <v>0</v>
      </c>
      <c r="AJ22" s="51">
        <f>12.473-AG22-AH22-AI22</f>
        <v>12.473000000000001</v>
      </c>
      <c r="AK22" s="304">
        <f t="shared" si="4"/>
        <v>12.473000000000001</v>
      </c>
      <c r="AL22" s="122"/>
      <c r="AM22" s="53">
        <v>0</v>
      </c>
      <c r="AN22" s="122">
        <v>0</v>
      </c>
      <c r="AO22" s="122">
        <v>0</v>
      </c>
      <c r="AP22" s="51">
        <f>13.639-AM22-AN22-AO22</f>
        <v>13.638999999999999</v>
      </c>
      <c r="AQ22" s="304">
        <f t="shared" si="5"/>
        <v>13.638999999999999</v>
      </c>
      <c r="AR22" s="122"/>
      <c r="AS22" s="53">
        <v>0</v>
      </c>
      <c r="AT22" s="122">
        <v>0</v>
      </c>
      <c r="AU22" s="122">
        <v>0</v>
      </c>
      <c r="AV22" s="51">
        <f>-6.244-AS22-AT22-AU22</f>
        <v>-6.2439999999999998</v>
      </c>
      <c r="AW22" s="6">
        <f t="shared" si="6"/>
        <v>-6.2439999999999998</v>
      </c>
      <c r="AX22" s="122"/>
      <c r="AY22" s="53">
        <v>0</v>
      </c>
      <c r="AZ22" s="122">
        <v>0</v>
      </c>
      <c r="BA22" s="122">
        <v>0</v>
      </c>
      <c r="BB22" s="51">
        <f>-35.328-SUM(AY22:BA22)</f>
        <v>-35.328000000000003</v>
      </c>
      <c r="BC22" s="6">
        <f t="shared" si="20"/>
        <v>-35.328000000000003</v>
      </c>
      <c r="BD22" s="28"/>
      <c r="BE22" s="53">
        <v>0</v>
      </c>
      <c r="BF22" s="122">
        <f t="shared" ref="BF22:BF27" si="23">0-BE22</f>
        <v>0</v>
      </c>
      <c r="BG22" s="122">
        <f>0-SUM(BE22:BF22)</f>
        <v>0</v>
      </c>
      <c r="BH22" s="51">
        <f>23.829-SUM(BE22:BG22)</f>
        <v>23.829000000000001</v>
      </c>
      <c r="BI22" s="6">
        <f t="shared" si="21"/>
        <v>23.829000000000001</v>
      </c>
      <c r="BJ22" s="28"/>
      <c r="BK22" s="53">
        <v>0</v>
      </c>
      <c r="BL22" s="1062">
        <f>0-BK22</f>
        <v>0</v>
      </c>
      <c r="BM22" s="1062">
        <f>0-SUM(BK22:BL22)</f>
        <v>0</v>
      </c>
      <c r="BN22" s="1062">
        <f>16.034-SUM(BK22:BM22)</f>
        <v>16.033999999999999</v>
      </c>
      <c r="BO22" s="6">
        <f t="shared" si="22"/>
        <v>16.033999999999999</v>
      </c>
      <c r="BP22" s="28"/>
      <c r="BQ22" s="53">
        <v>0</v>
      </c>
      <c r="BR22" s="1062">
        <v>0</v>
      </c>
      <c r="BS22" s="1063">
        <f>0-SUM(BQ22:BR22)</f>
        <v>0</v>
      </c>
      <c r="BT22" s="1063">
        <f>0-SUM(BQ22:BS22)</f>
        <v>0</v>
      </c>
      <c r="BU22" s="6">
        <f t="shared" si="14"/>
        <v>0</v>
      </c>
      <c r="BV22" s="28"/>
      <c r="BW22" s="53">
        <v>0</v>
      </c>
      <c r="BX22" s="1062">
        <f>0-BW22</f>
        <v>0</v>
      </c>
      <c r="BY22" s="1062">
        <f>0-SUM(BW22:BX22)</f>
        <v>0</v>
      </c>
      <c r="BZ22" s="1063">
        <f t="shared" si="9"/>
        <v>0</v>
      </c>
      <c r="CA22" s="6">
        <f t="shared" si="15"/>
        <v>0</v>
      </c>
      <c r="CB22" s="28"/>
      <c r="CC22" s="53">
        <v>0</v>
      </c>
      <c r="CD22" s="1062">
        <f t="shared" si="10"/>
        <v>0</v>
      </c>
      <c r="CE22" s="1062">
        <f t="shared" si="11"/>
        <v>0</v>
      </c>
      <c r="CF22" s="1063">
        <f t="shared" si="12"/>
        <v>0</v>
      </c>
      <c r="CG22" s="6">
        <f t="shared" si="16"/>
        <v>0</v>
      </c>
      <c r="CH22" s="28"/>
      <c r="CI22" s="19">
        <f>BS!CG13-BS!CI13</f>
        <v>0</v>
      </c>
      <c r="CJ22" s="28">
        <f>BS!CI13-BS!CJ13</f>
        <v>0</v>
      </c>
      <c r="CK22" s="28">
        <f>BS!CJ13-BS!CK13</f>
        <v>0</v>
      </c>
      <c r="CL22" s="28">
        <f>BS!CK13-BS!CL13</f>
        <v>0</v>
      </c>
      <c r="CM22" s="6">
        <f t="shared" si="19"/>
        <v>0</v>
      </c>
      <c r="CN22" s="28"/>
      <c r="CO22" s="19">
        <f>BS!CM13-BS!CO13</f>
        <v>0</v>
      </c>
      <c r="CP22" s="28">
        <f>BS!CO13-BS!CP13</f>
        <v>0</v>
      </c>
      <c r="CQ22" s="28">
        <f>BS!CP13-BS!CQ13</f>
        <v>0</v>
      </c>
      <c r="CR22" s="28">
        <f>BS!CQ13-BS!CR13</f>
        <v>0</v>
      </c>
      <c r="CS22" s="6">
        <f t="shared" si="17"/>
        <v>0</v>
      </c>
      <c r="CT22" s="28"/>
      <c r="CU22" s="19">
        <f>BS!CS13-BS!CU13</f>
        <v>0</v>
      </c>
      <c r="CV22" s="28">
        <f>BS!CU13-BS!CV13</f>
        <v>0</v>
      </c>
      <c r="CW22" s="28">
        <f>BS!CV13-BS!CW13</f>
        <v>0</v>
      </c>
      <c r="CX22" s="28">
        <f>BS!CW13-BS!CX13</f>
        <v>0</v>
      </c>
      <c r="CY22" s="6">
        <f t="shared" si="18"/>
        <v>0</v>
      </c>
      <c r="CZ22" s="20"/>
      <c r="DA22" s="20"/>
      <c r="DB22" s="48"/>
    </row>
    <row r="23" spans="1:112" ht="11.25" hidden="1" customHeight="1" outlineLevel="1" x14ac:dyDescent="0.2">
      <c r="A23" s="432" t="s">
        <v>61</v>
      </c>
      <c r="B23" s="48"/>
      <c r="C23" s="59"/>
      <c r="D23" s="48"/>
      <c r="E23" s="48"/>
      <c r="F23" s="48"/>
      <c r="G23" s="331">
        <v>2.0190000000000001</v>
      </c>
      <c r="H23" s="122"/>
      <c r="I23" s="53">
        <v>3.8130000000000002</v>
      </c>
      <c r="J23" s="122">
        <f>7.433-I23</f>
        <v>3.6199999999999997</v>
      </c>
      <c r="K23" s="122">
        <f>6.411-I23-J23</f>
        <v>-1.0220000000000002</v>
      </c>
      <c r="L23" s="51">
        <f>3.764-I23-J23-K23</f>
        <v>-2.6469999999999998</v>
      </c>
      <c r="M23" s="304">
        <f t="shared" si="0"/>
        <v>3.7639999999999998</v>
      </c>
      <c r="N23" s="122"/>
      <c r="O23" s="53">
        <v>-4.2000000000000003E-2</v>
      </c>
      <c r="P23" s="122">
        <f>-0.827-O23</f>
        <v>-0.78499999999999992</v>
      </c>
      <c r="Q23" s="122">
        <f>-2.229-O23-P23</f>
        <v>-1.4020000000000004</v>
      </c>
      <c r="R23" s="51">
        <f>-4.202-O23-P23-Q23</f>
        <v>-1.9729999999999996</v>
      </c>
      <c r="S23" s="304">
        <f t="shared" si="1"/>
        <v>-4.202</v>
      </c>
      <c r="T23" s="122"/>
      <c r="U23" s="53">
        <v>-2.1589999999999998</v>
      </c>
      <c r="V23" s="122">
        <f>-2.783-U23</f>
        <v>-0.62400000000000011</v>
      </c>
      <c r="W23" s="122">
        <f>-7.209-U23-V23</f>
        <v>-4.4260000000000002</v>
      </c>
      <c r="X23" s="51">
        <f>-8.738-U23-V23-W23</f>
        <v>-1.5289999999999999</v>
      </c>
      <c r="Y23" s="304">
        <f t="shared" si="2"/>
        <v>-8.7379999999999995</v>
      </c>
      <c r="Z23" s="122"/>
      <c r="AA23" s="53">
        <v>-9.5399999999999991</v>
      </c>
      <c r="AB23" s="122">
        <f>-20.265-AA23</f>
        <v>-10.725000000000001</v>
      </c>
      <c r="AC23" s="122">
        <f>-33.026-AA23-AB23</f>
        <v>-12.761000000000003</v>
      </c>
      <c r="AD23" s="51">
        <f>-30.371-AA23-AB23-AC23</f>
        <v>2.6550000000000047</v>
      </c>
      <c r="AE23" s="304">
        <f t="shared" si="3"/>
        <v>-30.370999999999999</v>
      </c>
      <c r="AF23" s="122"/>
      <c r="AG23" s="53">
        <v>-5.0659999999999998</v>
      </c>
      <c r="AH23" s="122">
        <f>-10.605-AG23</f>
        <v>-5.5390000000000006</v>
      </c>
      <c r="AI23" s="122">
        <f>-17.857-AG23-AH23</f>
        <v>-7.2519999999999998</v>
      </c>
      <c r="AJ23" s="51">
        <f>-21.534-AG23-AH23-AI23</f>
        <v>-3.6769999999999987</v>
      </c>
      <c r="AK23" s="304">
        <f t="shared" si="4"/>
        <v>-21.533999999999999</v>
      </c>
      <c r="AL23" s="122"/>
      <c r="AM23" s="53">
        <v>1.2609999999999999</v>
      </c>
      <c r="AN23" s="122">
        <f>0.967-AM23</f>
        <v>-0.29399999999999993</v>
      </c>
      <c r="AO23" s="122">
        <f>-2.342-AM23-AN23</f>
        <v>-3.3089999999999997</v>
      </c>
      <c r="AP23" s="51">
        <f>2.348-AM23-AN23-AO23</f>
        <v>4.6899999999999995</v>
      </c>
      <c r="AQ23" s="304">
        <f t="shared" si="5"/>
        <v>2.3479999999999999</v>
      </c>
      <c r="AR23" s="122"/>
      <c r="AS23" s="53">
        <v>-4.0369999999999999</v>
      </c>
      <c r="AT23" s="122">
        <f>-11.994-AS23</f>
        <v>-7.9569999999999999</v>
      </c>
      <c r="AU23" s="122">
        <f>-25.503-AS23-AT23</f>
        <v>-13.509</v>
      </c>
      <c r="AV23" s="51">
        <f>-15.945-AS23-AT23-AU23</f>
        <v>9.5579999999999998</v>
      </c>
      <c r="AW23" s="6">
        <f t="shared" si="6"/>
        <v>-15.945</v>
      </c>
      <c r="AX23" s="122"/>
      <c r="AY23" s="53">
        <v>-3.4609999999999999</v>
      </c>
      <c r="AZ23" s="122">
        <f>-25.927-AY23</f>
        <v>-22.466000000000001</v>
      </c>
      <c r="BA23" s="122">
        <f>-22.172-AZ23-AY23</f>
        <v>3.7550000000000003</v>
      </c>
      <c r="BB23" s="51">
        <f>-20.376-SUM(AY23:BA23)</f>
        <v>1.7959999999999994</v>
      </c>
      <c r="BC23" s="6">
        <f t="shared" si="20"/>
        <v>-20.376000000000001</v>
      </c>
      <c r="BD23" s="28"/>
      <c r="BE23" s="53">
        <v>-2.871</v>
      </c>
      <c r="BF23" s="122">
        <f>-18.599-BE23</f>
        <v>-15.728</v>
      </c>
      <c r="BG23" s="122">
        <f>-28.73-SUM(BE23:BF23)</f>
        <v>-10.131</v>
      </c>
      <c r="BH23" s="51">
        <f>-17.499-SUM(BE23:BG23)</f>
        <v>11.231000000000002</v>
      </c>
      <c r="BI23" s="6">
        <f t="shared" si="21"/>
        <v>-17.498999999999999</v>
      </c>
      <c r="BJ23" s="28"/>
      <c r="BK23" s="53">
        <v>-7.2629999999999999</v>
      </c>
      <c r="BL23" s="1062">
        <f>-14.167-BK23</f>
        <v>-6.9039999999999999</v>
      </c>
      <c r="BM23" s="1062">
        <f>-26.904-SUM(BK23:BL23)</f>
        <v>-12.737</v>
      </c>
      <c r="BN23" s="1062">
        <f>-41.792-SUM(BK23:BM23)</f>
        <v>-14.888000000000002</v>
      </c>
      <c r="BO23" s="6">
        <f t="shared" si="22"/>
        <v>-41.792000000000002</v>
      </c>
      <c r="BP23" s="28"/>
      <c r="BQ23" s="53">
        <v>-17.189</v>
      </c>
      <c r="BR23" s="1062">
        <f>-18.732-BQ23</f>
        <v>-1.5429999999999993</v>
      </c>
      <c r="BS23" s="1063">
        <f>-24.992-SUM(BQ23:BR23)</f>
        <v>-6.2600000000000016</v>
      </c>
      <c r="BT23" s="1063">
        <f>-33.194-SUM(BQ23:BS23)</f>
        <v>-8.2020000000000017</v>
      </c>
      <c r="BU23" s="6">
        <f t="shared" si="14"/>
        <v>-33.194000000000003</v>
      </c>
      <c r="BV23" s="28"/>
      <c r="BW23" s="53">
        <v>-8.702</v>
      </c>
      <c r="BX23" s="1062">
        <f>-5.805-BW23</f>
        <v>2.8970000000000002</v>
      </c>
      <c r="BY23" s="1062">
        <f>-13.602-SUM(BW23:BX23)</f>
        <v>-7.7970000000000006</v>
      </c>
      <c r="BZ23" s="1063">
        <f>-20.346-SUM(BW23:BY23)</f>
        <v>-6.7439999999999998</v>
      </c>
      <c r="CA23" s="6">
        <f t="shared" si="15"/>
        <v>-20.346</v>
      </c>
      <c r="CB23" s="28"/>
      <c r="CC23" s="53">
        <v>-8.7780000000000005</v>
      </c>
      <c r="CD23" s="1062">
        <f>-18.75-CC23</f>
        <v>-9.9719999999999995</v>
      </c>
      <c r="CE23" s="1062">
        <f>-23.851-SUM(CC23:CD23)</f>
        <v>-5.1009999999999991</v>
      </c>
      <c r="CF23" s="1063">
        <f>-21.633-SUM(CC23:CE23)</f>
        <v>2.218</v>
      </c>
      <c r="CG23" s="6">
        <f t="shared" si="16"/>
        <v>-21.632999999999999</v>
      </c>
      <c r="CH23" s="28"/>
      <c r="CI23" s="19">
        <f>BS!CG14-BS!CI14</f>
        <v>8.4161091450323511</v>
      </c>
      <c r="CJ23" s="28">
        <f>BS!CI14-BS!CJ14</f>
        <v>-12.848967127167867</v>
      </c>
      <c r="CK23" s="28">
        <f>BS!CJ14-BS!CK14</f>
        <v>-17.481059506548689</v>
      </c>
      <c r="CL23" s="28">
        <f>BS!CK14-BS!CL14</f>
        <v>6.6870053452923912</v>
      </c>
      <c r="CM23" s="6">
        <f t="shared" si="19"/>
        <v>-15.226912143391814</v>
      </c>
      <c r="CN23" s="28"/>
      <c r="CO23" s="19">
        <f>BS!CM14-BS!CO14</f>
        <v>13.544845937405796</v>
      </c>
      <c r="CP23" s="28">
        <f>BS!CO14-BS!CP14</f>
        <v>-7.9644751989135898</v>
      </c>
      <c r="CQ23" s="28">
        <f>BS!CP14-BS!CQ14</f>
        <v>-19.282835961174669</v>
      </c>
      <c r="CR23" s="28">
        <f>BS!CQ14-BS!CR14</f>
        <v>3.8809056127036001E-3</v>
      </c>
      <c r="CS23" s="6">
        <f t="shared" si="17"/>
        <v>-13.698584317069759</v>
      </c>
      <c r="CT23" s="28"/>
      <c r="CU23" s="19">
        <f>BS!CS14-BS!CU14</f>
        <v>17.946365234042531</v>
      </c>
      <c r="CV23" s="28">
        <f>BS!CU14-BS!CV14</f>
        <v>-6.9190492132752297</v>
      </c>
      <c r="CW23" s="28">
        <f>BS!CV14-BS!CW14</f>
        <v>-26.061616819661282</v>
      </c>
      <c r="CX23" s="28">
        <f>BS!CW14-BS!CX14</f>
        <v>-2.598499100098536</v>
      </c>
      <c r="CY23" s="6">
        <f t="shared" si="18"/>
        <v>-17.632799898992516</v>
      </c>
      <c r="CZ23" s="20"/>
      <c r="DA23" s="20"/>
      <c r="DB23" s="48"/>
    </row>
    <row r="24" spans="1:112" ht="11.25" hidden="1" customHeight="1" outlineLevel="1" x14ac:dyDescent="0.2">
      <c r="A24" s="432" t="s">
        <v>28</v>
      </c>
      <c r="B24" s="48"/>
      <c r="C24" s="59"/>
      <c r="D24" s="48"/>
      <c r="E24" s="48"/>
      <c r="F24" s="48"/>
      <c r="G24" s="331">
        <f>-5.282-5.213</f>
        <v>-10.495000000000001</v>
      </c>
      <c r="H24" s="122"/>
      <c r="I24" s="53">
        <f>0.596+0.279</f>
        <v>0.875</v>
      </c>
      <c r="J24" s="122">
        <f>-2.868+0.845-I24</f>
        <v>-2.8979999999999997</v>
      </c>
      <c r="K24" s="122">
        <f>-4.179+0.974-I24-J24</f>
        <v>-1.1820000000000004</v>
      </c>
      <c r="L24" s="51">
        <f>-9.778+0.934-I24-J24-K24</f>
        <v>-5.6390000000000011</v>
      </c>
      <c r="M24" s="304">
        <f t="shared" si="0"/>
        <v>-8.8440000000000012</v>
      </c>
      <c r="N24" s="122"/>
      <c r="O24" s="53">
        <f>0.82+0.106</f>
        <v>0.92599999999999993</v>
      </c>
      <c r="P24" s="122">
        <f>-5.544+0.643-O24</f>
        <v>-5.827</v>
      </c>
      <c r="Q24" s="122">
        <f>-5.046+1.04-O24-P24</f>
        <v>0.89499999999999957</v>
      </c>
      <c r="R24" s="51">
        <f>1.238-1.662-O24-P24-Q24</f>
        <v>3.5820000000000007</v>
      </c>
      <c r="S24" s="304">
        <f t="shared" si="1"/>
        <v>-0.42399999999999949</v>
      </c>
      <c r="T24" s="122"/>
      <c r="U24" s="53">
        <f>-4.261-0.313</f>
        <v>-4.5739999999999998</v>
      </c>
      <c r="V24" s="122">
        <f>0-U24</f>
        <v>4.5739999999999998</v>
      </c>
      <c r="W24" s="122">
        <f>0-U24-V24</f>
        <v>0</v>
      </c>
      <c r="X24" s="51">
        <f>-4.604-0.887-U24-V24-W24</f>
        <v>-5.4909999999999997</v>
      </c>
      <c r="Y24" s="304">
        <f t="shared" si="2"/>
        <v>-5.4909999999999997</v>
      </c>
      <c r="Z24" s="122"/>
      <c r="AA24" s="53">
        <v>0</v>
      </c>
      <c r="AB24" s="122">
        <v>0</v>
      </c>
      <c r="AC24" s="122">
        <v>0</v>
      </c>
      <c r="AD24" s="51">
        <f>-0.396+4.975-AA24-AB24-AC24</f>
        <v>4.5789999999999997</v>
      </c>
      <c r="AE24" s="304">
        <f t="shared" si="3"/>
        <v>4.5789999999999997</v>
      </c>
      <c r="AF24" s="122"/>
      <c r="AG24" s="53">
        <v>0</v>
      </c>
      <c r="AH24" s="122">
        <v>0</v>
      </c>
      <c r="AI24" s="122">
        <v>0</v>
      </c>
      <c r="AJ24" s="51">
        <f>-9.364-8.213-AG24-AH24-AI24</f>
        <v>-17.576999999999998</v>
      </c>
      <c r="AK24" s="304">
        <f t="shared" si="4"/>
        <v>-17.576999999999998</v>
      </c>
      <c r="AL24" s="122"/>
      <c r="AM24" s="53">
        <v>0</v>
      </c>
      <c r="AN24" s="122">
        <v>0</v>
      </c>
      <c r="AO24" s="122">
        <v>0</v>
      </c>
      <c r="AP24" s="51">
        <f>6.431-2.965-AM24-AN24-AO24</f>
        <v>3.4660000000000002</v>
      </c>
      <c r="AQ24" s="304">
        <f t="shared" si="5"/>
        <v>3.4660000000000002</v>
      </c>
      <c r="AR24" s="122"/>
      <c r="AS24" s="53">
        <v>0</v>
      </c>
      <c r="AT24" s="122">
        <v>0</v>
      </c>
      <c r="AU24" s="122">
        <v>0</v>
      </c>
      <c r="AV24" s="51">
        <f>-10.082-4.183-AS24-AT24-AU24</f>
        <v>-14.265000000000001</v>
      </c>
      <c r="AW24" s="6">
        <f t="shared" si="6"/>
        <v>-14.265000000000001</v>
      </c>
      <c r="AX24" s="122"/>
      <c r="AY24" s="53">
        <v>0</v>
      </c>
      <c r="AZ24" s="122">
        <v>0</v>
      </c>
      <c r="BA24" s="122">
        <v>0</v>
      </c>
      <c r="BB24" s="51">
        <f>(3.456+0.007)-SUM(AY24:BA24)</f>
        <v>3.4630000000000001</v>
      </c>
      <c r="BC24" s="6">
        <f t="shared" si="20"/>
        <v>3.4630000000000001</v>
      </c>
      <c r="BD24" s="28"/>
      <c r="BE24" s="53">
        <v>0</v>
      </c>
      <c r="BF24" s="122">
        <f t="shared" si="23"/>
        <v>0</v>
      </c>
      <c r="BG24" s="122">
        <f>0-SUM(BE24:BF24)</f>
        <v>0</v>
      </c>
      <c r="BH24" s="51">
        <f>-9.62-SUM(BE24:BG24)</f>
        <v>-9.6199999999999992</v>
      </c>
      <c r="BI24" s="6">
        <f t="shared" si="21"/>
        <v>-9.6199999999999992</v>
      </c>
      <c r="BJ24" s="28"/>
      <c r="BK24" s="53">
        <v>0</v>
      </c>
      <c r="BL24" s="1062">
        <f>0-BK24</f>
        <v>0</v>
      </c>
      <c r="BM24" s="1062">
        <f>0-SUM(BK24:BL24)</f>
        <v>0</v>
      </c>
      <c r="BN24" s="1062">
        <f>-2.273-SUM(BK24:BM24)</f>
        <v>-2.2730000000000001</v>
      </c>
      <c r="BO24" s="6">
        <f t="shared" si="22"/>
        <v>-2.2730000000000001</v>
      </c>
      <c r="BP24" s="28"/>
      <c r="BQ24" s="53">
        <v>-3.9289999999999998</v>
      </c>
      <c r="BR24" s="1062">
        <f>-3.572-0.482-BQ24</f>
        <v>-0.12500000000000044</v>
      </c>
      <c r="BS24" s="1063">
        <f>-7.557-SUM(BQ24:BR24)</f>
        <v>-3.5030000000000001</v>
      </c>
      <c r="BT24" s="1063">
        <f>52.315-SUM(BQ24:BS24)</f>
        <v>59.872</v>
      </c>
      <c r="BU24" s="6">
        <f t="shared" si="14"/>
        <v>52.314999999999998</v>
      </c>
      <c r="BV24" s="28"/>
      <c r="BW24" s="53">
        <v>-2.9159999999999999</v>
      </c>
      <c r="BX24" s="1062">
        <f>2.887-BW24</f>
        <v>5.8029999999999999</v>
      </c>
      <c r="BY24" s="1062">
        <f>7.856-SUM(BW24:BX24)</f>
        <v>4.9689999999999994</v>
      </c>
      <c r="BZ24" s="1063">
        <f>6.64-SUM(BW24:BY24)</f>
        <v>-1.2160000000000002</v>
      </c>
      <c r="CA24" s="6">
        <f t="shared" si="15"/>
        <v>6.64</v>
      </c>
      <c r="CB24" s="28"/>
      <c r="CC24" s="53">
        <v>-3.5369999999999999</v>
      </c>
      <c r="CD24" s="1062">
        <f>-7.259-CC24</f>
        <v>-3.7220000000000004</v>
      </c>
      <c r="CE24" s="1062">
        <f>-3.758-SUM(CC24:CD24)</f>
        <v>3.5010000000000003</v>
      </c>
      <c r="CF24" s="1063">
        <f>-5.245-SUM(CC24:CE24)</f>
        <v>-1.4870000000000001</v>
      </c>
      <c r="CG24" s="6">
        <f t="shared" si="16"/>
        <v>-5.2450000000000001</v>
      </c>
      <c r="CH24" s="28"/>
      <c r="CI24" s="19">
        <f>BS!CG15-BS!CI15</f>
        <v>29.340455696572903</v>
      </c>
      <c r="CJ24" s="28">
        <f>BS!CI15-BS!CJ15</f>
        <v>-17.519073433135162</v>
      </c>
      <c r="CK24" s="28">
        <f>BS!CJ15-BS!CK15</f>
        <v>-20.389039937352749</v>
      </c>
      <c r="CL24" s="28">
        <f>BS!CK15-BS!CL15</f>
        <v>46.325102871439924</v>
      </c>
      <c r="CM24" s="6">
        <f t="shared" si="19"/>
        <v>37.757445197524916</v>
      </c>
      <c r="CN24" s="28"/>
      <c r="CO24" s="19">
        <f>BS!CM15-BS!CO15</f>
        <v>-16.923505452823278</v>
      </c>
      <c r="CP24" s="28">
        <f>BS!CO15-BS!CP15</f>
        <v>-16.164227332702211</v>
      </c>
      <c r="CQ24" s="28">
        <f>BS!CP15-BS!CQ15</f>
        <v>-20.109277272473463</v>
      </c>
      <c r="CR24" s="28">
        <f>BS!CQ15-BS!CR15</f>
        <v>47.110333617641317</v>
      </c>
      <c r="CS24" s="6">
        <f t="shared" si="17"/>
        <v>-6.0866764403576354</v>
      </c>
      <c r="CT24" s="28"/>
      <c r="CU24" s="19">
        <f>BS!CS15-BS!CU15</f>
        <v>-20.015506479476969</v>
      </c>
      <c r="CV24" s="28">
        <f>BS!CU15-BS!CV15</f>
        <v>-17.236806368421327</v>
      </c>
      <c r="CW24" s="28">
        <f>BS!CV15-BS!CW15</f>
        <v>-21.837630285367865</v>
      </c>
      <c r="CX24" s="28">
        <f>BS!CW15-BS!CX15</f>
        <v>51.811275108799023</v>
      </c>
      <c r="CY24" s="6">
        <f t="shared" si="18"/>
        <v>-7.2786680244671373</v>
      </c>
      <c r="CZ24" s="20"/>
      <c r="DA24" s="20"/>
      <c r="DB24" s="48"/>
    </row>
    <row r="25" spans="1:112" ht="11.25" hidden="1" customHeight="1" outlineLevel="1" x14ac:dyDescent="0.2">
      <c r="A25" s="432" t="s">
        <v>88</v>
      </c>
      <c r="B25" s="48"/>
      <c r="C25" s="59"/>
      <c r="D25" s="48"/>
      <c r="E25" s="48"/>
      <c r="F25" s="48"/>
      <c r="G25" s="331">
        <v>0.59899999999999998</v>
      </c>
      <c r="H25" s="122"/>
      <c r="I25" s="53">
        <v>-4.3639999999999999</v>
      </c>
      <c r="J25" s="122">
        <f>-2.88-I25</f>
        <v>1.484</v>
      </c>
      <c r="K25" s="122">
        <f>-5.991-I25-J25</f>
        <v>-3.1109999999999998</v>
      </c>
      <c r="L25" s="51">
        <f>-4.711-I25-J25-K25</f>
        <v>1.2799999999999994</v>
      </c>
      <c r="M25" s="304">
        <f t="shared" si="0"/>
        <v>-4.7110000000000003</v>
      </c>
      <c r="N25" s="122"/>
      <c r="O25" s="53">
        <v>0.40500000000000003</v>
      </c>
      <c r="P25" s="122">
        <f>3.207-O25</f>
        <v>2.8019999999999996</v>
      </c>
      <c r="Q25" s="122">
        <f>8.635-O25-P25</f>
        <v>5.4280000000000008</v>
      </c>
      <c r="R25" s="51">
        <f>2.72-O25-P25-Q25</f>
        <v>-5.915</v>
      </c>
      <c r="S25" s="304">
        <f t="shared" si="1"/>
        <v>2.7200000000000015</v>
      </c>
      <c r="T25" s="122"/>
      <c r="U25" s="53">
        <v>-2.37</v>
      </c>
      <c r="V25" s="122">
        <f>0-U25</f>
        <v>2.37</v>
      </c>
      <c r="W25" s="122">
        <f>0-U25-V25</f>
        <v>0</v>
      </c>
      <c r="X25" s="51">
        <f>0.956-U25-V25-W25</f>
        <v>0.95599999999999996</v>
      </c>
      <c r="Y25" s="304">
        <f t="shared" si="2"/>
        <v>0.95599999999999996</v>
      </c>
      <c r="Z25" s="122"/>
      <c r="AA25" s="53">
        <v>-5.6849999999999996</v>
      </c>
      <c r="AB25" s="122">
        <f>-4.134-AA25</f>
        <v>1.5509999999999993</v>
      </c>
      <c r="AC25" s="122">
        <f>-1.708-AA25-AB25</f>
        <v>2.4260000000000002</v>
      </c>
      <c r="AD25" s="51">
        <f>5.753-AA25-AB25-AC25</f>
        <v>7.4610000000000003</v>
      </c>
      <c r="AE25" s="304">
        <f t="shared" si="3"/>
        <v>5.7530000000000001</v>
      </c>
      <c r="AF25" s="122"/>
      <c r="AG25" s="53">
        <v>-9.5860000000000003</v>
      </c>
      <c r="AH25" s="122">
        <f>-9.93-AG25</f>
        <v>-0.34399999999999942</v>
      </c>
      <c r="AI25" s="122">
        <f>-10-AG25-AH25</f>
        <v>-7.0000000000000284E-2</v>
      </c>
      <c r="AJ25" s="51">
        <f>-9.076-AG25-AH25-AI25</f>
        <v>0.92399999999999949</v>
      </c>
      <c r="AK25" s="304">
        <f t="shared" si="4"/>
        <v>-9.0760000000000005</v>
      </c>
      <c r="AL25" s="122"/>
      <c r="AM25" s="53">
        <v>2.3860000000000001</v>
      </c>
      <c r="AN25" s="122">
        <f>6.589-AM25</f>
        <v>4.2030000000000003</v>
      </c>
      <c r="AO25" s="122">
        <f>4.793-AM25-AN25</f>
        <v>-1.7960000000000003</v>
      </c>
      <c r="AP25" s="51">
        <f>3.482-AM25-AN25-AO25</f>
        <v>-1.3109999999999999</v>
      </c>
      <c r="AQ25" s="304">
        <f t="shared" si="5"/>
        <v>3.4820000000000002</v>
      </c>
      <c r="AR25" s="122"/>
      <c r="AS25" s="53">
        <v>3.0569999999999999</v>
      </c>
      <c r="AT25" s="122">
        <f>-0.995-AS25</f>
        <v>-4.0519999999999996</v>
      </c>
      <c r="AU25" s="122">
        <f>-8.034-AS25-AT25</f>
        <v>-7.0390000000000015</v>
      </c>
      <c r="AV25" s="51">
        <f>7.261-AS25-AT25-AU25</f>
        <v>15.295000000000002</v>
      </c>
      <c r="AW25" s="6">
        <f t="shared" si="6"/>
        <v>7.261000000000001</v>
      </c>
      <c r="AX25" s="122"/>
      <c r="AY25" s="53">
        <v>-18.785</v>
      </c>
      <c r="AZ25" s="122">
        <f>0.126-AY25</f>
        <v>18.911000000000001</v>
      </c>
      <c r="BA25" s="122">
        <f>-4.915-AZ25-AY25</f>
        <v>-5.0410000000000004</v>
      </c>
      <c r="BB25" s="51">
        <f>-9.945-SUM(AY25:BA25)</f>
        <v>-5.0300000000000011</v>
      </c>
      <c r="BC25" s="6">
        <f t="shared" si="20"/>
        <v>-9.9450000000000003</v>
      </c>
      <c r="BD25" s="28"/>
      <c r="BE25" s="53">
        <v>-12.859</v>
      </c>
      <c r="BF25" s="122">
        <f>-11.78-BE25</f>
        <v>1.0790000000000006</v>
      </c>
      <c r="BG25" s="122">
        <f>-16.42-SUM(BE25:BF25)</f>
        <v>-4.6400000000000023</v>
      </c>
      <c r="BH25" s="51">
        <f>-6.793-SUM(BE25:BG25)</f>
        <v>9.6270000000000024</v>
      </c>
      <c r="BI25" s="6">
        <f t="shared" si="21"/>
        <v>-6.7929999999999993</v>
      </c>
      <c r="BJ25" s="28"/>
      <c r="BK25" s="53">
        <v>-10.209</v>
      </c>
      <c r="BL25" s="1062">
        <f>-7.726-BK25</f>
        <v>2.4829999999999997</v>
      </c>
      <c r="BM25" s="1062">
        <f>-7.922-SUM(BK25:BL25)</f>
        <v>-0.19599999999999973</v>
      </c>
      <c r="BN25" s="1062">
        <f>-5.495-SUM(BK25:BM25)</f>
        <v>2.4269999999999996</v>
      </c>
      <c r="BO25" s="6">
        <f t="shared" si="22"/>
        <v>-5.4950000000000001</v>
      </c>
      <c r="BP25" s="28"/>
      <c r="BQ25" s="53">
        <v>1.1299999999999999</v>
      </c>
      <c r="BR25" s="1062">
        <f>-3.011-BQ25</f>
        <v>-4.141</v>
      </c>
      <c r="BS25" s="1063">
        <f>-3.411-SUM(BQ25:BR25)</f>
        <v>-0.39999999999999991</v>
      </c>
      <c r="BT25" s="1063">
        <f>7.732-SUM(BQ25:BS25)</f>
        <v>11.143000000000001</v>
      </c>
      <c r="BU25" s="6">
        <f t="shared" si="14"/>
        <v>7.7320000000000011</v>
      </c>
      <c r="BV25" s="28"/>
      <c r="BW25" s="53">
        <v>-15.409000000000001</v>
      </c>
      <c r="BX25" s="1062">
        <f>-9.053-BW25</f>
        <v>6.3559999999999999</v>
      </c>
      <c r="BY25" s="1062">
        <f>-14.876-SUM(BW25:BX25)</f>
        <v>-5.8229999999999986</v>
      </c>
      <c r="BZ25" s="1063">
        <f>-1.466-SUM(BW25:BY25)</f>
        <v>13.41</v>
      </c>
      <c r="CA25" s="6">
        <f t="shared" si="15"/>
        <v>-1.4659999999999993</v>
      </c>
      <c r="CB25" s="28"/>
      <c r="CC25" s="53">
        <v>-9.3279999999999994</v>
      </c>
      <c r="CD25" s="1062">
        <f>-4.404-CC25</f>
        <v>4.9239999999999995</v>
      </c>
      <c r="CE25" s="1062">
        <f>-3.434-SUM(CC25:CD25)</f>
        <v>0.96999999999999975</v>
      </c>
      <c r="CF25" s="1063">
        <f>4.321-SUM(CC25:CE25)</f>
        <v>7.7549999999999999</v>
      </c>
      <c r="CG25" s="6">
        <f t="shared" si="16"/>
        <v>4.3209999999999997</v>
      </c>
      <c r="CH25" s="28"/>
      <c r="CI25" s="19">
        <f>BS!CI29-BS!CG29</f>
        <v>-10.865950045466434</v>
      </c>
      <c r="CJ25" s="28">
        <f>BS!CJ29-BS!CI29</f>
        <v>4.7029540887659422</v>
      </c>
      <c r="CK25" s="28">
        <f>BS!CK29-BS!CJ29</f>
        <v>4.1498727638102721</v>
      </c>
      <c r="CL25" s="28">
        <f>BS!CL29-BS!CK29</f>
        <v>8.6598968136380989</v>
      </c>
      <c r="CM25" s="6">
        <f t="shared" si="19"/>
        <v>6.6467736207478794</v>
      </c>
      <c r="CN25" s="28"/>
      <c r="CO25" s="19">
        <f>BS!CO29-BS!CM29</f>
        <v>-11.118835097348644</v>
      </c>
      <c r="CP25" s="28">
        <f>BS!CP29-BS!CO29</f>
        <v>3.4617038059250334</v>
      </c>
      <c r="CQ25" s="28">
        <f>BS!CQ29-BS!CP29</f>
        <v>3.0261187565453227</v>
      </c>
      <c r="CR25" s="28">
        <f>BS!CR29-BS!CQ29</f>
        <v>10.820868199659095</v>
      </c>
      <c r="CS25" s="6">
        <f t="shared" si="17"/>
        <v>6.1898556647808078</v>
      </c>
      <c r="CT25" s="28"/>
      <c r="CU25" s="19">
        <f>BS!CU29-BS!CS29</f>
        <v>-10.561744921338068</v>
      </c>
      <c r="CV25" s="28">
        <f>BS!CV29-BS!CU29</f>
        <v>3.5061261133874027</v>
      </c>
      <c r="CW25" s="28">
        <f>BS!CW29-BS!CV29</f>
        <v>3.1574750384103822</v>
      </c>
      <c r="CX25" s="28">
        <f>BS!CX29-BS!CW29</f>
        <v>11.760928503316904</v>
      </c>
      <c r="CY25" s="6">
        <f t="shared" si="18"/>
        <v>7.8627847337766212</v>
      </c>
      <c r="CZ25" s="20"/>
      <c r="DA25" s="20"/>
      <c r="DB25" s="48"/>
    </row>
    <row r="26" spans="1:112" ht="11.25" hidden="1" customHeight="1" outlineLevel="1" x14ac:dyDescent="0.2">
      <c r="A26" s="432" t="s">
        <v>41</v>
      </c>
      <c r="B26" s="48"/>
      <c r="C26" s="59"/>
      <c r="D26" s="48"/>
      <c r="E26" s="48"/>
      <c r="F26" s="48"/>
      <c r="G26" s="331">
        <f>2.45+1.109</f>
        <v>3.5590000000000002</v>
      </c>
      <c r="H26" s="122"/>
      <c r="I26" s="53">
        <f>-4.987-0.211</f>
        <v>-5.1980000000000004</v>
      </c>
      <c r="J26" s="122">
        <f>-0.138+0.727-I26</f>
        <v>5.7870000000000008</v>
      </c>
      <c r="K26" s="122">
        <f>-5.206+0.759-I26-J26</f>
        <v>-5.0360000000000005</v>
      </c>
      <c r="L26" s="51">
        <f>0.422-0.033-I26-J26-K26</f>
        <v>4.8360000000000003</v>
      </c>
      <c r="M26" s="304">
        <f t="shared" si="0"/>
        <v>0.38900000000000023</v>
      </c>
      <c r="N26" s="122"/>
      <c r="O26" s="53">
        <f>-2.832-0.256</f>
        <v>-3.0880000000000001</v>
      </c>
      <c r="P26" s="122">
        <f>-5.261+1.122-O26</f>
        <v>-1.0510000000000002</v>
      </c>
      <c r="Q26" s="122">
        <f>-8.739+0.623-O26-P26</f>
        <v>-3.9770000000000012</v>
      </c>
      <c r="R26" s="51">
        <f>1.523+0.346-O26-P26-Q26</f>
        <v>9.9850000000000012</v>
      </c>
      <c r="S26" s="304">
        <f t="shared" si="1"/>
        <v>1.8689999999999998</v>
      </c>
      <c r="T26" s="122"/>
      <c r="U26" s="53">
        <f>7.759-1.487</f>
        <v>6.2720000000000002</v>
      </c>
      <c r="V26" s="122">
        <f>0-U26</f>
        <v>-6.2720000000000002</v>
      </c>
      <c r="W26" s="122">
        <f>0-U26-V26</f>
        <v>0</v>
      </c>
      <c r="X26" s="51">
        <f>-23.539-0.572-U26-V26-W26</f>
        <v>-24.111000000000004</v>
      </c>
      <c r="Y26" s="304">
        <f t="shared" si="2"/>
        <v>-24.111000000000004</v>
      </c>
      <c r="Z26" s="122"/>
      <c r="AA26" s="53">
        <v>-10.4</v>
      </c>
      <c r="AB26" s="122">
        <f>-1.919-AA26</f>
        <v>8.4809999999999999</v>
      </c>
      <c r="AC26" s="122">
        <f>1.891-AA26-AB26</f>
        <v>3.8100000000000005</v>
      </c>
      <c r="AD26" s="51">
        <f>19.081-AA26-AB26-AC26</f>
        <v>17.189999999999998</v>
      </c>
      <c r="AE26" s="304">
        <f t="shared" si="3"/>
        <v>19.080999999999996</v>
      </c>
      <c r="AF26" s="122"/>
      <c r="AG26" s="53">
        <v>-11.006</v>
      </c>
      <c r="AH26" s="122">
        <f>-1.024-AG26</f>
        <v>9.9819999999999993</v>
      </c>
      <c r="AI26" s="122">
        <f>30.114-AG26-AH26</f>
        <v>31.138000000000005</v>
      </c>
      <c r="AJ26" s="51">
        <f>23.859-AG26-AH26-AI26</f>
        <v>-6.2550000000000026</v>
      </c>
      <c r="AK26" s="304">
        <f t="shared" si="4"/>
        <v>23.859000000000002</v>
      </c>
      <c r="AL26" s="122"/>
      <c r="AM26" s="53">
        <v>-31.24</v>
      </c>
      <c r="AN26" s="122">
        <f>-51.831-AM26</f>
        <v>-20.591000000000005</v>
      </c>
      <c r="AO26" s="122">
        <f>-48.085-AM26-AN26</f>
        <v>3.7460000000000022</v>
      </c>
      <c r="AP26" s="51">
        <f>-26.983-AM26-AN26-AO26</f>
        <v>21.102</v>
      </c>
      <c r="AQ26" s="304">
        <f t="shared" si="5"/>
        <v>-26.983000000000001</v>
      </c>
      <c r="AR26" s="122"/>
      <c r="AS26" s="53">
        <v>-12.132999999999999</v>
      </c>
      <c r="AT26" s="122">
        <f>-13.857-AS26</f>
        <v>-1.7240000000000002</v>
      </c>
      <c r="AU26" s="122">
        <f>-8.088-AS26-AT26</f>
        <v>5.7690000000000001</v>
      </c>
      <c r="AV26" s="51">
        <f>19.577-AS26-AT26-AU26</f>
        <v>27.664999999999999</v>
      </c>
      <c r="AW26" s="6">
        <f t="shared" si="6"/>
        <v>19.576999999999998</v>
      </c>
      <c r="AX26" s="122"/>
      <c r="AY26" s="53">
        <v>-15.632999999999999</v>
      </c>
      <c r="AZ26" s="122">
        <f>-34.961-AY26</f>
        <v>-19.327999999999999</v>
      </c>
      <c r="BA26" s="122">
        <f>-20.556-AZ26-AY26</f>
        <v>14.404999999999998</v>
      </c>
      <c r="BB26" s="51">
        <f>-13.255-SUM(AY26:BA26)</f>
        <v>7.3010000000000002</v>
      </c>
      <c r="BC26" s="6">
        <f t="shared" si="20"/>
        <v>-13.255000000000001</v>
      </c>
      <c r="BD26" s="28"/>
      <c r="BE26" s="53">
        <v>-3.4569999999999999</v>
      </c>
      <c r="BF26" s="122">
        <f>9.07-BE26</f>
        <v>12.527000000000001</v>
      </c>
      <c r="BG26" s="122">
        <f>23.178-SUM(BE26:BF26)</f>
        <v>14.108000000000001</v>
      </c>
      <c r="BH26" s="51">
        <f>26.262-SUM(BE26:BG26)</f>
        <v>3.0839999999999996</v>
      </c>
      <c r="BI26" s="6">
        <f t="shared" si="21"/>
        <v>26.262</v>
      </c>
      <c r="BJ26" s="28"/>
      <c r="BK26" s="53">
        <v>-35.311</v>
      </c>
      <c r="BL26" s="1062">
        <f>-54.499-BK26</f>
        <v>-19.188000000000002</v>
      </c>
      <c r="BM26" s="1062">
        <f>-45.895-SUM(BK26:BL26)</f>
        <v>8.6039999999999992</v>
      </c>
      <c r="BN26" s="1062">
        <f>-21.482-SUM(BK26:BM26)</f>
        <v>24.413000000000004</v>
      </c>
      <c r="BO26" s="6">
        <f t="shared" si="22"/>
        <v>-21.481999999999999</v>
      </c>
      <c r="BP26" s="28"/>
      <c r="BQ26" s="53">
        <v>-26.006</v>
      </c>
      <c r="BR26" s="1062">
        <f>-24.663-BQ26</f>
        <v>1.343</v>
      </c>
      <c r="BS26" s="1063">
        <f>-20.44-SUM(BQ26:BR26)</f>
        <v>4.222999999999999</v>
      </c>
      <c r="BT26" s="1063">
        <f>-25.57-SUM(BQ26:BS26)</f>
        <v>-5.129999999999999</v>
      </c>
      <c r="BU26" s="6">
        <f t="shared" si="14"/>
        <v>-25.57</v>
      </c>
      <c r="BV26" s="28"/>
      <c r="BW26" s="53">
        <v>-15.07</v>
      </c>
      <c r="BX26" s="1062">
        <f>-16.623-BW26</f>
        <v>-1.5530000000000008</v>
      </c>
      <c r="BY26" s="1062">
        <f>-6.27-SUM(BW26:BX26)</f>
        <v>10.353000000000002</v>
      </c>
      <c r="BZ26" s="1063">
        <f>10.618-SUM(BW26:BY26)</f>
        <v>16.887999999999998</v>
      </c>
      <c r="CA26" s="6">
        <f t="shared" si="15"/>
        <v>10.617999999999999</v>
      </c>
      <c r="CB26" s="28"/>
      <c r="CC26" s="53">
        <v>-23.013000000000002</v>
      </c>
      <c r="CD26" s="1062">
        <f>2.856-CC26</f>
        <v>25.869</v>
      </c>
      <c r="CE26" s="1062">
        <f>-11.66-SUM(CC26:CD26)</f>
        <v>-14.515999999999998</v>
      </c>
      <c r="CF26" s="1063">
        <f>2.828-SUM(CC26:CE26)</f>
        <v>14.488</v>
      </c>
      <c r="CG26" s="6">
        <f t="shared" si="16"/>
        <v>2.8279999999999994</v>
      </c>
      <c r="CH26" s="28"/>
      <c r="CI26" s="19">
        <f>BS!CI30-BS!CG30</f>
        <v>-10.172074214918609</v>
      </c>
      <c r="CJ26" s="28">
        <f>BS!CJ30-BS!CI30</f>
        <v>35.722339220138878</v>
      </c>
      <c r="CK26" s="28">
        <f>BS!CK30-BS!CJ30</f>
        <v>-5.730081478050181</v>
      </c>
      <c r="CL26" s="28">
        <f>BS!CL30-BS!CK30</f>
        <v>7.8720104842218461</v>
      </c>
      <c r="CM26" s="6">
        <f t="shared" si="19"/>
        <v>27.692194011391933</v>
      </c>
      <c r="CN26" s="28"/>
      <c r="CO26" s="19">
        <f>BS!CO30-BS!CM30</f>
        <v>-21.289100458030305</v>
      </c>
      <c r="CP26" s="28">
        <f>BS!CP30-BS!CO30</f>
        <v>36.851942448427167</v>
      </c>
      <c r="CQ26" s="28">
        <f>BS!CQ30-BS!CP30</f>
        <v>-14.623753398760186</v>
      </c>
      <c r="CR26" s="28">
        <f>BS!CR30-BS!CQ30</f>
        <v>18.847250453813899</v>
      </c>
      <c r="CS26" s="6">
        <f t="shared" si="17"/>
        <v>19.786339045450575</v>
      </c>
      <c r="CT26" s="28"/>
      <c r="CU26" s="19">
        <f>BS!CU30-BS!CS30</f>
        <v>-19.80730600684285</v>
      </c>
      <c r="CV26" s="28">
        <f>BS!CV30-BS!CU30</f>
        <v>38.005336797729171</v>
      </c>
      <c r="CW26" s="28">
        <f>BS!CW30-BS!CV30</f>
        <v>-16.357183556283701</v>
      </c>
      <c r="CX26" s="28">
        <f>BS!CX30-BS!CW30</f>
        <v>19.557871907946264</v>
      </c>
      <c r="CY26" s="6">
        <f t="shared" si="18"/>
        <v>21.398719142548885</v>
      </c>
      <c r="CZ26" s="20"/>
      <c r="DA26" s="20"/>
      <c r="DB26" s="48"/>
    </row>
    <row r="27" spans="1:112" ht="11.25" hidden="1" customHeight="1" outlineLevel="1" x14ac:dyDescent="0.2">
      <c r="A27" s="432" t="s">
        <v>42</v>
      </c>
      <c r="B27" s="48"/>
      <c r="C27" s="59"/>
      <c r="D27" s="48"/>
      <c r="E27" s="48"/>
      <c r="F27" s="48"/>
      <c r="G27" s="331">
        <v>-13.009</v>
      </c>
      <c r="H27" s="122"/>
      <c r="I27" s="53">
        <v>0.1</v>
      </c>
      <c r="J27" s="122">
        <f>0.076-I27</f>
        <v>-2.4000000000000007E-2</v>
      </c>
      <c r="K27" s="122">
        <f>1.238-I27-J27</f>
        <v>1.1619999999999999</v>
      </c>
      <c r="L27" s="51">
        <f>5.592-I27-J27-K27</f>
        <v>4.3540000000000001</v>
      </c>
      <c r="M27" s="304">
        <f t="shared" si="0"/>
        <v>5.5920000000000005</v>
      </c>
      <c r="N27" s="122"/>
      <c r="O27" s="53">
        <v>2.0630000000000002</v>
      </c>
      <c r="P27" s="122">
        <f>-3.165-O27</f>
        <v>-5.2279999999999998</v>
      </c>
      <c r="Q27" s="122">
        <f>0.689-O27-P27</f>
        <v>3.8539999999999996</v>
      </c>
      <c r="R27" s="51">
        <f>0.525-O27-P27-Q27</f>
        <v>-0.16400000000000015</v>
      </c>
      <c r="S27" s="304">
        <f t="shared" si="1"/>
        <v>0.52499999999999991</v>
      </c>
      <c r="T27" s="122"/>
      <c r="U27" s="53">
        <v>3.0750000000000002</v>
      </c>
      <c r="V27" s="122">
        <f>0-U27</f>
        <v>-3.0750000000000002</v>
      </c>
      <c r="W27" s="122">
        <f>0-U27-V27</f>
        <v>0</v>
      </c>
      <c r="X27" s="51">
        <f>7.534-U27-V27-W27</f>
        <v>7.5339999999999998</v>
      </c>
      <c r="Y27" s="304">
        <f t="shared" si="2"/>
        <v>7.5339999999999998</v>
      </c>
      <c r="Z27" s="122"/>
      <c r="AA27" s="53">
        <v>0</v>
      </c>
      <c r="AB27" s="122">
        <v>0</v>
      </c>
      <c r="AC27" s="122">
        <v>0</v>
      </c>
      <c r="AD27" s="51">
        <f>-3.11-AA27-AB27-AC27</f>
        <v>-3.11</v>
      </c>
      <c r="AE27" s="304">
        <f t="shared" si="3"/>
        <v>-3.11</v>
      </c>
      <c r="AF27" s="122"/>
      <c r="AG27" s="53">
        <v>0</v>
      </c>
      <c r="AH27" s="122">
        <v>0</v>
      </c>
      <c r="AI27" s="122">
        <v>0</v>
      </c>
      <c r="AJ27" s="51">
        <v>0</v>
      </c>
      <c r="AK27" s="304">
        <f t="shared" si="4"/>
        <v>0</v>
      </c>
      <c r="AL27" s="122"/>
      <c r="AM27" s="53">
        <v>0</v>
      </c>
      <c r="AN27" s="122">
        <v>0</v>
      </c>
      <c r="AO27" s="122">
        <v>0</v>
      </c>
      <c r="AP27" s="51">
        <v>0</v>
      </c>
      <c r="AQ27" s="304">
        <f t="shared" si="5"/>
        <v>0</v>
      </c>
      <c r="AR27" s="122"/>
      <c r="AS27" s="53">
        <v>0</v>
      </c>
      <c r="AT27" s="122">
        <v>0</v>
      </c>
      <c r="AU27" s="122">
        <v>0</v>
      </c>
      <c r="AV27" s="51">
        <v>0</v>
      </c>
      <c r="AW27" s="6">
        <f t="shared" si="6"/>
        <v>0</v>
      </c>
      <c r="AX27" s="122"/>
      <c r="AY27" s="53">
        <v>0</v>
      </c>
      <c r="AZ27" s="122">
        <v>0</v>
      </c>
      <c r="BA27" s="122">
        <v>0</v>
      </c>
      <c r="BB27" s="51">
        <f>0-SUM(AY27:BA27)</f>
        <v>0</v>
      </c>
      <c r="BC27" s="6">
        <f t="shared" si="20"/>
        <v>0</v>
      </c>
      <c r="BD27" s="28"/>
      <c r="BE27" s="53">
        <v>0</v>
      </c>
      <c r="BF27" s="122">
        <f t="shared" si="23"/>
        <v>0</v>
      </c>
      <c r="BG27" s="122">
        <f>0-SUM(BE27:BF27)</f>
        <v>0</v>
      </c>
      <c r="BH27" s="51">
        <f>0-SUM(BE27:BG27)</f>
        <v>0</v>
      </c>
      <c r="BI27" s="6">
        <f t="shared" si="21"/>
        <v>0</v>
      </c>
      <c r="BJ27" s="28"/>
      <c r="BK27" s="53">
        <v>0</v>
      </c>
      <c r="BL27" s="1062">
        <f>0-BK27</f>
        <v>0</v>
      </c>
      <c r="BM27" s="1062">
        <f>0-SUM(BK27:BL27)</f>
        <v>0</v>
      </c>
      <c r="BN27" s="1062">
        <f>0-SUM(BK27:BM27)</f>
        <v>0</v>
      </c>
      <c r="BO27" s="6">
        <f t="shared" si="22"/>
        <v>0</v>
      </c>
      <c r="BP27" s="28"/>
      <c r="BQ27" s="53">
        <v>-2.5779999999999998</v>
      </c>
      <c r="BR27" s="1062">
        <f>-14.618-BQ27</f>
        <v>-12.040000000000001</v>
      </c>
      <c r="BS27" s="1063">
        <f>-19.301-SUM(BQ27:BR27)</f>
        <v>-4.6829999999999981</v>
      </c>
      <c r="BT27" s="1063">
        <f>-0.088-SUM(BQ27:BS27)</f>
        <v>19.212999999999997</v>
      </c>
      <c r="BU27" s="6">
        <f t="shared" si="14"/>
        <v>-8.8000000000000966E-2</v>
      </c>
      <c r="BV27" s="28"/>
      <c r="BW27" s="53">
        <v>1.413</v>
      </c>
      <c r="BX27" s="1062">
        <f>2.175-BW27</f>
        <v>0.76199999999999979</v>
      </c>
      <c r="BY27" s="1062">
        <f>-1.121-SUM(BW27:BX27)</f>
        <v>-3.2959999999999998</v>
      </c>
      <c r="BZ27" s="1063">
        <f>15.476-SUM(BW27:BY27)</f>
        <v>16.597000000000001</v>
      </c>
      <c r="CA27" s="6">
        <f t="shared" si="15"/>
        <v>15.476000000000001</v>
      </c>
      <c r="CB27" s="28"/>
      <c r="CC27" s="53">
        <v>-11.241</v>
      </c>
      <c r="CD27" s="1062">
        <f>-24.425-CC27</f>
        <v>-13.184000000000001</v>
      </c>
      <c r="CE27" s="1062">
        <f>-27.412-SUM(CC27:CD27)</f>
        <v>-2.9869999999999983</v>
      </c>
      <c r="CF27" s="1063">
        <f>-41.266-SUM(CC27:CE27)</f>
        <v>-13.853999999999999</v>
      </c>
      <c r="CG27" s="6">
        <f t="shared" si="16"/>
        <v>-41.265999999999998</v>
      </c>
      <c r="CH27" s="28"/>
      <c r="CI27" s="19">
        <f>BS!CI32-BS!CG32</f>
        <v>0</v>
      </c>
      <c r="CJ27" s="28">
        <f>BS!CJ32-BS!CI32</f>
        <v>0</v>
      </c>
      <c r="CK27" s="28">
        <f>BS!CK32-BS!CJ32</f>
        <v>0</v>
      </c>
      <c r="CL27" s="28">
        <f>BS!CL32-BS!CK32</f>
        <v>0</v>
      </c>
      <c r="CM27" s="6">
        <f t="shared" si="19"/>
        <v>0</v>
      </c>
      <c r="CN27" s="28"/>
      <c r="CO27" s="19">
        <f>BS!CO32-BS!CM32</f>
        <v>0</v>
      </c>
      <c r="CP27" s="28">
        <f>BS!CP32-BS!CO32</f>
        <v>0</v>
      </c>
      <c r="CQ27" s="28">
        <f>BS!CQ32-BS!CP32</f>
        <v>0</v>
      </c>
      <c r="CR27" s="28">
        <f>BS!CR32-BS!CQ32</f>
        <v>0</v>
      </c>
      <c r="CS27" s="6">
        <f t="shared" si="17"/>
        <v>0</v>
      </c>
      <c r="CT27" s="28"/>
      <c r="CU27" s="19">
        <f>BS!CU32-BS!CS32</f>
        <v>0</v>
      </c>
      <c r="CV27" s="28">
        <f>BS!CV32-BS!CU32</f>
        <v>0</v>
      </c>
      <c r="CW27" s="28">
        <f>BS!CW32-BS!CV32</f>
        <v>0</v>
      </c>
      <c r="CX27" s="28">
        <f>BS!CX32-BS!CW32</f>
        <v>0</v>
      </c>
      <c r="CY27" s="6">
        <f t="shared" si="18"/>
        <v>0</v>
      </c>
      <c r="CZ27" s="20"/>
      <c r="DA27" s="20"/>
      <c r="DB27" s="48"/>
    </row>
    <row r="28" spans="1:112" ht="11.25" hidden="1" customHeight="1" outlineLevel="1" x14ac:dyDescent="0.2">
      <c r="A28" s="432" t="s">
        <v>47</v>
      </c>
      <c r="B28" s="48"/>
      <c r="C28" s="59"/>
      <c r="D28" s="48"/>
      <c r="E28" s="48"/>
      <c r="F28" s="48"/>
      <c r="G28" s="331">
        <v>1.8740000000000001</v>
      </c>
      <c r="H28" s="122"/>
      <c r="I28" s="53">
        <v>-8.3000000000000004E-2</v>
      </c>
      <c r="J28" s="122">
        <f>-1.153-I28</f>
        <v>-1.07</v>
      </c>
      <c r="K28" s="122">
        <f>-1.044-I28-J28</f>
        <v>0.10899999999999999</v>
      </c>
      <c r="L28" s="51">
        <f>-1.709-I28-J28-K28</f>
        <v>-0.66500000000000004</v>
      </c>
      <c r="M28" s="304">
        <f t="shared" si="0"/>
        <v>-1.7090000000000001</v>
      </c>
      <c r="N28" s="122"/>
      <c r="O28" s="53">
        <v>0.71199999999999997</v>
      </c>
      <c r="P28" s="122">
        <f>2.329-O28</f>
        <v>1.6170000000000002</v>
      </c>
      <c r="Q28" s="122">
        <f>1.856-O28-P28</f>
        <v>-0.47300000000000009</v>
      </c>
      <c r="R28" s="51">
        <f>3.435-O28-P28-Q28</f>
        <v>1.5789999999999997</v>
      </c>
      <c r="S28" s="304">
        <f t="shared" si="1"/>
        <v>3.4349999999999996</v>
      </c>
      <c r="T28" s="122"/>
      <c r="U28" s="53">
        <v>1.4999999999999999E-2</v>
      </c>
      <c r="V28" s="122">
        <f>-12.091-U28</f>
        <v>-12.106</v>
      </c>
      <c r="W28" s="122">
        <f>-12.517-U28-V28</f>
        <v>-0.42600000000000016</v>
      </c>
      <c r="X28" s="51">
        <f>2.428-U28-V28-W28</f>
        <v>14.945</v>
      </c>
      <c r="Y28" s="304">
        <f t="shared" si="2"/>
        <v>2.4280000000000008</v>
      </c>
      <c r="Z28" s="122"/>
      <c r="AA28" s="53">
        <v>14.819000000000001</v>
      </c>
      <c r="AB28" s="122">
        <f>11.623-AA28</f>
        <v>-3.1960000000000015</v>
      </c>
      <c r="AC28" s="122">
        <f>2.603-AA28-AB28</f>
        <v>-9.02</v>
      </c>
      <c r="AD28" s="51">
        <f>0.369-AA28-AB28-AC28</f>
        <v>-2.234</v>
      </c>
      <c r="AE28" s="304">
        <f t="shared" si="3"/>
        <v>0.36899999999999977</v>
      </c>
      <c r="AF28" s="122"/>
      <c r="AG28" s="53">
        <v>-7.2160000000000002</v>
      </c>
      <c r="AH28" s="122">
        <f>17.595-AG28</f>
        <v>24.811</v>
      </c>
      <c r="AI28" s="122">
        <f>6.117-AG28-AH28</f>
        <v>-11.478</v>
      </c>
      <c r="AJ28" s="51">
        <f>2.271-AG28-AH28-AI28</f>
        <v>-3.8460000000000001</v>
      </c>
      <c r="AK28" s="304">
        <f t="shared" si="4"/>
        <v>2.270999999999999</v>
      </c>
      <c r="AL28" s="122"/>
      <c r="AM28" s="53">
        <v>-7.5090000000000003</v>
      </c>
      <c r="AN28" s="122">
        <f>-2.626-AM28</f>
        <v>4.8830000000000009</v>
      </c>
      <c r="AO28" s="122">
        <f>24.306-AM28-AN28</f>
        <v>26.932000000000002</v>
      </c>
      <c r="AP28" s="51">
        <f>-4.967-AM28-AN28-AO28</f>
        <v>-29.273000000000003</v>
      </c>
      <c r="AQ28" s="304">
        <f t="shared" si="5"/>
        <v>-4.9669999999999987</v>
      </c>
      <c r="AR28" s="122"/>
      <c r="AS28" s="53">
        <v>-2.5030000000000001</v>
      </c>
      <c r="AT28" s="122">
        <f>-3.277-AS28</f>
        <v>-0.77400000000000002</v>
      </c>
      <c r="AU28" s="122">
        <f>2.916-AS28-AT28</f>
        <v>6.1930000000000005</v>
      </c>
      <c r="AV28" s="51">
        <f>-5.098-AS28-AT28-AU28</f>
        <v>-8.0139999999999993</v>
      </c>
      <c r="AW28" s="6">
        <f t="shared" si="6"/>
        <v>-5.097999999999999</v>
      </c>
      <c r="AX28" s="122"/>
      <c r="AY28" s="53">
        <v>-18.754999999999999</v>
      </c>
      <c r="AZ28" s="122">
        <f>-13.292-AY28</f>
        <v>5.4629999999999992</v>
      </c>
      <c r="BA28" s="122">
        <f>-8.921-AZ28-AY28</f>
        <v>4.3710000000000004</v>
      </c>
      <c r="BB28" s="51">
        <f>5.862-SUM(AY28:BA28)</f>
        <v>14.782999999999999</v>
      </c>
      <c r="BC28" s="6">
        <f t="shared" si="20"/>
        <v>5.8620000000000001</v>
      </c>
      <c r="BD28" s="28"/>
      <c r="BE28" s="53">
        <v>4.891</v>
      </c>
      <c r="BF28" s="122">
        <f>5.505-BE28</f>
        <v>0.61399999999999988</v>
      </c>
      <c r="BG28" s="122">
        <f>-2.617-SUM(BE28:BF28)</f>
        <v>-8.1219999999999999</v>
      </c>
      <c r="BH28" s="51">
        <f>4.15+0.257-SUM(BE28:BG28)</f>
        <v>7.024</v>
      </c>
      <c r="BI28" s="6">
        <f t="shared" si="21"/>
        <v>4.407</v>
      </c>
      <c r="BJ28" s="28"/>
      <c r="BK28" s="53">
        <v>3.379</v>
      </c>
      <c r="BL28" s="1062">
        <f>11.936-BK28</f>
        <v>8.5570000000000004</v>
      </c>
      <c r="BM28" s="1062">
        <f>-19.54-SUM(BK28:BL28)</f>
        <v>-31.475999999999999</v>
      </c>
      <c r="BN28" s="1062">
        <f>-13.09+5.85-SUM(BK28:BM28)</f>
        <v>12.299999999999999</v>
      </c>
      <c r="BO28" s="6">
        <f t="shared" si="22"/>
        <v>-7.24</v>
      </c>
      <c r="BP28" s="28"/>
      <c r="BQ28" s="53">
        <f>-4.726-3.025</f>
        <v>-7.7509999999999994</v>
      </c>
      <c r="BR28" s="1062">
        <f>-7.268-BQ28</f>
        <v>0.48299999999999965</v>
      </c>
      <c r="BS28" s="1063">
        <f>-8.903+4.225-SUM(BQ28:BR28)</f>
        <v>2.589999999999999</v>
      </c>
      <c r="BT28" s="1063">
        <f>2.73-3.45-SUM(BQ28:BS28)</f>
        <v>3.9580000000000006</v>
      </c>
      <c r="BU28" s="6">
        <f t="shared" si="14"/>
        <v>-0.7200000000000002</v>
      </c>
      <c r="BV28" s="28"/>
      <c r="BW28" s="53">
        <f>3.265-6.811</f>
        <v>-3.5459999999999998</v>
      </c>
      <c r="BX28" s="1062">
        <f>4.617-3.853-BW28</f>
        <v>4.3099999999999996</v>
      </c>
      <c r="BY28" s="1062">
        <f>4.607-3.965-SUM(BW28:BX28)</f>
        <v>-0.12199999999999944</v>
      </c>
      <c r="BZ28" s="1063">
        <f>3.549+8.054-SUM(BW28:BY28)</f>
        <v>10.960999999999999</v>
      </c>
      <c r="CA28" s="6">
        <f t="shared" si="15"/>
        <v>11.602999999999998</v>
      </c>
      <c r="CB28" s="28"/>
      <c r="CC28" s="53">
        <f>-2.767-0.327</f>
        <v>-3.0939999999999999</v>
      </c>
      <c r="CD28" s="1062">
        <f>-1.676-0.438-CC28</f>
        <v>0.98</v>
      </c>
      <c r="CE28" s="1062">
        <f>-0.651-0.61-SUM(CC28:CD28)</f>
        <v>0.85299999999999976</v>
      </c>
      <c r="CF28" s="1063">
        <f>24.09-16.786-SUM(CC28:CE28)</f>
        <v>8.5649999999999977</v>
      </c>
      <c r="CG28" s="6">
        <f t="shared" si="16"/>
        <v>7.3039999999999976</v>
      </c>
      <c r="CH28" s="28"/>
      <c r="CI28" s="53">
        <v>0</v>
      </c>
      <c r="CJ28" s="51">
        <v>0</v>
      </c>
      <c r="CK28" s="51">
        <v>0</v>
      </c>
      <c r="CL28" s="51">
        <v>0</v>
      </c>
      <c r="CM28" s="6">
        <f>SUM(CI28:CL28)</f>
        <v>0</v>
      </c>
      <c r="CN28" s="28"/>
      <c r="CO28" s="53">
        <v>0</v>
      </c>
      <c r="CP28" s="51">
        <v>0</v>
      </c>
      <c r="CQ28" s="51">
        <v>0</v>
      </c>
      <c r="CR28" s="51">
        <v>0</v>
      </c>
      <c r="CS28" s="6">
        <f>SUM(CO28:CR28)</f>
        <v>0</v>
      </c>
      <c r="CT28" s="28"/>
      <c r="CU28" s="53">
        <v>0</v>
      </c>
      <c r="CV28" s="51">
        <v>0</v>
      </c>
      <c r="CW28" s="51">
        <v>0</v>
      </c>
      <c r="CX28" s="51">
        <v>0</v>
      </c>
      <c r="CY28" s="6">
        <f>SUM(CU28:CX28)</f>
        <v>0</v>
      </c>
      <c r="CZ28" s="259"/>
      <c r="DA28" s="259"/>
      <c r="DB28" s="48"/>
    </row>
    <row r="29" spans="1:112" ht="11.25" customHeight="1" collapsed="1" x14ac:dyDescent="0.2">
      <c r="A29" s="473" t="s">
        <v>62</v>
      </c>
      <c r="B29" s="240"/>
      <c r="C29" s="279"/>
      <c r="D29" s="240"/>
      <c r="E29" s="240"/>
      <c r="F29" s="240"/>
      <c r="G29" s="474">
        <f>G20+G18+G17+G15+G12+G11+G9+G19+G16</f>
        <v>53.797999999999995</v>
      </c>
      <c r="H29" s="431"/>
      <c r="I29" s="475">
        <f>I20+I18+I17+I15+I12+I11+I9+I19+I16</f>
        <v>20.716999999999999</v>
      </c>
      <c r="J29" s="431">
        <f>J20+J18+J17+J15+J12+J11+J9+J19+J16</f>
        <v>24.917999999999999</v>
      </c>
      <c r="K29" s="431">
        <f>K20+K18+K17+K15+K12+K11+K9+K19+K16</f>
        <v>19.234000000000002</v>
      </c>
      <c r="L29" s="431">
        <f>L20+L18+L17+L15+L12+L11+L9+L19+L16</f>
        <v>26.367999999999995</v>
      </c>
      <c r="M29" s="474">
        <f>M20+M18+M17+M15+M12+M11+M9+M19+M16</f>
        <v>91.237000000000009</v>
      </c>
      <c r="N29" s="431"/>
      <c r="O29" s="475">
        <f>O20+O18+O17+O15+O12+O11+O9+O19+O16</f>
        <v>22.327999999999999</v>
      </c>
      <c r="P29" s="431">
        <f>P20+P18+P17+P15+P12+P11+P9+P19+P16</f>
        <v>23.548000000000002</v>
      </c>
      <c r="Q29" s="431">
        <f>Q20+Q18+Q17+Q15+Q12+Q11+Q9+Q19+Q16</f>
        <v>23.650999999999996</v>
      </c>
      <c r="R29" s="431">
        <f>R20+R18+R17+R15+R12+R11+R9+R19+R16</f>
        <v>31.952000000000012</v>
      </c>
      <c r="S29" s="474">
        <f>S20+S18+S17+S15+S12+S11+S9+S19+S16</f>
        <v>101.479</v>
      </c>
      <c r="T29" s="431"/>
      <c r="U29" s="475">
        <f>U20+U18+U17+U15+U12+U11+U9+U19+U16</f>
        <v>21.18</v>
      </c>
      <c r="V29" s="431">
        <f>V20+V18+V17+V15+V12+V11+V9+V19+V16</f>
        <v>13.935000000000006</v>
      </c>
      <c r="W29" s="431">
        <f>W20+W18+W17+W15+W12+W11+W9+W19+W16</f>
        <v>27.581</v>
      </c>
      <c r="X29" s="431">
        <f>X20+X18+X17+X15+X12+X11+X9+X19+X16</f>
        <v>22.114999999999977</v>
      </c>
      <c r="Y29" s="474">
        <f>Y20+Y18+Y17+Y15+Y12+Y11+Y9+Y19+Y16</f>
        <v>84.810999999999979</v>
      </c>
      <c r="Z29" s="476"/>
      <c r="AA29" s="475">
        <f>AA20+AA18+AA17+AA15+AA12+AA11+AA9+AA19+AA16</f>
        <v>5.6779999999999973</v>
      </c>
      <c r="AB29" s="431">
        <f>AB20+AB18+AB17+AB15+AB12+AB11+AB9+AB19+AB16</f>
        <v>47.319999999999993</v>
      </c>
      <c r="AC29" s="431">
        <f>AC20+AC18+AC17+AC15+AC12+AC11+AC9+AC19+AC16</f>
        <v>31.475999999999992</v>
      </c>
      <c r="AD29" s="431">
        <f>AD20+AD18+AD17+AD15+AD12+AD11+AD9+AD19+AD16</f>
        <v>88.524000000000001</v>
      </c>
      <c r="AE29" s="474">
        <f>AE20+AE18+AE17+AE15+AE12+AE11+AE9+AE19+AE16</f>
        <v>172.99799999999999</v>
      </c>
      <c r="AF29" s="431"/>
      <c r="AG29" s="475">
        <f>AG20+AG18+AG17+AG15+AG12+AG11+AG9+AG19+AG16</f>
        <v>13.774000000000004</v>
      </c>
      <c r="AH29" s="431">
        <f>AH20+AH18+AH17+AH15+AH12+AH11+AH9+AH19+AH16</f>
        <v>73.673000000000016</v>
      </c>
      <c r="AI29" s="431">
        <f>AI20+AI18+AI17+AI15+AI12+AI11+AI9+AI19+AI16</f>
        <v>76.884</v>
      </c>
      <c r="AJ29" s="431">
        <f>AJ20+AJ18+AJ17+AJ15+AJ12+AJ11+AJ9+AJ19+AJ16</f>
        <v>52.664000000000009</v>
      </c>
      <c r="AK29" s="474">
        <f>AK20+AK18+AK17+AK15+AK12+AK11+AK9+AK19+AK16</f>
        <v>216.995</v>
      </c>
      <c r="AL29" s="431"/>
      <c r="AM29" s="475">
        <f>AM20+AM18+AM17+AM15+AM12+AM11+AM9+AM19+AM16</f>
        <v>29.554000000000013</v>
      </c>
      <c r="AN29" s="431">
        <f>AN20+AN18+AN17+AN15+AN12+AN11+AN9+AN19+AN16</f>
        <v>46.926000000000002</v>
      </c>
      <c r="AO29" s="431">
        <f>AO20+AO18+AO17+AO15+AO12+AO11+AO9+AO19+AO16</f>
        <v>88.449000000000012</v>
      </c>
      <c r="AP29" s="431">
        <f>AP20+AP18+AP17+AP15+AP12+AP11+AP9+AP19+AP16</f>
        <v>85.822999999999979</v>
      </c>
      <c r="AQ29" s="474">
        <f>AQ20+AQ18+AQ17+AQ15+AQ12+AQ11+AQ9+AQ19+AQ16</f>
        <v>250.75200000000001</v>
      </c>
      <c r="AR29" s="431"/>
      <c r="AS29" s="475">
        <f>AS20+AS18+AS17+AS15+AS12+AS11+AS9+AS19+AS16</f>
        <v>50.043000000000006</v>
      </c>
      <c r="AT29" s="431">
        <f>AT20+AT18+AT17+AT15+AT12+AT11+AT9+AT19+AT16</f>
        <v>56.016999999999996</v>
      </c>
      <c r="AU29" s="431">
        <f>AU20+AU18+AU17+AU15+AU12+AU11+AU9+AU19+AU16</f>
        <v>59.039999999999992</v>
      </c>
      <c r="AV29" s="431">
        <f>AV20+AV18+AV17+AV15+AV12+AV11+AV9+AV19+AV16</f>
        <v>79.679000000000002</v>
      </c>
      <c r="AW29" s="474">
        <f>AW20+AW18+AW17+AW15+AW12+AW11+AW9+AW19+AW16</f>
        <v>244.779</v>
      </c>
      <c r="AX29" s="431"/>
      <c r="AY29" s="475">
        <f>AY20+AY18+AY17+AY15+AY12+AY11+AY9+AY19+AY16</f>
        <v>11.122999999999998</v>
      </c>
      <c r="AZ29" s="431">
        <f>AZ20+AZ18+AZ17+AZ15+AZ12+AZ11+AZ9+AZ19+AZ16</f>
        <v>88.915999999999997</v>
      </c>
      <c r="BA29" s="431">
        <f>BA20+BA18+BA17+BA15+BA12+BA11+BA9+BA19+BA16</f>
        <v>74.926999999999992</v>
      </c>
      <c r="BB29" s="431">
        <f>BB20+BB18+BB17+BB15+BB12+BB11+BB9+BB19+BB16</f>
        <v>69.914000000000016</v>
      </c>
      <c r="BC29" s="474">
        <f>BC20+BC18+BC17+BC15+BC12+BC11+BC9+BC19+BC16</f>
        <v>244.87999999999997</v>
      </c>
      <c r="BD29" s="431"/>
      <c r="BE29" s="475">
        <f>BE20+BE18+BE17+BE15+BE12+BE11+BE9+BE19+BE16</f>
        <v>45.875</v>
      </c>
      <c r="BF29" s="431">
        <f>BF20+BF18+BF17+BF15+BF12+BF11+BF9+BF19+BF16</f>
        <v>47.956999999999987</v>
      </c>
      <c r="BG29" s="431">
        <f>BG20+BG18+BG17+BG15+BG12+BG11+BG9+BG19+BG16</f>
        <v>82.938000000000002</v>
      </c>
      <c r="BH29" s="431">
        <f>BH20+BH18+BH17+BH15+BH12+BH11+BH9+BH19+BH16</f>
        <v>82.186999999999983</v>
      </c>
      <c r="BI29" s="474">
        <f>BI20+BI18+BI17+BI15+BI12+BI11+BI9+BI19+BI16</f>
        <v>258.95699999999999</v>
      </c>
      <c r="BJ29" s="431"/>
      <c r="BK29" s="475">
        <f>BK20+BK18+BK17+BK15+BK12+BK11+BK9+BK19+BK16</f>
        <v>45.610000000000007</v>
      </c>
      <c r="BL29" s="431">
        <f>BL20+BL18+BL17+BL15+BL12+BL11+BL9+BL19+BL16</f>
        <v>73.603999999999999</v>
      </c>
      <c r="BM29" s="431">
        <f>BM20+BM18+BM17+BM15+BM12+BM11+BM9+BM19+BM16</f>
        <v>89.733999999999995</v>
      </c>
      <c r="BN29" s="476">
        <f>BN20+BN18+BN17+BN15+BN12+BN11+BN9+BN19+BN16</f>
        <v>79.017000000000053</v>
      </c>
      <c r="BO29" s="474">
        <f>BO20+BO18+BO17+BO15+BO12+BO11+BO9+BO19+BO16</f>
        <v>287.96500000000003</v>
      </c>
      <c r="BP29" s="431"/>
      <c r="BQ29" s="475">
        <f>BQ20+BQ18+BQ17+BQ15+BQ12+BQ11+BQ9+BQ19+BQ16</f>
        <v>62.843000000000004</v>
      </c>
      <c r="BR29" s="431">
        <f>BR20+BR18+BR17+BR15+BR12+BR11+BR9+BR19+BR16</f>
        <v>71.83</v>
      </c>
      <c r="BS29" s="431">
        <f>BS20+BS18+BS17+BS15+BS12+BS11+BS9+BS19+BS16</f>
        <v>96.061999999999998</v>
      </c>
      <c r="BT29" s="476">
        <f>BT20+BT18+BT17+BT15+BT12+BT11+BT9+BT19+BT16</f>
        <v>86.762000000000029</v>
      </c>
      <c r="BU29" s="474">
        <f>BU20+BU18+BU17+BU15+BU12+BU11+BU9+BU19+BU16</f>
        <v>317.49700000000001</v>
      </c>
      <c r="BV29" s="431"/>
      <c r="BW29" s="475">
        <f>BW20+BW18+BW17+BW15+BW12+BW11+BW9+BW19+BW16</f>
        <v>48.691000000000003</v>
      </c>
      <c r="BX29" s="431">
        <f>BX20+BX18+BX17+BX15+BX12+BX11+BX9+BX19+BX16</f>
        <v>99.076999999999984</v>
      </c>
      <c r="BY29" s="431">
        <f>BY20+BY18+BY17+BY15+BY12+BY11+BY9+BY19+BY16</f>
        <v>93.810999999999993</v>
      </c>
      <c r="BZ29" s="476">
        <f>BZ20+BZ18+BZ17+BZ15+BZ12+BZ11+BZ9+BZ19+BZ16</f>
        <v>100.023</v>
      </c>
      <c r="CA29" s="474">
        <f>CA20+CA18+CA17+CA15+CA12+CA11+CA9+CA19+CA16</f>
        <v>341.60200000000003</v>
      </c>
      <c r="CB29" s="431"/>
      <c r="CC29" s="475">
        <f>CC20+CC18+CC17+CC15+CC12+CC11+CC9+CC19+CC16</f>
        <v>60.156999999999996</v>
      </c>
      <c r="CD29" s="431">
        <f>CD20+CD18+CD17+CD15+CD12+CD11+CD9+CD19+CD16</f>
        <v>69.358999999999995</v>
      </c>
      <c r="CE29" s="431">
        <f>CE20+CE18+CE17+CE15+CE12+CE11+CE9+CE19+CE16</f>
        <v>81.196999999999989</v>
      </c>
      <c r="CF29" s="476">
        <f>CF20+CF18+CF17+CF15+CF12+CF11+CF9+CF19+CF16</f>
        <v>76.066000000000017</v>
      </c>
      <c r="CG29" s="474">
        <f>CG20+CG18+CG17+CG15+CG12+CG11+CG9+CG19+CG16</f>
        <v>286.779</v>
      </c>
      <c r="CH29" s="431"/>
      <c r="CI29" s="475">
        <f>CI20+CI18+CI17+CI15+CI12+CI11+CI9+CI19+CI16</f>
        <v>67.637318415670563</v>
      </c>
      <c r="CJ29" s="431">
        <f>CJ20+CJ18+CJ17+CJ15+CJ12+CJ11+CJ9+CJ19+CJ16</f>
        <v>54.679696735279954</v>
      </c>
      <c r="CK29" s="431">
        <f>CK20+CK18+CK17+CK15+CK12+CK11+CK9+CK19+CK16</f>
        <v>22.161753890577977</v>
      </c>
      <c r="CL29" s="431">
        <f>CL20+CL18+CL17+CL15+CL12+CL11+CL9+CL19+CL16</f>
        <v>114.93098445084021</v>
      </c>
      <c r="CM29" s="474">
        <f>CM20+CM18+CM17+CM15+CM12+CM11+CM9+CM19+CM16</f>
        <v>259.40975349236868</v>
      </c>
      <c r="CN29" s="431"/>
      <c r="CO29" s="475">
        <f>CO20+CO18+CO17+CO15+CO12+CO11+CO9+CO19+CO16</f>
        <v>127.3718247610731</v>
      </c>
      <c r="CP29" s="431">
        <f>CP20+CP18+CP17+CP15+CP12+CP11+CP9+CP19+CP16</f>
        <v>82.174818430327264</v>
      </c>
      <c r="CQ29" s="431">
        <f>CQ20+CQ18+CQ17+CQ15+CQ12+CQ11+CQ9+CQ19+CQ16</f>
        <v>25.853272704067827</v>
      </c>
      <c r="CR29" s="431">
        <f>CR20+CR18+CR17+CR15+CR12+CR11+CR9+CR19+CR16</f>
        <v>125.01544238564317</v>
      </c>
      <c r="CS29" s="474">
        <f>CS20+CS18+CS17+CS15+CS12+CS11+CS9+CS19+CS16</f>
        <v>360.41535828111137</v>
      </c>
      <c r="CT29" s="431"/>
      <c r="CU29" s="475">
        <f>CU20+CU18+CU17+CU15+CU12+CU11+CU9+CU19+CU16</f>
        <v>164.97173957973519</v>
      </c>
      <c r="CV29" s="431">
        <f>CV20+CV18+CV17+CV15+CV12+CV11+CV9+CV19+CV16</f>
        <v>115.26462502513594</v>
      </c>
      <c r="CW29" s="431">
        <f>CW20+CW18+CW17+CW15+CW12+CW11+CW9+CW19+CW16</f>
        <v>42.086697436812756</v>
      </c>
      <c r="CX29" s="431">
        <f>CX20+CX18+CX17+CX15+CX12+CX11+CX9+CX19+CX16</f>
        <v>157.38827082332301</v>
      </c>
      <c r="CY29" s="474">
        <f>CY20+CY18+CY17+CY15+CY12+CY11+CY9+CY19+CY16</f>
        <v>479.71133286500691</v>
      </c>
      <c r="CZ29" s="255"/>
      <c r="DA29" s="255"/>
      <c r="DB29" s="48"/>
    </row>
    <row r="30" spans="1:112" ht="11.25" customHeight="1" x14ac:dyDescent="0.2">
      <c r="A30" s="58"/>
      <c r="B30" s="48"/>
      <c r="C30" s="59"/>
      <c r="D30" s="48"/>
      <c r="E30" s="48"/>
      <c r="F30" s="48"/>
      <c r="G30" s="6"/>
      <c r="H30" s="28"/>
      <c r="I30" s="19"/>
      <c r="J30" s="28"/>
      <c r="K30" s="28"/>
      <c r="L30" s="20"/>
      <c r="M30" s="6"/>
      <c r="N30" s="28"/>
      <c r="O30" s="19"/>
      <c r="P30" s="28"/>
      <c r="Q30" s="28"/>
      <c r="R30" s="20"/>
      <c r="S30" s="6"/>
      <c r="T30" s="28"/>
      <c r="U30" s="19"/>
      <c r="V30" s="28"/>
      <c r="W30" s="28"/>
      <c r="X30" s="20"/>
      <c r="Y30" s="6"/>
      <c r="Z30" s="28"/>
      <c r="AA30" s="19"/>
      <c r="AB30" s="28"/>
      <c r="AC30" s="28"/>
      <c r="AD30" s="20"/>
      <c r="AE30" s="6"/>
      <c r="AF30" s="28"/>
      <c r="AG30" s="19"/>
      <c r="AH30" s="28"/>
      <c r="AI30" s="28"/>
      <c r="AJ30" s="20"/>
      <c r="AK30" s="6"/>
      <c r="AL30" s="28"/>
      <c r="AM30" s="19"/>
      <c r="AN30" s="28"/>
      <c r="AO30" s="28"/>
      <c r="AP30" s="20"/>
      <c r="AQ30" s="6"/>
      <c r="AR30" s="28"/>
      <c r="AS30" s="19"/>
      <c r="AT30" s="28"/>
      <c r="AU30" s="28"/>
      <c r="AV30" s="20"/>
      <c r="AW30" s="6"/>
      <c r="AX30" s="28"/>
      <c r="AY30" s="19"/>
      <c r="AZ30" s="28"/>
      <c r="BA30" s="28"/>
      <c r="BB30" s="28"/>
      <c r="BC30" s="6"/>
      <c r="BD30" s="28"/>
      <c r="BE30" s="19"/>
      <c r="BF30" s="28"/>
      <c r="BG30" s="28"/>
      <c r="BH30" s="28"/>
      <c r="BI30" s="6"/>
      <c r="BJ30" s="28"/>
      <c r="BK30" s="19"/>
      <c r="BL30" s="28"/>
      <c r="BM30" s="28"/>
      <c r="BN30" s="28"/>
      <c r="BO30" s="6"/>
      <c r="BP30" s="28"/>
      <c r="BQ30" s="19"/>
      <c r="BR30" s="28"/>
      <c r="BS30" s="28"/>
      <c r="BT30" s="28"/>
      <c r="BU30" s="6"/>
      <c r="BV30" s="28"/>
      <c r="BW30" s="19"/>
      <c r="BX30" s="28"/>
      <c r="BY30" s="28"/>
      <c r="BZ30" s="28"/>
      <c r="CA30" s="6"/>
      <c r="CB30" s="28"/>
      <c r="CC30" s="19"/>
      <c r="CD30" s="28"/>
      <c r="CE30" s="28"/>
      <c r="CF30" s="28"/>
      <c r="CG30" s="6"/>
      <c r="CH30" s="28"/>
      <c r="CI30" s="19"/>
      <c r="CJ30" s="28"/>
      <c r="CK30" s="28"/>
      <c r="CL30" s="28"/>
      <c r="CM30" s="6"/>
      <c r="CN30" s="28"/>
      <c r="CO30" s="19"/>
      <c r="CP30" s="28"/>
      <c r="CQ30" s="28"/>
      <c r="CR30" s="28"/>
      <c r="CS30" s="6"/>
      <c r="CT30" s="28"/>
      <c r="CU30" s="19"/>
      <c r="CV30" s="28"/>
      <c r="CW30" s="28"/>
      <c r="CX30" s="28"/>
      <c r="CY30" s="6"/>
      <c r="CZ30" s="20"/>
      <c r="DA30" s="20"/>
      <c r="DB30" s="48"/>
    </row>
    <row r="31" spans="1:112" ht="11.25" customHeight="1" x14ac:dyDescent="0.2">
      <c r="A31" s="203" t="s">
        <v>63</v>
      </c>
      <c r="B31" s="48"/>
      <c r="C31" s="59"/>
      <c r="D31" s="48"/>
      <c r="E31" s="48"/>
      <c r="F31" s="48"/>
      <c r="G31" s="6"/>
      <c r="H31" s="28"/>
      <c r="I31" s="19"/>
      <c r="J31" s="28"/>
      <c r="K31" s="28"/>
      <c r="L31" s="20"/>
      <c r="M31" s="6"/>
      <c r="N31" s="28"/>
      <c r="O31" s="19"/>
      <c r="P31" s="28"/>
      <c r="Q31" s="28"/>
      <c r="R31" s="20"/>
      <c r="S31" s="6"/>
      <c r="T31" s="28"/>
      <c r="U31" s="19"/>
      <c r="V31" s="28"/>
      <c r="W31" s="28"/>
      <c r="X31" s="20"/>
      <c r="Y31" s="6"/>
      <c r="Z31" s="28"/>
      <c r="AA31" s="19"/>
      <c r="AB31" s="28"/>
      <c r="AC31" s="28"/>
      <c r="AD31" s="20"/>
      <c r="AE31" s="6"/>
      <c r="AF31" s="28"/>
      <c r="AG31" s="19"/>
      <c r="AH31" s="28"/>
      <c r="AI31" s="28"/>
      <c r="AJ31" s="20"/>
      <c r="AK31" s="6"/>
      <c r="AL31" s="28"/>
      <c r="AM31" s="19"/>
      <c r="AN31" s="28"/>
      <c r="AO31" s="28"/>
      <c r="AP31" s="20"/>
      <c r="AQ31" s="6"/>
      <c r="AR31" s="28"/>
      <c r="AS31" s="19"/>
      <c r="AT31" s="28"/>
      <c r="AU31" s="28"/>
      <c r="AV31" s="20"/>
      <c r="AW31" s="6"/>
      <c r="AX31" s="28"/>
      <c r="AY31" s="19"/>
      <c r="AZ31" s="28"/>
      <c r="BA31" s="28"/>
      <c r="BB31" s="28"/>
      <c r="BC31" s="6"/>
      <c r="BD31" s="28"/>
      <c r="BE31" s="19"/>
      <c r="BF31" s="28"/>
      <c r="BG31" s="28"/>
      <c r="BH31" s="28"/>
      <c r="BI31" s="6"/>
      <c r="BJ31" s="28"/>
      <c r="BK31" s="19"/>
      <c r="BL31" s="28"/>
      <c r="BM31" s="28"/>
      <c r="BN31" s="28"/>
      <c r="BO31" s="6"/>
      <c r="BP31" s="28"/>
      <c r="BQ31" s="19"/>
      <c r="BR31" s="28"/>
      <c r="BS31" s="28"/>
      <c r="BT31" s="28"/>
      <c r="BU31" s="6"/>
      <c r="BV31" s="28"/>
      <c r="BW31" s="19"/>
      <c r="BX31" s="28"/>
      <c r="BY31" s="28"/>
      <c r="BZ31" s="28"/>
      <c r="CA31" s="6"/>
      <c r="CB31" s="28"/>
      <c r="CC31" s="19"/>
      <c r="CD31" s="28"/>
      <c r="CE31" s="28"/>
      <c r="CF31" s="28"/>
      <c r="CG31" s="6"/>
      <c r="CH31" s="28"/>
      <c r="CI31" s="19"/>
      <c r="CJ31" s="28"/>
      <c r="CK31" s="28"/>
      <c r="CL31" s="28"/>
      <c r="CM31" s="6"/>
      <c r="CN31" s="28"/>
      <c r="CO31" s="19"/>
      <c r="CP31" s="28"/>
      <c r="CQ31" s="28"/>
      <c r="CR31" s="28"/>
      <c r="CS31" s="6"/>
      <c r="CT31" s="28"/>
      <c r="CU31" s="19"/>
      <c r="CV31" s="28"/>
      <c r="CW31" s="28"/>
      <c r="CX31" s="28"/>
      <c r="CY31" s="6"/>
      <c r="CZ31" s="20"/>
      <c r="DA31" s="20"/>
      <c r="DB31" s="48"/>
    </row>
    <row r="32" spans="1:112" ht="11.25" customHeight="1" x14ac:dyDescent="0.2">
      <c r="A32" s="354" t="s">
        <v>64</v>
      </c>
      <c r="B32" s="48"/>
      <c r="C32" s="59"/>
      <c r="D32" s="48"/>
      <c r="E32" s="48"/>
      <c r="F32" s="48"/>
      <c r="G32" s="331">
        <v>-12.621</v>
      </c>
      <c r="H32" s="122"/>
      <c r="I32" s="53">
        <v>-2.9260000000000002</v>
      </c>
      <c r="J32" s="122">
        <f>-5.607-I32</f>
        <v>-2.681</v>
      </c>
      <c r="K32" s="122">
        <f>-8.209-I32-J32</f>
        <v>-2.6019999999999994</v>
      </c>
      <c r="L32" s="51">
        <f>-13.728-I32-J32-K32</f>
        <v>-5.5189999999999992</v>
      </c>
      <c r="M32" s="304">
        <f t="shared" ref="M32:M39" si="24">SUM(I32:L32)</f>
        <v>-13.727999999999998</v>
      </c>
      <c r="N32" s="122"/>
      <c r="O32" s="53">
        <v>-4.5629999999999997</v>
      </c>
      <c r="P32" s="122">
        <f>-10.404-O32</f>
        <v>-5.8410000000000002</v>
      </c>
      <c r="Q32" s="122">
        <f>-18.075-O32-P32</f>
        <v>-7.6710000000000003</v>
      </c>
      <c r="R32" s="51">
        <f>-28.995-O32-P32-Q32</f>
        <v>-10.920000000000002</v>
      </c>
      <c r="S32" s="304">
        <f t="shared" ref="S32:S39" si="25">SUM(O32:R32)</f>
        <v>-28.995000000000001</v>
      </c>
      <c r="T32" s="122"/>
      <c r="U32" s="53">
        <v>-6.8390000000000004</v>
      </c>
      <c r="V32" s="122">
        <f>-14.953-U32</f>
        <v>-8.113999999999999</v>
      </c>
      <c r="W32" s="122">
        <f>-23.837-U32-V32</f>
        <v>-8.8839999999999986</v>
      </c>
      <c r="X32" s="51">
        <f>-34.492-U32-V32-W32</f>
        <v>-10.655000000000003</v>
      </c>
      <c r="Y32" s="304">
        <f t="shared" ref="Y32:Y39" si="26">SUM(U32:X32)</f>
        <v>-34.491999999999997</v>
      </c>
      <c r="Z32" s="122"/>
      <c r="AA32" s="53">
        <v>-9.5440000000000005</v>
      </c>
      <c r="AB32" s="122">
        <f>-15.595-AA32</f>
        <v>-6.0510000000000002</v>
      </c>
      <c r="AC32" s="122">
        <f>-26.885-AA32-AB32</f>
        <v>-11.290000000000001</v>
      </c>
      <c r="AD32" s="51">
        <f>-39.448-AA32-AB32-AC32</f>
        <v>-12.563000000000001</v>
      </c>
      <c r="AE32" s="304">
        <f t="shared" ref="AE32:AE39" si="27">SUM(AA32:AD32)</f>
        <v>-39.448</v>
      </c>
      <c r="AF32" s="122"/>
      <c r="AG32" s="53">
        <v>-9.9269999999999996</v>
      </c>
      <c r="AH32" s="122">
        <f>-22.816-AG32</f>
        <v>-12.888999999999999</v>
      </c>
      <c r="AI32" s="122">
        <f>-36.839-AG32-AH32</f>
        <v>-14.023</v>
      </c>
      <c r="AJ32" s="51">
        <f>-52.179-AG32-AH32-AI32</f>
        <v>-15.340000000000003</v>
      </c>
      <c r="AK32" s="304">
        <f t="shared" ref="AK32:AK39" si="28">SUM(AG32:AJ32)</f>
        <v>-52.179000000000002</v>
      </c>
      <c r="AL32" s="122"/>
      <c r="AM32" s="53">
        <v>-17.207999999999998</v>
      </c>
      <c r="AN32" s="122">
        <f>-35.382-AM32</f>
        <v>-18.173999999999999</v>
      </c>
      <c r="AO32" s="122">
        <f>-57.323-AM32-AN32</f>
        <v>-21.941000000000003</v>
      </c>
      <c r="AP32" s="51">
        <f>-79.666-AM32-AN32-AO32</f>
        <v>-22.342999999999996</v>
      </c>
      <c r="AQ32" s="6">
        <f t="shared" ref="AQ32:AQ39" si="29">SUM(AM32:AP32)</f>
        <v>-79.665999999999997</v>
      </c>
      <c r="AR32" s="122"/>
      <c r="AS32" s="53">
        <v>-21.07</v>
      </c>
      <c r="AT32" s="122">
        <f>-39.319-AS32</f>
        <v>-18.249000000000002</v>
      </c>
      <c r="AU32" s="122">
        <f>-56.482-AS32-AT32</f>
        <v>-17.162999999999997</v>
      </c>
      <c r="AV32" s="51">
        <f>-86.805-AS32-AT32-AU32</f>
        <v>-30.323000000000015</v>
      </c>
      <c r="AW32" s="6">
        <f t="shared" ref="AW32:AW39" si="30">SUM(AS32:AV32)</f>
        <v>-86.805000000000007</v>
      </c>
      <c r="AX32" s="122"/>
      <c r="AY32" s="53">
        <v>-18.853000000000002</v>
      </c>
      <c r="AZ32" s="122">
        <f>-41.836-AY32</f>
        <v>-22.982999999999997</v>
      </c>
      <c r="BA32" s="122">
        <f>-67.931-AZ32-AY32</f>
        <v>-26.094999999999999</v>
      </c>
      <c r="BB32" s="51">
        <f>-101.996-SUM(AY32:BA32)</f>
        <v>-34.064999999999998</v>
      </c>
      <c r="BC32" s="6">
        <f t="shared" ref="BC32:BC39" si="31">SUM(AY32:BB32)</f>
        <v>-101.996</v>
      </c>
      <c r="BD32" s="28"/>
      <c r="BE32" s="53">
        <v>-15.773999999999999</v>
      </c>
      <c r="BF32" s="122">
        <f>-33.695-BE32</f>
        <v>-17.920999999999999</v>
      </c>
      <c r="BG32" s="122">
        <f>-55.836-SUM(BE32:BF32)</f>
        <v>-22.140999999999998</v>
      </c>
      <c r="BH32" s="51">
        <f>-84.468-SUM(BE32:BG32)</f>
        <v>-28.632000000000005</v>
      </c>
      <c r="BI32" s="6">
        <f t="shared" ref="BI32:BI39" si="32">SUM(BE32:BH32)</f>
        <v>-84.468000000000004</v>
      </c>
      <c r="BJ32" s="28"/>
      <c r="BK32" s="1064">
        <v>-17.344000000000001</v>
      </c>
      <c r="BL32" s="1063">
        <f>-42.491-BK32</f>
        <v>-25.146999999999998</v>
      </c>
      <c r="BM32" s="1063">
        <f>-60.27-SUM(BK32:BL32)</f>
        <v>-17.779000000000003</v>
      </c>
      <c r="BN32" s="1063">
        <f>-86.591-SUM(BK32:BM32)</f>
        <v>-26.320999999999991</v>
      </c>
      <c r="BO32" s="6">
        <f t="shared" ref="BO32:BO39" si="33">SUM(BK32:BN32)</f>
        <v>-86.590999999999994</v>
      </c>
      <c r="BP32" s="28"/>
      <c r="BQ32" s="1064">
        <v>-23.097999999999999</v>
      </c>
      <c r="BR32" s="1063">
        <f>-50.583-BQ32</f>
        <v>-27.484999999999999</v>
      </c>
      <c r="BS32" s="1063">
        <f>-67.683-SUM(BQ32:BR32)</f>
        <v>-17.100000000000009</v>
      </c>
      <c r="BT32" s="1063">
        <f>-97.778-SUM(BQ32:BS32)</f>
        <v>-30.094999999999999</v>
      </c>
      <c r="BU32" s="6">
        <f t="shared" ref="BU32:BU39" si="34">SUM(BQ32:BT32)</f>
        <v>-97.778000000000006</v>
      </c>
      <c r="BV32" s="28"/>
      <c r="BW32" s="1064">
        <v>-18.363</v>
      </c>
      <c r="BX32" s="1063">
        <f>-39.84-BW32</f>
        <v>-21.477000000000004</v>
      </c>
      <c r="BY32" s="1063">
        <f>-54.846-SUM(BW32:BX32)</f>
        <v>-15.005999999999993</v>
      </c>
      <c r="BZ32" s="1063">
        <f>-74.536-SUM(BW32:BY32)</f>
        <v>-19.690000000000005</v>
      </c>
      <c r="CA32" s="6">
        <f t="shared" ref="CA32:CA39" si="35">SUM(BW32:BZ32)</f>
        <v>-74.536000000000001</v>
      </c>
      <c r="CB32" s="28"/>
      <c r="CC32" s="1064">
        <v>-15.977</v>
      </c>
      <c r="CD32" s="1063">
        <f>-37.907-CC32</f>
        <v>-21.929999999999996</v>
      </c>
      <c r="CE32" s="1063">
        <f>-64.605-SUM(CC32:CD32)</f>
        <v>-26.698000000000008</v>
      </c>
      <c r="CF32" s="1063">
        <f>-90.081-SUM(CC32:CE32)</f>
        <v>-25.475999999999999</v>
      </c>
      <c r="CG32" s="6">
        <f t="shared" ref="CG32:CG39" si="36">SUM(CC32:CF32)</f>
        <v>-90.081000000000003</v>
      </c>
      <c r="CH32" s="28"/>
      <c r="CI32" s="847">
        <f>-BS!CI106</f>
        <v>-22.242802948246279</v>
      </c>
      <c r="CJ32" s="856">
        <f>-BS!CJ106</f>
        <v>-25.350503977616494</v>
      </c>
      <c r="CK32" s="856">
        <f>-BS!CK106</f>
        <v>-26.193623814536238</v>
      </c>
      <c r="CL32" s="856">
        <f>-BS!CL106</f>
        <v>-27.921381638505501</v>
      </c>
      <c r="CM32" s="6">
        <f t="shared" ref="CM32:CM39" si="37">SUM(CI32:CL32)</f>
        <v>-101.70831237890451</v>
      </c>
      <c r="CN32" s="28"/>
      <c r="CO32" s="847">
        <f>-BS!CO106</f>
        <v>-24.695391846452839</v>
      </c>
      <c r="CP32" s="856">
        <f>-BS!CP106</f>
        <v>-27.265649511447041</v>
      </c>
      <c r="CQ32" s="856">
        <f>-BS!CQ106</f>
        <v>-27.758098955067162</v>
      </c>
      <c r="CR32" s="856">
        <f>-BS!CR106</f>
        <v>-30.39409394240079</v>
      </c>
      <c r="CS32" s="6">
        <f t="shared" ref="CS32:CS39" si="38">SUM(CO32:CR32)</f>
        <v>-110.11323425536783</v>
      </c>
      <c r="CT32" s="28"/>
      <c r="CU32" s="847">
        <f>-BS!CU106</f>
        <v>-27.341777579833927</v>
      </c>
      <c r="CV32" s="856">
        <f>-BS!CV106</f>
        <v>-30.010833295819737</v>
      </c>
      <c r="CW32" s="856">
        <f>-BS!CW106</f>
        <v>-30.48540605798037</v>
      </c>
      <c r="CX32" s="856">
        <f>-BS!CX106</f>
        <v>-33.35105282734056</v>
      </c>
      <c r="CY32" s="6">
        <f t="shared" ref="CY32:CY39" si="39">SUM(CU32:CX32)</f>
        <v>-121.1890697609746</v>
      </c>
      <c r="CZ32" s="20"/>
      <c r="DA32" s="20"/>
      <c r="DB32" s="48"/>
    </row>
    <row r="33" spans="1:106" ht="11.25" customHeight="1" x14ac:dyDescent="0.2">
      <c r="A33" s="354" t="s">
        <v>65</v>
      </c>
      <c r="B33" s="48"/>
      <c r="C33" s="59"/>
      <c r="D33" s="48"/>
      <c r="E33" s="48"/>
      <c r="F33" s="48"/>
      <c r="G33" s="331">
        <v>1.5840000000000001</v>
      </c>
      <c r="H33" s="122"/>
      <c r="I33" s="53">
        <v>2.7E-2</v>
      </c>
      <c r="J33" s="122">
        <f>0.057-I33</f>
        <v>3.0000000000000002E-2</v>
      </c>
      <c r="K33" s="122">
        <f>1.289-I33-J33</f>
        <v>1.232</v>
      </c>
      <c r="L33" s="51">
        <f>1.738-I33-J33-K33</f>
        <v>0.44900000000000007</v>
      </c>
      <c r="M33" s="304">
        <f t="shared" si="24"/>
        <v>1.738</v>
      </c>
      <c r="N33" s="122"/>
      <c r="O33" s="53">
        <v>0.158</v>
      </c>
      <c r="P33" s="122">
        <f>0.249-O33</f>
        <v>9.0999999999999998E-2</v>
      </c>
      <c r="Q33" s="122">
        <f>0.691-O33-P33</f>
        <v>0.44199999999999995</v>
      </c>
      <c r="R33" s="51">
        <f>1.256-O33-P33-Q33</f>
        <v>0.56500000000000017</v>
      </c>
      <c r="S33" s="304">
        <f t="shared" si="25"/>
        <v>1.2560000000000002</v>
      </c>
      <c r="T33" s="122"/>
      <c r="U33" s="53">
        <v>0.39100000000000001</v>
      </c>
      <c r="V33" s="122">
        <f>0.514-U33</f>
        <v>0.123</v>
      </c>
      <c r="W33" s="122">
        <f>0.602-U33-V33</f>
        <v>8.7999999999999967E-2</v>
      </c>
      <c r="X33" s="51">
        <f>0.715-U33-V33-W33</f>
        <v>0.11299999999999999</v>
      </c>
      <c r="Y33" s="304">
        <f t="shared" si="26"/>
        <v>0.71499999999999997</v>
      </c>
      <c r="Z33" s="122"/>
      <c r="AA33" s="53">
        <v>3.5999999999999997E-2</v>
      </c>
      <c r="AB33" s="122">
        <f>0.377-AA33</f>
        <v>0.34100000000000003</v>
      </c>
      <c r="AC33" s="122">
        <f>0.975-AA33-AB33</f>
        <v>0.59799999999999986</v>
      </c>
      <c r="AD33" s="51">
        <f>1.233-AA33-AB33-AC33</f>
        <v>0.25800000000000023</v>
      </c>
      <c r="AE33" s="304">
        <f t="shared" si="27"/>
        <v>1.2330000000000001</v>
      </c>
      <c r="AF33" s="122"/>
      <c r="AG33" s="53">
        <v>1.4999999999999999E-2</v>
      </c>
      <c r="AH33" s="122">
        <f>0.078-AG33</f>
        <v>6.3E-2</v>
      </c>
      <c r="AI33" s="122">
        <f>0.367-AG33-AH33</f>
        <v>0.28899999999999998</v>
      </c>
      <c r="AJ33" s="51">
        <f>0.869-AG33-AH33-AI33</f>
        <v>0.502</v>
      </c>
      <c r="AK33" s="304">
        <f t="shared" si="28"/>
        <v>0.86899999999999999</v>
      </c>
      <c r="AL33" s="122"/>
      <c r="AM33" s="53">
        <v>1.0389999999999999</v>
      </c>
      <c r="AN33" s="122">
        <f>1.348-AM33</f>
        <v>0.30900000000000016</v>
      </c>
      <c r="AO33" s="122">
        <f>2.06-AM33-AN33</f>
        <v>0.71199999999999997</v>
      </c>
      <c r="AP33" s="51">
        <f>3.474-AM33-AN33-AO33</f>
        <v>1.4140000000000004</v>
      </c>
      <c r="AQ33" s="6">
        <f t="shared" si="29"/>
        <v>3.4740000000000002</v>
      </c>
      <c r="AR33" s="122"/>
      <c r="AS33" s="53">
        <v>0.41499999999999998</v>
      </c>
      <c r="AT33" s="122">
        <f>0.958-AS33</f>
        <v>0.54299999999999993</v>
      </c>
      <c r="AU33" s="122">
        <f>2.308-AS33-AT33</f>
        <v>1.3499999999999999</v>
      </c>
      <c r="AV33" s="51">
        <f>2.02-AS33-AT33-AU33</f>
        <v>-0.28799999999999981</v>
      </c>
      <c r="AW33" s="6">
        <f t="shared" si="30"/>
        <v>2.02</v>
      </c>
      <c r="AX33" s="122"/>
      <c r="AY33" s="53">
        <v>0.46</v>
      </c>
      <c r="AZ33" s="122">
        <f>0.806-AY33</f>
        <v>0.34600000000000003</v>
      </c>
      <c r="BA33" s="122">
        <f>1.02-AZ33-AY33</f>
        <v>0.21399999999999991</v>
      </c>
      <c r="BB33" s="51">
        <f>1.312-SUM(AY33:BA33)</f>
        <v>0.29200000000000004</v>
      </c>
      <c r="BC33" s="6">
        <f t="shared" si="31"/>
        <v>1.3120000000000001</v>
      </c>
      <c r="BD33" s="28"/>
      <c r="BE33" s="53">
        <v>3.9E-2</v>
      </c>
      <c r="BF33" s="122">
        <f>0.04-BE33</f>
        <v>1.0000000000000009E-3</v>
      </c>
      <c r="BG33" s="122">
        <f>0.045-SUM(BE33:BF33)</f>
        <v>4.9999999999999975E-3</v>
      </c>
      <c r="BH33" s="51">
        <f>0.044-SUM(BE33:BG33)</f>
        <v>-1.0000000000000009E-3</v>
      </c>
      <c r="BI33" s="6">
        <f t="shared" si="32"/>
        <v>4.3999999999999997E-2</v>
      </c>
      <c r="BJ33" s="28"/>
      <c r="BK33" s="53">
        <v>0</v>
      </c>
      <c r="BL33" s="1062">
        <f>0-BK33</f>
        <v>0</v>
      </c>
      <c r="BM33" s="1062">
        <f>0.025-SUM(BK33:BL33)</f>
        <v>2.5000000000000001E-2</v>
      </c>
      <c r="BN33" s="1062">
        <f>0.035-SUM(BK33:BM33)</f>
        <v>1.0000000000000002E-2</v>
      </c>
      <c r="BO33" s="6">
        <f t="shared" si="33"/>
        <v>3.5000000000000003E-2</v>
      </c>
      <c r="BP33" s="28"/>
      <c r="BQ33" s="53">
        <v>4.2000000000000003E-2</v>
      </c>
      <c r="BR33" s="1062">
        <f>0.052-BQ33</f>
        <v>9.999999999999995E-3</v>
      </c>
      <c r="BS33" s="1063">
        <f>0.103-SUM(BQ33:BR33)</f>
        <v>5.0999999999999997E-2</v>
      </c>
      <c r="BT33" s="1063">
        <f>0.103-SUM(BQ33:BS33)</f>
        <v>0</v>
      </c>
      <c r="BU33" s="6">
        <f t="shared" si="34"/>
        <v>0.10299999999999999</v>
      </c>
      <c r="BV33" s="28"/>
      <c r="BW33" s="53">
        <v>0</v>
      </c>
      <c r="BX33" s="1062">
        <f>0.02-BW33</f>
        <v>0.02</v>
      </c>
      <c r="BY33" s="1062">
        <f>0.022-SUM(BW33:BX33)</f>
        <v>1.9999999999999983E-3</v>
      </c>
      <c r="BZ33" s="1063">
        <f>0.063-SUM(BW33:BY33)</f>
        <v>4.1000000000000002E-2</v>
      </c>
      <c r="CA33" s="6">
        <f t="shared" si="35"/>
        <v>6.3E-2</v>
      </c>
      <c r="CB33" s="28"/>
      <c r="CC33" s="53">
        <v>4.8000000000000001E-2</v>
      </c>
      <c r="CD33" s="1062">
        <f>0.042-CC33</f>
        <v>-5.9999999999999984E-3</v>
      </c>
      <c r="CE33" s="1062">
        <f>0.042-SUM(CC33:CD33)</f>
        <v>0</v>
      </c>
      <c r="CF33" s="1063">
        <f>0.042-SUM(CC33:CE33)</f>
        <v>0</v>
      </c>
      <c r="CG33" s="6">
        <f t="shared" si="36"/>
        <v>4.2000000000000003E-2</v>
      </c>
      <c r="CH33" s="28"/>
      <c r="CI33" s="53">
        <v>0</v>
      </c>
      <c r="CJ33" s="51">
        <v>0</v>
      </c>
      <c r="CK33" s="51">
        <v>0</v>
      </c>
      <c r="CL33" s="51">
        <v>0</v>
      </c>
      <c r="CM33" s="6">
        <f t="shared" si="37"/>
        <v>0</v>
      </c>
      <c r="CN33" s="28"/>
      <c r="CO33" s="53">
        <v>0</v>
      </c>
      <c r="CP33" s="51">
        <v>0</v>
      </c>
      <c r="CQ33" s="51">
        <v>0</v>
      </c>
      <c r="CR33" s="51">
        <v>0</v>
      </c>
      <c r="CS33" s="6">
        <f t="shared" si="38"/>
        <v>0</v>
      </c>
      <c r="CT33" s="28"/>
      <c r="CU33" s="53">
        <v>0</v>
      </c>
      <c r="CV33" s="51">
        <v>0</v>
      </c>
      <c r="CW33" s="51">
        <v>0</v>
      </c>
      <c r="CX33" s="51">
        <v>0</v>
      </c>
      <c r="CY33" s="6">
        <f t="shared" si="39"/>
        <v>0</v>
      </c>
      <c r="CZ33" s="259"/>
      <c r="DA33" s="259"/>
      <c r="DB33" s="48"/>
    </row>
    <row r="34" spans="1:106" ht="11.25" customHeight="1" x14ac:dyDescent="0.2">
      <c r="A34" s="354" t="s">
        <v>66</v>
      </c>
      <c r="B34" s="48"/>
      <c r="C34" s="59"/>
      <c r="D34" s="48"/>
      <c r="E34" s="48"/>
      <c r="F34" s="48"/>
      <c r="G34" s="331">
        <v>-3.4929999999999999</v>
      </c>
      <c r="H34" s="122"/>
      <c r="I34" s="53">
        <v>-0.38200000000000001</v>
      </c>
      <c r="J34" s="122">
        <f>-3.95-I34</f>
        <v>-3.5680000000000001</v>
      </c>
      <c r="K34" s="122">
        <f>-14.243-I34-J34</f>
        <v>-10.293000000000001</v>
      </c>
      <c r="L34" s="51">
        <f>-15.276-I34-J34-K34</f>
        <v>-1.0329999999999995</v>
      </c>
      <c r="M34" s="304">
        <f t="shared" si="24"/>
        <v>-15.276000000000002</v>
      </c>
      <c r="N34" s="122"/>
      <c r="O34" s="53">
        <v>-1.671</v>
      </c>
      <c r="P34" s="122">
        <f>-2.754-O34</f>
        <v>-1.083</v>
      </c>
      <c r="Q34" s="122">
        <f>-4.671-O34-P34</f>
        <v>-1.917</v>
      </c>
      <c r="R34" s="51">
        <f>-6.358-O34-P34-Q34</f>
        <v>-1.6869999999999992</v>
      </c>
      <c r="S34" s="304">
        <f t="shared" si="25"/>
        <v>-6.3579999999999997</v>
      </c>
      <c r="T34" s="122"/>
      <c r="U34" s="53">
        <v>-14.602</v>
      </c>
      <c r="V34" s="122">
        <f>-18.453-U34</f>
        <v>-3.8509999999999991</v>
      </c>
      <c r="W34" s="122">
        <f>-19.686-U34-V34</f>
        <v>-1.2330000000000005</v>
      </c>
      <c r="X34" s="51">
        <f>-24.122-U34-V34-W34</f>
        <v>-4.4359999999999999</v>
      </c>
      <c r="Y34" s="304">
        <f t="shared" si="26"/>
        <v>-24.122</v>
      </c>
      <c r="Z34" s="122"/>
      <c r="AA34" s="53">
        <v>-0.74099999999999999</v>
      </c>
      <c r="AB34" s="122">
        <f>-4.612-AA34</f>
        <v>-3.871</v>
      </c>
      <c r="AC34" s="122">
        <f>-10.475-AA34-AB34</f>
        <v>-5.8629999999999995</v>
      </c>
      <c r="AD34" s="51">
        <f>-18.469-AA34-AB34-AC34</f>
        <v>-7.9940000000000015</v>
      </c>
      <c r="AE34" s="304">
        <f t="shared" si="27"/>
        <v>-18.469000000000001</v>
      </c>
      <c r="AF34" s="122"/>
      <c r="AG34" s="53">
        <v>-1.7589999999999999</v>
      </c>
      <c r="AH34" s="122">
        <f>-3.844-AG34</f>
        <v>-2.085</v>
      </c>
      <c r="AI34" s="122">
        <f>-13.823-AG34-AH34</f>
        <v>-9.9789999999999992</v>
      </c>
      <c r="AJ34" s="51">
        <f>-17.178-AG34-AH34-AI34</f>
        <v>-3.3550000000000004</v>
      </c>
      <c r="AK34" s="304">
        <f t="shared" si="28"/>
        <v>-17.177999999999997</v>
      </c>
      <c r="AL34" s="122"/>
      <c r="AM34" s="53">
        <v>-6.3150000000000004</v>
      </c>
      <c r="AN34" s="122">
        <f>-25.802-AM34</f>
        <v>-19.486999999999998</v>
      </c>
      <c r="AO34" s="122">
        <f>-39.647-AM34-AN34</f>
        <v>-13.845000000000002</v>
      </c>
      <c r="AP34" s="51">
        <f>-44.243-AM34-AN34-AO34</f>
        <v>-4.5960000000000036</v>
      </c>
      <c r="AQ34" s="6">
        <f t="shared" si="29"/>
        <v>-44.243000000000009</v>
      </c>
      <c r="AR34" s="122"/>
      <c r="AS34" s="53">
        <v>-5.351</v>
      </c>
      <c r="AT34" s="122">
        <f>-7.205-AS34</f>
        <v>-1.8540000000000001</v>
      </c>
      <c r="AU34" s="122">
        <f>-15.882-AS34-AT34</f>
        <v>-8.6769999999999996</v>
      </c>
      <c r="AV34" s="51">
        <f>-34.583-AS34-AT34-AU34</f>
        <v>-18.701000000000001</v>
      </c>
      <c r="AW34" s="6">
        <f t="shared" si="30"/>
        <v>-34.582999999999998</v>
      </c>
      <c r="AX34" s="122"/>
      <c r="AY34" s="53">
        <v>-4.3689999999999998</v>
      </c>
      <c r="AZ34" s="122">
        <f>-5.121-AY34</f>
        <v>-0.75200000000000067</v>
      </c>
      <c r="BA34" s="122">
        <f>-17.556-AZ34-AY34</f>
        <v>-12.435000000000002</v>
      </c>
      <c r="BB34" s="51">
        <f>-26.089-SUM(AY34:BA34)</f>
        <v>-8.5329999999999941</v>
      </c>
      <c r="BC34" s="6">
        <f t="shared" si="31"/>
        <v>-26.088999999999999</v>
      </c>
      <c r="BD34" s="20"/>
      <c r="BE34" s="53">
        <v>-6.923</v>
      </c>
      <c r="BF34" s="122">
        <f>-15.663-BE34</f>
        <v>-8.74</v>
      </c>
      <c r="BG34" s="122">
        <f>-22.06-SUM(BE34:BF34)</f>
        <v>-6.3969999999999985</v>
      </c>
      <c r="BH34" s="51">
        <f>-34.225-SUM(BE34:BG34)</f>
        <v>-12.165000000000003</v>
      </c>
      <c r="BI34" s="6">
        <f t="shared" si="32"/>
        <v>-34.225000000000001</v>
      </c>
      <c r="BJ34" s="20"/>
      <c r="BK34" s="53">
        <v>-1.887</v>
      </c>
      <c r="BL34" s="1062">
        <f>-5.157-BK34</f>
        <v>-3.27</v>
      </c>
      <c r="BM34" s="1062">
        <f>-7.192-SUM(BK34:BL34)</f>
        <v>-2.0350000000000001</v>
      </c>
      <c r="BN34" s="1062">
        <f>-10.412-SUM(BK34:BM34)</f>
        <v>-3.2200000000000006</v>
      </c>
      <c r="BO34" s="6">
        <f t="shared" si="33"/>
        <v>-10.412000000000001</v>
      </c>
      <c r="BP34" s="20"/>
      <c r="BQ34" s="53">
        <v>-1.8939999999999999</v>
      </c>
      <c r="BR34" s="1062">
        <f>-6.221-BQ34</f>
        <v>-4.327</v>
      </c>
      <c r="BS34" s="1063">
        <f>-14.432-SUM(BQ34:BR34)</f>
        <v>-8.2110000000000003</v>
      </c>
      <c r="BT34" s="1063">
        <f>-19.703-SUM(BQ34:BS34)</f>
        <v>-5.270999999999999</v>
      </c>
      <c r="BU34" s="6">
        <f t="shared" si="34"/>
        <v>-19.702999999999999</v>
      </c>
      <c r="BV34" s="20"/>
      <c r="BW34" s="53">
        <v>-2.6880000000000002</v>
      </c>
      <c r="BX34" s="1062">
        <f>-7.167-BW34</f>
        <v>-4.4789999999999992</v>
      </c>
      <c r="BY34" s="1062">
        <f>-12.694-SUM(BW34:BX34)</f>
        <v>-5.527000000000001</v>
      </c>
      <c r="BZ34" s="1063">
        <f>-19.388-SUM(BW34:BY34)</f>
        <v>-6.6940000000000008</v>
      </c>
      <c r="CA34" s="6">
        <f t="shared" si="35"/>
        <v>-19.388000000000002</v>
      </c>
      <c r="CB34" s="20"/>
      <c r="CC34" s="53">
        <v>-8.4290000000000003</v>
      </c>
      <c r="CD34" s="1062">
        <f>-18.116-CC34</f>
        <v>-9.6869999999999994</v>
      </c>
      <c r="CE34" s="1062">
        <f>-26.899-SUM(CC34:CD34)</f>
        <v>-8.7830000000000013</v>
      </c>
      <c r="CF34" s="1063">
        <f>-34.324-SUM(CC34:CE34)</f>
        <v>-7.4249999999999972</v>
      </c>
      <c r="CG34" s="6">
        <f t="shared" si="36"/>
        <v>-34.323999999999998</v>
      </c>
      <c r="CH34" s="20"/>
      <c r="CI34" s="53">
        <v>0</v>
      </c>
      <c r="CJ34" s="51">
        <v>0</v>
      </c>
      <c r="CK34" s="51">
        <v>0</v>
      </c>
      <c r="CL34" s="51">
        <v>0</v>
      </c>
      <c r="CM34" s="6">
        <f t="shared" si="37"/>
        <v>0</v>
      </c>
      <c r="CN34" s="20"/>
      <c r="CO34" s="53">
        <v>0</v>
      </c>
      <c r="CP34" s="51">
        <v>0</v>
      </c>
      <c r="CQ34" s="51">
        <v>0</v>
      </c>
      <c r="CR34" s="51">
        <v>0</v>
      </c>
      <c r="CS34" s="6">
        <f t="shared" si="38"/>
        <v>0</v>
      </c>
      <c r="CT34" s="20"/>
      <c r="CU34" s="53">
        <v>0</v>
      </c>
      <c r="CV34" s="51">
        <v>0</v>
      </c>
      <c r="CW34" s="51">
        <v>0</v>
      </c>
      <c r="CX34" s="51">
        <v>0</v>
      </c>
      <c r="CY34" s="6">
        <f t="shared" si="39"/>
        <v>0</v>
      </c>
      <c r="CZ34" s="259"/>
      <c r="DA34" s="259"/>
      <c r="DB34" s="48"/>
    </row>
    <row r="35" spans="1:106" ht="11.25" customHeight="1" x14ac:dyDescent="0.2">
      <c r="A35" s="354" t="s">
        <v>67</v>
      </c>
      <c r="B35" s="48"/>
      <c r="C35" s="59"/>
      <c r="D35" s="48"/>
      <c r="E35" s="48"/>
      <c r="F35" s="48"/>
      <c r="G35" s="331">
        <v>-0.125</v>
      </c>
      <c r="H35" s="122"/>
      <c r="I35" s="53">
        <v>-2.121</v>
      </c>
      <c r="J35" s="122">
        <f>-4.981-I35</f>
        <v>-2.86</v>
      </c>
      <c r="K35" s="122">
        <f>-4.981-I35-J35</f>
        <v>0</v>
      </c>
      <c r="L35" s="51">
        <f>-4.981-I35-J35-K35</f>
        <v>0</v>
      </c>
      <c r="M35" s="304">
        <f t="shared" si="24"/>
        <v>-4.9809999999999999</v>
      </c>
      <c r="N35" s="122"/>
      <c r="O35" s="53">
        <v>0</v>
      </c>
      <c r="P35" s="122">
        <v>0</v>
      </c>
      <c r="Q35" s="122">
        <v>0</v>
      </c>
      <c r="R35" s="51">
        <f>-0.042-SUM(O35:Q35)</f>
        <v>-4.2000000000000003E-2</v>
      </c>
      <c r="S35" s="304">
        <f t="shared" si="25"/>
        <v>-4.2000000000000003E-2</v>
      </c>
      <c r="T35" s="122"/>
      <c r="U35" s="53">
        <v>0</v>
      </c>
      <c r="V35" s="122">
        <v>0</v>
      </c>
      <c r="W35" s="122">
        <v>0</v>
      </c>
      <c r="X35" s="51">
        <f>-0.747-U35-V35-W35</f>
        <v>-0.747</v>
      </c>
      <c r="Y35" s="304">
        <f t="shared" si="26"/>
        <v>-0.747</v>
      </c>
      <c r="Z35" s="122"/>
      <c r="AA35" s="53">
        <v>0</v>
      </c>
      <c r="AB35" s="122">
        <f>(-4.175-0.337)-AA35</f>
        <v>-4.5119999999999996</v>
      </c>
      <c r="AC35" s="122">
        <f>(-4.175-0.337)-AA35-AB35</f>
        <v>0</v>
      </c>
      <c r="AD35" s="51">
        <f>-4.175-AA35-AB35-AC35</f>
        <v>0.33699999999999974</v>
      </c>
      <c r="AE35" s="304">
        <f t="shared" si="27"/>
        <v>-4.1749999999999998</v>
      </c>
      <c r="AF35" s="122"/>
      <c r="AG35" s="53">
        <v>0</v>
      </c>
      <c r="AH35" s="122">
        <v>0</v>
      </c>
      <c r="AI35" s="122">
        <f>1.477-AG35-AH35</f>
        <v>1.4770000000000001</v>
      </c>
      <c r="AJ35" s="51">
        <f>1.476-AG35-AH35-AI35</f>
        <v>-1.0000000000001119E-3</v>
      </c>
      <c r="AK35" s="304">
        <f t="shared" si="28"/>
        <v>1.476</v>
      </c>
      <c r="AL35" s="122"/>
      <c r="AM35" s="53">
        <v>14.927</v>
      </c>
      <c r="AN35" s="122">
        <f>14.925-AM35</f>
        <v>-1.9999999999988916E-3</v>
      </c>
      <c r="AO35" s="122">
        <f>(-4+15.531)-AM35-AN35</f>
        <v>-3.3940000000000001</v>
      </c>
      <c r="AP35" s="51">
        <f>7.985-AM35-AN35-AO35</f>
        <v>-3.5460000000000003</v>
      </c>
      <c r="AQ35" s="6">
        <f t="shared" si="29"/>
        <v>7.9850000000000003</v>
      </c>
      <c r="AR35" s="122"/>
      <c r="AS35" s="53">
        <f>-3.443+0.604</f>
        <v>-2.839</v>
      </c>
      <c r="AT35" s="122">
        <f>(-19.888+0.604)-AS35</f>
        <v>-16.445000000000004</v>
      </c>
      <c r="AU35" s="122">
        <f>(-19.888+0.604)-AS35-AT35</f>
        <v>0</v>
      </c>
      <c r="AV35" s="51">
        <f>-19.284-AS35-AT35-AU35</f>
        <v>3.5527136788005009E-15</v>
      </c>
      <c r="AW35" s="6">
        <f t="shared" si="30"/>
        <v>-19.283999999999999</v>
      </c>
      <c r="AX35" s="122"/>
      <c r="AY35" s="53">
        <v>-1.0149999999999999</v>
      </c>
      <c r="AZ35" s="122">
        <f>-7-AY35</f>
        <v>-5.9850000000000003</v>
      </c>
      <c r="BA35" s="122">
        <f>-7.085-AZ35-AY35</f>
        <v>-8.4999999999999742E-2</v>
      </c>
      <c r="BB35" s="51">
        <f>-8.173-SUM(AY35:BA35)</f>
        <v>-1.0880000000000001</v>
      </c>
      <c r="BC35" s="6">
        <f t="shared" si="31"/>
        <v>-8.173</v>
      </c>
      <c r="BD35" s="28"/>
      <c r="BE35" s="53">
        <v>-0.54600000000000004</v>
      </c>
      <c r="BF35" s="122">
        <f>-4.136-BE35</f>
        <v>-3.59</v>
      </c>
      <c r="BG35" s="122">
        <f>-4.196-SUM(BE35:BF35)</f>
        <v>-5.9999999999999609E-2</v>
      </c>
      <c r="BH35" s="51">
        <f>-4.319-SUM(BE35:BG35)</f>
        <v>-0.12300000000000022</v>
      </c>
      <c r="BI35" s="6">
        <f t="shared" si="32"/>
        <v>-4.319</v>
      </c>
      <c r="BJ35" s="28"/>
      <c r="BK35" s="53">
        <v>-5.2450000000000001</v>
      </c>
      <c r="BL35" s="1062">
        <f>-6.684-BK35</f>
        <v>-1.4390000000000001</v>
      </c>
      <c r="BM35" s="1062">
        <f>-9.272-SUM(BK35:BL35)</f>
        <v>-2.5880000000000001</v>
      </c>
      <c r="BN35" s="1062">
        <f>-9.426-SUM(BK35:BM35)</f>
        <v>-0.15399999999999991</v>
      </c>
      <c r="BO35" s="6">
        <f t="shared" si="33"/>
        <v>-9.4260000000000002</v>
      </c>
      <c r="BP35" s="28"/>
      <c r="BQ35" s="53">
        <v>-1.698</v>
      </c>
      <c r="BR35" s="1062">
        <f>-6.335-BQ35</f>
        <v>-4.6370000000000005</v>
      </c>
      <c r="BS35" s="1063">
        <f>-5.596-SUM(BQ35:BR35)</f>
        <v>0.73900000000000077</v>
      </c>
      <c r="BT35" s="1063">
        <f>-6.053-SUM(BQ35:BS35)</f>
        <v>-0.45699999999999985</v>
      </c>
      <c r="BU35" s="6">
        <f t="shared" si="34"/>
        <v>-6.0529999999999999</v>
      </c>
      <c r="BV35" s="28"/>
      <c r="BW35" s="53">
        <v>-1.081</v>
      </c>
      <c r="BX35" s="1062">
        <f>-21.287-BW35</f>
        <v>-20.206</v>
      </c>
      <c r="BY35" s="1062">
        <f>-21.375-SUM(BW35:BX35)</f>
        <v>-8.8000000000000966E-2</v>
      </c>
      <c r="BZ35" s="1063">
        <f>-23.448-SUM(BW35:BY35)</f>
        <v>-2.0730000000000004</v>
      </c>
      <c r="CA35" s="6">
        <f t="shared" si="35"/>
        <v>-23.448</v>
      </c>
      <c r="CB35" s="28"/>
      <c r="CC35" s="53">
        <v>-3.9910000000000001</v>
      </c>
      <c r="CD35" s="1062">
        <f>-0.584-CC35</f>
        <v>3.407</v>
      </c>
      <c r="CE35" s="1062">
        <f>-0.697-SUM(CC35:CD35)</f>
        <v>-0.11299999999999988</v>
      </c>
      <c r="CF35" s="1063">
        <f>-4.777-SUM(CC35:CE35)</f>
        <v>-4.08</v>
      </c>
      <c r="CG35" s="6">
        <f t="shared" si="36"/>
        <v>-4.7770000000000001</v>
      </c>
      <c r="CH35" s="28"/>
      <c r="CI35" s="53">
        <v>0</v>
      </c>
      <c r="CJ35" s="51">
        <v>0</v>
      </c>
      <c r="CK35" s="51">
        <v>0</v>
      </c>
      <c r="CL35" s="51">
        <v>0</v>
      </c>
      <c r="CM35" s="6">
        <f t="shared" si="37"/>
        <v>0</v>
      </c>
      <c r="CN35" s="28"/>
      <c r="CO35" s="53">
        <v>0</v>
      </c>
      <c r="CP35" s="51">
        <v>0</v>
      </c>
      <c r="CQ35" s="51">
        <v>0</v>
      </c>
      <c r="CR35" s="51">
        <v>0</v>
      </c>
      <c r="CS35" s="6">
        <f t="shared" si="38"/>
        <v>0</v>
      </c>
      <c r="CT35" s="28"/>
      <c r="CU35" s="53">
        <v>0</v>
      </c>
      <c r="CV35" s="51">
        <v>0</v>
      </c>
      <c r="CW35" s="51">
        <v>0</v>
      </c>
      <c r="CX35" s="51">
        <v>0</v>
      </c>
      <c r="CY35" s="6">
        <f t="shared" si="39"/>
        <v>0</v>
      </c>
      <c r="CZ35" s="259"/>
      <c r="DA35" s="259"/>
      <c r="DB35" s="48"/>
    </row>
    <row r="36" spans="1:106" ht="11.25" customHeight="1" x14ac:dyDescent="0.2">
      <c r="A36" s="354" t="s">
        <v>68</v>
      </c>
      <c r="B36" s="48"/>
      <c r="C36" s="59"/>
      <c r="D36" s="48"/>
      <c r="E36" s="48"/>
      <c r="F36" s="48"/>
      <c r="G36" s="331">
        <v>-37.963000000000001</v>
      </c>
      <c r="H36" s="122"/>
      <c r="I36" s="53">
        <v>-12.308999999999999</v>
      </c>
      <c r="J36" s="122">
        <f>-40.445-I36</f>
        <v>-28.136000000000003</v>
      </c>
      <c r="K36" s="122">
        <f>-40.445-I36-J36</f>
        <v>0</v>
      </c>
      <c r="L36" s="51">
        <f>-40.445-I36-J36-K36</f>
        <v>0</v>
      </c>
      <c r="M36" s="304">
        <f t="shared" si="24"/>
        <v>-40.445</v>
      </c>
      <c r="N36" s="122"/>
      <c r="O36" s="53">
        <v>0</v>
      </c>
      <c r="P36" s="122">
        <v>0</v>
      </c>
      <c r="Q36" s="122">
        <f>-5-O36-P36</f>
        <v>-5</v>
      </c>
      <c r="R36" s="51">
        <f>-56.606-O36-P36-Q36</f>
        <v>-51.606000000000002</v>
      </c>
      <c r="S36" s="304">
        <f t="shared" si="25"/>
        <v>-56.606000000000002</v>
      </c>
      <c r="T36" s="122"/>
      <c r="U36" s="53">
        <v>-45.265000000000001</v>
      </c>
      <c r="V36" s="122">
        <f>-45.444-U36</f>
        <v>-0.17900000000000205</v>
      </c>
      <c r="W36" s="122">
        <f>-45.444-U36-V36</f>
        <v>0</v>
      </c>
      <c r="X36" s="51">
        <f>-45.444-U36-V36-W36</f>
        <v>0</v>
      </c>
      <c r="Y36" s="304">
        <f t="shared" si="26"/>
        <v>-45.444000000000003</v>
      </c>
      <c r="Z36" s="122"/>
      <c r="AA36" s="53">
        <v>0</v>
      </c>
      <c r="AB36" s="122">
        <v>0</v>
      </c>
      <c r="AC36" s="122">
        <v>0</v>
      </c>
      <c r="AD36" s="51">
        <v>0</v>
      </c>
      <c r="AE36" s="304">
        <f t="shared" si="27"/>
        <v>0</v>
      </c>
      <c r="AF36" s="122"/>
      <c r="AG36" s="53">
        <v>0</v>
      </c>
      <c r="AH36" s="122">
        <v>0</v>
      </c>
      <c r="AI36" s="122">
        <v>0</v>
      </c>
      <c r="AJ36" s="51">
        <f>-40-AG36-AH36-AI36</f>
        <v>-40</v>
      </c>
      <c r="AK36" s="304">
        <f t="shared" si="28"/>
        <v>-40</v>
      </c>
      <c r="AL36" s="122"/>
      <c r="AM36" s="53">
        <v>-54</v>
      </c>
      <c r="AN36" s="122">
        <f>-74-AM36</f>
        <v>-20</v>
      </c>
      <c r="AO36" s="122">
        <f>-83.552-AM36-AN36</f>
        <v>-9.5520000000000067</v>
      </c>
      <c r="AP36" s="51">
        <f>-110.076-AM36-AN36-AO36</f>
        <v>-26.523999999999987</v>
      </c>
      <c r="AQ36" s="6">
        <f t="shared" si="29"/>
        <v>-110.07599999999999</v>
      </c>
      <c r="AR36" s="122"/>
      <c r="AS36" s="53">
        <v>-65.228999999999999</v>
      </c>
      <c r="AT36" s="122">
        <f>-88.507-AS36</f>
        <v>-23.278000000000006</v>
      </c>
      <c r="AU36" s="122">
        <f>-161.054-AS36-AT36</f>
        <v>-72.546999999999997</v>
      </c>
      <c r="AV36" s="51">
        <f>-186.817-AS36-AT36-AU36</f>
        <v>-25.763000000000005</v>
      </c>
      <c r="AW36" s="6">
        <f t="shared" si="30"/>
        <v>-186.81700000000001</v>
      </c>
      <c r="AX36" s="122"/>
      <c r="AY36" s="53">
        <v>0</v>
      </c>
      <c r="AZ36" s="122">
        <v>0</v>
      </c>
      <c r="BA36" s="122">
        <f>-4.609-AZ36-AY36</f>
        <v>-4.609</v>
      </c>
      <c r="BB36" s="51">
        <f>-39.942-SUM(AY36:BA36)</f>
        <v>-35.332999999999998</v>
      </c>
      <c r="BC36" s="6">
        <f t="shared" si="31"/>
        <v>-39.942</v>
      </c>
      <c r="BD36" s="28"/>
      <c r="BE36" s="53">
        <v>0</v>
      </c>
      <c r="BF36" s="122">
        <f>0-BE36</f>
        <v>0</v>
      </c>
      <c r="BG36" s="122">
        <f>0-SUM(BE36:BF36)</f>
        <v>0</v>
      </c>
      <c r="BH36" s="51">
        <f>-20.346-SUM(BE36:BG36)</f>
        <v>-20.346</v>
      </c>
      <c r="BI36" s="6">
        <f t="shared" si="32"/>
        <v>-20.346</v>
      </c>
      <c r="BJ36" s="28"/>
      <c r="BK36" s="53">
        <v>-63.566000000000003</v>
      </c>
      <c r="BL36" s="1062">
        <f>-206.131-BK36</f>
        <v>-142.565</v>
      </c>
      <c r="BM36" s="1062">
        <f>-296.154-SUM(BK36:BL36)</f>
        <v>-90.022999999999996</v>
      </c>
      <c r="BN36" s="1062">
        <f>-420.158-SUM(BK36:BM36)</f>
        <v>-124.00400000000002</v>
      </c>
      <c r="BO36" s="6">
        <f t="shared" si="33"/>
        <v>-420.15800000000002</v>
      </c>
      <c r="BP36" s="28"/>
      <c r="BQ36" s="53">
        <v>-44.997</v>
      </c>
      <c r="BR36" s="1062">
        <f>-95.346-BQ36</f>
        <v>-50.349000000000004</v>
      </c>
      <c r="BS36" s="1063">
        <f>-190.508-SUM(BQ36:BR36)</f>
        <v>-95.162000000000006</v>
      </c>
      <c r="BT36" s="1063">
        <f>-317.57-SUM(BQ36:BS36)</f>
        <v>-127.06199999999998</v>
      </c>
      <c r="BU36" s="6">
        <f t="shared" si="34"/>
        <v>-317.57</v>
      </c>
      <c r="BV36" s="28"/>
      <c r="BW36" s="53">
        <v>-205.137</v>
      </c>
      <c r="BX36" s="1062">
        <f>-355.051-BW36</f>
        <v>-149.91399999999999</v>
      </c>
      <c r="BY36" s="1062">
        <f>-436.249-SUM(BW36:BX36)</f>
        <v>-81.198000000000036</v>
      </c>
      <c r="BZ36" s="1063">
        <f>-496.304-SUM(BW36:BY36)</f>
        <v>-60.05499999999995</v>
      </c>
      <c r="CA36" s="6">
        <f t="shared" si="35"/>
        <v>-496.30399999999997</v>
      </c>
      <c r="CB36" s="28"/>
      <c r="CC36" s="53">
        <v>0</v>
      </c>
      <c r="CD36" s="1062">
        <f>-36.209-CC36</f>
        <v>-36.209000000000003</v>
      </c>
      <c r="CE36" s="1062">
        <f>-345.564-SUM(CC36:CD36)</f>
        <v>-309.35500000000002</v>
      </c>
      <c r="CF36" s="1063">
        <f>-450.564-SUM(CC36:CE36)</f>
        <v>-105</v>
      </c>
      <c r="CG36" s="6">
        <f t="shared" si="36"/>
        <v>-450.56400000000002</v>
      </c>
      <c r="CH36" s="28"/>
      <c r="CI36" s="53">
        <v>0</v>
      </c>
      <c r="CJ36" s="51">
        <v>0</v>
      </c>
      <c r="CK36" s="51">
        <v>0</v>
      </c>
      <c r="CL36" s="51">
        <v>0</v>
      </c>
      <c r="CM36" s="6">
        <f t="shared" si="37"/>
        <v>0</v>
      </c>
      <c r="CN36" s="28"/>
      <c r="CO36" s="53">
        <v>0</v>
      </c>
      <c r="CP36" s="51">
        <v>0</v>
      </c>
      <c r="CQ36" s="51">
        <v>0</v>
      </c>
      <c r="CR36" s="51">
        <v>0</v>
      </c>
      <c r="CS36" s="6">
        <f t="shared" si="38"/>
        <v>0</v>
      </c>
      <c r="CT36" s="28"/>
      <c r="CU36" s="53">
        <v>0</v>
      </c>
      <c r="CV36" s="51">
        <v>0</v>
      </c>
      <c r="CW36" s="51">
        <v>0</v>
      </c>
      <c r="CX36" s="51">
        <v>0</v>
      </c>
      <c r="CY36" s="6">
        <f t="shared" si="39"/>
        <v>0</v>
      </c>
      <c r="CZ36" s="259"/>
      <c r="DA36" s="259"/>
      <c r="DB36" s="48"/>
    </row>
    <row r="37" spans="1:106" ht="11.25" customHeight="1" x14ac:dyDescent="0.2">
      <c r="A37" s="354" t="s">
        <v>89</v>
      </c>
      <c r="B37" s="48"/>
      <c r="C37" s="59"/>
      <c r="D37" s="48"/>
      <c r="E37" s="48"/>
      <c r="F37" s="48"/>
      <c r="G37" s="331">
        <v>14.86</v>
      </c>
      <c r="H37" s="122"/>
      <c r="I37" s="53">
        <v>7.5620000000000003</v>
      </c>
      <c r="J37" s="122">
        <f>18.683-I37</f>
        <v>11.120999999999999</v>
      </c>
      <c r="K37" s="122">
        <f>30.423-I37-J37</f>
        <v>11.739999999999998</v>
      </c>
      <c r="L37" s="51">
        <f>55.43-I37-J37-K37</f>
        <v>25.007000000000001</v>
      </c>
      <c r="M37" s="304">
        <f t="shared" si="24"/>
        <v>55.43</v>
      </c>
      <c r="N37" s="122"/>
      <c r="O37" s="53">
        <v>0</v>
      </c>
      <c r="P37" s="122">
        <f>5-O37</f>
        <v>5</v>
      </c>
      <c r="Q37" s="122">
        <f>20-O37-P37</f>
        <v>15</v>
      </c>
      <c r="R37" s="51">
        <f>20-O37-P37-Q37</f>
        <v>0</v>
      </c>
      <c r="S37" s="304">
        <f t="shared" si="25"/>
        <v>20</v>
      </c>
      <c r="T37" s="122"/>
      <c r="U37" s="53">
        <v>0.85699999999999998</v>
      </c>
      <c r="V37" s="122">
        <f>1.439-U37</f>
        <v>0.58200000000000007</v>
      </c>
      <c r="W37" s="122">
        <f>299.005-U37-V37</f>
        <v>297.56599999999997</v>
      </c>
      <c r="X37" s="51">
        <f>299.005-U37-V37-W37</f>
        <v>0</v>
      </c>
      <c r="Y37" s="304">
        <f t="shared" si="26"/>
        <v>299.005</v>
      </c>
      <c r="Z37" s="122"/>
      <c r="AA37" s="53">
        <v>2.3130000000000002</v>
      </c>
      <c r="AB37" s="122">
        <f>2.313-AA37</f>
        <v>0</v>
      </c>
      <c r="AC37" s="122">
        <f>2.313-AA37-AB37</f>
        <v>0</v>
      </c>
      <c r="AD37" s="51">
        <f>2.313-AA37-AB37-AC37</f>
        <v>0</v>
      </c>
      <c r="AE37" s="304">
        <f t="shared" si="27"/>
        <v>2.3130000000000002</v>
      </c>
      <c r="AF37" s="122"/>
      <c r="AG37" s="53">
        <v>0</v>
      </c>
      <c r="AH37" s="122">
        <v>0</v>
      </c>
      <c r="AI37" s="122">
        <v>0</v>
      </c>
      <c r="AJ37" s="51">
        <v>0</v>
      </c>
      <c r="AK37" s="304">
        <f t="shared" si="28"/>
        <v>0</v>
      </c>
      <c r="AL37" s="122"/>
      <c r="AM37" s="53">
        <v>0</v>
      </c>
      <c r="AN37" s="122">
        <f>40-AM37</f>
        <v>40</v>
      </c>
      <c r="AO37" s="122">
        <f>44-AM37-AN37</f>
        <v>4</v>
      </c>
      <c r="AP37" s="51">
        <f>44-AM37-AN37-AO37</f>
        <v>0</v>
      </c>
      <c r="AQ37" s="6">
        <f t="shared" si="29"/>
        <v>44</v>
      </c>
      <c r="AR37" s="122"/>
      <c r="AS37" s="53">
        <v>8.9600000000000009</v>
      </c>
      <c r="AT37" s="122">
        <f>28.96-AS37</f>
        <v>20</v>
      </c>
      <c r="AU37" s="122">
        <f>179.362-AS37-AT37</f>
        <v>150.40199999999999</v>
      </c>
      <c r="AV37" s="51">
        <f>242.63-AS37-AT37-AU37</f>
        <v>63.268000000000001</v>
      </c>
      <c r="AW37" s="6">
        <f t="shared" si="30"/>
        <v>242.63</v>
      </c>
      <c r="AX37" s="122"/>
      <c r="AY37" s="53">
        <v>0.80500000000000005</v>
      </c>
      <c r="AZ37" s="122">
        <f>0-AY37</f>
        <v>-0.80500000000000005</v>
      </c>
      <c r="BA37" s="122">
        <f>5.438-AZ37-AY37</f>
        <v>5.4379999999999997</v>
      </c>
      <c r="BB37" s="51">
        <f>5.999-SUM(AY37:BA37)</f>
        <v>0.56099999999999994</v>
      </c>
      <c r="BC37" s="6">
        <f t="shared" si="31"/>
        <v>5.9989999999999997</v>
      </c>
      <c r="BD37" s="28"/>
      <c r="BE37" s="53">
        <v>0</v>
      </c>
      <c r="BF37" s="122">
        <f>15.859-BE37</f>
        <v>15.859</v>
      </c>
      <c r="BG37" s="122">
        <f>15.859-SUM(BE37:BF37)</f>
        <v>0</v>
      </c>
      <c r="BH37" s="51">
        <f>63.146-SUM(BE37:BG37)</f>
        <v>47.286999999999999</v>
      </c>
      <c r="BI37" s="6">
        <f t="shared" si="32"/>
        <v>63.146000000000001</v>
      </c>
      <c r="BJ37" s="28"/>
      <c r="BK37" s="53">
        <v>0.17899999999999999</v>
      </c>
      <c r="BL37" s="1062">
        <f>20-BK37</f>
        <v>19.821000000000002</v>
      </c>
      <c r="BM37" s="1062">
        <f>129.79-SUM(BK37:BL37)</f>
        <v>109.78999999999999</v>
      </c>
      <c r="BN37" s="1062">
        <f>275.779-SUM(BK37:BM37)</f>
        <v>145.989</v>
      </c>
      <c r="BO37" s="6">
        <f t="shared" si="33"/>
        <v>275.779</v>
      </c>
      <c r="BP37" s="28"/>
      <c r="BQ37" s="53">
        <v>121.59699999999999</v>
      </c>
      <c r="BR37" s="1062">
        <f>144.705-BQ37</f>
        <v>23.108000000000018</v>
      </c>
      <c r="BS37" s="1063">
        <f>274.125-SUM(BQ37:BR37)</f>
        <v>129.41999999999999</v>
      </c>
      <c r="BT37" s="1063">
        <f>367.714-SUM(BQ37:BS37)</f>
        <v>93.588999999999999</v>
      </c>
      <c r="BU37" s="6">
        <f t="shared" si="34"/>
        <v>367.714</v>
      </c>
      <c r="BV37" s="28"/>
      <c r="BW37" s="53">
        <v>246.35300000000001</v>
      </c>
      <c r="BX37" s="1062">
        <f>409.103-BW37</f>
        <v>162.75</v>
      </c>
      <c r="BY37" s="1062">
        <f>458.883-SUM(BW37:BX37)</f>
        <v>49.779999999999973</v>
      </c>
      <c r="BZ37" s="1063">
        <f>533.847-SUM(BW37:BY37)</f>
        <v>74.963999999999999</v>
      </c>
      <c r="CA37" s="6">
        <f t="shared" si="35"/>
        <v>533.84699999999998</v>
      </c>
      <c r="CB37" s="28"/>
      <c r="CC37" s="53">
        <v>65.233999999999995</v>
      </c>
      <c r="CD37" s="1062">
        <f>65.234-CC37</f>
        <v>0</v>
      </c>
      <c r="CE37" s="1062">
        <f>139.214-SUM(CC37:CD37)</f>
        <v>73.98</v>
      </c>
      <c r="CF37" s="1063">
        <f>189.006-SUM(CC37:CE37)</f>
        <v>49.792000000000002</v>
      </c>
      <c r="CG37" s="6">
        <f t="shared" si="36"/>
        <v>189.006</v>
      </c>
      <c r="CH37" s="28"/>
      <c r="CI37" s="53">
        <v>0</v>
      </c>
      <c r="CJ37" s="51">
        <v>0</v>
      </c>
      <c r="CK37" s="51">
        <v>0</v>
      </c>
      <c r="CL37" s="51">
        <v>0</v>
      </c>
      <c r="CM37" s="6">
        <f t="shared" si="37"/>
        <v>0</v>
      </c>
      <c r="CN37" s="28"/>
      <c r="CO37" s="53">
        <v>0</v>
      </c>
      <c r="CP37" s="51">
        <v>0</v>
      </c>
      <c r="CQ37" s="51">
        <v>0</v>
      </c>
      <c r="CR37" s="51">
        <v>0</v>
      </c>
      <c r="CS37" s="6">
        <f t="shared" si="38"/>
        <v>0</v>
      </c>
      <c r="CT37" s="28"/>
      <c r="CU37" s="53">
        <v>0</v>
      </c>
      <c r="CV37" s="51">
        <v>0</v>
      </c>
      <c r="CW37" s="51">
        <v>0</v>
      </c>
      <c r="CX37" s="51">
        <v>0</v>
      </c>
      <c r="CY37" s="6">
        <f t="shared" si="39"/>
        <v>0</v>
      </c>
      <c r="CZ37" s="259"/>
      <c r="DA37" s="259"/>
      <c r="DB37" s="48"/>
    </row>
    <row r="38" spans="1:106" ht="11.25" customHeight="1" x14ac:dyDescent="0.2">
      <c r="A38" s="354" t="s">
        <v>0</v>
      </c>
      <c r="B38" s="48"/>
      <c r="C38" s="59"/>
      <c r="D38" s="48"/>
      <c r="E38" s="48"/>
      <c r="F38" s="48"/>
      <c r="G38" s="331">
        <f>-29.478+16.087</f>
        <v>-13.391000000000002</v>
      </c>
      <c r="H38" s="122"/>
      <c r="I38" s="53">
        <v>0</v>
      </c>
      <c r="J38" s="122">
        <f>-49.87-I38</f>
        <v>-49.87</v>
      </c>
      <c r="K38" s="122">
        <f>-56.413-I38-J38</f>
        <v>-6.5429999999999993</v>
      </c>
      <c r="L38" s="51">
        <f>-81.996+0.757-I38-J38-K38</f>
        <v>-24.825999999999993</v>
      </c>
      <c r="M38" s="304">
        <f t="shared" si="24"/>
        <v>-81.23899999999999</v>
      </c>
      <c r="N38" s="122"/>
      <c r="O38" s="53">
        <v>-17.096</v>
      </c>
      <c r="P38" s="122">
        <f>-53.639-O38</f>
        <v>-36.543000000000006</v>
      </c>
      <c r="Q38" s="122">
        <f>-61.342-O38-P38</f>
        <v>-7.7029999999999887</v>
      </c>
      <c r="R38" s="51">
        <f>-95.379+0.652-O38-P38-Q38</f>
        <v>-33.385000000000005</v>
      </c>
      <c r="S38" s="304">
        <f t="shared" si="25"/>
        <v>-94.727000000000004</v>
      </c>
      <c r="T38" s="122"/>
      <c r="U38" s="53">
        <v>-3.153</v>
      </c>
      <c r="V38" s="122">
        <f>-6.585-U38</f>
        <v>-3.4319999999999999</v>
      </c>
      <c r="W38" s="122">
        <f>-858.77-U38-V38</f>
        <v>-852.18499999999995</v>
      </c>
      <c r="X38" s="51">
        <f>-859.692+5.106-U38-V38-W38</f>
        <v>4.1839999999999691</v>
      </c>
      <c r="Y38" s="304">
        <f t="shared" si="26"/>
        <v>-854.58600000000001</v>
      </c>
      <c r="Z38" s="122"/>
      <c r="AA38" s="53">
        <v>-0.86899999999999999</v>
      </c>
      <c r="AB38" s="122">
        <f>-2.089-AA38</f>
        <v>-1.22</v>
      </c>
      <c r="AC38" s="122">
        <f>-99.756-AA38-AB38</f>
        <v>-97.667000000000002</v>
      </c>
      <c r="AD38" s="51">
        <f>-150.531-AA38-AB38-AC38</f>
        <v>-50.775000000000006</v>
      </c>
      <c r="AE38" s="304">
        <f t="shared" si="27"/>
        <v>-150.53100000000001</v>
      </c>
      <c r="AF38" s="122"/>
      <c r="AG38" s="53">
        <v>-2.3490000000000002</v>
      </c>
      <c r="AH38" s="122">
        <f>-3.884-AG38</f>
        <v>-1.5349999999999997</v>
      </c>
      <c r="AI38" s="122">
        <f>-110.945-AG38-AH38</f>
        <v>-107.06099999999999</v>
      </c>
      <c r="AJ38" s="51">
        <f>-234.732-AG38-AH38-AI38</f>
        <v>-123.78700000000002</v>
      </c>
      <c r="AK38" s="304">
        <f t="shared" si="28"/>
        <v>-234.73200000000003</v>
      </c>
      <c r="AL38" s="122"/>
      <c r="AM38" s="53">
        <v>-16.417999999999999</v>
      </c>
      <c r="AN38" s="122">
        <f>-25.005-AM38</f>
        <v>-8.5869999999999997</v>
      </c>
      <c r="AO38" s="122">
        <f>-27.035-AM38-AN38</f>
        <v>-2.0300000000000011</v>
      </c>
      <c r="AP38" s="51">
        <f>-36.985-AM38-AN38-AO38</f>
        <v>-9.9499999999999993</v>
      </c>
      <c r="AQ38" s="6">
        <f t="shared" si="29"/>
        <v>-36.984999999999999</v>
      </c>
      <c r="AR38" s="122"/>
      <c r="AS38" s="53">
        <v>-2.964</v>
      </c>
      <c r="AT38" s="122">
        <f>-5.407-AS38</f>
        <v>-2.4430000000000001</v>
      </c>
      <c r="AU38" s="122">
        <f>-432.598-AS38-AT38</f>
        <v>-427.19100000000003</v>
      </c>
      <c r="AV38" s="51">
        <f>-457.483-AS38-AT38-AU38</f>
        <v>-24.884999999999991</v>
      </c>
      <c r="AW38" s="6">
        <f t="shared" si="30"/>
        <v>-457.483</v>
      </c>
      <c r="AX38" s="122"/>
      <c r="AY38" s="53">
        <v>-2.0270000000000001</v>
      </c>
      <c r="AZ38" s="122">
        <f>-131.81-AY38</f>
        <v>-129.78300000000002</v>
      </c>
      <c r="BA38" s="122">
        <f>-131.997-AZ38-AY38</f>
        <v>-0.1869999999999985</v>
      </c>
      <c r="BB38" s="51">
        <f>-131.997-SUM(AY38:BA38)</f>
        <v>0</v>
      </c>
      <c r="BC38" s="6">
        <f t="shared" si="31"/>
        <v>-131.99700000000001</v>
      </c>
      <c r="BD38" s="28"/>
      <c r="BE38" s="53">
        <v>0</v>
      </c>
      <c r="BF38" s="122">
        <f>-102.395-BE38</f>
        <v>-102.395</v>
      </c>
      <c r="BG38" s="122">
        <f>-169.886-SUM(BE38:BF38)</f>
        <v>-67.491</v>
      </c>
      <c r="BH38" s="51">
        <f>-170.546-SUM(BE38:BG38)</f>
        <v>-0.65999999999999659</v>
      </c>
      <c r="BI38" s="6">
        <f t="shared" si="32"/>
        <v>-170.54599999999999</v>
      </c>
      <c r="BJ38" s="28"/>
      <c r="BK38" s="53">
        <v>0</v>
      </c>
      <c r="BL38" s="1062">
        <f>-41.715-BK38</f>
        <v>-41.715000000000003</v>
      </c>
      <c r="BM38" s="1062">
        <f>-41.715-SUM(BK38:BL38)</f>
        <v>0</v>
      </c>
      <c r="BN38" s="1062">
        <f>-160.436-SUM(BK38:BM38)</f>
        <v>-118.721</v>
      </c>
      <c r="BO38" s="6">
        <f t="shared" si="33"/>
        <v>-160.43600000000001</v>
      </c>
      <c r="BP38" s="28"/>
      <c r="BQ38" s="53">
        <v>-7.0979999999999999</v>
      </c>
      <c r="BR38" s="1062">
        <f>-7.097-BQ38</f>
        <v>9.9999999999944578E-4</v>
      </c>
      <c r="BS38" s="1063">
        <f>0-SUM(BQ38:BR38)</f>
        <v>7.0970000000000004</v>
      </c>
      <c r="BT38" s="1063">
        <f>-66.93-SUM(BQ38:BS38)</f>
        <v>-66.930000000000007</v>
      </c>
      <c r="BU38" s="6">
        <f t="shared" si="34"/>
        <v>-66.930000000000007</v>
      </c>
      <c r="BV38" s="28"/>
      <c r="BW38" s="53">
        <v>0</v>
      </c>
      <c r="BX38" s="1062">
        <f>-90.49-BW38</f>
        <v>-90.49</v>
      </c>
      <c r="BY38" s="1062">
        <f>-90.49-SUM(BW38:BX38)</f>
        <v>0</v>
      </c>
      <c r="BZ38" s="1063">
        <f>-90.49-SUM(BW38:BY38)</f>
        <v>0</v>
      </c>
      <c r="CA38" s="6">
        <f t="shared" si="35"/>
        <v>-90.49</v>
      </c>
      <c r="CB38" s="28"/>
      <c r="CC38" s="53">
        <v>-49.677999999999997</v>
      </c>
      <c r="CD38" s="1062">
        <f>-49.678-CC38</f>
        <v>0</v>
      </c>
      <c r="CE38" s="1062">
        <f>-50.549-SUM(CC38:CD38)</f>
        <v>-0.87100000000000222</v>
      </c>
      <c r="CF38" s="1063">
        <f>-50.549-SUM(CC38:CE38)</f>
        <v>0</v>
      </c>
      <c r="CG38" s="6">
        <f t="shared" si="36"/>
        <v>-50.548999999999999</v>
      </c>
      <c r="CH38" s="28"/>
      <c r="CI38" s="53">
        <v>0</v>
      </c>
      <c r="CJ38" s="51">
        <v>0</v>
      </c>
      <c r="CK38" s="51">
        <v>0</v>
      </c>
      <c r="CL38" s="51">
        <v>0</v>
      </c>
      <c r="CM38" s="6">
        <f t="shared" si="37"/>
        <v>0</v>
      </c>
      <c r="CN38" s="28"/>
      <c r="CO38" s="53">
        <v>0</v>
      </c>
      <c r="CP38" s="51">
        <v>0</v>
      </c>
      <c r="CQ38" s="51">
        <v>0</v>
      </c>
      <c r="CR38" s="51">
        <v>0</v>
      </c>
      <c r="CS38" s="6">
        <f t="shared" si="38"/>
        <v>0</v>
      </c>
      <c r="CT38" s="28"/>
      <c r="CU38" s="53">
        <v>0</v>
      </c>
      <c r="CV38" s="51">
        <v>0</v>
      </c>
      <c r="CW38" s="51">
        <v>0</v>
      </c>
      <c r="CX38" s="51">
        <v>0</v>
      </c>
      <c r="CY38" s="6">
        <f t="shared" si="39"/>
        <v>0</v>
      </c>
      <c r="CZ38" s="259"/>
      <c r="DA38" s="259"/>
      <c r="DB38" s="48"/>
    </row>
    <row r="39" spans="1:106" ht="11.25" customHeight="1" x14ac:dyDescent="0.2">
      <c r="A39" s="354" t="s">
        <v>249</v>
      </c>
      <c r="B39" s="39"/>
      <c r="C39" s="59"/>
      <c r="D39" s="39"/>
      <c r="E39" s="39"/>
      <c r="F39" s="39"/>
      <c r="G39" s="331">
        <v>0</v>
      </c>
      <c r="H39" s="51"/>
      <c r="I39" s="53">
        <v>0</v>
      </c>
      <c r="J39" s="51">
        <v>0</v>
      </c>
      <c r="K39" s="51">
        <f>0.163-I39-J39</f>
        <v>0.16300000000000001</v>
      </c>
      <c r="L39" s="51">
        <f>0-I39-J39-K39</f>
        <v>-0.16300000000000001</v>
      </c>
      <c r="M39" s="304">
        <f t="shared" si="24"/>
        <v>0</v>
      </c>
      <c r="N39" s="51"/>
      <c r="O39" s="53">
        <v>0.121</v>
      </c>
      <c r="P39" s="51">
        <f>0.284-O39</f>
        <v>0.16299999999999998</v>
      </c>
      <c r="Q39" s="51">
        <f>0.447-O39-P39</f>
        <v>0.16300000000000003</v>
      </c>
      <c r="R39" s="51">
        <f>0-O39-P39-Q39</f>
        <v>-0.44700000000000001</v>
      </c>
      <c r="S39" s="304">
        <f t="shared" si="25"/>
        <v>0</v>
      </c>
      <c r="T39" s="51"/>
      <c r="U39" s="53">
        <v>0.16300000000000001</v>
      </c>
      <c r="V39" s="51">
        <f>0.326-U39</f>
        <v>0.16300000000000001</v>
      </c>
      <c r="W39" s="51">
        <f>0.489-U39-V39</f>
        <v>0.16299999999999995</v>
      </c>
      <c r="X39" s="51">
        <f>0-U39-V39-W39</f>
        <v>-0.48899999999999999</v>
      </c>
      <c r="Y39" s="304">
        <f t="shared" si="26"/>
        <v>0</v>
      </c>
      <c r="Z39" s="51"/>
      <c r="AA39" s="53">
        <v>-1.4410000000000001</v>
      </c>
      <c r="AB39" s="51">
        <f>-1.441-AA39</f>
        <v>0</v>
      </c>
      <c r="AC39" s="51">
        <f>-1.441-AA39-AB39</f>
        <v>0</v>
      </c>
      <c r="AD39" s="51">
        <f>-1.441-AA39-AB39-AC39</f>
        <v>0</v>
      </c>
      <c r="AE39" s="304">
        <f t="shared" si="27"/>
        <v>-1.4410000000000001</v>
      </c>
      <c r="AF39" s="51"/>
      <c r="AG39" s="53">
        <v>0</v>
      </c>
      <c r="AH39" s="51">
        <v>0</v>
      </c>
      <c r="AI39" s="51">
        <v>0</v>
      </c>
      <c r="AJ39" s="51">
        <v>0</v>
      </c>
      <c r="AK39" s="304">
        <f t="shared" si="28"/>
        <v>0</v>
      </c>
      <c r="AL39" s="51"/>
      <c r="AM39" s="53">
        <v>0</v>
      </c>
      <c r="AN39" s="51">
        <v>0</v>
      </c>
      <c r="AO39" s="51"/>
      <c r="AP39" s="51">
        <v>0</v>
      </c>
      <c r="AQ39" s="6">
        <f t="shared" si="29"/>
        <v>0</v>
      </c>
      <c r="AR39" s="51"/>
      <c r="AS39" s="53">
        <v>0</v>
      </c>
      <c r="AT39" s="51">
        <v>0</v>
      </c>
      <c r="AU39" s="51">
        <v>0</v>
      </c>
      <c r="AV39" s="51">
        <v>0</v>
      </c>
      <c r="AW39" s="6">
        <f t="shared" si="30"/>
        <v>0</v>
      </c>
      <c r="AX39" s="51"/>
      <c r="AY39" s="53">
        <v>0</v>
      </c>
      <c r="AZ39" s="51">
        <v>0</v>
      </c>
      <c r="BA39" s="51">
        <v>0</v>
      </c>
      <c r="BB39" s="51">
        <f>0-SUM(AY39:BA39)</f>
        <v>0</v>
      </c>
      <c r="BC39" s="6">
        <f t="shared" si="31"/>
        <v>0</v>
      </c>
      <c r="BD39" s="20"/>
      <c r="BE39" s="53">
        <v>0</v>
      </c>
      <c r="BF39" s="122">
        <f>1.994-BE39</f>
        <v>1.994</v>
      </c>
      <c r="BG39" s="122">
        <f>-1.006-SUM(BE39:BF39)</f>
        <v>-3</v>
      </c>
      <c r="BH39" s="51">
        <f>-1.021-SUM(BE39:BG39)</f>
        <v>-1.4999999999999902E-2</v>
      </c>
      <c r="BI39" s="6">
        <f t="shared" si="32"/>
        <v>-1.0209999999999999</v>
      </c>
      <c r="BJ39" s="20"/>
      <c r="BK39" s="53">
        <v>0</v>
      </c>
      <c r="BL39" s="1062">
        <f>3.349-BK39</f>
        <v>3.3490000000000002</v>
      </c>
      <c r="BM39" s="1062">
        <f>4.008-SUM(BK39:BL39)</f>
        <v>0.65899999999999981</v>
      </c>
      <c r="BN39" s="1062">
        <f>3.608-SUM(BK39:BM39)</f>
        <v>-0.39999999999999991</v>
      </c>
      <c r="BO39" s="6">
        <f t="shared" si="33"/>
        <v>3.6080000000000001</v>
      </c>
      <c r="BP39" s="20"/>
      <c r="BQ39" s="53">
        <v>-16.018000000000001</v>
      </c>
      <c r="BR39" s="1062">
        <f>-0.559-BQ39</f>
        <v>15.459000000000001</v>
      </c>
      <c r="BS39" s="1063">
        <f>-7.097-6.055-SUM(BQ39:BR39)</f>
        <v>-12.593000000000002</v>
      </c>
      <c r="BT39" s="1063">
        <f>-5.983-SUM(BQ39:BS39)</f>
        <v>7.1690000000000014</v>
      </c>
      <c r="BU39" s="6">
        <f t="shared" si="34"/>
        <v>-5.9829999999999997</v>
      </c>
      <c r="BV39" s="20"/>
      <c r="BW39" s="53">
        <v>-1.4</v>
      </c>
      <c r="BX39" s="1062">
        <f>-2.424-BW39</f>
        <v>-1.024</v>
      </c>
      <c r="BY39" s="1062">
        <f>-6.505-SUM(BW39:BX39)</f>
        <v>-4.0809999999999995</v>
      </c>
      <c r="BZ39" s="1063">
        <f>-8.8-SUM(BW39:BY39)</f>
        <v>-2.2950000000000017</v>
      </c>
      <c r="CA39" s="6">
        <f t="shared" si="35"/>
        <v>-8.8000000000000007</v>
      </c>
      <c r="CB39" s="20"/>
      <c r="CC39" s="53">
        <v>1.2</v>
      </c>
      <c r="CD39" s="1062">
        <f>-2.296-CC39</f>
        <v>-3.4959999999999996</v>
      </c>
      <c r="CE39" s="1062">
        <f>-22.816-SUM(CC39:CD39)</f>
        <v>-20.52</v>
      </c>
      <c r="CF39" s="1063">
        <f>-20.707-2.31-SUM(CC39:CE39)</f>
        <v>-0.20100000000000051</v>
      </c>
      <c r="CG39" s="6">
        <f t="shared" si="36"/>
        <v>-23.016999999999999</v>
      </c>
      <c r="CH39" s="20"/>
      <c r="CI39" s="53">
        <v>0</v>
      </c>
      <c r="CJ39" s="51">
        <v>0</v>
      </c>
      <c r="CK39" s="51">
        <v>0</v>
      </c>
      <c r="CL39" s="51">
        <v>0</v>
      </c>
      <c r="CM39" s="6">
        <f t="shared" si="37"/>
        <v>0</v>
      </c>
      <c r="CN39" s="20"/>
      <c r="CO39" s="53">
        <v>0</v>
      </c>
      <c r="CP39" s="51">
        <v>0</v>
      </c>
      <c r="CQ39" s="51">
        <v>0</v>
      </c>
      <c r="CR39" s="51">
        <v>0</v>
      </c>
      <c r="CS39" s="6">
        <f t="shared" si="38"/>
        <v>0</v>
      </c>
      <c r="CT39" s="20"/>
      <c r="CU39" s="53">
        <v>0</v>
      </c>
      <c r="CV39" s="51">
        <v>0</v>
      </c>
      <c r="CW39" s="51">
        <v>0</v>
      </c>
      <c r="CX39" s="51">
        <v>0</v>
      </c>
      <c r="CY39" s="6">
        <f t="shared" si="39"/>
        <v>0</v>
      </c>
      <c r="CZ39" s="259"/>
      <c r="DA39" s="259"/>
      <c r="DB39" s="48"/>
    </row>
    <row r="40" spans="1:106" ht="11.25" customHeight="1" x14ac:dyDescent="0.2">
      <c r="A40" s="473" t="s">
        <v>69</v>
      </c>
      <c r="B40" s="240"/>
      <c r="C40" s="279"/>
      <c r="D40" s="240"/>
      <c r="E40" s="240"/>
      <c r="F40" s="240"/>
      <c r="G40" s="474">
        <f>SUM(G32:G39)</f>
        <v>-51.149000000000001</v>
      </c>
      <c r="H40" s="431"/>
      <c r="I40" s="475">
        <f>SUM(I32:I39)</f>
        <v>-10.148999999999997</v>
      </c>
      <c r="J40" s="431">
        <f>SUM(J32:J39)</f>
        <v>-75.963999999999999</v>
      </c>
      <c r="K40" s="431">
        <f>SUM(K32:K39)</f>
        <v>-6.3030000000000008</v>
      </c>
      <c r="L40" s="431">
        <f>SUM(L32:L39)</f>
        <v>-6.0849999999999902</v>
      </c>
      <c r="M40" s="474">
        <f>SUM(M32:M39)</f>
        <v>-98.501000000000005</v>
      </c>
      <c r="N40" s="431"/>
      <c r="O40" s="475">
        <f>SUM(O32:O39)</f>
        <v>-23.051000000000002</v>
      </c>
      <c r="P40" s="431">
        <f>SUM(P32:P39)</f>
        <v>-38.213000000000008</v>
      </c>
      <c r="Q40" s="431">
        <f>SUM(Q32:Q39)</f>
        <v>-6.6859999999999893</v>
      </c>
      <c r="R40" s="431">
        <f>SUM(R32:R39)</f>
        <v>-97.52200000000002</v>
      </c>
      <c r="S40" s="474">
        <f>SUM(S32:S39)</f>
        <v>-165.47200000000001</v>
      </c>
      <c r="T40" s="431"/>
      <c r="U40" s="475">
        <f>SUM(U32:U39)</f>
        <v>-68.448000000000008</v>
      </c>
      <c r="V40" s="431">
        <f>SUM(V32:V39)</f>
        <v>-14.708</v>
      </c>
      <c r="W40" s="431">
        <f>SUM(W32:W39)</f>
        <v>-564.4849999999999</v>
      </c>
      <c r="X40" s="476">
        <f>SUM(X32:X39)</f>
        <v>-12.030000000000035</v>
      </c>
      <c r="Y40" s="477">
        <f>SUM(Y32:Y39)</f>
        <v>-659.67100000000005</v>
      </c>
      <c r="Z40" s="476"/>
      <c r="AA40" s="475">
        <f>SUM(AA32:AA39)</f>
        <v>-10.246</v>
      </c>
      <c r="AB40" s="431">
        <f>SUM(AB32:AB39)</f>
        <v>-15.313000000000001</v>
      </c>
      <c r="AC40" s="431">
        <f>SUM(AC32:AC39)</f>
        <v>-114.22200000000001</v>
      </c>
      <c r="AD40" s="431">
        <f>SUM(AD32:AD39)</f>
        <v>-70.737000000000009</v>
      </c>
      <c r="AE40" s="477">
        <f>SUM(AE32:AE39)</f>
        <v>-210.518</v>
      </c>
      <c r="AF40" s="431"/>
      <c r="AG40" s="475">
        <f>SUM(AG32:AG39)</f>
        <v>-14.02</v>
      </c>
      <c r="AH40" s="431">
        <f>SUM(AH32:AH39)</f>
        <v>-16.445999999999998</v>
      </c>
      <c r="AI40" s="431">
        <f>SUM(AI32:AI39)</f>
        <v>-129.297</v>
      </c>
      <c r="AJ40" s="431">
        <f>SUM(AJ32:AJ39)</f>
        <v>-181.98100000000002</v>
      </c>
      <c r="AK40" s="477">
        <f>SUM(AK32:AK39)</f>
        <v>-341.74400000000003</v>
      </c>
      <c r="AL40" s="431"/>
      <c r="AM40" s="475">
        <f>SUM(AM32:AM39)</f>
        <v>-77.974999999999994</v>
      </c>
      <c r="AN40" s="431">
        <f>SUM(AN32:AN39)</f>
        <v>-25.940999999999999</v>
      </c>
      <c r="AO40" s="431">
        <f>SUM(AO32:AO39)</f>
        <v>-46.050000000000011</v>
      </c>
      <c r="AP40" s="431">
        <f>SUM(AP32:AP39)</f>
        <v>-65.544999999999987</v>
      </c>
      <c r="AQ40" s="477">
        <f>SUM(AQ32:AQ39)</f>
        <v>-215.51100000000002</v>
      </c>
      <c r="AR40" s="431"/>
      <c r="AS40" s="475">
        <f>SUM(AS32:AS39)</f>
        <v>-88.078000000000003</v>
      </c>
      <c r="AT40" s="431">
        <f>SUM(AT32:AT39)</f>
        <v>-41.726000000000013</v>
      </c>
      <c r="AU40" s="431">
        <f>SUM(AU32:AU39)</f>
        <v>-373.82600000000002</v>
      </c>
      <c r="AV40" s="431">
        <f>SUM(AV32:AV39)</f>
        <v>-36.692000000000007</v>
      </c>
      <c r="AW40" s="477">
        <f>SUM(AW32:AW39)</f>
        <v>-540.32200000000012</v>
      </c>
      <c r="AX40" s="431"/>
      <c r="AY40" s="475">
        <f>SUM(AY32:AY39)</f>
        <v>-24.999000000000002</v>
      </c>
      <c r="AZ40" s="431">
        <f>SUM(AZ32:AZ39)</f>
        <v>-159.96200000000002</v>
      </c>
      <c r="BA40" s="431">
        <f>SUM(BA32:BA39)</f>
        <v>-37.759</v>
      </c>
      <c r="BB40" s="431">
        <f>SUM(BB32:BB39)</f>
        <v>-78.165999999999997</v>
      </c>
      <c r="BC40" s="477">
        <f>SUM(BC32:BC39)</f>
        <v>-300.88600000000002</v>
      </c>
      <c r="BD40" s="431"/>
      <c r="BE40" s="475">
        <f>SUM(BE32:BE39)</f>
        <v>-23.204000000000001</v>
      </c>
      <c r="BF40" s="431">
        <f>SUM(BF32:BF39)</f>
        <v>-114.79199999999999</v>
      </c>
      <c r="BG40" s="431">
        <f>SUM(BG32:BG39)</f>
        <v>-99.084000000000003</v>
      </c>
      <c r="BH40" s="431">
        <f>SUM(BH32:BH39)</f>
        <v>-14.655000000000008</v>
      </c>
      <c r="BI40" s="474">
        <f>SUM(BI32:BI39)</f>
        <v>-251.73499999999999</v>
      </c>
      <c r="BJ40" s="431"/>
      <c r="BK40" s="475">
        <f>SUM(BK32:BK39)</f>
        <v>-87.863</v>
      </c>
      <c r="BL40" s="431">
        <f>SUM(BL32:BL39)</f>
        <v>-190.96600000000001</v>
      </c>
      <c r="BM40" s="431">
        <f>SUM(BM32:BM39)</f>
        <v>-1.9510000000000138</v>
      </c>
      <c r="BN40" s="476">
        <f>SUM(BN32:BN39)</f>
        <v>-126.82100000000003</v>
      </c>
      <c r="BO40" s="474">
        <f>SUM(BO32:BO39)</f>
        <v>-407.60100000000006</v>
      </c>
      <c r="BP40" s="431"/>
      <c r="BQ40" s="475">
        <f>SUM(BQ32:BQ39)</f>
        <v>26.835999999999999</v>
      </c>
      <c r="BR40" s="431">
        <f>SUM(BR32:BR39)</f>
        <v>-48.219999999999992</v>
      </c>
      <c r="BS40" s="431">
        <f>SUM(BS32:BS39)</f>
        <v>4.2409999999999659</v>
      </c>
      <c r="BT40" s="476">
        <f>SUM(BT32:BT39)</f>
        <v>-129.05699999999999</v>
      </c>
      <c r="BU40" s="474">
        <f>SUM(BU32:BU39)</f>
        <v>-146.19999999999999</v>
      </c>
      <c r="BV40" s="431"/>
      <c r="BW40" s="475">
        <f>SUM(BW32:BW39)</f>
        <v>17.684000000000005</v>
      </c>
      <c r="BX40" s="431">
        <f>SUM(BX32:BX39)</f>
        <v>-124.81999999999998</v>
      </c>
      <c r="BY40" s="431">
        <f>SUM(BY32:BY39)</f>
        <v>-56.118000000000066</v>
      </c>
      <c r="BZ40" s="476">
        <f>SUM(BZ32:BZ39)</f>
        <v>-15.80199999999995</v>
      </c>
      <c r="CA40" s="474">
        <f>SUM(CA32:CA39)</f>
        <v>-179.05599999999998</v>
      </c>
      <c r="CB40" s="431"/>
      <c r="CC40" s="475">
        <f>SUM(CC32:CC39)</f>
        <v>-11.593000000000007</v>
      </c>
      <c r="CD40" s="431">
        <f>SUM(CD32:CD39)</f>
        <v>-67.920999999999992</v>
      </c>
      <c r="CE40" s="431">
        <f>SUM(CE32:CE39)</f>
        <v>-292.35999999999996</v>
      </c>
      <c r="CF40" s="476">
        <f>SUM(CF32:CF39)</f>
        <v>-92.389999999999986</v>
      </c>
      <c r="CG40" s="474">
        <f>SUM(CG32:CG39)</f>
        <v>-464.26399999999995</v>
      </c>
      <c r="CH40" s="431"/>
      <c r="CI40" s="475">
        <f>SUM(CI32:CI39)</f>
        <v>-22.242802948246279</v>
      </c>
      <c r="CJ40" s="431">
        <f>SUM(CJ32:CJ39)</f>
        <v>-25.350503977616494</v>
      </c>
      <c r="CK40" s="431">
        <f>SUM(CK32:CK39)</f>
        <v>-26.193623814536238</v>
      </c>
      <c r="CL40" s="431">
        <f>SUM(CL32:CL39)</f>
        <v>-27.921381638505501</v>
      </c>
      <c r="CM40" s="474">
        <f>SUM(CM32:CM39)</f>
        <v>-101.70831237890451</v>
      </c>
      <c r="CN40" s="431"/>
      <c r="CO40" s="475">
        <f>SUM(CO32:CO39)</f>
        <v>-24.695391846452839</v>
      </c>
      <c r="CP40" s="431">
        <f>SUM(CP32:CP39)</f>
        <v>-27.265649511447041</v>
      </c>
      <c r="CQ40" s="431">
        <f>SUM(CQ32:CQ39)</f>
        <v>-27.758098955067162</v>
      </c>
      <c r="CR40" s="431">
        <f>SUM(CR32:CR39)</f>
        <v>-30.39409394240079</v>
      </c>
      <c r="CS40" s="474">
        <f>SUM(CS32:CS39)</f>
        <v>-110.11323425536783</v>
      </c>
      <c r="CT40" s="431"/>
      <c r="CU40" s="475">
        <f>SUM(CU32:CU39)</f>
        <v>-27.341777579833927</v>
      </c>
      <c r="CV40" s="431">
        <f>SUM(CV32:CV39)</f>
        <v>-30.010833295819737</v>
      </c>
      <c r="CW40" s="431">
        <f>SUM(CW32:CW39)</f>
        <v>-30.48540605798037</v>
      </c>
      <c r="CX40" s="431">
        <f>SUM(CX32:CX39)</f>
        <v>-33.35105282734056</v>
      </c>
      <c r="CY40" s="474">
        <f>SUM(CY32:CY39)</f>
        <v>-121.1890697609746</v>
      </c>
      <c r="CZ40" s="255"/>
      <c r="DA40" s="255"/>
      <c r="DB40" s="48"/>
    </row>
    <row r="41" spans="1:106" ht="11.25" customHeight="1" x14ac:dyDescent="0.2">
      <c r="A41" s="58"/>
      <c r="B41" s="48"/>
      <c r="C41" s="59"/>
      <c r="D41" s="48"/>
      <c r="E41" s="48"/>
      <c r="F41" s="48"/>
      <c r="G41" s="6"/>
      <c r="H41" s="28"/>
      <c r="I41" s="19"/>
      <c r="J41" s="28"/>
      <c r="K41" s="28"/>
      <c r="L41" s="20"/>
      <c r="M41" s="6"/>
      <c r="N41" s="28"/>
      <c r="O41" s="19"/>
      <c r="P41" s="28"/>
      <c r="Q41" s="28"/>
      <c r="R41" s="20"/>
      <c r="S41" s="6"/>
      <c r="T41" s="28"/>
      <c r="U41" s="19"/>
      <c r="V41" s="28"/>
      <c r="W41" s="28"/>
      <c r="X41" s="20"/>
      <c r="Y41" s="6"/>
      <c r="Z41" s="28"/>
      <c r="AA41" s="19"/>
      <c r="AB41" s="28"/>
      <c r="AC41" s="28"/>
      <c r="AD41" s="20"/>
      <c r="AE41" s="6"/>
      <c r="AF41" s="28"/>
      <c r="AG41" s="19"/>
      <c r="AH41" s="28"/>
      <c r="AI41" s="28"/>
      <c r="AJ41" s="20"/>
      <c r="AK41" s="6"/>
      <c r="AL41" s="28"/>
      <c r="AM41" s="19"/>
      <c r="AN41" s="28"/>
      <c r="AO41" s="28"/>
      <c r="AP41" s="20"/>
      <c r="AQ41" s="6"/>
      <c r="AR41" s="28"/>
      <c r="AS41" s="19"/>
      <c r="AT41" s="28"/>
      <c r="AU41" s="28"/>
      <c r="AV41" s="20"/>
      <c r="AW41" s="6"/>
      <c r="AX41" s="28"/>
      <c r="AY41" s="19"/>
      <c r="AZ41" s="28"/>
      <c r="BA41" s="28"/>
      <c r="BB41" s="28"/>
      <c r="BC41" s="6"/>
      <c r="BD41" s="28"/>
      <c r="BE41" s="19"/>
      <c r="BF41" s="28"/>
      <c r="BG41" s="28"/>
      <c r="BH41" s="28"/>
      <c r="BI41" s="6"/>
      <c r="BJ41" s="28"/>
      <c r="BK41" s="19"/>
      <c r="BL41" s="28"/>
      <c r="BM41" s="28"/>
      <c r="BN41" s="28"/>
      <c r="BO41" s="6"/>
      <c r="BP41" s="28"/>
      <c r="BQ41" s="19"/>
      <c r="BR41" s="173"/>
      <c r="BS41" s="28"/>
      <c r="BT41" s="28"/>
      <c r="BU41" s="6"/>
      <c r="BV41" s="28"/>
      <c r="BW41" s="19"/>
      <c r="BX41" s="173"/>
      <c r="BY41" s="173"/>
      <c r="BZ41" s="28"/>
      <c r="CA41" s="6"/>
      <c r="CB41" s="28"/>
      <c r="CC41" s="19"/>
      <c r="CD41" s="173"/>
      <c r="CE41" s="173"/>
      <c r="CF41" s="28"/>
      <c r="CG41" s="6"/>
      <c r="CH41" s="28"/>
      <c r="CI41" s="19"/>
      <c r="CJ41" s="28"/>
      <c r="CK41" s="28"/>
      <c r="CL41" s="28"/>
      <c r="CM41" s="6"/>
      <c r="CN41" s="28"/>
      <c r="CO41" s="19"/>
      <c r="CP41" s="28"/>
      <c r="CQ41" s="28"/>
      <c r="CR41" s="28"/>
      <c r="CS41" s="6"/>
      <c r="CT41" s="28"/>
      <c r="CU41" s="19"/>
      <c r="CV41" s="28"/>
      <c r="CW41" s="28"/>
      <c r="CX41" s="28"/>
      <c r="CY41" s="6"/>
      <c r="CZ41" s="20"/>
      <c r="DA41" s="20"/>
      <c r="DB41" s="48"/>
    </row>
    <row r="42" spans="1:106" ht="11.25" customHeight="1" x14ac:dyDescent="0.2">
      <c r="A42" s="203" t="s">
        <v>70</v>
      </c>
      <c r="B42" s="48"/>
      <c r="C42" s="59"/>
      <c r="D42" s="48"/>
      <c r="E42" s="48"/>
      <c r="F42" s="48"/>
      <c r="G42" s="6"/>
      <c r="H42" s="28"/>
      <c r="I42" s="19"/>
      <c r="J42" s="28"/>
      <c r="K42" s="28"/>
      <c r="L42" s="20"/>
      <c r="M42" s="6"/>
      <c r="N42" s="28"/>
      <c r="O42" s="19"/>
      <c r="P42" s="28"/>
      <c r="Q42" s="28"/>
      <c r="R42" s="20"/>
      <c r="S42" s="6"/>
      <c r="T42" s="28"/>
      <c r="U42" s="19"/>
      <c r="V42" s="28"/>
      <c r="W42" s="28"/>
      <c r="X42" s="20"/>
      <c r="Y42" s="6"/>
      <c r="Z42" s="28"/>
      <c r="AA42" s="19"/>
      <c r="AB42" s="28"/>
      <c r="AC42" s="28"/>
      <c r="AD42" s="20"/>
      <c r="AE42" s="6"/>
      <c r="AF42" s="28"/>
      <c r="AG42" s="19"/>
      <c r="AH42" s="28"/>
      <c r="AI42" s="28"/>
      <c r="AJ42" s="20"/>
      <c r="AK42" s="6"/>
      <c r="AL42" s="28"/>
      <c r="AM42" s="19"/>
      <c r="AN42" s="28"/>
      <c r="AO42" s="28"/>
      <c r="AP42" s="20"/>
      <c r="AQ42" s="6"/>
      <c r="AR42" s="28"/>
      <c r="AS42" s="19"/>
      <c r="AT42" s="28"/>
      <c r="AU42" s="28"/>
      <c r="AV42" s="20"/>
      <c r="AW42" s="6"/>
      <c r="AX42" s="28"/>
      <c r="AY42" s="19"/>
      <c r="AZ42" s="28"/>
      <c r="BA42" s="28"/>
      <c r="BB42" s="28"/>
      <c r="BC42" s="6"/>
      <c r="BD42" s="28"/>
      <c r="BE42" s="19"/>
      <c r="BF42" s="28"/>
      <c r="BG42" s="28"/>
      <c r="BH42" s="28"/>
      <c r="BI42" s="6"/>
      <c r="BJ42" s="28"/>
      <c r="BK42" s="19"/>
      <c r="BL42" s="28"/>
      <c r="BM42" s="28"/>
      <c r="BN42" s="28"/>
      <c r="BO42" s="6"/>
      <c r="BP42" s="28"/>
      <c r="BQ42" s="19"/>
      <c r="BR42" s="28"/>
      <c r="BS42" s="28"/>
      <c r="BT42" s="28"/>
      <c r="BU42" s="6"/>
      <c r="BV42" s="28"/>
      <c r="BW42" s="19"/>
      <c r="BX42" s="28"/>
      <c r="BY42" s="28"/>
      <c r="BZ42" s="28"/>
      <c r="CA42" s="6"/>
      <c r="CB42" s="28"/>
      <c r="CC42" s="19"/>
      <c r="CD42" s="28"/>
      <c r="CE42" s="28"/>
      <c r="CF42" s="28"/>
      <c r="CG42" s="6"/>
      <c r="CH42" s="28"/>
      <c r="CI42" s="19"/>
      <c r="CJ42" s="28"/>
      <c r="CK42" s="28"/>
      <c r="CL42" s="28"/>
      <c r="CM42" s="6"/>
      <c r="CN42" s="28"/>
      <c r="CO42" s="19"/>
      <c r="CP42" s="28"/>
      <c r="CQ42" s="28"/>
      <c r="CR42" s="28"/>
      <c r="CS42" s="6"/>
      <c r="CT42" s="28"/>
      <c r="CU42" s="19"/>
      <c r="CV42" s="28"/>
      <c r="CW42" s="28"/>
      <c r="CX42" s="28"/>
      <c r="CY42" s="6"/>
      <c r="CZ42" s="20"/>
      <c r="DA42" s="20"/>
      <c r="DB42" s="48"/>
    </row>
    <row r="43" spans="1:106" ht="11.25" customHeight="1" x14ac:dyDescent="0.2">
      <c r="A43" s="354" t="s">
        <v>90</v>
      </c>
      <c r="B43" s="48"/>
      <c r="C43" s="59"/>
      <c r="D43" s="48"/>
      <c r="E43" s="48"/>
      <c r="F43" s="48"/>
      <c r="G43" s="331">
        <v>150.077</v>
      </c>
      <c r="H43" s="122"/>
      <c r="I43" s="53">
        <v>0</v>
      </c>
      <c r="J43" s="122">
        <f>6.299-I43</f>
        <v>6.2990000000000004</v>
      </c>
      <c r="K43" s="122">
        <f>6.299-I43-J43</f>
        <v>0</v>
      </c>
      <c r="L43" s="51">
        <f>6.299-I43-J43-K43</f>
        <v>0</v>
      </c>
      <c r="M43" s="304">
        <f t="shared" ref="M43:M49" si="40">SUM(I43:L43)</f>
        <v>6.2990000000000004</v>
      </c>
      <c r="N43" s="122"/>
      <c r="O43" s="53">
        <v>0</v>
      </c>
      <c r="P43" s="122">
        <f>295.022-O43</f>
        <v>295.02199999999999</v>
      </c>
      <c r="Q43" s="122">
        <f>295.022-O43-P43</f>
        <v>0</v>
      </c>
      <c r="R43" s="51">
        <f>295.022-O43-P43-Q43</f>
        <v>0</v>
      </c>
      <c r="S43" s="304">
        <f t="shared" ref="S43:S49" si="41">SUM(O43:R43)</f>
        <v>295.02199999999999</v>
      </c>
      <c r="T43" s="122"/>
      <c r="U43" s="53">
        <v>0</v>
      </c>
      <c r="V43" s="122">
        <v>0</v>
      </c>
      <c r="W43" s="122">
        <f>780.005-U43-V43</f>
        <v>780.005</v>
      </c>
      <c r="X43" s="51">
        <f>780.018-U43-V43-W43</f>
        <v>1.3000000000033651E-2</v>
      </c>
      <c r="Y43" s="304">
        <f t="shared" ref="Y43:Y49" si="42">SUM(U43:X43)</f>
        <v>780.01800000000003</v>
      </c>
      <c r="Z43" s="122"/>
      <c r="AA43" s="53">
        <v>0</v>
      </c>
      <c r="AB43" s="122">
        <v>0</v>
      </c>
      <c r="AC43" s="122">
        <v>0</v>
      </c>
      <c r="AD43" s="51">
        <v>0</v>
      </c>
      <c r="AE43" s="304">
        <f t="shared" ref="AE43:AE49" si="43">SUM(AA43:AD43)</f>
        <v>0</v>
      </c>
      <c r="AF43" s="122"/>
      <c r="AG43" s="53">
        <v>0</v>
      </c>
      <c r="AH43" s="122">
        <v>0</v>
      </c>
      <c r="AI43" s="122">
        <v>0</v>
      </c>
      <c r="AJ43" s="51">
        <v>0</v>
      </c>
      <c r="AK43" s="304">
        <f t="shared" ref="AK43:AK49" si="44">SUM(AG43:AJ43)</f>
        <v>0</v>
      </c>
      <c r="AL43" s="122"/>
      <c r="AM43" s="53">
        <v>0</v>
      </c>
      <c r="AN43" s="122">
        <f>3.016-AM43</f>
        <v>3.016</v>
      </c>
      <c r="AO43" s="122">
        <f>3.016-AM43-AN43</f>
        <v>0</v>
      </c>
      <c r="AP43" s="51">
        <f>3.016-AM43-AN43-AO43</f>
        <v>0</v>
      </c>
      <c r="AQ43" s="6">
        <f t="shared" ref="AQ43:AQ49" si="45">SUM(AM43:AP43)</f>
        <v>3.016</v>
      </c>
      <c r="AR43" s="122"/>
      <c r="AS43" s="53">
        <v>0</v>
      </c>
      <c r="AT43" s="122">
        <v>0</v>
      </c>
      <c r="AU43" s="122">
        <f>44-AS43-AT43</f>
        <v>44</v>
      </c>
      <c r="AV43" s="51">
        <f>(142.329+44)-AS43-AT43-AU43</f>
        <v>142.32900000000001</v>
      </c>
      <c r="AW43" s="6">
        <f t="shared" ref="AW43:AW49" si="46">SUM(AS43:AV43)</f>
        <v>186.32900000000001</v>
      </c>
      <c r="AX43" s="122"/>
      <c r="AY43" s="53">
        <v>2.0350000000000001</v>
      </c>
      <c r="AZ43" s="122">
        <f>68.87-AY43</f>
        <v>66.835000000000008</v>
      </c>
      <c r="BA43" s="122">
        <f>68.821-AZ43-AY43</f>
        <v>-4.9000000000010147E-2</v>
      </c>
      <c r="BB43" s="51">
        <f>(400-143.311)-SUM(AY43:BA43)</f>
        <v>187.86799999999997</v>
      </c>
      <c r="BC43" s="6">
        <f t="shared" ref="BC43:BC49" si="47">SUM(AY43:BB43)</f>
        <v>256.68899999999996</v>
      </c>
      <c r="BD43" s="28"/>
      <c r="BE43" s="53">
        <v>-0.20899999999999999</v>
      </c>
      <c r="BF43" s="122">
        <f>0-BE43</f>
        <v>0.20899999999999999</v>
      </c>
      <c r="BG43" s="122">
        <f>0-SUM(BE43:BF43)</f>
        <v>0</v>
      </c>
      <c r="BH43" s="51">
        <f>0.013-SUM(BE43:BG43)</f>
        <v>1.2999999999999999E-2</v>
      </c>
      <c r="BI43" s="6">
        <f t="shared" ref="BI43:BI49" si="48">SUM(BE43:BH43)</f>
        <v>1.2999999999999999E-2</v>
      </c>
      <c r="BJ43" s="28"/>
      <c r="BK43" s="53">
        <f>722.7</f>
        <v>722.7</v>
      </c>
      <c r="BL43" s="1062">
        <f>718.569-BK43</f>
        <v>-4.1310000000000855</v>
      </c>
      <c r="BM43" s="1062">
        <f>717.554-SUM(BK43:BL43)</f>
        <v>-1.0149999999999864</v>
      </c>
      <c r="BN43" s="1062">
        <f>716.967-SUM(BK43:BM43)</f>
        <v>-0.58699999999998909</v>
      </c>
      <c r="BO43" s="6">
        <f t="shared" ref="BO43:BO49" si="49">SUM(BK43:BN43)</f>
        <v>716.96699999999998</v>
      </c>
      <c r="BP43" s="28"/>
      <c r="BQ43" s="53">
        <v>-4.2999999999999997E-2</v>
      </c>
      <c r="BR43" s="1062">
        <f>-0.086-BQ43</f>
        <v>-4.2999999999999997E-2</v>
      </c>
      <c r="BS43" s="1063">
        <f>-0.086-SUM(BQ43:BR43)</f>
        <v>0</v>
      </c>
      <c r="BT43" s="1063">
        <f>0-SUM(BQ43:BS43)</f>
        <v>8.5999999999999993E-2</v>
      </c>
      <c r="BU43" s="6">
        <f t="shared" ref="BU43:BU49" si="50">SUM(BQ43:BT43)</f>
        <v>0</v>
      </c>
      <c r="BV43" s="28"/>
      <c r="BW43" s="53">
        <v>0</v>
      </c>
      <c r="BX43" s="1062">
        <f>0-BW43</f>
        <v>0</v>
      </c>
      <c r="BY43" s="1062">
        <f>0-SUM(BW43:BX43)</f>
        <v>0</v>
      </c>
      <c r="BZ43" s="1063">
        <f t="shared" ref="BZ43:BZ46" si="51">0-SUM(BW43:BY43)</f>
        <v>0</v>
      </c>
      <c r="CA43" s="6">
        <f t="shared" ref="CA43:CA49" si="52">SUM(BW43:BZ43)</f>
        <v>0</v>
      </c>
      <c r="CB43" s="28"/>
      <c r="CC43" s="53">
        <v>0</v>
      </c>
      <c r="CD43" s="1062">
        <f>300.155-CC43</f>
        <v>300.15499999999997</v>
      </c>
      <c r="CE43" s="1062">
        <f>329.949+396.363-73.6-SUM(CC43:CD43)</f>
        <v>352.55700000000002</v>
      </c>
      <c r="CF43" s="1063">
        <f>329.875+394.391-73.646-SUM(CC43:CE43)</f>
        <v>-2.0919999999998709</v>
      </c>
      <c r="CG43" s="6">
        <f t="shared" ref="CG43:CG49" si="53">SUM(CC43:CF43)</f>
        <v>650.62000000000012</v>
      </c>
      <c r="CH43" s="28"/>
      <c r="CI43" s="859">
        <f>IF(BS!CI33-BS!CG33+BS!CI38-BS!CG38&lt;0,"0.0",BS!CI33-BS!CG33+BS!CI38-BS!CG38)</f>
        <v>0</v>
      </c>
      <c r="CJ43" s="857">
        <f>IF(BS!CJ33-BS!CI33+BS!CJ38-BS!CI38&lt;0,"0.0",BS!CJ33-BS!CI33+BS!CJ38-BS!CI38)</f>
        <v>0</v>
      </c>
      <c r="CK43" s="28">
        <f>IF(BS!CK33-BS!CJ33+BS!CK38-BS!CJ38&lt;0,"0.0",BS!CK33-BS!CJ33+BS!CK38-BS!CJ38)</f>
        <v>0</v>
      </c>
      <c r="CL43" s="28">
        <f>IF(BS!CL33-BS!CK33+BS!CL38-BS!CK38&lt;0,"0.0",BS!CL33-BS!CK33+BS!CL38-BS!CK38)</f>
        <v>0</v>
      </c>
      <c r="CM43" s="6">
        <f t="shared" ref="CM43:CM49" si="54">SUM(CI43:CL43)</f>
        <v>0</v>
      </c>
      <c r="CN43" s="28"/>
      <c r="CO43" s="859">
        <f>IF(BS!CO33-BS!CM33+BS!CO38-BS!CM38&lt;0,"0.0",BS!CO33-BS!CM33+BS!CO38-BS!CM38)</f>
        <v>0</v>
      </c>
      <c r="CP43" s="857">
        <f>IF(BS!CP33-BS!CO33+BS!CP38-BS!CO38&lt;0,"0.0",BS!CP33-BS!CO33+BS!CP38-BS!CO38)</f>
        <v>0</v>
      </c>
      <c r="CQ43" s="28">
        <f>IF(BS!CQ33-BS!CP33+BS!CQ38-BS!CP38&lt;0,"0.0",BS!CQ33-BS!CP33+BS!CQ38-BS!CP38)</f>
        <v>0</v>
      </c>
      <c r="CR43" s="28">
        <f>IF(BS!CR33-BS!CQ33+BS!CR38-BS!CQ38&lt;0,"0.0",BS!CR33-BS!CQ33+BS!CR38-BS!CQ38)</f>
        <v>0</v>
      </c>
      <c r="CS43" s="6">
        <f t="shared" ref="CS43:CS49" si="55">SUM(CO43:CR43)</f>
        <v>0</v>
      </c>
      <c r="CT43" s="28"/>
      <c r="CU43" s="859">
        <f>IF(BS!CU33-BS!CS33+BS!CU38-BS!CS38&lt;0,"0.0",BS!CU33-BS!CS33+BS!CU38-BS!CS38)</f>
        <v>0</v>
      </c>
      <c r="CV43" s="857">
        <f>IF(BS!CV33-BS!CU33+BS!CV38-BS!CU38&lt;0,"0.0",BS!CV33-BS!CU33+BS!CV38-BS!CU38)</f>
        <v>0</v>
      </c>
      <c r="CW43" s="28">
        <f>IF(BS!CW33-BS!CV33+BS!CW38-BS!CV38&lt;0,"0.0",BS!CW33-BS!CV33+BS!CW38-BS!CV38)</f>
        <v>0</v>
      </c>
      <c r="CX43" s="28">
        <f>IF(BS!CX33-BS!CW33+BS!CX38-BS!CW38&lt;0,"0.0",BS!CX33-BS!CW33+BS!CX38-BS!CW38)</f>
        <v>0</v>
      </c>
      <c r="CY43" s="6">
        <f t="shared" ref="CY43:CY49" si="56">SUM(CU43:CX43)</f>
        <v>0</v>
      </c>
      <c r="CZ43" s="20"/>
      <c r="DA43" s="20"/>
      <c r="DB43" s="48"/>
    </row>
    <row r="44" spans="1:106" ht="11.25" customHeight="1" x14ac:dyDescent="0.2">
      <c r="A44" s="354" t="s">
        <v>71</v>
      </c>
      <c r="B44" s="48"/>
      <c r="C44" s="59"/>
      <c r="D44" s="48"/>
      <c r="E44" s="48"/>
      <c r="F44" s="48"/>
      <c r="G44" s="331">
        <v>-58.470999999999997</v>
      </c>
      <c r="H44" s="122"/>
      <c r="I44" s="53">
        <v>0</v>
      </c>
      <c r="J44" s="122">
        <f>-9.483-I44</f>
        <v>-9.4830000000000005</v>
      </c>
      <c r="K44" s="122">
        <f>-10.638-I44-J44</f>
        <v>-1.1549999999999994</v>
      </c>
      <c r="L44" s="51">
        <f>-10.705-I44-J44-K44</f>
        <v>-6.7000000000000171E-2</v>
      </c>
      <c r="M44" s="304">
        <f t="shared" si="40"/>
        <v>-10.705</v>
      </c>
      <c r="N44" s="122"/>
      <c r="O44" s="53">
        <v>0</v>
      </c>
      <c r="P44" s="122">
        <f>-9.819-O44</f>
        <v>-9.8190000000000008</v>
      </c>
      <c r="Q44" s="122">
        <f>-9.825-O44-P44</f>
        <v>-5.999999999998451E-3</v>
      </c>
      <c r="R44" s="51">
        <f>-9.825-O44-P44-Q44</f>
        <v>0</v>
      </c>
      <c r="S44" s="304">
        <f t="shared" si="41"/>
        <v>-9.8249999999999993</v>
      </c>
      <c r="T44" s="122"/>
      <c r="U44" s="53">
        <v>0</v>
      </c>
      <c r="V44" s="122">
        <f>-6.742-U44</f>
        <v>-6.742</v>
      </c>
      <c r="W44" s="122">
        <f>-337.737-U44-V44</f>
        <v>-330.995</v>
      </c>
      <c r="X44" s="51">
        <f>-337.811-U44-V44-W44</f>
        <v>-7.3999999999955435E-2</v>
      </c>
      <c r="Y44" s="304">
        <f t="shared" si="42"/>
        <v>-337.81099999999998</v>
      </c>
      <c r="Z44" s="122"/>
      <c r="AA44" s="53">
        <v>0</v>
      </c>
      <c r="AB44" s="122">
        <v>0</v>
      </c>
      <c r="AC44" s="122">
        <v>0</v>
      </c>
      <c r="AD44" s="51">
        <f>-5-AA44-AB44-AC44</f>
        <v>-5</v>
      </c>
      <c r="AE44" s="304">
        <f t="shared" si="43"/>
        <v>-5</v>
      </c>
      <c r="AF44" s="122"/>
      <c r="AG44" s="53">
        <v>0</v>
      </c>
      <c r="AH44" s="122">
        <v>0</v>
      </c>
      <c r="AI44" s="122">
        <f>-25-AG44-AH44</f>
        <v>-25</v>
      </c>
      <c r="AJ44" s="51">
        <f>-25-AG44-AH44-AI44</f>
        <v>0</v>
      </c>
      <c r="AK44" s="304">
        <f t="shared" si="44"/>
        <v>-25</v>
      </c>
      <c r="AL44" s="122"/>
      <c r="AM44" s="53">
        <v>0</v>
      </c>
      <c r="AN44" s="122">
        <v>0</v>
      </c>
      <c r="AO44" s="122">
        <f>-50-AM44-AN44</f>
        <v>-50</v>
      </c>
      <c r="AP44" s="51">
        <f>-50-AM44-AN44-AO44</f>
        <v>0</v>
      </c>
      <c r="AQ44" s="6">
        <f t="shared" si="45"/>
        <v>-50</v>
      </c>
      <c r="AR44" s="122"/>
      <c r="AS44" s="53">
        <v>0</v>
      </c>
      <c r="AT44" s="122">
        <v>0</v>
      </c>
      <c r="AU44" s="122">
        <f>-119.471-AS44-AT44</f>
        <v>-119.471</v>
      </c>
      <c r="AV44" s="51">
        <f>-469.857-AS44-AT44-AU44</f>
        <v>-350.38600000000002</v>
      </c>
      <c r="AW44" s="6">
        <f t="shared" si="46"/>
        <v>-469.85700000000003</v>
      </c>
      <c r="AX44" s="122"/>
      <c r="AY44" s="53">
        <v>-3.3000000000000002E-2</v>
      </c>
      <c r="AZ44" s="122">
        <f>-0.065-AY44</f>
        <v>-3.2000000000000001E-2</v>
      </c>
      <c r="BA44" s="122">
        <f>-0.097-AZ44-AY44</f>
        <v>-3.2000000000000001E-2</v>
      </c>
      <c r="BB44" s="51">
        <f>-1.607-SUM(AY44:BA44)</f>
        <v>-1.51</v>
      </c>
      <c r="BC44" s="6">
        <f t="shared" si="47"/>
        <v>-1.607</v>
      </c>
      <c r="BD44" s="28"/>
      <c r="BE44" s="53">
        <v>-3.5000000000000003E-2</v>
      </c>
      <c r="BF44" s="122">
        <f>-0.633-BE44</f>
        <v>-0.59799999999999998</v>
      </c>
      <c r="BG44" s="122">
        <f>-1.066-SUM(BE44:BF44)</f>
        <v>-0.43300000000000005</v>
      </c>
      <c r="BH44" s="51">
        <f>-2.285-SUM(BE44:BG44)</f>
        <v>-1.2190000000000001</v>
      </c>
      <c r="BI44" s="6">
        <f t="shared" si="48"/>
        <v>-2.2850000000000001</v>
      </c>
      <c r="BJ44" s="28"/>
      <c r="BK44" s="53">
        <f>-105.17-371.895</f>
        <v>-477.065</v>
      </c>
      <c r="BL44" s="1062">
        <f>-105.17-371.895-BK44</f>
        <v>0</v>
      </c>
      <c r="BM44" s="1062">
        <f>-105.17-387.05-SUM(BK44:BL44)</f>
        <v>-15.15500000000003</v>
      </c>
      <c r="BN44" s="1062">
        <f>-387.05-SUM(BK44:BM44)</f>
        <v>105.17000000000002</v>
      </c>
      <c r="BO44" s="6">
        <f t="shared" si="49"/>
        <v>-387.05</v>
      </c>
      <c r="BP44" s="28"/>
      <c r="BQ44" s="53">
        <v>-187.81899999999999</v>
      </c>
      <c r="BR44" s="1062">
        <f>-250.899-BQ44</f>
        <v>-63.080000000000013</v>
      </c>
      <c r="BS44" s="1063">
        <f>-251.398-SUM(BQ44:BR44)</f>
        <v>-0.49899999999999523</v>
      </c>
      <c r="BT44" s="1063">
        <f>-251.868-SUM(BQ44:BS44)</f>
        <v>-0.46999999999999886</v>
      </c>
      <c r="BU44" s="6">
        <f t="shared" si="50"/>
        <v>-251.86799999999999</v>
      </c>
      <c r="BV44" s="28"/>
      <c r="BW44" s="53">
        <v>0</v>
      </c>
      <c r="BX44" s="1062">
        <f>-0.556-BW44</f>
        <v>-0.55600000000000005</v>
      </c>
      <c r="BY44" s="1062">
        <f>-6.738-SUM(BW44:BX44)</f>
        <v>-6.1820000000000004</v>
      </c>
      <c r="BZ44" s="1063">
        <f>-6.738-SUM(BW44:BY44)</f>
        <v>0</v>
      </c>
      <c r="CA44" s="6">
        <f t="shared" si="52"/>
        <v>-6.7380000000000004</v>
      </c>
      <c r="CB44" s="28"/>
      <c r="CC44" s="53">
        <v>0</v>
      </c>
      <c r="CD44" s="1062">
        <f>-243.945-CC44</f>
        <v>-243.94499999999999</v>
      </c>
      <c r="CE44" s="1062">
        <f t="shared" ref="CE44:CE47" si="57">0-SUM(CC44:CD44)</f>
        <v>243.94499999999999</v>
      </c>
      <c r="CF44" s="1063">
        <f>-243.945-SUM(CC44:CE44)</f>
        <v>-243.94499999999999</v>
      </c>
      <c r="CG44" s="6">
        <f t="shared" si="53"/>
        <v>-243.94499999999999</v>
      </c>
      <c r="CH44" s="28"/>
      <c r="CI44" s="410">
        <f>IF(BS!CI33-BS!CG33+BS!CI38-BS!CG38&gt;0,"0.0",BS!CI33-BS!CG33+BS!CI38-BS!CG38)</f>
        <v>0</v>
      </c>
      <c r="CJ44" s="409">
        <f>IF(BS!CJ33-BS!CI33+BS!CJ38-BS!CI38&gt;0,"0.0",BS!CJ33-BS!CI33+BS!CJ38-BS!CI38)</f>
        <v>0</v>
      </c>
      <c r="CK44" s="409">
        <f>IF(BS!CK33-BS!CJ33+BS!CK38-BS!CJ38&gt;0,"0.0",BS!CK33-BS!CJ33+BS!CK38-BS!CJ38)</f>
        <v>0</v>
      </c>
      <c r="CL44" s="409">
        <f>IF(BS!CL33-BS!CK33+BS!CL38-BS!CK38&gt;0,"0.0",BS!CL33-BS!CK33+BS!CL38-BS!CK38)</f>
        <v>0</v>
      </c>
      <c r="CM44" s="6">
        <f t="shared" si="54"/>
        <v>0</v>
      </c>
      <c r="CN44" s="28"/>
      <c r="CO44" s="410">
        <f>IF(BS!CO33-BS!CM33+BS!CO38-BS!CM38&gt;0,"0.0",BS!CO33-BS!CM33+BS!CO38-BS!CM38)</f>
        <v>0</v>
      </c>
      <c r="CP44" s="409">
        <f>IF(BS!CP33-BS!CO33+BS!CP38-BS!CO38&gt;0,"0.0",BS!CP33-BS!CO33+BS!CP38-BS!CO38)</f>
        <v>0</v>
      </c>
      <c r="CQ44" s="409">
        <f>IF(BS!CQ33-BS!CP33+BS!CQ38-BS!CP38&gt;0,"0.0",BS!CQ33-BS!CP33+BS!CQ38-BS!CP38)</f>
        <v>0</v>
      </c>
      <c r="CR44" s="409">
        <f>IF(BS!CR33-BS!CQ33+BS!CR38-BS!CQ38&gt;0,"0.0",BS!CR33-BS!CQ33+BS!CR38-BS!CQ38)</f>
        <v>0</v>
      </c>
      <c r="CS44" s="6">
        <f t="shared" si="55"/>
        <v>0</v>
      </c>
      <c r="CT44" s="28"/>
      <c r="CU44" s="410">
        <f>IF(BS!CU33-BS!CS33+BS!CU38-BS!CS38&gt;0,"0.0",BS!CU33-BS!CS33+BS!CU38-BS!CS38)</f>
        <v>0</v>
      </c>
      <c r="CV44" s="409">
        <f>IF(BS!CV33-BS!CU33+BS!CV38-BS!CU38&gt;0,"0.0",BS!CV33-BS!CU33+BS!CV38-BS!CU38)</f>
        <v>0</v>
      </c>
      <c r="CW44" s="409">
        <f>IF(BS!CW33-BS!CV33+BS!CW38-BS!CV38&gt;0,"0.0",BS!CW33-BS!CV33+BS!CW38-BS!CV38)</f>
        <v>0</v>
      </c>
      <c r="CX44" s="409">
        <f>IF(BS!CX33-BS!CW33+BS!CX38-BS!CW38&gt;0,"0.0",BS!CX33-BS!CW33+BS!CX38-BS!CW38)</f>
        <v>0</v>
      </c>
      <c r="CY44" s="6">
        <f t="shared" si="56"/>
        <v>0</v>
      </c>
      <c r="CZ44" s="20"/>
      <c r="DA44" s="20"/>
      <c r="DB44" s="48"/>
    </row>
    <row r="45" spans="1:106" ht="11.25" customHeight="1" x14ac:dyDescent="0.2">
      <c r="A45" s="354" t="s">
        <v>72</v>
      </c>
      <c r="B45" s="48"/>
      <c r="C45" s="59"/>
      <c r="D45" s="48"/>
      <c r="E45" s="48"/>
      <c r="F45" s="48"/>
      <c r="G45" s="331">
        <v>-1.115</v>
      </c>
      <c r="H45" s="122"/>
      <c r="I45" s="53">
        <v>-0.28799999999999998</v>
      </c>
      <c r="J45" s="122">
        <f>-0.55-I45</f>
        <v>-0.26200000000000007</v>
      </c>
      <c r="K45" s="122">
        <f>-0.821-I45-J45</f>
        <v>-0.27099999999999985</v>
      </c>
      <c r="L45" s="51">
        <f>-1.053-I45-J45-K45</f>
        <v>-0.23200000000000004</v>
      </c>
      <c r="M45" s="304">
        <f t="shared" si="40"/>
        <v>-1.0529999999999999</v>
      </c>
      <c r="N45" s="122"/>
      <c r="O45" s="53">
        <v>-0.187</v>
      </c>
      <c r="P45" s="122">
        <f>-0.327-O45</f>
        <v>-0.14000000000000001</v>
      </c>
      <c r="Q45" s="122">
        <f>-0.503-O45-P45</f>
        <v>-0.17599999999999999</v>
      </c>
      <c r="R45" s="51">
        <f>-0.745-O45-P45-Q45</f>
        <v>-0.24200000000000005</v>
      </c>
      <c r="S45" s="304">
        <f t="shared" si="41"/>
        <v>-0.74500000000000011</v>
      </c>
      <c r="T45" s="122"/>
      <c r="U45" s="53">
        <v>-0.16800000000000001</v>
      </c>
      <c r="V45" s="122">
        <f>-0.371-U45</f>
        <v>-0.20299999999999999</v>
      </c>
      <c r="W45" s="122">
        <f>-1.321-U45-V45</f>
        <v>-0.95000000000000007</v>
      </c>
      <c r="X45" s="51">
        <f>-1.979-U45-V45-W45</f>
        <v>-0.65800000000000003</v>
      </c>
      <c r="Y45" s="304">
        <f t="shared" si="42"/>
        <v>-1.9790000000000001</v>
      </c>
      <c r="Z45" s="122"/>
      <c r="AA45" s="53">
        <v>-0.68700000000000006</v>
      </c>
      <c r="AB45" s="122">
        <f>-1.386-AA45</f>
        <v>-0.69899999999999984</v>
      </c>
      <c r="AC45" s="122">
        <f>-2.289-AA45-AB45</f>
        <v>-0.90300000000000025</v>
      </c>
      <c r="AD45" s="51">
        <f>-2.995-AA45-AB45-AC45</f>
        <v>-0.70599999999999974</v>
      </c>
      <c r="AE45" s="304">
        <f t="shared" si="43"/>
        <v>-2.9950000000000001</v>
      </c>
      <c r="AF45" s="122"/>
      <c r="AG45" s="53">
        <v>-0.73399999999999999</v>
      </c>
      <c r="AH45" s="122">
        <f>-1.42-AG45</f>
        <v>-0.68599999999999994</v>
      </c>
      <c r="AI45" s="122">
        <f>-2.184-AG45-AH45</f>
        <v>-0.76400000000000023</v>
      </c>
      <c r="AJ45" s="51">
        <f>-2.991-AG45-AH45-AI45</f>
        <v>-0.80699999999999994</v>
      </c>
      <c r="AK45" s="304">
        <f t="shared" si="44"/>
        <v>-2.9910000000000001</v>
      </c>
      <c r="AL45" s="122"/>
      <c r="AM45" s="53">
        <v>-0.88</v>
      </c>
      <c r="AN45" s="122">
        <f>-1.631-AM45</f>
        <v>-0.751</v>
      </c>
      <c r="AO45" s="122">
        <f>-2.334-AM45-AN45</f>
        <v>-0.70300000000000018</v>
      </c>
      <c r="AP45" s="51">
        <f>-3.262-AM45-AN45-AO45</f>
        <v>-0.92800000000000005</v>
      </c>
      <c r="AQ45" s="6">
        <f t="shared" si="45"/>
        <v>-3.262</v>
      </c>
      <c r="AR45" s="122"/>
      <c r="AS45" s="53">
        <v>-0.89800000000000002</v>
      </c>
      <c r="AT45" s="122">
        <f>-1.822-AS45</f>
        <v>-0.92400000000000004</v>
      </c>
      <c r="AU45" s="122">
        <f>-2.787-AS45-AT45</f>
        <v>-0.96499999999999975</v>
      </c>
      <c r="AV45" s="51">
        <f>-3.703-AS45-AT45-AU45</f>
        <v>-0.91600000000000004</v>
      </c>
      <c r="AW45" s="6">
        <f t="shared" si="46"/>
        <v>-3.7029999999999998</v>
      </c>
      <c r="AX45" s="122"/>
      <c r="AY45" s="53">
        <v>-1.0009999999999999</v>
      </c>
      <c r="AZ45" s="122">
        <f>-2-AY45</f>
        <v>-0.99900000000000011</v>
      </c>
      <c r="BA45" s="122">
        <f>-2.75-AZ45-AY45</f>
        <v>-0.75</v>
      </c>
      <c r="BB45" s="51">
        <f>-3.78-SUM(AY45:BA45)</f>
        <v>-1.0299999999999998</v>
      </c>
      <c r="BC45" s="6">
        <f t="shared" si="47"/>
        <v>-3.78</v>
      </c>
      <c r="BD45" s="28"/>
      <c r="BE45" s="53">
        <v>-0.92300000000000004</v>
      </c>
      <c r="BF45" s="122">
        <f>-2.01-BE45</f>
        <v>-1.0869999999999997</v>
      </c>
      <c r="BG45" s="122">
        <f>-3.1-SUM(BE45:BF45)</f>
        <v>-1.0900000000000003</v>
      </c>
      <c r="BH45" s="51">
        <f>-4.215-SUM(BE45:BG45)</f>
        <v>-1.1149999999999998</v>
      </c>
      <c r="BI45" s="6">
        <f t="shared" si="48"/>
        <v>-4.2149999999999999</v>
      </c>
      <c r="BJ45" s="28"/>
      <c r="BK45" s="53">
        <v>-1.004</v>
      </c>
      <c r="BL45" s="1062">
        <f>-2.267-BK45</f>
        <v>-1.2629999999999999</v>
      </c>
      <c r="BM45" s="1062">
        <f>-3.246-SUM(BK45:BL45)</f>
        <v>-0.97900000000000009</v>
      </c>
      <c r="BN45" s="1062">
        <f>-4.579-SUM(BK45:BM45)</f>
        <v>-1.3329999999999997</v>
      </c>
      <c r="BO45" s="6">
        <f t="shared" si="49"/>
        <v>-4.5789999999999997</v>
      </c>
      <c r="BP45" s="28"/>
      <c r="BQ45" s="53">
        <v>-0.26800000000000002</v>
      </c>
      <c r="BR45" s="1062">
        <f>-0.526-BQ45</f>
        <v>-0.25800000000000001</v>
      </c>
      <c r="BS45" s="1063">
        <f>-0.809-SUM(BQ45:BR45)</f>
        <v>-0.28300000000000003</v>
      </c>
      <c r="BT45" s="1063">
        <f>-1.079-SUM(BQ45:BS45)</f>
        <v>-0.26999999999999991</v>
      </c>
      <c r="BU45" s="6">
        <f t="shared" si="50"/>
        <v>-1.079</v>
      </c>
      <c r="BV45" s="28"/>
      <c r="BW45" s="53">
        <v>-0.28599999999999998</v>
      </c>
      <c r="BX45" s="1062">
        <f>0-BW45</f>
        <v>0.28599999999999998</v>
      </c>
      <c r="BY45" s="1062">
        <f>-0.949-SUM(BW45:BX45)</f>
        <v>-0.94899999999999995</v>
      </c>
      <c r="BZ45" s="1063">
        <f>-1.322-SUM(BW45:BY45)</f>
        <v>-0.37300000000000011</v>
      </c>
      <c r="CA45" s="6">
        <f t="shared" si="52"/>
        <v>-1.3220000000000001</v>
      </c>
      <c r="CB45" s="28"/>
      <c r="CC45" s="53">
        <v>-0.35699999999999998</v>
      </c>
      <c r="CD45" s="1062">
        <f>-0.674-CC45</f>
        <v>-0.31700000000000006</v>
      </c>
      <c r="CE45" s="1062">
        <f>-1.005-SUM(CC45:CD45)</f>
        <v>-0.33099999999999985</v>
      </c>
      <c r="CF45" s="1063">
        <f>-1.402-SUM(CC45:CE45)</f>
        <v>-0.39700000000000002</v>
      </c>
      <c r="CG45" s="6">
        <f t="shared" si="53"/>
        <v>-1.4019999999999999</v>
      </c>
      <c r="CH45" s="28"/>
      <c r="CI45" s="53">
        <v>0</v>
      </c>
      <c r="CJ45" s="51">
        <v>0</v>
      </c>
      <c r="CK45" s="51">
        <v>0</v>
      </c>
      <c r="CL45" s="51">
        <v>0</v>
      </c>
      <c r="CM45" s="6">
        <f t="shared" si="54"/>
        <v>0</v>
      </c>
      <c r="CN45" s="28"/>
      <c r="CO45" s="53">
        <v>0</v>
      </c>
      <c r="CP45" s="51">
        <v>0</v>
      </c>
      <c r="CQ45" s="51">
        <v>0</v>
      </c>
      <c r="CR45" s="51">
        <v>0</v>
      </c>
      <c r="CS45" s="6">
        <f t="shared" si="55"/>
        <v>0</v>
      </c>
      <c r="CT45" s="28"/>
      <c r="CU45" s="53">
        <v>0</v>
      </c>
      <c r="CV45" s="51">
        <v>0</v>
      </c>
      <c r="CW45" s="51">
        <v>0</v>
      </c>
      <c r="CX45" s="51">
        <v>0</v>
      </c>
      <c r="CY45" s="6">
        <f t="shared" si="56"/>
        <v>0</v>
      </c>
      <c r="CZ45" s="20"/>
      <c r="DA45" s="20"/>
      <c r="DB45" s="28"/>
    </row>
    <row r="46" spans="1:106" ht="11.25" customHeight="1" x14ac:dyDescent="0.2">
      <c r="A46" s="354" t="s">
        <v>73</v>
      </c>
      <c r="B46" s="48"/>
      <c r="C46" s="59"/>
      <c r="D46" s="48"/>
      <c r="E46" s="48"/>
      <c r="F46" s="48"/>
      <c r="G46" s="331">
        <v>0</v>
      </c>
      <c r="H46" s="122"/>
      <c r="I46" s="53">
        <v>0.22600000000000001</v>
      </c>
      <c r="J46" s="122">
        <f>0.226-I46</f>
        <v>0</v>
      </c>
      <c r="K46" s="122">
        <f>0.455-I46-J46</f>
        <v>0.22900000000000001</v>
      </c>
      <c r="L46" s="51">
        <f>0.455-I46-J46-K46</f>
        <v>0</v>
      </c>
      <c r="M46" s="304">
        <f t="shared" si="40"/>
        <v>0.45500000000000002</v>
      </c>
      <c r="N46" s="122"/>
      <c r="O46" s="53">
        <v>0.23300000000000001</v>
      </c>
      <c r="P46" s="122">
        <f>0.233-O46</f>
        <v>0</v>
      </c>
      <c r="Q46" s="122">
        <f>0.47-O46-P46</f>
        <v>0.23699999999999996</v>
      </c>
      <c r="R46" s="51">
        <f>0.317-O46-P46-Q46</f>
        <v>-0.15299999999999997</v>
      </c>
      <c r="S46" s="304">
        <f t="shared" si="41"/>
        <v>0.317</v>
      </c>
      <c r="T46" s="122"/>
      <c r="U46" s="53">
        <v>0.11</v>
      </c>
      <c r="V46" s="122">
        <f>0.46-U46</f>
        <v>0.35000000000000003</v>
      </c>
      <c r="W46" s="122">
        <f>0.571-U46-V46</f>
        <v>0.11099999999999993</v>
      </c>
      <c r="X46" s="51">
        <f>1.6-U46-V46-W46</f>
        <v>1.0289999999999999</v>
      </c>
      <c r="Y46" s="304">
        <f t="shared" si="42"/>
        <v>1.5999999999999999</v>
      </c>
      <c r="Z46" s="122"/>
      <c r="AA46" s="53">
        <v>0.15</v>
      </c>
      <c r="AB46" s="122">
        <f>0.508-AA46</f>
        <v>0.35799999999999998</v>
      </c>
      <c r="AC46" s="122">
        <f>0.622-AA46-AB46</f>
        <v>0.11399999999999999</v>
      </c>
      <c r="AD46" s="51">
        <f>0.985-AA46-AB46-AC46</f>
        <v>0.36299999999999999</v>
      </c>
      <c r="AE46" s="304">
        <f t="shared" si="43"/>
        <v>0.98499999999999999</v>
      </c>
      <c r="AF46" s="122"/>
      <c r="AG46" s="53">
        <v>0.113</v>
      </c>
      <c r="AH46" s="122">
        <f>0.479-AG46</f>
        <v>0.36599999999999999</v>
      </c>
      <c r="AI46" s="122">
        <f>0.593-AG46-AH46</f>
        <v>0.11399999999999999</v>
      </c>
      <c r="AJ46" s="51">
        <f>0.965-AG46-AH46-AI46</f>
        <v>0.372</v>
      </c>
      <c r="AK46" s="304">
        <f t="shared" si="44"/>
        <v>0.96499999999999997</v>
      </c>
      <c r="AL46" s="122"/>
      <c r="AM46" s="53">
        <v>0.114</v>
      </c>
      <c r="AN46" s="122">
        <f>0.49-AM46</f>
        <v>0.376</v>
      </c>
      <c r="AO46" s="122">
        <f>0.606-AM46-AN46</f>
        <v>0.11599999999999999</v>
      </c>
      <c r="AP46" s="51">
        <f>0.987-AM46-AN46-AO46</f>
        <v>0.38100000000000001</v>
      </c>
      <c r="AQ46" s="6">
        <f t="shared" si="45"/>
        <v>0.98699999999999999</v>
      </c>
      <c r="AR46" s="122"/>
      <c r="AS46" s="53">
        <v>0.11700000000000001</v>
      </c>
      <c r="AT46" s="122">
        <f>0.503-AS46</f>
        <v>0.38600000000000001</v>
      </c>
      <c r="AU46" s="122">
        <f>0.621-AS46-AT46</f>
        <v>0.11799999999999999</v>
      </c>
      <c r="AV46" s="51">
        <f>1.011-AS46-AT46-AU46</f>
        <v>0.3899999999999999</v>
      </c>
      <c r="AW46" s="6">
        <f t="shared" si="46"/>
        <v>1.0109999999999999</v>
      </c>
      <c r="AX46" s="122"/>
      <c r="AY46" s="53">
        <v>0.11899999999999999</v>
      </c>
      <c r="AZ46" s="122">
        <f>0.515-AY46</f>
        <v>0.39600000000000002</v>
      </c>
      <c r="BA46" s="122">
        <f>0.636-AZ46-AY46</f>
        <v>0.121</v>
      </c>
      <c r="BB46" s="51">
        <f>1.036-SUM(AY46:BA46)</f>
        <v>0.4</v>
      </c>
      <c r="BC46" s="6">
        <f t="shared" si="47"/>
        <v>1.036</v>
      </c>
      <c r="BD46" s="28"/>
      <c r="BE46" s="53">
        <v>0.122</v>
      </c>
      <c r="BF46" s="122">
        <f>0.528-BE46</f>
        <v>0.40600000000000003</v>
      </c>
      <c r="BG46" s="122">
        <f>0.651-SUM(BE46:BF46)</f>
        <v>0.123</v>
      </c>
      <c r="BH46" s="51">
        <f>1.062-SUM(BE46:BG46)</f>
        <v>0.41100000000000003</v>
      </c>
      <c r="BI46" s="6">
        <f t="shared" si="48"/>
        <v>1.0620000000000001</v>
      </c>
      <c r="BJ46" s="28"/>
      <c r="BK46" s="53">
        <v>0.40899999999999997</v>
      </c>
      <c r="BL46" s="1062">
        <f>0.409-BK46</f>
        <v>0</v>
      </c>
      <c r="BM46" s="1062">
        <f>0.536-0.18-SUM(BK46:BL46)</f>
        <v>-5.2999999999999936E-2</v>
      </c>
      <c r="BN46" s="1090">
        <f>0.536-SUM(BK46:BM46)</f>
        <v>0.18</v>
      </c>
      <c r="BO46" s="6">
        <f t="shared" si="49"/>
        <v>0.53600000000000003</v>
      </c>
      <c r="BP46" s="28"/>
      <c r="BQ46" s="53">
        <v>9.7000000000000003E-2</v>
      </c>
      <c r="BR46" s="1062">
        <f>0.097-BQ46</f>
        <v>0</v>
      </c>
      <c r="BS46" s="1063">
        <f>0.097-SUM(BQ46:BR46)</f>
        <v>0</v>
      </c>
      <c r="BT46" s="1063">
        <f>0.097-SUM(BQ46:BS46)</f>
        <v>0</v>
      </c>
      <c r="BU46" s="6">
        <f t="shared" si="50"/>
        <v>9.7000000000000003E-2</v>
      </c>
      <c r="BV46" s="28"/>
      <c r="BW46" s="53">
        <v>0</v>
      </c>
      <c r="BX46" s="1062">
        <f>0-BW46</f>
        <v>0</v>
      </c>
      <c r="BY46" s="1062">
        <f>0-SUM(BW46:BX46)</f>
        <v>0</v>
      </c>
      <c r="BZ46" s="1063">
        <f t="shared" si="51"/>
        <v>0</v>
      </c>
      <c r="CA46" s="6">
        <f t="shared" si="52"/>
        <v>0</v>
      </c>
      <c r="CB46" s="28"/>
      <c r="CC46" s="53">
        <v>0</v>
      </c>
      <c r="CD46" s="1062">
        <f t="shared" ref="CD46:CD47" si="58">0-CC46</f>
        <v>0</v>
      </c>
      <c r="CE46" s="1062">
        <f t="shared" si="57"/>
        <v>0</v>
      </c>
      <c r="CF46" s="1063">
        <f t="shared" ref="CF46:CF47" si="59">0-SUM(CC46:CE46)</f>
        <v>0</v>
      </c>
      <c r="CG46" s="6">
        <f t="shared" si="53"/>
        <v>0</v>
      </c>
      <c r="CH46" s="28"/>
      <c r="CI46" s="53">
        <v>0</v>
      </c>
      <c r="CJ46" s="51">
        <v>0</v>
      </c>
      <c r="CK46" s="51">
        <v>0</v>
      </c>
      <c r="CL46" s="51">
        <v>0</v>
      </c>
      <c r="CM46" s="6">
        <f t="shared" si="54"/>
        <v>0</v>
      </c>
      <c r="CN46" s="28"/>
      <c r="CO46" s="53">
        <v>0</v>
      </c>
      <c r="CP46" s="51">
        <v>0</v>
      </c>
      <c r="CQ46" s="51">
        <v>0</v>
      </c>
      <c r="CR46" s="51">
        <v>0</v>
      </c>
      <c r="CS46" s="6">
        <f t="shared" si="55"/>
        <v>0</v>
      </c>
      <c r="CT46" s="28"/>
      <c r="CU46" s="53">
        <v>0</v>
      </c>
      <c r="CV46" s="51">
        <v>0</v>
      </c>
      <c r="CW46" s="51">
        <v>0</v>
      </c>
      <c r="CX46" s="51">
        <v>0</v>
      </c>
      <c r="CY46" s="6">
        <f t="shared" si="56"/>
        <v>0</v>
      </c>
      <c r="CZ46" s="259"/>
      <c r="DA46" s="259"/>
      <c r="DB46" s="48"/>
    </row>
    <row r="47" spans="1:106" ht="11.25" customHeight="1" x14ac:dyDescent="0.2">
      <c r="A47" s="354" t="s">
        <v>91</v>
      </c>
      <c r="B47" s="48"/>
      <c r="C47" s="59"/>
      <c r="D47" s="48"/>
      <c r="E47" s="48"/>
      <c r="F47" s="48"/>
      <c r="G47" s="331">
        <v>0</v>
      </c>
      <c r="H47" s="122"/>
      <c r="I47" s="53">
        <v>0</v>
      </c>
      <c r="J47" s="122">
        <v>0</v>
      </c>
      <c r="K47" s="122">
        <v>0</v>
      </c>
      <c r="L47" s="51">
        <v>0</v>
      </c>
      <c r="M47" s="304">
        <f t="shared" si="40"/>
        <v>0</v>
      </c>
      <c r="N47" s="122"/>
      <c r="O47" s="53">
        <v>2.214</v>
      </c>
      <c r="P47" s="122">
        <f>2.733-O47</f>
        <v>0.51900000000000013</v>
      </c>
      <c r="Q47" s="122">
        <f>3.281-O47-P47</f>
        <v>0.54800000000000004</v>
      </c>
      <c r="R47" s="51">
        <f>7.385-O47-P47-Q47</f>
        <v>4.1039999999999992</v>
      </c>
      <c r="S47" s="304">
        <f t="shared" si="41"/>
        <v>7.3849999999999998</v>
      </c>
      <c r="T47" s="122"/>
      <c r="U47" s="53">
        <v>0.53500000000000003</v>
      </c>
      <c r="V47" s="122">
        <f>1.077-U47</f>
        <v>0.54199999999999993</v>
      </c>
      <c r="W47" s="122">
        <f>9.368-U47-V47</f>
        <v>8.2910000000000004</v>
      </c>
      <c r="X47" s="51">
        <f>9.944-U47-V47-W47</f>
        <v>0.57600000000000051</v>
      </c>
      <c r="Y47" s="304">
        <f t="shared" si="42"/>
        <v>9.9440000000000008</v>
      </c>
      <c r="Z47" s="122"/>
      <c r="AA47" s="53">
        <v>3.2909999999999999</v>
      </c>
      <c r="AB47" s="122">
        <f>3.732-AA47</f>
        <v>0.44100000000000028</v>
      </c>
      <c r="AC47" s="122">
        <f>5.86-AA47-AB47</f>
        <v>2.1280000000000001</v>
      </c>
      <c r="AD47" s="51">
        <f>1.775-AA47-AB47-AC47</f>
        <v>-4.0850000000000009</v>
      </c>
      <c r="AE47" s="304">
        <f t="shared" si="43"/>
        <v>1.7749999999999995</v>
      </c>
      <c r="AF47" s="122"/>
      <c r="AG47" s="53">
        <v>0.57299999999999995</v>
      </c>
      <c r="AH47" s="122">
        <f>1.45-AG47</f>
        <v>0.877</v>
      </c>
      <c r="AI47" s="122">
        <f>2.316-AG47-AH47</f>
        <v>0.86599999999999988</v>
      </c>
      <c r="AJ47" s="51">
        <f>5.942-AG47-AH47-AI47</f>
        <v>3.6260000000000003</v>
      </c>
      <c r="AK47" s="304">
        <f t="shared" si="44"/>
        <v>5.9420000000000002</v>
      </c>
      <c r="AL47" s="122"/>
      <c r="AM47" s="53">
        <v>0.81699999999999995</v>
      </c>
      <c r="AN47" s="122">
        <f>1.536-AM47</f>
        <v>0.71900000000000008</v>
      </c>
      <c r="AO47" s="122">
        <f>1.634-AM47-AN47</f>
        <v>9.7999999999999865E-2</v>
      </c>
      <c r="AP47" s="51">
        <f>1.976-AM47-AN47-AO47</f>
        <v>0.34200000000000008</v>
      </c>
      <c r="AQ47" s="6">
        <f t="shared" si="45"/>
        <v>1.976</v>
      </c>
      <c r="AR47" s="122"/>
      <c r="AS47" s="53">
        <v>1.673</v>
      </c>
      <c r="AT47" s="122">
        <f>2.185-AS47</f>
        <v>0.51200000000000001</v>
      </c>
      <c r="AU47" s="122">
        <f>2.215-AS47-AT47</f>
        <v>2.9999999999999805E-2</v>
      </c>
      <c r="AV47" s="51">
        <f>4.153-AS47-AT47-AU47</f>
        <v>1.9379999999999997</v>
      </c>
      <c r="AW47" s="6">
        <f t="shared" si="46"/>
        <v>4.1529999999999996</v>
      </c>
      <c r="AX47" s="122"/>
      <c r="AY47" s="53">
        <v>2.2829999999999999</v>
      </c>
      <c r="AZ47" s="122">
        <f>3.138-AY47</f>
        <v>0.85499999999999998</v>
      </c>
      <c r="BA47" s="122">
        <f>4.358-AZ47-AY47</f>
        <v>1.2199999999999998</v>
      </c>
      <c r="BB47" s="51">
        <f>1.489-SUM(AY47:BA47)</f>
        <v>-2.8689999999999998</v>
      </c>
      <c r="BC47" s="6">
        <f t="shared" si="47"/>
        <v>1.4889999999999999</v>
      </c>
      <c r="BD47" s="28"/>
      <c r="BE47" s="53">
        <v>4.7549999999999999</v>
      </c>
      <c r="BF47" s="122">
        <f>3.072-BE47</f>
        <v>-1.6829999999999998</v>
      </c>
      <c r="BG47" s="122">
        <f>3.437-SUM(BE47:BF47)</f>
        <v>0.36499999999999977</v>
      </c>
      <c r="BH47" s="51">
        <f>3.13-SUM(BE47:BG47)</f>
        <v>-0.30699999999999994</v>
      </c>
      <c r="BI47" s="6">
        <f t="shared" si="48"/>
        <v>3.13</v>
      </c>
      <c r="BJ47" s="28"/>
      <c r="BK47" s="53">
        <v>2.82</v>
      </c>
      <c r="BL47" s="1062">
        <f>2.818-BK47</f>
        <v>-1.9999999999997797E-3</v>
      </c>
      <c r="BM47" s="1062">
        <f>2.966-SUM(BK47:BL47)</f>
        <v>0.14800000000000013</v>
      </c>
      <c r="BN47" s="1062">
        <f>1.596-SUM(BK47:BM47)</f>
        <v>-1.37</v>
      </c>
      <c r="BO47" s="6">
        <f t="shared" si="49"/>
        <v>1.5960000000000001</v>
      </c>
      <c r="BP47" s="28"/>
      <c r="BQ47" s="53">
        <v>1.913</v>
      </c>
      <c r="BR47" s="1062">
        <f>2.099-BQ47</f>
        <v>0.18600000000000017</v>
      </c>
      <c r="BS47" s="1063">
        <f>2.513-SUM(BQ47:BR47)</f>
        <v>0.4139999999999997</v>
      </c>
      <c r="BT47" s="1063">
        <f>3.328-SUM(BQ47:BS47)</f>
        <v>0.81499999999999995</v>
      </c>
      <c r="BU47" s="6">
        <f t="shared" si="50"/>
        <v>3.3279999999999998</v>
      </c>
      <c r="BV47" s="28"/>
      <c r="BW47" s="53">
        <v>5.8000000000000003E-2</v>
      </c>
      <c r="BX47" s="1062">
        <f>0.074-BW47</f>
        <v>1.5999999999999993E-2</v>
      </c>
      <c r="BY47" s="1062">
        <f>0.448-SUM(BW47:BX47)</f>
        <v>0.374</v>
      </c>
      <c r="BZ47" s="1063">
        <f>0.782-SUM(BW47:BY47)</f>
        <v>0.33400000000000002</v>
      </c>
      <c r="CA47" s="6">
        <f t="shared" si="52"/>
        <v>0.78200000000000003</v>
      </c>
      <c r="CB47" s="28"/>
      <c r="CC47" s="53">
        <v>0</v>
      </c>
      <c r="CD47" s="1062">
        <f t="shared" si="58"/>
        <v>0</v>
      </c>
      <c r="CE47" s="1062">
        <f t="shared" si="57"/>
        <v>0</v>
      </c>
      <c r="CF47" s="1063">
        <f t="shared" si="59"/>
        <v>0</v>
      </c>
      <c r="CG47" s="6">
        <f t="shared" si="53"/>
        <v>0</v>
      </c>
      <c r="CH47" s="28"/>
      <c r="CI47" s="53">
        <f>+-CI16</f>
        <v>0</v>
      </c>
      <c r="CJ47" s="51">
        <f>+-CJ16</f>
        <v>0</v>
      </c>
      <c r="CK47" s="51">
        <f>+-CK16</f>
        <v>0</v>
      </c>
      <c r="CL47" s="51">
        <f>+-CL16</f>
        <v>0</v>
      </c>
      <c r="CM47" s="6">
        <f t="shared" si="54"/>
        <v>0</v>
      </c>
      <c r="CN47" s="28"/>
      <c r="CO47" s="53">
        <f>+-CO16</f>
        <v>0</v>
      </c>
      <c r="CP47" s="51">
        <f>+-CP16</f>
        <v>0</v>
      </c>
      <c r="CQ47" s="51">
        <f>+-CQ16</f>
        <v>0</v>
      </c>
      <c r="CR47" s="51">
        <f>+-CR16</f>
        <v>0</v>
      </c>
      <c r="CS47" s="6">
        <f t="shared" si="55"/>
        <v>0</v>
      </c>
      <c r="CT47" s="28"/>
      <c r="CU47" s="53">
        <f>+-CU16</f>
        <v>0</v>
      </c>
      <c r="CV47" s="51">
        <f>+-CV16</f>
        <v>0</v>
      </c>
      <c r="CW47" s="51">
        <f>+-CW16</f>
        <v>0</v>
      </c>
      <c r="CX47" s="51">
        <f>+-CX16</f>
        <v>0</v>
      </c>
      <c r="CY47" s="6">
        <f t="shared" si="56"/>
        <v>0</v>
      </c>
      <c r="CZ47" s="259"/>
      <c r="DA47" s="259"/>
      <c r="DB47" s="48"/>
    </row>
    <row r="48" spans="1:106" ht="11.25" customHeight="1" x14ac:dyDescent="0.2">
      <c r="A48" s="354" t="s">
        <v>386</v>
      </c>
      <c r="B48" s="48"/>
      <c r="C48" s="59"/>
      <c r="D48" s="48"/>
      <c r="E48" s="48"/>
      <c r="F48" s="48"/>
      <c r="G48" s="331">
        <v>5.1319999999999997</v>
      </c>
      <c r="H48" s="28"/>
      <c r="I48" s="53">
        <v>3.5329999999999999</v>
      </c>
      <c r="J48" s="122">
        <f>4.652-I48</f>
        <v>1.1190000000000002</v>
      </c>
      <c r="K48" s="122">
        <f>7.14-I48-J48</f>
        <v>2.4879999999999995</v>
      </c>
      <c r="L48" s="51">
        <f>7.959-I48-J48-K48</f>
        <v>0.81900000000000039</v>
      </c>
      <c r="M48" s="304">
        <f t="shared" si="40"/>
        <v>7.9589999999999996</v>
      </c>
      <c r="N48" s="28"/>
      <c r="O48" s="53">
        <v>4.8899999999999997</v>
      </c>
      <c r="P48" s="122">
        <f>6.315-O48</f>
        <v>1.4250000000000007</v>
      </c>
      <c r="Q48" s="122">
        <f>8.901-O48-P48</f>
        <v>2.5859999999999994</v>
      </c>
      <c r="R48" s="51">
        <f>11.006-O48-P48-Q48</f>
        <v>2.1050000000000004</v>
      </c>
      <c r="S48" s="304">
        <f t="shared" si="41"/>
        <v>11.006</v>
      </c>
      <c r="T48" s="28"/>
      <c r="U48" s="53">
        <v>2.5129999999999999</v>
      </c>
      <c r="V48" s="122">
        <f>4.793-U48</f>
        <v>2.2800000000000002</v>
      </c>
      <c r="W48" s="122">
        <f>30.791-U48-V48</f>
        <v>25.997999999999998</v>
      </c>
      <c r="X48" s="51">
        <f>42.282-U48-V48-W48</f>
        <v>11.491</v>
      </c>
      <c r="Y48" s="304">
        <f t="shared" si="42"/>
        <v>42.281999999999996</v>
      </c>
      <c r="Z48" s="28"/>
      <c r="AA48" s="53">
        <v>6.0419999999999998</v>
      </c>
      <c r="AB48" s="122">
        <f>8.039-AA48</f>
        <v>1.9969999999999999</v>
      </c>
      <c r="AC48" s="122">
        <f>12.532-AA48-AB48</f>
        <v>4.4930000000000003</v>
      </c>
      <c r="AD48" s="51">
        <f>(13.455+5)-AA48-AB48-AC48</f>
        <v>5.9229999999999983</v>
      </c>
      <c r="AE48" s="304">
        <f t="shared" si="43"/>
        <v>18.454999999999998</v>
      </c>
      <c r="AF48" s="28"/>
      <c r="AG48" s="53">
        <v>4.75</v>
      </c>
      <c r="AH48" s="122">
        <f>11.489-AG48</f>
        <v>6.7390000000000008</v>
      </c>
      <c r="AI48" s="122">
        <f>562.062-AG48-AH48</f>
        <v>550.57299999999998</v>
      </c>
      <c r="AJ48" s="51">
        <f>650.492-AG48-AH48-AI48</f>
        <v>88.42999999999995</v>
      </c>
      <c r="AK48" s="304">
        <f t="shared" si="44"/>
        <v>650.49199999999996</v>
      </c>
      <c r="AL48" s="28"/>
      <c r="AM48" s="53">
        <v>3.2450000000000001</v>
      </c>
      <c r="AN48" s="122">
        <f>6.598-AM48</f>
        <v>3.3529999999999998</v>
      </c>
      <c r="AO48" s="122">
        <f>7.552-AM48-AN48</f>
        <v>0.95399999999999974</v>
      </c>
      <c r="AP48" s="51">
        <f>11.241-AM48-AN48-AO48</f>
        <v>3.6890000000000001</v>
      </c>
      <c r="AQ48" s="6">
        <f t="shared" si="45"/>
        <v>11.241</v>
      </c>
      <c r="AR48" s="28"/>
      <c r="AS48" s="53">
        <v>4.3550000000000004</v>
      </c>
      <c r="AT48" s="122">
        <f>6.022-AS48</f>
        <v>1.6669999999999998</v>
      </c>
      <c r="AU48" s="122">
        <f>8.43-AS48-AT48</f>
        <v>2.4079999999999995</v>
      </c>
      <c r="AV48" s="51">
        <f>8.778-AS48-AT48-AU48</f>
        <v>0.34800000000000075</v>
      </c>
      <c r="AW48" s="6">
        <f t="shared" si="46"/>
        <v>8.7780000000000005</v>
      </c>
      <c r="AX48" s="28"/>
      <c r="AY48" s="53">
        <v>10.189</v>
      </c>
      <c r="AZ48" s="122">
        <f>12.468-AY48</f>
        <v>2.2789999999999999</v>
      </c>
      <c r="BA48" s="122">
        <f>15.837-AZ48-AY48</f>
        <v>3.3689999999999998</v>
      </c>
      <c r="BB48" s="51">
        <f>16.579-SUM(AY48:BA48)</f>
        <v>0.74200000000000088</v>
      </c>
      <c r="BC48" s="6">
        <f t="shared" si="47"/>
        <v>16.579000000000001</v>
      </c>
      <c r="BD48" s="6"/>
      <c r="BE48" s="53">
        <v>17.116</v>
      </c>
      <c r="BF48" s="122">
        <f>18.053-BE48</f>
        <v>0.93700000000000117</v>
      </c>
      <c r="BG48" s="122">
        <f>21.655-SUM(BE48:BF48)</f>
        <v>3.6020000000000003</v>
      </c>
      <c r="BH48" s="51">
        <f>-86.029-SUM(BE48:BG48)</f>
        <v>-107.684</v>
      </c>
      <c r="BI48" s="6">
        <f t="shared" si="48"/>
        <v>-86.028999999999996</v>
      </c>
      <c r="BJ48" s="28"/>
      <c r="BK48" s="53">
        <f>2.724-43.31</f>
        <v>-40.585999999999999</v>
      </c>
      <c r="BL48" s="1062">
        <f>-77.748+8.324-BK48</f>
        <v>-28.838000000000008</v>
      </c>
      <c r="BM48" s="1062">
        <f>10.118-91.912-SUM(BK48:BL48)</f>
        <v>-12.370000000000005</v>
      </c>
      <c r="BN48" s="1062">
        <f>-126.889-SUM(BK48:BM48)</f>
        <v>-45.094999999999985</v>
      </c>
      <c r="BO48" s="6">
        <f t="shared" si="49"/>
        <v>-126.889</v>
      </c>
      <c r="BP48" s="28"/>
      <c r="BQ48" s="53">
        <f>3.769</f>
        <v>3.7690000000000001</v>
      </c>
      <c r="BR48" s="1062">
        <f>6.232-14.992-BQ48</f>
        <v>-12.529000000000002</v>
      </c>
      <c r="BS48" s="1063">
        <f>9.117-20.818-SUM(BQ48:BR48)</f>
        <v>-2.9409999999999989</v>
      </c>
      <c r="BT48" s="1063">
        <f>10.316-20.818-SUM(BQ48:BS48)</f>
        <v>1.1989999999999998</v>
      </c>
      <c r="BU48" s="6">
        <f t="shared" si="50"/>
        <v>-10.502000000000001</v>
      </c>
      <c r="BV48" s="28"/>
      <c r="BW48" s="53">
        <v>0.65800000000000003</v>
      </c>
      <c r="BX48" s="1062">
        <f>1.038-BW48</f>
        <v>0.38</v>
      </c>
      <c r="BY48" s="1062">
        <f>2.562-SUM(BW48:BX48)</f>
        <v>1.5239999999999998</v>
      </c>
      <c r="BZ48" s="1063">
        <f>6.269-SUM(BW48:BY48)</f>
        <v>3.7070000000000003</v>
      </c>
      <c r="CA48" s="6">
        <f t="shared" si="52"/>
        <v>6.2690000000000001</v>
      </c>
      <c r="CB48" s="28"/>
      <c r="CC48" s="53">
        <f>-243.945+1.886</f>
        <v>-242.059</v>
      </c>
      <c r="CD48" s="1062">
        <f>2.999-CC48</f>
        <v>245.05799999999999</v>
      </c>
      <c r="CE48" s="1062">
        <f>-243.945+3.554-60.97-SUM(CC48:CD48)</f>
        <v>-304.36</v>
      </c>
      <c r="CF48" s="1063">
        <f>6.075-60.97-SUM(CC48:CE48)</f>
        <v>246.46600000000001</v>
      </c>
      <c r="CG48" s="6">
        <f t="shared" si="53"/>
        <v>-54.894999999999982</v>
      </c>
      <c r="CH48" s="28"/>
      <c r="CI48" s="53">
        <v>-50</v>
      </c>
      <c r="CJ48" s="51">
        <f>+CI48</f>
        <v>-50</v>
      </c>
      <c r="CK48" s="51">
        <f>+CJ48</f>
        <v>-50</v>
      </c>
      <c r="CL48" s="51">
        <f>+CK48</f>
        <v>-50</v>
      </c>
      <c r="CM48" s="6">
        <f t="shared" si="54"/>
        <v>-200</v>
      </c>
      <c r="CN48" s="28"/>
      <c r="CO48" s="53">
        <f>+CL48</f>
        <v>-50</v>
      </c>
      <c r="CP48" s="51">
        <f>+CO48</f>
        <v>-50</v>
      </c>
      <c r="CQ48" s="51">
        <f>+CP48</f>
        <v>-50</v>
      </c>
      <c r="CR48" s="51">
        <f>+CQ48</f>
        <v>-50</v>
      </c>
      <c r="CS48" s="6">
        <f t="shared" si="55"/>
        <v>-200</v>
      </c>
      <c r="CT48" s="28"/>
      <c r="CU48" s="53">
        <f>+CR48</f>
        <v>-50</v>
      </c>
      <c r="CV48" s="51">
        <f>+CU48</f>
        <v>-50</v>
      </c>
      <c r="CW48" s="51">
        <f>+CV48</f>
        <v>-50</v>
      </c>
      <c r="CX48" s="51">
        <f>+CW48</f>
        <v>-50</v>
      </c>
      <c r="CY48" s="6">
        <f t="shared" si="56"/>
        <v>-200</v>
      </c>
      <c r="CZ48" s="20"/>
      <c r="DA48" s="20"/>
      <c r="DB48" s="48"/>
    </row>
    <row r="49" spans="1:112" ht="11.25" customHeight="1" x14ac:dyDescent="0.2">
      <c r="A49" s="354" t="s">
        <v>250</v>
      </c>
      <c r="B49" s="39"/>
      <c r="C49" s="59"/>
      <c r="D49" s="39"/>
      <c r="E49" s="39"/>
      <c r="F49" s="39"/>
      <c r="G49" s="331">
        <v>0</v>
      </c>
      <c r="H49" s="51"/>
      <c r="I49" s="53">
        <v>0</v>
      </c>
      <c r="J49" s="51">
        <v>0</v>
      </c>
      <c r="K49" s="51">
        <f>-0.067-I49-J49</f>
        <v>-6.7000000000000004E-2</v>
      </c>
      <c r="L49" s="51">
        <f>0-I49-J49-K49</f>
        <v>6.7000000000000004E-2</v>
      </c>
      <c r="M49" s="304">
        <f t="shared" si="40"/>
        <v>0</v>
      </c>
      <c r="N49" s="51"/>
      <c r="O49" s="53">
        <v>0</v>
      </c>
      <c r="P49" s="51">
        <v>0</v>
      </c>
      <c r="Q49" s="51">
        <v>0</v>
      </c>
      <c r="R49" s="51">
        <v>0</v>
      </c>
      <c r="S49" s="304">
        <f t="shared" si="41"/>
        <v>0</v>
      </c>
      <c r="T49" s="51"/>
      <c r="U49" s="53">
        <v>0</v>
      </c>
      <c r="V49" s="51">
        <v>0</v>
      </c>
      <c r="W49" s="51">
        <v>0</v>
      </c>
      <c r="X49" s="51">
        <v>0</v>
      </c>
      <c r="Y49" s="304">
        <f t="shared" si="42"/>
        <v>0</v>
      </c>
      <c r="Z49" s="51"/>
      <c r="AA49" s="53">
        <v>-0.54100000000000004</v>
      </c>
      <c r="AB49" s="51">
        <f>-0.533-AA49</f>
        <v>8.0000000000000071E-3</v>
      </c>
      <c r="AC49" s="51">
        <f>-0.564-AA49-AB49</f>
        <v>-3.0999999999999917E-2</v>
      </c>
      <c r="AD49" s="51">
        <f>-0.451-AA49-AB49-AC49</f>
        <v>0.11299999999999993</v>
      </c>
      <c r="AE49" s="304">
        <f t="shared" si="43"/>
        <v>-0.45100000000000001</v>
      </c>
      <c r="AF49" s="51"/>
      <c r="AG49" s="53">
        <v>-8.8999999999999996E-2</v>
      </c>
      <c r="AH49" s="51">
        <f>-0.115-AG49</f>
        <v>-2.6000000000000009E-2</v>
      </c>
      <c r="AI49" s="51">
        <f>-0.313-AG49-AH49</f>
        <v>-0.19800000000000001</v>
      </c>
      <c r="AJ49" s="51">
        <f>-0.21-AG49-AH49-AI49</f>
        <v>0.10300000000000002</v>
      </c>
      <c r="AK49" s="304">
        <f t="shared" si="44"/>
        <v>-0.20999999999999996</v>
      </c>
      <c r="AL49" s="51"/>
      <c r="AM49" s="53">
        <v>-1.2529999999999999</v>
      </c>
      <c r="AN49" s="51">
        <f>0.124-AM49</f>
        <v>1.3769999999999998</v>
      </c>
      <c r="AO49" s="51">
        <f>-0.018-AM49-AN49</f>
        <v>-0.1419999999999999</v>
      </c>
      <c r="AP49" s="51">
        <f>0.814-AM49-AN49-AO49</f>
        <v>0.83199999999999985</v>
      </c>
      <c r="AQ49" s="6">
        <f t="shared" si="45"/>
        <v>0.81399999999999983</v>
      </c>
      <c r="AR49" s="51"/>
      <c r="AS49" s="53">
        <v>0.26200000000000001</v>
      </c>
      <c r="AT49" s="51">
        <f>0.264-AS49</f>
        <v>2.0000000000000018E-3</v>
      </c>
      <c r="AU49" s="51">
        <f>0.263-AS49-AT49</f>
        <v>-1.0000000000000009E-3</v>
      </c>
      <c r="AV49" s="51">
        <f>(-7.558-29.783)-AS49-AT49-AU49</f>
        <v>-37.604000000000006</v>
      </c>
      <c r="AW49" s="6">
        <f t="shared" si="46"/>
        <v>-37.341000000000008</v>
      </c>
      <c r="AX49" s="51"/>
      <c r="AY49" s="53">
        <v>-2.3570000000000002</v>
      </c>
      <c r="AZ49" s="51">
        <f>-4.928-AY49</f>
        <v>-2.5709999999999997</v>
      </c>
      <c r="BA49" s="51">
        <f>-5.219-AZ49-AY49</f>
        <v>-0.29100000000000037</v>
      </c>
      <c r="BB49" s="51">
        <f>(-35.653-0.057-6.008-2.084)-SUM(AY49:BA49)</f>
        <v>-38.583000000000006</v>
      </c>
      <c r="BC49" s="6">
        <f t="shared" si="47"/>
        <v>-43.802000000000007</v>
      </c>
      <c r="BD49" s="20"/>
      <c r="BE49" s="53">
        <f>-60.782-0.161</f>
        <v>-60.942999999999998</v>
      </c>
      <c r="BF49" s="122">
        <f>-63.34-0.616-BE49</f>
        <v>-3.0130000000000052</v>
      </c>
      <c r="BG49" s="122">
        <f>-67.064-4.292-SUM(BE49:BF49)</f>
        <v>-7.3999999999999915</v>
      </c>
      <c r="BH49" s="51">
        <f>25.337-3.834-0.487-1.451-SUM(BE49:BG49)</f>
        <v>90.920999999999992</v>
      </c>
      <c r="BI49" s="6">
        <f t="shared" si="48"/>
        <v>19.564999999999998</v>
      </c>
      <c r="BJ49" s="20"/>
      <c r="BK49" s="53">
        <f>-0.261+69.419</f>
        <v>69.158000000000001</v>
      </c>
      <c r="BL49" s="1062">
        <f>68.9+3.599-BK49</f>
        <v>3.3410000000000082</v>
      </c>
      <c r="BM49" s="1062">
        <f>68.9+18.02-SUM(BK49:BL49)</f>
        <v>14.420999999999992</v>
      </c>
      <c r="BN49" s="1062">
        <f>12.131-0.325+16.726-105.17+68.9-SUM(BK49:BM49)</f>
        <v>-94.658000000000001</v>
      </c>
      <c r="BO49" s="6">
        <f t="shared" si="49"/>
        <v>-7.7379999999999995</v>
      </c>
      <c r="BP49" s="20"/>
      <c r="BQ49" s="53">
        <v>0</v>
      </c>
      <c r="BR49" s="1062">
        <f>-4.731-BQ49</f>
        <v>-4.7309999999999999</v>
      </c>
      <c r="BS49" s="1063">
        <f>-0.836-SUM(BQ49:BR49)</f>
        <v>3.895</v>
      </c>
      <c r="BT49" s="1063">
        <f>-0.086+1.497-SUM(BQ49:BS49)</f>
        <v>2.2469999999999999</v>
      </c>
      <c r="BU49" s="6">
        <f t="shared" si="50"/>
        <v>1.411</v>
      </c>
      <c r="BV49" s="20"/>
      <c r="BW49" s="53">
        <v>-4.4009999999999998</v>
      </c>
      <c r="BX49" s="1062">
        <f>-5.519-BW49</f>
        <v>-1.1180000000000003</v>
      </c>
      <c r="BY49" s="1062">
        <f>-11.156-SUM(BW49:BX49)</f>
        <v>-5.6370000000000005</v>
      </c>
      <c r="BZ49" s="1063">
        <f>-9.595-SUM(BW49:BY49)</f>
        <v>1.5609999999999999</v>
      </c>
      <c r="CA49" s="6">
        <f t="shared" si="52"/>
        <v>-9.5950000000000006</v>
      </c>
      <c r="CB49" s="20"/>
      <c r="CC49" s="53">
        <v>-2.0350000000000001</v>
      </c>
      <c r="CD49" s="1062">
        <f>-10.187-CC49</f>
        <v>-8.1519999999999992</v>
      </c>
      <c r="CE49" s="1062">
        <f>45.579-9.94-SUM(CC49:CD49)</f>
        <v>45.826000000000001</v>
      </c>
      <c r="CF49" s="1063">
        <f>45.396-8.587-SUM(CC49:CE49)</f>
        <v>1.1699999999999946</v>
      </c>
      <c r="CG49" s="6">
        <f t="shared" si="53"/>
        <v>36.808999999999997</v>
      </c>
      <c r="CH49" s="20"/>
      <c r="CI49" s="53">
        <v>0</v>
      </c>
      <c r="CJ49" s="51">
        <v>0</v>
      </c>
      <c r="CK49" s="51">
        <v>0</v>
      </c>
      <c r="CL49" s="51">
        <v>0</v>
      </c>
      <c r="CM49" s="6">
        <f t="shared" si="54"/>
        <v>0</v>
      </c>
      <c r="CN49" s="20"/>
      <c r="CO49" s="53">
        <v>0</v>
      </c>
      <c r="CP49" s="51">
        <v>0</v>
      </c>
      <c r="CQ49" s="51">
        <v>0</v>
      </c>
      <c r="CR49" s="51">
        <v>0</v>
      </c>
      <c r="CS49" s="6">
        <f t="shared" si="55"/>
        <v>0</v>
      </c>
      <c r="CT49" s="20"/>
      <c r="CU49" s="53">
        <v>0</v>
      </c>
      <c r="CV49" s="51">
        <v>0</v>
      </c>
      <c r="CW49" s="51">
        <v>0</v>
      </c>
      <c r="CX49" s="51">
        <v>0</v>
      </c>
      <c r="CY49" s="6">
        <f t="shared" si="56"/>
        <v>0</v>
      </c>
      <c r="CZ49" s="20"/>
      <c r="DA49" s="20"/>
      <c r="DB49" s="48"/>
    </row>
    <row r="50" spans="1:112" ht="11.25" customHeight="1" x14ac:dyDescent="0.2">
      <c r="A50" s="473" t="s">
        <v>74</v>
      </c>
      <c r="B50" s="240"/>
      <c r="C50" s="279"/>
      <c r="D50" s="240"/>
      <c r="E50" s="240"/>
      <c r="F50" s="240"/>
      <c r="G50" s="474">
        <f>SUM(G43:G49)</f>
        <v>95.623000000000005</v>
      </c>
      <c r="H50" s="431"/>
      <c r="I50" s="475">
        <f>SUM(I43:I49)</f>
        <v>3.4710000000000001</v>
      </c>
      <c r="J50" s="431">
        <f>SUM(J43:J49)</f>
        <v>-2.327</v>
      </c>
      <c r="K50" s="431">
        <f>SUM(K43:K49)</f>
        <v>1.2240000000000004</v>
      </c>
      <c r="L50" s="431">
        <f>SUM(L43:L49)</f>
        <v>0.58700000000000019</v>
      </c>
      <c r="M50" s="474">
        <f>SUM(M43:M49)</f>
        <v>2.9550000000000001</v>
      </c>
      <c r="N50" s="431"/>
      <c r="O50" s="475">
        <f>SUM(O43:O49)</f>
        <v>7.1499999999999995</v>
      </c>
      <c r="P50" s="431">
        <f>SUM(P43:P49)</f>
        <v>287.00700000000001</v>
      </c>
      <c r="Q50" s="478">
        <f>SUM(Q43:Q49)</f>
        <v>3.1890000000000009</v>
      </c>
      <c r="R50" s="431">
        <f>SUM(R43:R49)</f>
        <v>5.8140000000000001</v>
      </c>
      <c r="S50" s="474">
        <f>SUM(S43:S49)</f>
        <v>303.15999999999997</v>
      </c>
      <c r="T50" s="431"/>
      <c r="U50" s="475">
        <f>SUM(U43:U49)</f>
        <v>2.9899999999999998</v>
      </c>
      <c r="V50" s="431">
        <f>SUM(V43:V49)</f>
        <v>-3.7730000000000006</v>
      </c>
      <c r="W50" s="431">
        <f>SUM(W43:W49)</f>
        <v>482.46</v>
      </c>
      <c r="X50" s="476">
        <f>SUM(X43:X49)</f>
        <v>12.377000000000079</v>
      </c>
      <c r="Y50" s="477">
        <f>SUM(Y43:Y49)</f>
        <v>494.05400000000009</v>
      </c>
      <c r="Z50" s="476"/>
      <c r="AA50" s="475">
        <f>SUM(AA43:AA49)</f>
        <v>8.254999999999999</v>
      </c>
      <c r="AB50" s="431">
        <f>SUM(AB43:AB49)</f>
        <v>2.1050000000000004</v>
      </c>
      <c r="AC50" s="431">
        <f>SUM(AC43:AC49)</f>
        <v>5.801000000000001</v>
      </c>
      <c r="AD50" s="431">
        <f>SUM(AD43:AD49)</f>
        <v>-3.3920000000000026</v>
      </c>
      <c r="AE50" s="474">
        <f>SUM(AE43:AE49)</f>
        <v>12.768999999999998</v>
      </c>
      <c r="AF50" s="431"/>
      <c r="AG50" s="475">
        <f>SUM(AG43:AG49)</f>
        <v>4.6129999999999995</v>
      </c>
      <c r="AH50" s="431">
        <f>SUM(AH43:AH49)</f>
        <v>7.2700000000000014</v>
      </c>
      <c r="AI50" s="431">
        <f>SUM(AI43:AI49)</f>
        <v>525.59100000000001</v>
      </c>
      <c r="AJ50" s="431">
        <f>SUM(AJ43:AJ49)</f>
        <v>91.723999999999947</v>
      </c>
      <c r="AK50" s="474">
        <f>SUM(AK43:AK49)</f>
        <v>629.19799999999998</v>
      </c>
      <c r="AL50" s="431"/>
      <c r="AM50" s="475">
        <f>SUM(AM43:AM49)</f>
        <v>2.0430000000000001</v>
      </c>
      <c r="AN50" s="431">
        <f>SUM(AN43:AN49)</f>
        <v>8.09</v>
      </c>
      <c r="AO50" s="431">
        <f>SUM(AO43:AO49)</f>
        <v>-49.677000000000007</v>
      </c>
      <c r="AP50" s="431">
        <f>SUM(AP43:AP49)</f>
        <v>4.3159999999999998</v>
      </c>
      <c r="AQ50" s="474">
        <f>SUM(AQ43:AQ49)</f>
        <v>-35.228000000000002</v>
      </c>
      <c r="AR50" s="431"/>
      <c r="AS50" s="475">
        <f>SUM(AS43:AS49)</f>
        <v>5.5090000000000003</v>
      </c>
      <c r="AT50" s="431">
        <f>SUM(AT43:AT49)</f>
        <v>1.6429999999999998</v>
      </c>
      <c r="AU50" s="431">
        <f>SUM(AU43:AU49)</f>
        <v>-73.881000000000014</v>
      </c>
      <c r="AV50" s="431">
        <f>SUM(AV43:AV49)</f>
        <v>-243.90100000000004</v>
      </c>
      <c r="AW50" s="474">
        <f>SUM(AW43:AW49)</f>
        <v>-310.62999999999994</v>
      </c>
      <c r="AX50" s="431"/>
      <c r="AY50" s="475">
        <f>SUM(AY43:AY49)</f>
        <v>11.234999999999999</v>
      </c>
      <c r="AZ50" s="431">
        <f>SUM(AZ43:AZ49)</f>
        <v>66.763000000000019</v>
      </c>
      <c r="BA50" s="431">
        <f>SUM(BA43:BA49)</f>
        <v>3.587999999999989</v>
      </c>
      <c r="BB50" s="431">
        <f>SUM(BB43:BB49)</f>
        <v>145.01799999999997</v>
      </c>
      <c r="BC50" s="474">
        <f>SUM(BC43:BC49)</f>
        <v>226.60399999999993</v>
      </c>
      <c r="BD50" s="431"/>
      <c r="BE50" s="475">
        <f>SUM(BE43:BE49)</f>
        <v>-40.116999999999997</v>
      </c>
      <c r="BF50" s="431">
        <f>SUM(BF43:BF49)</f>
        <v>-4.8290000000000042</v>
      </c>
      <c r="BG50" s="431">
        <f>SUM(BG43:BG49)</f>
        <v>-4.8329999999999913</v>
      </c>
      <c r="BH50" s="431">
        <f>SUM(BH43:BH49)</f>
        <v>-18.980000000000004</v>
      </c>
      <c r="BI50" s="474">
        <f>SUM(BI43:BI49)</f>
        <v>-68.759</v>
      </c>
      <c r="BJ50" s="431"/>
      <c r="BK50" s="475">
        <f>SUM(BK43:BK49)</f>
        <v>276.43200000000007</v>
      </c>
      <c r="BL50" s="431">
        <f>SUM(BL43:BL49)</f>
        <v>-30.893000000000086</v>
      </c>
      <c r="BM50" s="431">
        <f>SUM(BM43:BM49)</f>
        <v>-15.003000000000029</v>
      </c>
      <c r="BN50" s="476">
        <f>SUM(BN43:BN49)</f>
        <v>-37.692999999999955</v>
      </c>
      <c r="BO50" s="474">
        <f>SUM(BO43:BO49)</f>
        <v>192.84299999999996</v>
      </c>
      <c r="BP50" s="431"/>
      <c r="BQ50" s="475">
        <f>SUM(BQ43:BQ49)</f>
        <v>-182.35099999999997</v>
      </c>
      <c r="BR50" s="431">
        <f>SUM(BR43:BR49)</f>
        <v>-80.455000000000013</v>
      </c>
      <c r="BS50" s="431">
        <f>SUM(BS43:BS49)</f>
        <v>0.58600000000000563</v>
      </c>
      <c r="BT50" s="476">
        <f>SUM(BT43:BT49)</f>
        <v>3.6070000000000011</v>
      </c>
      <c r="BU50" s="474">
        <f>SUM(BU43:BU49)</f>
        <v>-258.613</v>
      </c>
      <c r="BV50" s="431"/>
      <c r="BW50" s="475">
        <f>SUM(BW43:BW49)</f>
        <v>-3.9709999999999996</v>
      </c>
      <c r="BX50" s="431">
        <f>SUM(BX43:BX49)</f>
        <v>-0.99200000000000044</v>
      </c>
      <c r="BY50" s="431">
        <f>SUM(BY43:BY49)</f>
        <v>-10.870000000000001</v>
      </c>
      <c r="BZ50" s="476">
        <f>SUM(BZ43:BZ49)</f>
        <v>5.2290000000000001</v>
      </c>
      <c r="CA50" s="474">
        <f>SUM(CA43:CA49)</f>
        <v>-10.604000000000001</v>
      </c>
      <c r="CB50" s="431"/>
      <c r="CC50" s="475">
        <f>SUM(CC43:CC49)</f>
        <v>-244.45099999999999</v>
      </c>
      <c r="CD50" s="431">
        <f>SUM(CD43:CD49)</f>
        <v>292.79899999999998</v>
      </c>
      <c r="CE50" s="431">
        <f>SUM(CE43:CE49)</f>
        <v>337.63699999999994</v>
      </c>
      <c r="CF50" s="476">
        <f>SUM(CF43:CF49)</f>
        <v>1.2020000000001474</v>
      </c>
      <c r="CG50" s="474">
        <f>SUM(CG43:CG49)</f>
        <v>387.18700000000013</v>
      </c>
      <c r="CH50" s="431"/>
      <c r="CI50" s="475">
        <f>SUM(CI43:CI49)</f>
        <v>-50</v>
      </c>
      <c r="CJ50" s="431">
        <f>SUM(CJ43:CJ49)</f>
        <v>-50</v>
      </c>
      <c r="CK50" s="431">
        <f>SUM(CK43:CK49)</f>
        <v>-50</v>
      </c>
      <c r="CL50" s="431">
        <f>SUM(CL43:CL49)</f>
        <v>-50</v>
      </c>
      <c r="CM50" s="474">
        <f>SUM(CM43:CM49)</f>
        <v>-200</v>
      </c>
      <c r="CN50" s="431"/>
      <c r="CO50" s="475">
        <f>SUM(CO43:CO49)</f>
        <v>-50</v>
      </c>
      <c r="CP50" s="431">
        <f>SUM(CP43:CP49)</f>
        <v>-50</v>
      </c>
      <c r="CQ50" s="431">
        <f>SUM(CQ43:CQ49)</f>
        <v>-50</v>
      </c>
      <c r="CR50" s="431">
        <f>SUM(CR43:CR49)</f>
        <v>-50</v>
      </c>
      <c r="CS50" s="474">
        <f>SUM(CS43:CS49)</f>
        <v>-200</v>
      </c>
      <c r="CT50" s="431"/>
      <c r="CU50" s="475">
        <f>SUM(CU43:CU49)</f>
        <v>-50</v>
      </c>
      <c r="CV50" s="431">
        <f>SUM(CV43:CV49)</f>
        <v>-50</v>
      </c>
      <c r="CW50" s="431">
        <f>SUM(CW43:CW49)</f>
        <v>-50</v>
      </c>
      <c r="CX50" s="431">
        <f>SUM(CX43:CX49)</f>
        <v>-50</v>
      </c>
      <c r="CY50" s="474">
        <f>SUM(CY43:CY49)</f>
        <v>-200</v>
      </c>
      <c r="CZ50" s="255"/>
      <c r="DA50" s="255"/>
      <c r="DB50" s="48"/>
    </row>
    <row r="51" spans="1:112" ht="11.25" customHeight="1" x14ac:dyDescent="0.2">
      <c r="A51" s="58"/>
      <c r="B51" s="48"/>
      <c r="C51" s="59"/>
      <c r="D51" s="48"/>
      <c r="E51" s="48"/>
      <c r="F51" s="48"/>
      <c r="G51" s="6"/>
      <c r="H51" s="28"/>
      <c r="I51" s="19"/>
      <c r="J51" s="28"/>
      <c r="K51" s="28"/>
      <c r="L51" s="20"/>
      <c r="M51" s="6"/>
      <c r="N51" s="28"/>
      <c r="O51" s="19"/>
      <c r="P51" s="28"/>
      <c r="Q51" s="28"/>
      <c r="R51" s="20"/>
      <c r="S51" s="6"/>
      <c r="T51" s="28"/>
      <c r="U51" s="19"/>
      <c r="V51" s="28"/>
      <c r="W51" s="28"/>
      <c r="X51" s="20"/>
      <c r="Y51" s="6"/>
      <c r="Z51" s="28"/>
      <c r="AA51" s="19"/>
      <c r="AB51" s="28"/>
      <c r="AC51" s="28"/>
      <c r="AD51" s="20"/>
      <c r="AE51" s="6"/>
      <c r="AF51" s="28"/>
      <c r="AG51" s="19"/>
      <c r="AH51" s="28"/>
      <c r="AI51" s="28"/>
      <c r="AJ51" s="20"/>
      <c r="AK51" s="6"/>
      <c r="AL51" s="28"/>
      <c r="AM51" s="19"/>
      <c r="AN51" s="28"/>
      <c r="AO51" s="28"/>
      <c r="AP51" s="20"/>
      <c r="AQ51" s="6"/>
      <c r="AR51" s="28"/>
      <c r="AS51" s="19"/>
      <c r="AT51" s="28"/>
      <c r="AU51" s="28"/>
      <c r="AV51" s="20"/>
      <c r="AW51" s="6"/>
      <c r="AX51" s="28"/>
      <c r="AY51" s="19"/>
      <c r="AZ51" s="28"/>
      <c r="BA51" s="28"/>
      <c r="BB51" s="28"/>
      <c r="BC51" s="6"/>
      <c r="BD51" s="28"/>
      <c r="BE51" s="19"/>
      <c r="BF51" s="28"/>
      <c r="BG51" s="28"/>
      <c r="BH51" s="28"/>
      <c r="BI51" s="6"/>
      <c r="BJ51" s="28"/>
      <c r="BK51" s="19"/>
      <c r="BL51" s="28"/>
      <c r="BM51" s="28"/>
      <c r="BN51" s="28"/>
      <c r="BO51" s="6"/>
      <c r="BP51" s="28"/>
      <c r="BQ51" s="19"/>
      <c r="BR51" s="28"/>
      <c r="BS51" s="28"/>
      <c r="BT51" s="28"/>
      <c r="BU51" s="6"/>
      <c r="BV51" s="28"/>
      <c r="BW51" s="19"/>
      <c r="BX51" s="28"/>
      <c r="BY51" s="28"/>
      <c r="BZ51" s="28"/>
      <c r="CA51" s="6"/>
      <c r="CB51" s="28"/>
      <c r="CC51" s="19"/>
      <c r="CD51" s="28"/>
      <c r="CE51" s="28"/>
      <c r="CF51" s="28"/>
      <c r="CG51" s="6"/>
      <c r="CH51" s="28"/>
      <c r="CI51" s="19"/>
      <c r="CJ51" s="28"/>
      <c r="CK51" s="28"/>
      <c r="CL51" s="28"/>
      <c r="CM51" s="6"/>
      <c r="CN51" s="28"/>
      <c r="CO51" s="19"/>
      <c r="CP51" s="28"/>
      <c r="CQ51" s="28"/>
      <c r="CR51" s="28"/>
      <c r="CS51" s="6"/>
      <c r="CT51" s="28"/>
      <c r="CU51" s="19"/>
      <c r="CV51" s="28"/>
      <c r="CW51" s="28"/>
      <c r="CX51" s="28"/>
      <c r="CY51" s="6"/>
      <c r="CZ51" s="20"/>
      <c r="DA51" s="20"/>
      <c r="DB51" s="48"/>
    </row>
    <row r="52" spans="1:112" ht="11.25" customHeight="1" x14ac:dyDescent="0.2">
      <c r="A52" s="58" t="s">
        <v>75</v>
      </c>
      <c r="B52" s="39"/>
      <c r="C52" s="59"/>
      <c r="D52" s="39"/>
      <c r="E52" s="39"/>
      <c r="F52" s="39"/>
      <c r="G52" s="331">
        <v>-0.89</v>
      </c>
      <c r="H52" s="51"/>
      <c r="I52" s="53">
        <v>-0.1</v>
      </c>
      <c r="J52" s="51">
        <f>-0.046-I52</f>
        <v>5.4000000000000006E-2</v>
      </c>
      <c r="K52" s="51">
        <f>-0.004-I52-J52</f>
        <v>4.1999999999999996E-2</v>
      </c>
      <c r="L52" s="51">
        <f>-0.366-I52-J52-K52</f>
        <v>-0.36199999999999999</v>
      </c>
      <c r="M52" s="304">
        <f>SUM(I52:L52)</f>
        <v>-0.36599999999999999</v>
      </c>
      <c r="N52" s="51"/>
      <c r="O52" s="53">
        <v>-0.38900000000000001</v>
      </c>
      <c r="P52" s="51">
        <f>2.988-O52</f>
        <v>3.3769999999999998</v>
      </c>
      <c r="Q52" s="51">
        <f>1.361-O52-P52</f>
        <v>-1.6269999999999998</v>
      </c>
      <c r="R52" s="51">
        <f>-0.51-O52-P52-Q52</f>
        <v>-1.871</v>
      </c>
      <c r="S52" s="304">
        <f>SUM(O52:R52)</f>
        <v>-0.51000000000000023</v>
      </c>
      <c r="T52" s="51"/>
      <c r="U52" s="53">
        <v>-8.9999999999999993E-3</v>
      </c>
      <c r="V52" s="51">
        <f>-1.162-U52</f>
        <v>-1.153</v>
      </c>
      <c r="W52" s="51">
        <f>-18.404-U52-V52</f>
        <v>-17.242000000000001</v>
      </c>
      <c r="X52" s="51">
        <f>-2.231-U52-V52-W52</f>
        <v>16.173000000000002</v>
      </c>
      <c r="Y52" s="304">
        <f>SUM(U52:X52)</f>
        <v>-2.2309999999999981</v>
      </c>
      <c r="Z52" s="51"/>
      <c r="AA52" s="53">
        <v>0.55400000000000005</v>
      </c>
      <c r="AB52" s="51">
        <f>-4.452-AA52</f>
        <v>-5.0060000000000002</v>
      </c>
      <c r="AC52" s="51">
        <f>17.86-AA52-AB52</f>
        <v>22.312000000000001</v>
      </c>
      <c r="AD52" s="51">
        <f>10.744-AA52-AB52-AC52</f>
        <v>-7.1160000000000014</v>
      </c>
      <c r="AE52" s="304">
        <f>SUM(AA52:AD52)</f>
        <v>10.743999999999998</v>
      </c>
      <c r="AF52" s="51"/>
      <c r="AG52" s="53">
        <v>-0.64400000000000002</v>
      </c>
      <c r="AH52" s="51">
        <f>-11.866-AG52</f>
        <v>-11.222</v>
      </c>
      <c r="AI52" s="51">
        <f>-14.082-AG52-AH52</f>
        <v>-2.2160000000000011</v>
      </c>
      <c r="AJ52" s="51">
        <f>-12.205-AG52-AH52-AI52</f>
        <v>1.8770000000000007</v>
      </c>
      <c r="AK52" s="304">
        <f>SUM(AG52:AJ52)</f>
        <v>-12.205</v>
      </c>
      <c r="AL52" s="51"/>
      <c r="AM52" s="53">
        <v>15.590999999999999</v>
      </c>
      <c r="AN52" s="51">
        <f>35.955-AM52</f>
        <v>20.363999999999997</v>
      </c>
      <c r="AO52" s="51">
        <f>6.776-AM52-AN52</f>
        <v>-29.178999999999995</v>
      </c>
      <c r="AP52" s="51">
        <f>2.837-AM52-AN52-AO52</f>
        <v>-3.9390000000000001</v>
      </c>
      <c r="AQ52" s="6">
        <f>SUM(AM52:AP52)</f>
        <v>2.8370000000000033</v>
      </c>
      <c r="AR52" s="51"/>
      <c r="AS52" s="53">
        <v>-19.3</v>
      </c>
      <c r="AT52" s="51">
        <f>-23.95-AS52</f>
        <v>-4.6499999999999986</v>
      </c>
      <c r="AU52" s="51">
        <f>-29.298-AS52-AT52</f>
        <v>-5.347999999999999</v>
      </c>
      <c r="AV52" s="51">
        <f>-1.101-AS52-AT52-AU52</f>
        <v>28.196999999999999</v>
      </c>
      <c r="AW52" s="6">
        <f>SUM(AS52:AV52)</f>
        <v>-1.1009999999999991</v>
      </c>
      <c r="AX52" s="51"/>
      <c r="AY52" s="53">
        <v>1.363</v>
      </c>
      <c r="AZ52" s="51">
        <f>-0.201-AY52</f>
        <v>-1.5640000000000001</v>
      </c>
      <c r="BA52" s="51">
        <f>3.264-AZ52-AY52</f>
        <v>3.4649999999999994</v>
      </c>
      <c r="BB52" s="51">
        <f>2.306-SUM(AY52:BA52)</f>
        <v>-0.9579999999999993</v>
      </c>
      <c r="BC52" s="6">
        <f>SUM(AY52:BB52)</f>
        <v>2.306</v>
      </c>
      <c r="BD52" s="20"/>
      <c r="BE52" s="53">
        <v>-3.8340000000000001</v>
      </c>
      <c r="BF52" s="51">
        <f>-5.108-BE52</f>
        <v>-1.2739999999999996</v>
      </c>
      <c r="BG52" s="122">
        <f>-3.96-SUM(BE52:BF52)</f>
        <v>1.1479999999999997</v>
      </c>
      <c r="BH52" s="51">
        <f>-2.197-SUM(BE52:BG52)</f>
        <v>1.7629999999999999</v>
      </c>
      <c r="BI52" s="6">
        <f>SUM(BE52:BH52)</f>
        <v>-2.1970000000000001</v>
      </c>
      <c r="BJ52" s="20"/>
      <c r="BK52" s="329">
        <v>-0.21</v>
      </c>
      <c r="BL52" s="1075">
        <f>2.707-BK52</f>
        <v>2.9169999999999998</v>
      </c>
      <c r="BM52" s="1075">
        <f>-4.797-SUM(BK52:BL52)</f>
        <v>-7.5039999999999996</v>
      </c>
      <c r="BN52" s="1075">
        <f>-10.843-SUM(BK52:BM52)</f>
        <v>-6.0460000000000003</v>
      </c>
      <c r="BO52" s="6">
        <f>SUM(BK52:BN52)</f>
        <v>-10.843</v>
      </c>
      <c r="BP52" s="20"/>
      <c r="BQ52" s="53">
        <v>-12.183999999999999</v>
      </c>
      <c r="BR52" s="1062">
        <f>-8.82-BQ52</f>
        <v>3.363999999999999</v>
      </c>
      <c r="BS52" s="1063">
        <f>-13.088-SUM(BQ52:BR52)</f>
        <v>-4.2679999999999989</v>
      </c>
      <c r="BT52" s="1063">
        <f>-15.34-SUM(BQ52:BS52)</f>
        <v>-2.2520000000000007</v>
      </c>
      <c r="BU52" s="6">
        <f>SUM(BQ52:BT52)</f>
        <v>-15.34</v>
      </c>
      <c r="BV52" s="20"/>
      <c r="BW52" s="53">
        <v>3.37</v>
      </c>
      <c r="BX52" s="1062">
        <f>2.477-BW52</f>
        <v>-0.89300000000000024</v>
      </c>
      <c r="BY52" s="1062">
        <f>2.143-SUM(BW52:BX52)</f>
        <v>-0.33400000000000007</v>
      </c>
      <c r="BZ52" s="1063">
        <f>-2.773-SUM(BW52:BY52)</f>
        <v>-4.9160000000000004</v>
      </c>
      <c r="CA52" s="6">
        <f>SUM(BW52:BZ52)</f>
        <v>-2.7730000000000006</v>
      </c>
      <c r="CB52" s="20"/>
      <c r="CC52" s="53">
        <v>2.153</v>
      </c>
      <c r="CD52" s="1062">
        <f>5.311-CC52</f>
        <v>3.1579999999999999</v>
      </c>
      <c r="CE52" s="1062">
        <f>7.747-SUM(CC52:CD52)</f>
        <v>2.4359999999999999</v>
      </c>
      <c r="CF52" s="1063">
        <f>8.832-SUM(CC52:CE52)</f>
        <v>1.0850000000000009</v>
      </c>
      <c r="CG52" s="6">
        <f>SUM(CC52:CF52)</f>
        <v>8.8320000000000007</v>
      </c>
      <c r="CH52" s="20"/>
      <c r="CI52" s="53">
        <v>0</v>
      </c>
      <c r="CJ52" s="51">
        <v>0</v>
      </c>
      <c r="CK52" s="51">
        <v>0</v>
      </c>
      <c r="CL52" s="51">
        <v>0</v>
      </c>
      <c r="CM52" s="6">
        <f>SUM(CI52:CL52)</f>
        <v>0</v>
      </c>
      <c r="CN52" s="20"/>
      <c r="CO52" s="53">
        <v>0</v>
      </c>
      <c r="CP52" s="51">
        <v>0</v>
      </c>
      <c r="CQ52" s="51">
        <v>0</v>
      </c>
      <c r="CR52" s="51">
        <v>0</v>
      </c>
      <c r="CS52" s="6">
        <f>SUM(CO52:CR52)</f>
        <v>0</v>
      </c>
      <c r="CT52" s="20"/>
      <c r="CU52" s="53">
        <v>0</v>
      </c>
      <c r="CV52" s="51">
        <v>0</v>
      </c>
      <c r="CW52" s="51">
        <v>0</v>
      </c>
      <c r="CX52" s="51">
        <v>0</v>
      </c>
      <c r="CY52" s="6">
        <f>SUM(CU52:CX52)</f>
        <v>0</v>
      </c>
      <c r="CZ52" s="259"/>
      <c r="DA52" s="259"/>
      <c r="DB52" s="48"/>
    </row>
    <row r="53" spans="1:112" ht="11.25" customHeight="1" x14ac:dyDescent="0.2">
      <c r="A53" s="473" t="s">
        <v>92</v>
      </c>
      <c r="B53" s="240"/>
      <c r="C53" s="279"/>
      <c r="D53" s="240"/>
      <c r="E53" s="240"/>
      <c r="F53" s="240"/>
      <c r="G53" s="474">
        <f>G29+G40+G50+G52</f>
        <v>97.381999999999991</v>
      </c>
      <c r="H53" s="431"/>
      <c r="I53" s="475">
        <f>I29+I40+I50+I52</f>
        <v>13.939000000000002</v>
      </c>
      <c r="J53" s="431">
        <f>J29+J40+J50+J52</f>
        <v>-53.318999999999996</v>
      </c>
      <c r="K53" s="431">
        <f>K29+K40+K50+K52</f>
        <v>14.197000000000001</v>
      </c>
      <c r="L53" s="431">
        <f>L29+L40+L50+L52</f>
        <v>20.508000000000006</v>
      </c>
      <c r="M53" s="474">
        <f>M29+M40+M50+M52</f>
        <v>-4.6749999999999954</v>
      </c>
      <c r="N53" s="431"/>
      <c r="O53" s="475">
        <f>O29+O40+O50+O52</f>
        <v>6.0379999999999967</v>
      </c>
      <c r="P53" s="431">
        <f>P29+P40+P50+P52</f>
        <v>275.71899999999999</v>
      </c>
      <c r="Q53" s="478">
        <f>Q29+Q40+Q50+Q52</f>
        <v>18.527000000000008</v>
      </c>
      <c r="R53" s="431">
        <f>R29+R40+R50+R52</f>
        <v>-61.62700000000001</v>
      </c>
      <c r="S53" s="474">
        <f>S29+S40+S50+S52</f>
        <v>238.65699999999998</v>
      </c>
      <c r="T53" s="431"/>
      <c r="U53" s="475">
        <f>U29+U40+U50+U52</f>
        <v>-44.287000000000006</v>
      </c>
      <c r="V53" s="431">
        <f>V29+V40+V50+V52</f>
        <v>-5.6989999999999945</v>
      </c>
      <c r="W53" s="431">
        <f>W29+W40+W50+W52</f>
        <v>-71.685999999999908</v>
      </c>
      <c r="X53" s="431">
        <f>X29+X40+X50+X52</f>
        <v>38.635000000000019</v>
      </c>
      <c r="Y53" s="474">
        <f>Y29+Y40+Y50+Y52</f>
        <v>-83.037000000000035</v>
      </c>
      <c r="Z53" s="431"/>
      <c r="AA53" s="475">
        <f>AA29+AA40+AA50+AA52</f>
        <v>4.2409999999999961</v>
      </c>
      <c r="AB53" s="431">
        <f>AB29+AB40+AB50+AB52</f>
        <v>29.105999999999995</v>
      </c>
      <c r="AC53" s="431">
        <f>AC29+AC40+AC50+AC52</f>
        <v>-54.63300000000001</v>
      </c>
      <c r="AD53" s="431">
        <f>AD29+AD40+AD50+AD52</f>
        <v>7.2789999999999875</v>
      </c>
      <c r="AE53" s="474">
        <f>AE29+AE40+AE50+AE52</f>
        <v>-14.007000000000014</v>
      </c>
      <c r="AF53" s="431"/>
      <c r="AG53" s="475">
        <f>AG29+AG40+AG50+AG52</f>
        <v>3.7230000000000043</v>
      </c>
      <c r="AH53" s="431">
        <f>AH29+AH40+AH50+AH52</f>
        <v>53.275000000000013</v>
      </c>
      <c r="AI53" s="431">
        <f>AI29+AI40+AI50+AI52</f>
        <v>470.96199999999999</v>
      </c>
      <c r="AJ53" s="431">
        <f>AJ29+AJ40+AJ50+AJ52</f>
        <v>-35.716000000000058</v>
      </c>
      <c r="AK53" s="474">
        <f>AK29+AK40+AK50+AK52</f>
        <v>492.24399999999997</v>
      </c>
      <c r="AL53" s="431"/>
      <c r="AM53" s="475">
        <f>AM29+AM40+AM50+AM52</f>
        <v>-30.786999999999978</v>
      </c>
      <c r="AN53" s="431">
        <f>AN29+AN40+AN50+AN52</f>
        <v>49.439</v>
      </c>
      <c r="AO53" s="431">
        <f>AO29+AO40+AO50+AO52</f>
        <v>-36.457000000000001</v>
      </c>
      <c r="AP53" s="431">
        <f>AP29+AP40+AP50+AP52</f>
        <v>20.65499999999999</v>
      </c>
      <c r="AQ53" s="474">
        <f>AQ29+AQ40+AQ50+AQ52</f>
        <v>2.8499999999999872</v>
      </c>
      <c r="AR53" s="431"/>
      <c r="AS53" s="475">
        <f>AS29+AS40+AS50+AS52</f>
        <v>-51.825999999999993</v>
      </c>
      <c r="AT53" s="431">
        <f>AT29+AT40+AT50+AT52</f>
        <v>11.283999999999985</v>
      </c>
      <c r="AU53" s="431">
        <f>AU29+AU40+AU50+AU52</f>
        <v>-394.0150000000001</v>
      </c>
      <c r="AV53" s="431">
        <f>AV29+AV40+AV50+AV52</f>
        <v>-172.71700000000004</v>
      </c>
      <c r="AW53" s="474">
        <f>AW29+AW40+AW50+AW52</f>
        <v>-607.274</v>
      </c>
      <c r="AX53" s="431"/>
      <c r="AY53" s="475">
        <f>AY29+AY40+AY50+AY52</f>
        <v>-1.2780000000000054</v>
      </c>
      <c r="AZ53" s="431">
        <f>AZ29+AZ40+AZ50+AZ52</f>
        <v>-5.8470000000000013</v>
      </c>
      <c r="BA53" s="431">
        <f>BA29+BA40+BA50+BA52</f>
        <v>44.220999999999975</v>
      </c>
      <c r="BB53" s="431">
        <f>BB29+BB40+BB50+BB52</f>
        <v>135.80799999999999</v>
      </c>
      <c r="BC53" s="474">
        <f>BC29+BC40+BC50+BC52</f>
        <v>172.90399999999988</v>
      </c>
      <c r="BD53" s="431"/>
      <c r="BE53" s="475">
        <f>BE29+BE40+BE50+BE52</f>
        <v>-21.279999999999998</v>
      </c>
      <c r="BF53" s="431">
        <f>BF29+BF40+BF50+BF52</f>
        <v>-72.938000000000017</v>
      </c>
      <c r="BG53" s="431">
        <f>BG29+BG40+BG50+BG52</f>
        <v>-19.830999999999992</v>
      </c>
      <c r="BH53" s="431">
        <f>BH29+BH40+BH50+BH52</f>
        <v>50.314999999999976</v>
      </c>
      <c r="BI53" s="474">
        <f>BI29+BI40+BI50+BI52</f>
        <v>-63.733999999999995</v>
      </c>
      <c r="BJ53" s="431"/>
      <c r="BK53" s="1073">
        <f>BK29+BK40+BK50+BK52</f>
        <v>233.96900000000008</v>
      </c>
      <c r="BL53" s="478">
        <f>BL29+BL40+BL50+BL52</f>
        <v>-145.33800000000011</v>
      </c>
      <c r="BM53" s="478">
        <f>BM29+BM40+BM50+BM52</f>
        <v>65.275999999999954</v>
      </c>
      <c r="BN53" s="1091">
        <f>BN29+BN40+BN50+BN52</f>
        <v>-91.542999999999935</v>
      </c>
      <c r="BO53" s="474">
        <f>BO29+BO40+BO50+BO52</f>
        <v>62.363999999999933</v>
      </c>
      <c r="BP53" s="431"/>
      <c r="BQ53" s="475">
        <f>BQ29+BQ40+BQ50+BQ52</f>
        <v>-104.85599999999997</v>
      </c>
      <c r="BR53" s="431">
        <f>BR29+BR40+BR50+BR52</f>
        <v>-53.481000000000009</v>
      </c>
      <c r="BS53" s="431">
        <f>BS29+BS40+BS50+BS52</f>
        <v>96.620999999999981</v>
      </c>
      <c r="BT53" s="476">
        <f>BT29+BT40+BT50+BT52</f>
        <v>-40.939999999999962</v>
      </c>
      <c r="BU53" s="474">
        <f>BU29+BU40+BU50+BU52</f>
        <v>-102.65599999999998</v>
      </c>
      <c r="BV53" s="431"/>
      <c r="BW53" s="475">
        <f>BW29+BW40+BW50+BW52</f>
        <v>65.774000000000001</v>
      </c>
      <c r="BX53" s="431">
        <f>BX29+BX40+BX50+BX52</f>
        <v>-27.627999999999997</v>
      </c>
      <c r="BY53" s="431">
        <f>BY29+BY40+BY50+BY52</f>
        <v>26.488999999999926</v>
      </c>
      <c r="BZ53" s="476">
        <f>BZ29+BZ40+BZ50+BZ52</f>
        <v>84.534000000000049</v>
      </c>
      <c r="CA53" s="474">
        <f>CA29+CA40+CA50+CA52</f>
        <v>149.16900000000004</v>
      </c>
      <c r="CB53" s="431"/>
      <c r="CC53" s="475">
        <f>CC29+CC40+CC50+CC52</f>
        <v>-193.73400000000001</v>
      </c>
      <c r="CD53" s="431">
        <f>CD29+CD40+CD50+CD52</f>
        <v>297.39499999999998</v>
      </c>
      <c r="CE53" s="431">
        <f>CE29+CE40+CE50+CE52</f>
        <v>128.91</v>
      </c>
      <c r="CF53" s="476">
        <f>CF29+CF40+CF50+CF52</f>
        <v>-14.036999999999821</v>
      </c>
      <c r="CG53" s="474">
        <f>CG29+CG40+CG50+CG52</f>
        <v>218.53400000000016</v>
      </c>
      <c r="CH53" s="431"/>
      <c r="CI53" s="475">
        <f>CI29+CI40+CI50+CI52</f>
        <v>-4.6054845325757157</v>
      </c>
      <c r="CJ53" s="431">
        <f>CJ29+CJ40+CJ50+CJ52</f>
        <v>-20.67080724233654</v>
      </c>
      <c r="CK53" s="431">
        <f>CK29+CK40+CK50+CK52</f>
        <v>-54.031869923958261</v>
      </c>
      <c r="CL53" s="431">
        <f>CL29+CL40+CL50+CL52</f>
        <v>37.00960281233472</v>
      </c>
      <c r="CM53" s="474">
        <f>CM29+CM40+CM50+CM52</f>
        <v>-42.29855888653583</v>
      </c>
      <c r="CN53" s="431"/>
      <c r="CO53" s="475">
        <f>CO29+CO40+CO50+CO52</f>
        <v>52.676432914620264</v>
      </c>
      <c r="CP53" s="431">
        <f>CP29+CP40+CP50+CP52</f>
        <v>4.9091689188802263</v>
      </c>
      <c r="CQ53" s="431">
        <f>CQ29+CQ40+CQ50+CQ52</f>
        <v>-51.904826250999335</v>
      </c>
      <c r="CR53" s="431">
        <f>CR29+CR40+CR50+CR52</f>
        <v>44.621348443242383</v>
      </c>
      <c r="CS53" s="474">
        <f>CS29+CS40+CS50+CS52</f>
        <v>50.302124025743524</v>
      </c>
      <c r="CT53" s="431"/>
      <c r="CU53" s="475">
        <f>CU29+CU40+CU50+CU52</f>
        <v>87.629961999901269</v>
      </c>
      <c r="CV53" s="431">
        <f>CV29+CV40+CV50+CV52</f>
        <v>35.253791729316205</v>
      </c>
      <c r="CW53" s="431">
        <f>CW29+CW40+CW50+CW52</f>
        <v>-38.398708621167614</v>
      </c>
      <c r="CX53" s="431">
        <f>CX29+CX40+CX50+CX52</f>
        <v>74.037217995982445</v>
      </c>
      <c r="CY53" s="474">
        <f>CY29+CY40+CY50+CY52</f>
        <v>158.52226310403228</v>
      </c>
      <c r="CZ53" s="255"/>
      <c r="DA53" s="1074"/>
      <c r="DB53" s="48"/>
    </row>
    <row r="54" spans="1:112" ht="11.25" customHeight="1" x14ac:dyDescent="0.2">
      <c r="A54" s="58"/>
      <c r="B54" s="48"/>
      <c r="C54" s="59"/>
      <c r="D54" s="48"/>
      <c r="E54" s="48"/>
      <c r="F54" s="48"/>
      <c r="G54" s="6"/>
      <c r="H54" s="28"/>
      <c r="I54" s="19"/>
      <c r="J54" s="28"/>
      <c r="K54" s="28"/>
      <c r="L54" s="28"/>
      <c r="M54" s="6"/>
      <c r="N54" s="28"/>
      <c r="O54" s="19"/>
      <c r="P54" s="28"/>
      <c r="Q54" s="28"/>
      <c r="R54" s="28"/>
      <c r="S54" s="6"/>
      <c r="T54" s="28"/>
      <c r="U54" s="19"/>
      <c r="V54" s="28"/>
      <c r="W54" s="28"/>
      <c r="X54" s="28"/>
      <c r="Y54" s="6"/>
      <c r="Z54" s="28"/>
      <c r="AA54" s="19"/>
      <c r="AB54" s="28"/>
      <c r="AC54" s="28"/>
      <c r="AD54" s="28"/>
      <c r="AE54" s="6"/>
      <c r="AF54" s="28"/>
      <c r="AG54" s="19"/>
      <c r="AH54" s="28"/>
      <c r="AI54" s="28"/>
      <c r="AJ54" s="28"/>
      <c r="AK54" s="6"/>
      <c r="AL54" s="28"/>
      <c r="AM54" s="19"/>
      <c r="AN54" s="28"/>
      <c r="AO54" s="28"/>
      <c r="AP54" s="28"/>
      <c r="AQ54" s="6"/>
      <c r="AR54" s="28"/>
      <c r="AS54" s="19"/>
      <c r="AT54" s="28"/>
      <c r="AU54" s="28"/>
      <c r="AV54" s="28"/>
      <c r="AW54" s="6"/>
      <c r="AX54" s="28"/>
      <c r="AY54" s="19"/>
      <c r="AZ54" s="28"/>
      <c r="BA54" s="28"/>
      <c r="BB54" s="28"/>
      <c r="BC54" s="6"/>
      <c r="BD54" s="28"/>
      <c r="BE54" s="19"/>
      <c r="BF54" s="28"/>
      <c r="BG54" s="28"/>
      <c r="BH54" s="28"/>
      <c r="BI54" s="6"/>
      <c r="BJ54" s="28"/>
      <c r="BK54" s="19"/>
      <c r="BL54" s="28"/>
      <c r="BM54" s="28"/>
      <c r="BN54" s="28"/>
      <c r="BO54" s="6"/>
      <c r="BP54" s="28"/>
      <c r="BQ54" s="19"/>
      <c r="BR54" s="28"/>
      <c r="BS54" s="28"/>
      <c r="BT54" s="28"/>
      <c r="BU54" s="6"/>
      <c r="BV54" s="28"/>
      <c r="BW54" s="19"/>
      <c r="BX54" s="28"/>
      <c r="BY54" s="28"/>
      <c r="BZ54" s="28"/>
      <c r="CA54" s="6"/>
      <c r="CB54" s="28"/>
      <c r="CC54" s="19"/>
      <c r="CD54" s="28"/>
      <c r="CE54" s="28"/>
      <c r="CF54" s="28"/>
      <c r="CG54" s="6"/>
      <c r="CH54" s="28"/>
      <c r="CI54" s="19"/>
      <c r="CJ54" s="28"/>
      <c r="CK54" s="28"/>
      <c r="CL54" s="28"/>
      <c r="CM54" s="6"/>
      <c r="CN54" s="28"/>
      <c r="CO54" s="19"/>
      <c r="CP54" s="28"/>
      <c r="CQ54" s="28"/>
      <c r="CR54" s="28"/>
      <c r="CS54" s="6"/>
      <c r="CT54" s="28"/>
      <c r="CU54" s="19"/>
      <c r="CV54" s="28"/>
      <c r="CW54" s="28"/>
      <c r="CX54" s="28"/>
      <c r="CY54" s="6"/>
      <c r="CZ54" s="20"/>
      <c r="DA54" s="20"/>
      <c r="DB54" s="48"/>
    </row>
    <row r="55" spans="1:112" ht="11.25" customHeight="1" x14ac:dyDescent="0.2">
      <c r="A55" s="446" t="s">
        <v>76</v>
      </c>
      <c r="B55" s="447"/>
      <c r="C55" s="448"/>
      <c r="D55" s="447"/>
      <c r="E55" s="447"/>
      <c r="F55" s="447"/>
      <c r="G55" s="449">
        <v>98.992999999999995</v>
      </c>
      <c r="H55" s="450"/>
      <c r="I55" s="451">
        <f>G56</f>
        <v>196.375</v>
      </c>
      <c r="J55" s="452">
        <f>I56</f>
        <v>210.31399999999999</v>
      </c>
      <c r="K55" s="452">
        <f>J56</f>
        <v>156.995</v>
      </c>
      <c r="L55" s="452">
        <f>K56</f>
        <v>171.19200000000001</v>
      </c>
      <c r="M55" s="453">
        <f>G56</f>
        <v>196.375</v>
      </c>
      <c r="N55" s="452"/>
      <c r="O55" s="451">
        <f>M56</f>
        <v>191.70000000000002</v>
      </c>
      <c r="P55" s="452">
        <f>O56</f>
        <v>197.738</v>
      </c>
      <c r="Q55" s="452">
        <f>P56</f>
        <v>473.45699999999999</v>
      </c>
      <c r="R55" s="452">
        <f>Q56</f>
        <v>491.98399999999998</v>
      </c>
      <c r="S55" s="453">
        <f>M56</f>
        <v>191.70000000000002</v>
      </c>
      <c r="T55" s="452"/>
      <c r="U55" s="451">
        <f>S56</f>
        <v>430.35699999999997</v>
      </c>
      <c r="V55" s="452">
        <f>U56</f>
        <v>386.06999999999994</v>
      </c>
      <c r="W55" s="452">
        <f>V56</f>
        <v>380.37099999999992</v>
      </c>
      <c r="X55" s="452">
        <f>W56</f>
        <v>308.685</v>
      </c>
      <c r="Y55" s="453">
        <f>S56</f>
        <v>430.35699999999997</v>
      </c>
      <c r="Z55" s="452"/>
      <c r="AA55" s="451">
        <f>Y56</f>
        <v>347.31999999999994</v>
      </c>
      <c r="AB55" s="452">
        <f>AA56</f>
        <v>351.56099999999992</v>
      </c>
      <c r="AC55" s="452">
        <f>AB56</f>
        <v>380.66699999999992</v>
      </c>
      <c r="AD55" s="452">
        <f>AC56</f>
        <v>326.03399999999988</v>
      </c>
      <c r="AE55" s="453">
        <f>Y56</f>
        <v>347.31999999999994</v>
      </c>
      <c r="AF55" s="452"/>
      <c r="AG55" s="451">
        <f>AE56</f>
        <v>333.31299999999993</v>
      </c>
      <c r="AH55" s="452">
        <f>AG56</f>
        <v>337.03599999999994</v>
      </c>
      <c r="AI55" s="452">
        <f>AH56</f>
        <v>390.31099999999998</v>
      </c>
      <c r="AJ55" s="452">
        <f>AI56</f>
        <v>861.27299999999991</v>
      </c>
      <c r="AK55" s="453">
        <f>AE56</f>
        <v>333.31299999999993</v>
      </c>
      <c r="AL55" s="452"/>
      <c r="AM55" s="451">
        <f>AK56</f>
        <v>825.5569999999999</v>
      </c>
      <c r="AN55" s="452">
        <f>AM56</f>
        <v>794.77</v>
      </c>
      <c r="AO55" s="452">
        <f>AN56</f>
        <v>844.20899999999995</v>
      </c>
      <c r="AP55" s="452">
        <f>AO56</f>
        <v>807.75199999999995</v>
      </c>
      <c r="AQ55" s="453">
        <f>AK56</f>
        <v>825.5569999999999</v>
      </c>
      <c r="AR55" s="452"/>
      <c r="AS55" s="451">
        <f>AQ56</f>
        <v>828.40699999999993</v>
      </c>
      <c r="AT55" s="452">
        <f>AS56</f>
        <v>776.5809999999999</v>
      </c>
      <c r="AU55" s="452">
        <f>AT56</f>
        <v>787.8649999999999</v>
      </c>
      <c r="AV55" s="452">
        <f>AU56</f>
        <v>393.8499999999998</v>
      </c>
      <c r="AW55" s="453">
        <f>AQ56</f>
        <v>828.40699999999993</v>
      </c>
      <c r="AX55" s="452"/>
      <c r="AY55" s="451">
        <f>AW56</f>
        <v>221.13299999999992</v>
      </c>
      <c r="AZ55" s="452">
        <f>AY56</f>
        <v>219.85499999999993</v>
      </c>
      <c r="BA55" s="452">
        <f>AZ56</f>
        <v>214.00799999999992</v>
      </c>
      <c r="BB55" s="452">
        <f>BA56</f>
        <v>258.22899999999993</v>
      </c>
      <c r="BC55" s="453">
        <f>AW56</f>
        <v>221.13299999999992</v>
      </c>
      <c r="BD55" s="452"/>
      <c r="BE55" s="451">
        <f>BC56</f>
        <v>394.03699999999981</v>
      </c>
      <c r="BF55" s="452">
        <f>BE56</f>
        <v>372.75699999999983</v>
      </c>
      <c r="BG55" s="452">
        <f>BF56</f>
        <v>299.81899999999985</v>
      </c>
      <c r="BH55" s="452">
        <f>BG56</f>
        <v>279.98799999999983</v>
      </c>
      <c r="BI55" s="453">
        <f>BC56</f>
        <v>394.03699999999981</v>
      </c>
      <c r="BJ55" s="452"/>
      <c r="BK55" s="1076">
        <f>BI56</f>
        <v>330.30299999999983</v>
      </c>
      <c r="BL55" s="452">
        <f>BK56</f>
        <v>564.27199999999993</v>
      </c>
      <c r="BM55" s="452">
        <f>BL56</f>
        <v>418.93399999999986</v>
      </c>
      <c r="BN55" s="452">
        <f>BM56</f>
        <v>484.20999999999981</v>
      </c>
      <c r="BO55" s="453">
        <f>BI56</f>
        <v>330.30299999999983</v>
      </c>
      <c r="BP55" s="452"/>
      <c r="BQ55" s="451">
        <f>BO56</f>
        <v>392.66699999999975</v>
      </c>
      <c r="BR55" s="452">
        <f>BQ56</f>
        <v>287.81099999999981</v>
      </c>
      <c r="BS55" s="452">
        <f>BR56</f>
        <v>234.32999999999981</v>
      </c>
      <c r="BT55" s="452">
        <f>BS56</f>
        <v>330.95099999999979</v>
      </c>
      <c r="BU55" s="453">
        <f>BO56</f>
        <v>392.66699999999975</v>
      </c>
      <c r="BV55" s="452"/>
      <c r="BW55" s="451">
        <f>BU56</f>
        <v>290.01099999999974</v>
      </c>
      <c r="BX55" s="452">
        <f>BW56</f>
        <v>355.78499999999974</v>
      </c>
      <c r="BY55" s="452">
        <f>BX56</f>
        <v>328.15699999999975</v>
      </c>
      <c r="BZ55" s="452">
        <f>BY56</f>
        <v>354.64599999999967</v>
      </c>
      <c r="CA55" s="453">
        <f>BU56</f>
        <v>290.01099999999974</v>
      </c>
      <c r="CB55" s="452"/>
      <c r="CC55" s="451">
        <f>CA56</f>
        <v>439.17999999999978</v>
      </c>
      <c r="CD55" s="452">
        <f>CC56</f>
        <v>245.44599999999977</v>
      </c>
      <c r="CE55" s="452">
        <f>CD56</f>
        <v>542.84099999999978</v>
      </c>
      <c r="CF55" s="452">
        <f>CE56</f>
        <v>671.75099999999975</v>
      </c>
      <c r="CG55" s="453">
        <f>CA56</f>
        <v>439.17999999999978</v>
      </c>
      <c r="CH55" s="452"/>
      <c r="CI55" s="451">
        <f>CG56</f>
        <v>657.71399999999994</v>
      </c>
      <c r="CJ55" s="452">
        <f>CI56</f>
        <v>653.10851546742424</v>
      </c>
      <c r="CK55" s="452">
        <f>CJ56</f>
        <v>632.4377082250877</v>
      </c>
      <c r="CL55" s="452">
        <f>CK56</f>
        <v>578.40583830112939</v>
      </c>
      <c r="CM55" s="453">
        <f>CG56</f>
        <v>657.71399999999994</v>
      </c>
      <c r="CN55" s="452"/>
      <c r="CO55" s="451">
        <f>CM56</f>
        <v>615.41544111346411</v>
      </c>
      <c r="CP55" s="452">
        <f>CO56</f>
        <v>668.09187402808436</v>
      </c>
      <c r="CQ55" s="452">
        <f>CP56</f>
        <v>673.00104294696462</v>
      </c>
      <c r="CR55" s="452">
        <f>CQ56</f>
        <v>621.09621669596527</v>
      </c>
      <c r="CS55" s="453">
        <f>CM56</f>
        <v>615.41544111346411</v>
      </c>
      <c r="CT55" s="452"/>
      <c r="CU55" s="451">
        <f>CS56</f>
        <v>665.71756513920764</v>
      </c>
      <c r="CV55" s="452">
        <f>CU56</f>
        <v>753.34752713910893</v>
      </c>
      <c r="CW55" s="452">
        <f>CV56</f>
        <v>788.6013188684251</v>
      </c>
      <c r="CX55" s="452">
        <f>CW56</f>
        <v>750.20261024725744</v>
      </c>
      <c r="CY55" s="453">
        <f>CS56</f>
        <v>665.71756513920764</v>
      </c>
      <c r="CZ55" s="20"/>
      <c r="DA55" s="20"/>
      <c r="DB55" s="48"/>
    </row>
    <row r="56" spans="1:112" ht="11.25" customHeight="1" x14ac:dyDescent="0.2">
      <c r="A56" s="454" t="s">
        <v>80</v>
      </c>
      <c r="B56" s="455"/>
      <c r="C56" s="456"/>
      <c r="D56" s="455"/>
      <c r="E56" s="455"/>
      <c r="F56" s="455"/>
      <c r="G56" s="457">
        <f>G53+G55</f>
        <v>196.375</v>
      </c>
      <c r="H56" s="458"/>
      <c r="I56" s="459">
        <f>I53+I55</f>
        <v>210.31399999999999</v>
      </c>
      <c r="J56" s="458">
        <f>J53+J55</f>
        <v>156.995</v>
      </c>
      <c r="K56" s="458">
        <f>K53+K55</f>
        <v>171.19200000000001</v>
      </c>
      <c r="L56" s="458">
        <f>L53+L55</f>
        <v>191.70000000000002</v>
      </c>
      <c r="M56" s="457">
        <f>M53+M55</f>
        <v>191.70000000000002</v>
      </c>
      <c r="N56" s="458"/>
      <c r="O56" s="459">
        <f>O53+O55</f>
        <v>197.738</v>
      </c>
      <c r="P56" s="458">
        <f>P53+P55</f>
        <v>473.45699999999999</v>
      </c>
      <c r="Q56" s="458">
        <f>Q53+Q55</f>
        <v>491.98399999999998</v>
      </c>
      <c r="R56" s="458">
        <f>R53+R55</f>
        <v>430.35699999999997</v>
      </c>
      <c r="S56" s="457">
        <f>S53+S55</f>
        <v>430.35699999999997</v>
      </c>
      <c r="T56" s="458"/>
      <c r="U56" s="459">
        <f>U53+U55</f>
        <v>386.06999999999994</v>
      </c>
      <c r="V56" s="458">
        <f>V53+V55</f>
        <v>380.37099999999992</v>
      </c>
      <c r="W56" s="458">
        <f>W53+W55</f>
        <v>308.685</v>
      </c>
      <c r="X56" s="458">
        <f>X53+X55</f>
        <v>347.32000000000005</v>
      </c>
      <c r="Y56" s="457">
        <f>Y53+Y55</f>
        <v>347.31999999999994</v>
      </c>
      <c r="Z56" s="458"/>
      <c r="AA56" s="459">
        <f>AA53+AA55</f>
        <v>351.56099999999992</v>
      </c>
      <c r="AB56" s="458">
        <f>AB53+AB55</f>
        <v>380.66699999999992</v>
      </c>
      <c r="AC56" s="458">
        <f>AC53+AC55</f>
        <v>326.03399999999988</v>
      </c>
      <c r="AD56" s="458">
        <f>AD53+AD55</f>
        <v>333.31299999999987</v>
      </c>
      <c r="AE56" s="457">
        <f>AE53+AE55</f>
        <v>333.31299999999993</v>
      </c>
      <c r="AF56" s="458"/>
      <c r="AG56" s="459">
        <f>AG53+AG55</f>
        <v>337.03599999999994</v>
      </c>
      <c r="AH56" s="458">
        <f>AH53+AH55</f>
        <v>390.31099999999998</v>
      </c>
      <c r="AI56" s="458">
        <f>AI53+AI55</f>
        <v>861.27299999999991</v>
      </c>
      <c r="AJ56" s="458">
        <f>AJ53+AJ55</f>
        <v>825.5569999999999</v>
      </c>
      <c r="AK56" s="457">
        <f>AK53+AK55</f>
        <v>825.5569999999999</v>
      </c>
      <c r="AL56" s="458"/>
      <c r="AM56" s="459">
        <f>AM53+AM55</f>
        <v>794.77</v>
      </c>
      <c r="AN56" s="458">
        <f>AN53+AN55</f>
        <v>844.20899999999995</v>
      </c>
      <c r="AO56" s="458">
        <f>AO53+AO55</f>
        <v>807.75199999999995</v>
      </c>
      <c r="AP56" s="458">
        <f>AP53+AP55</f>
        <v>828.40699999999993</v>
      </c>
      <c r="AQ56" s="457">
        <f>AQ53+AQ55</f>
        <v>828.40699999999993</v>
      </c>
      <c r="AR56" s="458"/>
      <c r="AS56" s="459">
        <f>AS53+AS55</f>
        <v>776.5809999999999</v>
      </c>
      <c r="AT56" s="458">
        <f>AT53+AT55</f>
        <v>787.8649999999999</v>
      </c>
      <c r="AU56" s="458">
        <f>AU53+AU55</f>
        <v>393.8499999999998</v>
      </c>
      <c r="AV56" s="458">
        <f>AV53+AV55</f>
        <v>221.13299999999975</v>
      </c>
      <c r="AW56" s="457">
        <f>AW53+AW55</f>
        <v>221.13299999999992</v>
      </c>
      <c r="AX56" s="458"/>
      <c r="AY56" s="459">
        <f>AY53+AY55</f>
        <v>219.85499999999993</v>
      </c>
      <c r="AZ56" s="458">
        <f>AZ53+AZ55</f>
        <v>214.00799999999992</v>
      </c>
      <c r="BA56" s="458">
        <f>BA53+BA55</f>
        <v>258.22899999999993</v>
      </c>
      <c r="BB56" s="458">
        <f>BB53+BB55</f>
        <v>394.03699999999992</v>
      </c>
      <c r="BC56" s="457">
        <f>BC53+BC55</f>
        <v>394.03699999999981</v>
      </c>
      <c r="BD56" s="458"/>
      <c r="BE56" s="459">
        <f>BE53+BE55</f>
        <v>372.75699999999983</v>
      </c>
      <c r="BF56" s="458">
        <f>BF53+BF55</f>
        <v>299.81899999999985</v>
      </c>
      <c r="BG56" s="458">
        <f>BG53+BG55</f>
        <v>279.98799999999983</v>
      </c>
      <c r="BH56" s="458">
        <f>BH53+BH55</f>
        <v>330.30299999999983</v>
      </c>
      <c r="BI56" s="457">
        <f>BI53+BI55</f>
        <v>330.30299999999983</v>
      </c>
      <c r="BJ56" s="458"/>
      <c r="BK56" s="459">
        <f>BK53+BK55</f>
        <v>564.27199999999993</v>
      </c>
      <c r="BL56" s="458">
        <f>BL53+BL55</f>
        <v>418.93399999999986</v>
      </c>
      <c r="BM56" s="458">
        <f>BM53+BM55</f>
        <v>484.20999999999981</v>
      </c>
      <c r="BN56" s="1092">
        <f>BN53+BN55</f>
        <v>392.66699999999986</v>
      </c>
      <c r="BO56" s="457">
        <f>BO53+BO55</f>
        <v>392.66699999999975</v>
      </c>
      <c r="BP56" s="458"/>
      <c r="BQ56" s="459">
        <f>BQ53+BQ55</f>
        <v>287.81099999999981</v>
      </c>
      <c r="BR56" s="458">
        <f>BR53+BR55</f>
        <v>234.32999999999981</v>
      </c>
      <c r="BS56" s="458">
        <f>BS53+BS55</f>
        <v>330.95099999999979</v>
      </c>
      <c r="BT56" s="1092">
        <f>BT53+BT55</f>
        <v>290.01099999999985</v>
      </c>
      <c r="BU56" s="457">
        <f>BU53+BU55</f>
        <v>290.01099999999974</v>
      </c>
      <c r="BV56" s="458"/>
      <c r="BW56" s="459">
        <f>BW53+BW55</f>
        <v>355.78499999999974</v>
      </c>
      <c r="BX56" s="458">
        <f>BX53+BX55</f>
        <v>328.15699999999975</v>
      </c>
      <c r="BY56" s="458">
        <f>BY53+BY55</f>
        <v>354.64599999999967</v>
      </c>
      <c r="BZ56" s="1092">
        <f>BZ53+BZ55</f>
        <v>439.17999999999972</v>
      </c>
      <c r="CA56" s="457">
        <f>CA53+CA55</f>
        <v>439.17999999999978</v>
      </c>
      <c r="CB56" s="458"/>
      <c r="CC56" s="459">
        <f>CC53+CC55</f>
        <v>245.44599999999977</v>
      </c>
      <c r="CD56" s="458">
        <f>CD53+CD55</f>
        <v>542.84099999999978</v>
      </c>
      <c r="CE56" s="458">
        <f>CE53+CE55</f>
        <v>671.75099999999975</v>
      </c>
      <c r="CF56" s="1092">
        <f>CF53+CF55</f>
        <v>657.71399999999994</v>
      </c>
      <c r="CG56" s="457">
        <f>CG53+CG55</f>
        <v>657.71399999999994</v>
      </c>
      <c r="CH56" s="458"/>
      <c r="CI56" s="459">
        <f>CI53+CI55</f>
        <v>653.10851546742424</v>
      </c>
      <c r="CJ56" s="458">
        <f>CJ53+CJ55</f>
        <v>632.4377082250877</v>
      </c>
      <c r="CK56" s="458">
        <f>CK53+CK55</f>
        <v>578.40583830112939</v>
      </c>
      <c r="CL56" s="458">
        <f>CL53+CL55</f>
        <v>615.41544111346411</v>
      </c>
      <c r="CM56" s="457">
        <f>CM53+CM55</f>
        <v>615.41544111346411</v>
      </c>
      <c r="CN56" s="458"/>
      <c r="CO56" s="459">
        <f>CO53+CO55</f>
        <v>668.09187402808436</v>
      </c>
      <c r="CP56" s="458">
        <f>CP53+CP55</f>
        <v>673.00104294696462</v>
      </c>
      <c r="CQ56" s="458">
        <f>CQ53+CQ55</f>
        <v>621.09621669596527</v>
      </c>
      <c r="CR56" s="458">
        <f>CR53+CR55</f>
        <v>665.71756513920764</v>
      </c>
      <c r="CS56" s="457">
        <f>CS53+CS55</f>
        <v>665.71756513920764</v>
      </c>
      <c r="CT56" s="458"/>
      <c r="CU56" s="459">
        <f>CU53+CU55</f>
        <v>753.34752713910893</v>
      </c>
      <c r="CV56" s="458">
        <f>CV53+CV55</f>
        <v>788.6013188684251</v>
      </c>
      <c r="CW56" s="458">
        <f>CW53+CW55</f>
        <v>750.20261024725744</v>
      </c>
      <c r="CX56" s="458">
        <f>CX53+CX55</f>
        <v>824.23982824323991</v>
      </c>
      <c r="CY56" s="457">
        <f>CY53+CY55</f>
        <v>824.23982824323991</v>
      </c>
      <c r="CZ56" s="255"/>
      <c r="DA56" s="255"/>
      <c r="DB56" s="48"/>
    </row>
    <row r="57" spans="1:112" s="437" customFormat="1" ht="11.25" hidden="1" customHeight="1" outlineLevel="1" x14ac:dyDescent="0.2">
      <c r="A57" s="466" t="s">
        <v>214</v>
      </c>
      <c r="B57" s="467"/>
      <c r="C57" s="467"/>
      <c r="D57" s="467"/>
      <c r="E57" s="467"/>
      <c r="F57" s="467"/>
      <c r="G57" s="468"/>
      <c r="H57" s="468"/>
      <c r="I57" s="468"/>
      <c r="J57" s="468"/>
      <c r="K57" s="468"/>
      <c r="L57" s="468"/>
      <c r="M57" s="468"/>
      <c r="N57" s="468"/>
      <c r="O57" s="468"/>
      <c r="P57" s="468"/>
      <c r="Q57" s="468"/>
      <c r="R57" s="468"/>
      <c r="S57" s="468"/>
      <c r="T57" s="468"/>
      <c r="U57" s="468"/>
      <c r="V57" s="468"/>
      <c r="W57" s="468"/>
      <c r="X57" s="468"/>
      <c r="Y57" s="468"/>
      <c r="Z57" s="468"/>
      <c r="AA57" s="468"/>
      <c r="AB57" s="468"/>
      <c r="AC57" s="468"/>
      <c r="AD57" s="468"/>
      <c r="AE57" s="468"/>
      <c r="AF57" s="468"/>
      <c r="AG57" s="468"/>
      <c r="AH57" s="468"/>
      <c r="AI57" s="468"/>
      <c r="AJ57" s="468"/>
      <c r="AK57" s="468"/>
      <c r="AL57" s="468"/>
      <c r="AM57" s="468"/>
      <c r="AN57" s="468"/>
      <c r="AO57" s="468"/>
      <c r="AP57" s="468"/>
      <c r="AQ57" s="468"/>
      <c r="AR57" s="468"/>
      <c r="AS57" s="468"/>
      <c r="AT57" s="468"/>
      <c r="AU57" s="468"/>
      <c r="AV57" s="468"/>
      <c r="AW57" s="468"/>
      <c r="AX57" s="468"/>
      <c r="AY57" s="468">
        <f>AY56-BS!AY10</f>
        <v>0</v>
      </c>
      <c r="AZ57" s="468">
        <f>AZ56-BS!AZ10</f>
        <v>0</v>
      </c>
      <c r="BA57" s="468">
        <f>BA56-BS!BA10</f>
        <v>0</v>
      </c>
      <c r="BB57" s="468">
        <f>BB56-BS!BB10</f>
        <v>0</v>
      </c>
      <c r="BC57" s="468">
        <f>BC56-BS!BC10</f>
        <v>0</v>
      </c>
      <c r="BD57" s="468"/>
      <c r="BE57" s="468">
        <f>BE56-BS!BE10</f>
        <v>0</v>
      </c>
      <c r="BF57" s="468">
        <f>BF56-BS!BF10</f>
        <v>0</v>
      </c>
      <c r="BG57" s="468">
        <f>BG56-BS!BG10</f>
        <v>0</v>
      </c>
      <c r="BH57" s="468">
        <f>BH56-BS!BH10</f>
        <v>0</v>
      </c>
      <c r="BI57" s="468">
        <f>BI56-BS!BI10</f>
        <v>0</v>
      </c>
      <c r="BJ57" s="468"/>
      <c r="BK57" s="468">
        <f>BK56-BS!BK10</f>
        <v>0</v>
      </c>
      <c r="BL57" s="468">
        <f>BL56-BS!BL10</f>
        <v>0</v>
      </c>
      <c r="BM57" s="468">
        <f>BM56-BS!BM10</f>
        <v>0</v>
      </c>
      <c r="BN57" s="468">
        <f>BN56-BS!BN10</f>
        <v>0</v>
      </c>
      <c r="BO57" s="468">
        <f>BO56-BS!BO10</f>
        <v>0</v>
      </c>
      <c r="BP57" s="468"/>
      <c r="BQ57" s="468">
        <f>BQ56-BS!BQ10</f>
        <v>0</v>
      </c>
      <c r="BR57" s="468">
        <f>BR56-BS!BR10</f>
        <v>0</v>
      </c>
      <c r="BS57" s="468">
        <f>BS56-BS!BS10</f>
        <v>0</v>
      </c>
      <c r="BT57" s="468">
        <f>BT56-BS!BT10</f>
        <v>0</v>
      </c>
      <c r="BU57" s="468">
        <f>BU56-BS!BU10</f>
        <v>0</v>
      </c>
      <c r="BV57" s="468"/>
      <c r="BW57" s="468">
        <f>BW56-BS!BW10</f>
        <v>0</v>
      </c>
      <c r="BX57" s="468">
        <f>BX56-BS!BX10</f>
        <v>0</v>
      </c>
      <c r="BY57" s="468">
        <f>BY56-BS!BY10</f>
        <v>0</v>
      </c>
      <c r="BZ57" s="468">
        <f>BZ56-BS!BZ10</f>
        <v>0</v>
      </c>
      <c r="CA57" s="468">
        <f>CA56-BS!CA10</f>
        <v>0</v>
      </c>
      <c r="CB57" s="468"/>
      <c r="CC57" s="468">
        <f>CC56-BS!CC10</f>
        <v>0</v>
      </c>
      <c r="CD57" s="468">
        <f>CD56-BS!CD10</f>
        <v>0</v>
      </c>
      <c r="CE57" s="468">
        <f>CE56-BS!CE10</f>
        <v>0</v>
      </c>
      <c r="CF57" s="468">
        <f>CF56-BS!CF10</f>
        <v>0</v>
      </c>
      <c r="CG57" s="468">
        <f>CG56-BS!CG10</f>
        <v>0</v>
      </c>
      <c r="CH57" s="468"/>
      <c r="CI57" s="468">
        <f>CI56-BS!CI10</f>
        <v>0</v>
      </c>
      <c r="CJ57" s="468">
        <f>CJ56-BS!CJ10</f>
        <v>0</v>
      </c>
      <c r="CK57" s="468">
        <f>CK56-BS!CK10</f>
        <v>0</v>
      </c>
      <c r="CL57" s="468">
        <f>CL56-BS!CL10</f>
        <v>0</v>
      </c>
      <c r="CM57" s="468">
        <f>CM56-BS!CM10</f>
        <v>0</v>
      </c>
      <c r="CN57" s="468"/>
      <c r="CO57" s="468">
        <f>CO56-BS!CO10</f>
        <v>0</v>
      </c>
      <c r="CP57" s="468">
        <f>CP56-BS!CP10</f>
        <v>0</v>
      </c>
      <c r="CQ57" s="468">
        <f>CQ56-BS!CQ10</f>
        <v>0</v>
      </c>
      <c r="CR57" s="468">
        <f>CR56-BS!CR10</f>
        <v>0</v>
      </c>
      <c r="CS57" s="468">
        <f>CS56-BS!CS10</f>
        <v>0</v>
      </c>
      <c r="CT57" s="468"/>
      <c r="CU57" s="468">
        <f>CU56-BS!CU10</f>
        <v>0</v>
      </c>
      <c r="CV57" s="468">
        <f>CV56-BS!CV10</f>
        <v>0</v>
      </c>
      <c r="CW57" s="468">
        <f>CW56-BS!CW10</f>
        <v>0</v>
      </c>
      <c r="CX57" s="468">
        <f>CX56-BS!CX10</f>
        <v>0</v>
      </c>
      <c r="CY57" s="468">
        <f>CY56-BS!CY10</f>
        <v>0</v>
      </c>
      <c r="CZ57" s="436"/>
      <c r="DA57" s="436"/>
      <c r="DB57" s="200"/>
      <c r="DC57"/>
      <c r="DD57"/>
      <c r="DE57"/>
      <c r="DF57"/>
      <c r="DG57"/>
      <c r="DH57"/>
    </row>
    <row r="58" spans="1:112" ht="11.25" customHeight="1" collapsed="1" x14ac:dyDescent="0.2">
      <c r="A58" s="411" t="s">
        <v>153</v>
      </c>
      <c r="B58" s="39"/>
      <c r="C58" s="20"/>
      <c r="D58" s="20"/>
      <c r="E58" s="20"/>
      <c r="F58" s="20"/>
      <c r="G58" s="20"/>
      <c r="H58" s="39"/>
      <c r="I58" s="20"/>
      <c r="J58" s="20"/>
      <c r="K58" s="20"/>
      <c r="L58" s="20"/>
      <c r="M58" s="20"/>
      <c r="N58" s="39"/>
      <c r="O58" s="20"/>
      <c r="P58" s="20"/>
      <c r="Q58" s="20"/>
      <c r="R58" s="20"/>
      <c r="S58" s="20"/>
      <c r="T58" s="39"/>
      <c r="U58" s="20"/>
      <c r="V58" s="20"/>
      <c r="W58" s="20"/>
      <c r="X58" s="20"/>
      <c r="Y58" s="20"/>
      <c r="Z58" s="39"/>
      <c r="AA58" s="20"/>
      <c r="AB58" s="20"/>
      <c r="AC58" s="20"/>
      <c r="AD58" s="20"/>
      <c r="AE58" s="20"/>
      <c r="AF58" s="39"/>
      <c r="AG58" s="20"/>
      <c r="AH58" s="20"/>
      <c r="AI58" s="20"/>
      <c r="AJ58" s="20"/>
      <c r="AK58" s="20"/>
      <c r="AL58" s="39"/>
      <c r="AM58" s="20"/>
      <c r="AN58" s="20"/>
      <c r="AO58" s="20"/>
      <c r="AP58" s="20"/>
      <c r="AQ58" s="20"/>
      <c r="AR58" s="39"/>
      <c r="AS58" s="20"/>
      <c r="AT58" s="20"/>
      <c r="AU58" s="20"/>
      <c r="AV58" s="20"/>
      <c r="AW58" s="20"/>
      <c r="AX58" s="39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36"/>
      <c r="CD58" s="236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48"/>
    </row>
    <row r="59" spans="1:112" s="1127" customFormat="1" ht="11.25" customHeight="1" x14ac:dyDescent="0.2">
      <c r="A59" s="1120"/>
      <c r="B59" s="1121"/>
      <c r="C59" s="1122"/>
      <c r="D59" s="1122"/>
      <c r="E59" s="1122"/>
      <c r="F59" s="1122"/>
      <c r="G59" s="1122"/>
      <c r="H59" s="1121"/>
      <c r="I59" s="1122"/>
      <c r="J59" s="1122"/>
      <c r="K59" s="1122"/>
      <c r="L59" s="1122"/>
      <c r="M59" s="1122"/>
      <c r="N59" s="1121"/>
      <c r="O59" s="1122"/>
      <c r="P59" s="1122"/>
      <c r="Q59" s="1122"/>
      <c r="R59" s="1122"/>
      <c r="S59" s="1122"/>
      <c r="T59" s="1121"/>
      <c r="U59" s="1122"/>
      <c r="V59" s="1122"/>
      <c r="W59" s="1122"/>
      <c r="X59" s="1122"/>
      <c r="Y59" s="1122"/>
      <c r="Z59" s="1121"/>
      <c r="AA59" s="1122"/>
      <c r="AB59" s="1122"/>
      <c r="AC59" s="1122"/>
      <c r="AD59" s="1122"/>
      <c r="AE59" s="1123">
        <f>AE61/'P&amp;L'!AE28</f>
        <v>0.8178900824320523</v>
      </c>
      <c r="AF59" s="1121"/>
      <c r="AG59" s="1122"/>
      <c r="AH59" s="1122"/>
      <c r="AI59" s="1122"/>
      <c r="AJ59" s="1122"/>
      <c r="AK59" s="1123">
        <f>AK61/'P&amp;L'!AK28</f>
        <v>0.82578110908471425</v>
      </c>
      <c r="AL59" s="1121"/>
      <c r="AM59" s="1122"/>
      <c r="AN59" s="1122"/>
      <c r="AO59" s="1122"/>
      <c r="AP59" s="1122"/>
      <c r="AQ59" s="1123">
        <f>AQ61/'P&amp;L'!AQ28</f>
        <v>0.76822494533077668</v>
      </c>
      <c r="AR59" s="1121"/>
      <c r="AS59" s="1122"/>
      <c r="AT59" s="1122"/>
      <c r="AU59" s="1122"/>
      <c r="AV59" s="1122"/>
      <c r="AW59" s="1123">
        <f>AW61/'P&amp;L'!AW28</f>
        <v>0.67370908036369204</v>
      </c>
      <c r="AX59" s="1121"/>
      <c r="AY59" s="1122"/>
      <c r="AZ59" s="1122"/>
      <c r="BA59" s="1122"/>
      <c r="BB59" s="1122"/>
      <c r="BC59" s="1123">
        <f>BC61/'P&amp;L'!BC28</f>
        <v>0.54802990146630737</v>
      </c>
      <c r="BD59" s="1122"/>
      <c r="BE59" s="1122"/>
      <c r="BF59" s="1122"/>
      <c r="BG59" s="1122"/>
      <c r="BH59" s="1122"/>
      <c r="BI59"/>
      <c r="BJ59" s="1122"/>
      <c r="BK59" s="1122"/>
      <c r="BL59" s="1122"/>
      <c r="BM59" s="1124"/>
      <c r="BN59" s="1122"/>
      <c r="BO59"/>
      <c r="BP59" s="1122"/>
      <c r="BQ59" s="1122"/>
      <c r="BR59" s="1122"/>
      <c r="BS59" s="1122"/>
      <c r="BT59" s="1122"/>
      <c r="BU59"/>
      <c r="BV59"/>
      <c r="BW59"/>
      <c r="BX59"/>
      <c r="BY59"/>
      <c r="BZ59"/>
      <c r="CA59"/>
      <c r="CB59"/>
      <c r="CC59"/>
      <c r="CD59" s="160"/>
      <c r="CE59"/>
      <c r="CF59"/>
      <c r="CG59" s="160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 s="1125"/>
      <c r="DA59" s="1125"/>
      <c r="DB59" s="1126"/>
      <c r="DC59"/>
      <c r="DD59"/>
      <c r="DE59"/>
      <c r="DF59"/>
      <c r="DG59"/>
      <c r="DH59"/>
    </row>
    <row r="60" spans="1:112" ht="11.25" customHeight="1" x14ac:dyDescent="0.2">
      <c r="A60" s="61" t="s">
        <v>324</v>
      </c>
      <c r="B60" s="150"/>
      <c r="C60" s="151"/>
      <c r="D60" s="150"/>
      <c r="E60" s="151"/>
      <c r="F60" s="150"/>
      <c r="G60" s="151"/>
      <c r="H60" s="150"/>
      <c r="I60" s="151"/>
      <c r="J60" s="150"/>
      <c r="K60" s="151"/>
      <c r="L60" s="150"/>
      <c r="M60" s="151"/>
      <c r="N60" s="150"/>
      <c r="O60" s="151"/>
      <c r="P60" s="150"/>
      <c r="Q60" s="151"/>
      <c r="R60" s="150"/>
      <c r="S60" s="151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2"/>
      <c r="BH60" s="150"/>
      <c r="BI60" s="150"/>
      <c r="BJ60" s="150"/>
      <c r="BK60" s="150"/>
      <c r="BL60" s="150"/>
      <c r="BM60" s="152"/>
      <c r="BN60" s="150"/>
      <c r="BO60" s="150"/>
      <c r="BP60" s="150"/>
      <c r="BQ60" s="150"/>
      <c r="BR60" s="150"/>
      <c r="BS60" s="152"/>
      <c r="BT60" s="150"/>
      <c r="BU60" s="150"/>
      <c r="BV60" s="150"/>
      <c r="BW60" s="150"/>
      <c r="BX60" s="150"/>
      <c r="BY60" s="152"/>
      <c r="BZ60" s="150"/>
      <c r="CA60" s="150"/>
      <c r="CB60" s="150"/>
      <c r="CC60" s="150"/>
      <c r="CD60" s="150"/>
      <c r="CE60" s="152"/>
      <c r="CF60" s="150"/>
      <c r="CG60" s="150"/>
      <c r="CH60" s="150"/>
      <c r="CI60" s="150"/>
      <c r="CJ60" s="150"/>
      <c r="CK60" s="152"/>
      <c r="CL60" s="150"/>
      <c r="CM60" s="150"/>
      <c r="CN60" s="150"/>
      <c r="CO60" s="150"/>
      <c r="CP60" s="150"/>
      <c r="CQ60" s="152"/>
      <c r="CR60" s="150"/>
      <c r="CS60" s="150"/>
      <c r="CT60" s="150"/>
      <c r="CU60" s="150"/>
      <c r="CV60" s="150"/>
      <c r="CW60" s="152"/>
      <c r="CX60" s="150"/>
      <c r="CY60" s="150"/>
      <c r="CZ60" s="20"/>
      <c r="DA60" s="20"/>
      <c r="DB60" s="48"/>
    </row>
    <row r="61" spans="1:112" ht="11.25" customHeight="1" x14ac:dyDescent="0.2">
      <c r="A61" s="72" t="s">
        <v>261</v>
      </c>
      <c r="B61" s="48"/>
      <c r="C61" s="412"/>
      <c r="D61" s="28"/>
      <c r="E61" s="28"/>
      <c r="F61" s="28"/>
      <c r="G61" s="327"/>
      <c r="H61" s="48"/>
      <c r="I61" s="413">
        <f>I29+I32</f>
        <v>17.790999999999997</v>
      </c>
      <c r="J61" s="83">
        <f>J29+J32</f>
        <v>22.236999999999998</v>
      </c>
      <c r="K61" s="83">
        <f>K29+K32</f>
        <v>16.632000000000001</v>
      </c>
      <c r="L61" s="83">
        <f>L29+L32</f>
        <v>20.848999999999997</v>
      </c>
      <c r="M61" s="414">
        <f>M29+M32</f>
        <v>77.509000000000015</v>
      </c>
      <c r="N61" s="48"/>
      <c r="O61" s="413">
        <f>O29+O32</f>
        <v>17.765000000000001</v>
      </c>
      <c r="P61" s="83">
        <f>P29+P32</f>
        <v>17.707000000000001</v>
      </c>
      <c r="Q61" s="83">
        <f>Q29+Q32</f>
        <v>15.979999999999997</v>
      </c>
      <c r="R61" s="83">
        <f>R29+R32</f>
        <v>21.032000000000011</v>
      </c>
      <c r="S61" s="414">
        <f>S29+S32</f>
        <v>72.483999999999995</v>
      </c>
      <c r="T61" s="48"/>
      <c r="U61" s="413">
        <f>U29+U32</f>
        <v>14.340999999999999</v>
      </c>
      <c r="V61" s="83">
        <f>V29+V32</f>
        <v>5.8210000000000068</v>
      </c>
      <c r="W61" s="83">
        <f>W29+W32</f>
        <v>18.697000000000003</v>
      </c>
      <c r="X61" s="83">
        <f>X29+X32</f>
        <v>11.459999999999974</v>
      </c>
      <c r="Y61" s="414">
        <f>Y29+Y32</f>
        <v>50.318999999999981</v>
      </c>
      <c r="Z61" s="48"/>
      <c r="AA61" s="413">
        <f>AA29+AA32</f>
        <v>-3.8660000000000032</v>
      </c>
      <c r="AB61" s="83">
        <f>AB29+AB32</f>
        <v>41.268999999999991</v>
      </c>
      <c r="AC61" s="83">
        <f>AC29+AC32</f>
        <v>20.185999999999993</v>
      </c>
      <c r="AD61" s="83">
        <f>AD29+AD32</f>
        <v>75.960999999999999</v>
      </c>
      <c r="AE61" s="414">
        <f>AE29+AE32</f>
        <v>133.54999999999998</v>
      </c>
      <c r="AF61" s="48"/>
      <c r="AG61" s="413">
        <f>AG29+AG32</f>
        <v>3.8470000000000049</v>
      </c>
      <c r="AH61" s="83">
        <f>AH29+AH32</f>
        <v>60.78400000000002</v>
      </c>
      <c r="AI61" s="83">
        <f>AI29+AI32</f>
        <v>62.861000000000004</v>
      </c>
      <c r="AJ61" s="83">
        <f>AJ29+AJ32</f>
        <v>37.324000000000005</v>
      </c>
      <c r="AK61" s="414">
        <f>AK29+AK32</f>
        <v>164.816</v>
      </c>
      <c r="AL61" s="48"/>
      <c r="AM61" s="413">
        <f>AM29+AM32</f>
        <v>12.346000000000014</v>
      </c>
      <c r="AN61" s="83">
        <f>AN29+AN32</f>
        <v>28.752000000000002</v>
      </c>
      <c r="AO61" s="83">
        <f>AO29+AO32</f>
        <v>66.50800000000001</v>
      </c>
      <c r="AP61" s="83">
        <f>AP29+AP32</f>
        <v>63.479999999999983</v>
      </c>
      <c r="AQ61" s="414">
        <f>AQ29+AQ32</f>
        <v>171.08600000000001</v>
      </c>
      <c r="AR61" s="48"/>
      <c r="AS61" s="413">
        <f>AS29+AS32</f>
        <v>28.973000000000006</v>
      </c>
      <c r="AT61" s="83">
        <f>AT29+AT32</f>
        <v>37.767999999999994</v>
      </c>
      <c r="AU61" s="83">
        <f>AU29+AU32</f>
        <v>41.876999999999995</v>
      </c>
      <c r="AV61" s="83">
        <f>AV29+AV32</f>
        <v>49.355999999999987</v>
      </c>
      <c r="AW61" s="414">
        <f>AW29+AW32</f>
        <v>157.97399999999999</v>
      </c>
      <c r="AX61" s="48"/>
      <c r="AY61" s="413">
        <f>AY29+AY32</f>
        <v>-7.730000000000004</v>
      </c>
      <c r="AZ61" s="83">
        <f>AZ29+AZ32</f>
        <v>65.932999999999993</v>
      </c>
      <c r="BA61" s="83">
        <f>BA29+BA32</f>
        <v>48.831999999999994</v>
      </c>
      <c r="BB61" s="415">
        <f>BB29+BB32</f>
        <v>35.849000000000018</v>
      </c>
      <c r="BC61" s="414">
        <f>BC29+BC32</f>
        <v>142.88399999999996</v>
      </c>
      <c r="BD61" s="28"/>
      <c r="BE61" s="413">
        <f>BE29+BE32</f>
        <v>30.100999999999999</v>
      </c>
      <c r="BF61" s="416">
        <f>BF29+BF32</f>
        <v>30.035999999999987</v>
      </c>
      <c r="BG61" s="416">
        <f>BG29+BG32</f>
        <v>60.797000000000004</v>
      </c>
      <c r="BH61" s="415">
        <f>BH29+BH32</f>
        <v>53.554999999999978</v>
      </c>
      <c r="BI61" s="414">
        <f>BI29+BI32</f>
        <v>174.48899999999998</v>
      </c>
      <c r="BJ61" s="28"/>
      <c r="BK61" s="413">
        <f>BK29+BK32</f>
        <v>28.266000000000005</v>
      </c>
      <c r="BL61" s="416">
        <f>BL29+BL32</f>
        <v>48.457000000000001</v>
      </c>
      <c r="BM61" s="416">
        <f>BM29+BM32</f>
        <v>71.954999999999984</v>
      </c>
      <c r="BN61" s="1093">
        <f>BN29+BN32</f>
        <v>52.696000000000062</v>
      </c>
      <c r="BO61" s="1094">
        <f>BO29+BO32</f>
        <v>201.37400000000002</v>
      </c>
      <c r="BP61" s="28"/>
      <c r="BQ61" s="413">
        <f>BQ29+BQ32</f>
        <v>39.745000000000005</v>
      </c>
      <c r="BR61" s="416">
        <f>BR29+BR32</f>
        <v>44.344999999999999</v>
      </c>
      <c r="BS61" s="416">
        <f>BS29+BS32</f>
        <v>78.961999999999989</v>
      </c>
      <c r="BT61" s="415">
        <f>BT29+BT32</f>
        <v>56.66700000000003</v>
      </c>
      <c r="BU61" s="414">
        <f>BU29+BU32</f>
        <v>219.71899999999999</v>
      </c>
      <c r="BV61" s="28"/>
      <c r="BW61" s="413">
        <f>BW29+BW32</f>
        <v>30.328000000000003</v>
      </c>
      <c r="BX61" s="416">
        <f>BX29+BX32</f>
        <v>77.59999999999998</v>
      </c>
      <c r="BY61" s="416">
        <f>BY29+BY32</f>
        <v>78.805000000000007</v>
      </c>
      <c r="BZ61" s="415">
        <f>BZ29+BZ32</f>
        <v>80.332999999999998</v>
      </c>
      <c r="CA61" s="414">
        <f>CA29+CA32</f>
        <v>267.06600000000003</v>
      </c>
      <c r="CB61" s="28"/>
      <c r="CC61" s="413">
        <f>CC29+CC32</f>
        <v>44.179999999999993</v>
      </c>
      <c r="CD61" s="416">
        <f>CD29+CD32</f>
        <v>47.429000000000002</v>
      </c>
      <c r="CE61" s="416">
        <f>CE29+CE32</f>
        <v>54.498999999999981</v>
      </c>
      <c r="CF61" s="415">
        <f>CF29+CF32</f>
        <v>50.590000000000018</v>
      </c>
      <c r="CG61" s="414">
        <f>CG29+CG32</f>
        <v>196.69799999999998</v>
      </c>
      <c r="CH61" s="28"/>
      <c r="CI61" s="413">
        <f>CI29+CI32</f>
        <v>45.394515467424284</v>
      </c>
      <c r="CJ61" s="416">
        <f>CJ29+CJ32</f>
        <v>29.32919275766346</v>
      </c>
      <c r="CK61" s="416">
        <f>CK29+CK32</f>
        <v>-4.0318699239582614</v>
      </c>
      <c r="CL61" s="415">
        <f>CL29+CL32</f>
        <v>87.00960281233472</v>
      </c>
      <c r="CM61" s="414">
        <f>CM29+CM32</f>
        <v>157.70144111346417</v>
      </c>
      <c r="CN61" s="28"/>
      <c r="CO61" s="413">
        <f>CO29+CO32</f>
        <v>102.67643291462026</v>
      </c>
      <c r="CP61" s="416">
        <f>CP29+CP32</f>
        <v>54.909168918880226</v>
      </c>
      <c r="CQ61" s="416">
        <f>CQ29+CQ32</f>
        <v>-1.904826250999335</v>
      </c>
      <c r="CR61" s="415">
        <f>CR29+CR32</f>
        <v>94.621348443242383</v>
      </c>
      <c r="CS61" s="414">
        <f>CS29+CS32</f>
        <v>250.30212402574352</v>
      </c>
      <c r="CT61" s="28"/>
      <c r="CU61" s="413">
        <f>CU29+CU32</f>
        <v>137.62996199990127</v>
      </c>
      <c r="CV61" s="416">
        <f>CV29+CV32</f>
        <v>85.253791729316205</v>
      </c>
      <c r="CW61" s="416">
        <f>CW29+CW32</f>
        <v>11.601291378832386</v>
      </c>
      <c r="CX61" s="415">
        <f>CX29+CX32</f>
        <v>124.03721799598245</v>
      </c>
      <c r="CY61" s="414">
        <f>CY29+CY32</f>
        <v>358.52226310403228</v>
      </c>
      <c r="CZ61" s="20"/>
      <c r="DA61" s="236"/>
      <c r="DB61" s="48"/>
    </row>
    <row r="62" spans="1:112" ht="11.25" customHeight="1" x14ac:dyDescent="0.2">
      <c r="A62" s="417" t="s">
        <v>262</v>
      </c>
      <c r="B62" s="48"/>
      <c r="C62" s="19"/>
      <c r="D62" s="28"/>
      <c r="E62" s="28"/>
      <c r="F62" s="28"/>
      <c r="G62" s="6"/>
      <c r="H62" s="48"/>
      <c r="I62" s="153">
        <f>I61/'P&amp;L'!I35</f>
        <v>0.119358626010533</v>
      </c>
      <c r="J62" s="154">
        <f>J61/'P&amp;L'!J35</f>
        <v>0.14878228288505282</v>
      </c>
      <c r="K62" s="154">
        <f>K61/'P&amp;L'!K35</f>
        <v>0.11081720358463537</v>
      </c>
      <c r="L62" s="154">
        <f>L61/'P&amp;L'!L35</f>
        <v>0.13923839290484585</v>
      </c>
      <c r="M62" s="155">
        <f>M61/'P&amp;L'!M35</f>
        <v>0.51613483205923882</v>
      </c>
      <c r="N62" s="48"/>
      <c r="O62" s="153">
        <f>O61/'P&amp;L'!O35</f>
        <v>0.11666163201513023</v>
      </c>
      <c r="P62" s="154">
        <f>P61/'P&amp;L'!P35</f>
        <v>0.11555604863182213</v>
      </c>
      <c r="Q62" s="154">
        <f>Q61/'P&amp;L'!Q35</f>
        <v>0.10393157946083052</v>
      </c>
      <c r="R62" s="154">
        <f>R61/'P&amp;L'!R35</f>
        <v>0.13588055535814664</v>
      </c>
      <c r="S62" s="155">
        <f>S61/'P&amp;L'!S35</f>
        <v>0.47215617814313721</v>
      </c>
      <c r="T62" s="48"/>
      <c r="U62" s="153">
        <f>U61/'P&amp;L'!U35</f>
        <v>9.1812367556770524E-2</v>
      </c>
      <c r="V62" s="154">
        <f>V61/'P&amp;L'!V35</f>
        <v>3.7099590827395494E-2</v>
      </c>
      <c r="W62" s="154">
        <f>W61/'P&amp;L'!W35</f>
        <v>0.10508714639808003</v>
      </c>
      <c r="X62" s="154">
        <f>X61/'P&amp;L'!X35</f>
        <v>5.5838973264533354E-2</v>
      </c>
      <c r="Y62" s="155">
        <f>Y61/'P&amp;L'!Y35</f>
        <v>0.28597002710858771</v>
      </c>
      <c r="Z62" s="48"/>
      <c r="AA62" s="153">
        <f>AA61/'P&amp;L'!AA35</f>
        <v>-1.8846952604740515E-2</v>
      </c>
      <c r="AB62" s="154">
        <f>AB61/'P&amp;L'!AB35</f>
        <v>0.20084681834773083</v>
      </c>
      <c r="AC62" s="154">
        <f>AC61/'P&amp;L'!AC35</f>
        <v>9.8660801564027345E-2</v>
      </c>
      <c r="AD62" s="154">
        <f>AD61/'P&amp;L'!AD35</f>
        <v>0.37597196580858155</v>
      </c>
      <c r="AE62" s="155">
        <f>AE61/'P&amp;L'!AE35</f>
        <v>0.65382675916361088</v>
      </c>
      <c r="AF62" s="48"/>
      <c r="AG62" s="153">
        <f>AG61/'P&amp;L'!AG35</f>
        <v>1.8935068514726754E-2</v>
      </c>
      <c r="AH62" s="154">
        <f>AH61/'P&amp;L'!AH35</f>
        <v>0.29827514292023466</v>
      </c>
      <c r="AI62" s="154">
        <f>AI61/'P&amp;L'!AI35</f>
        <v>0.30175790625780069</v>
      </c>
      <c r="AJ62" s="154">
        <f>AJ61/'P&amp;L'!AJ35</f>
        <v>0.1548598030022654</v>
      </c>
      <c r="AK62" s="155">
        <f>AK61/'P&amp;L'!AK35</f>
        <v>0.77156714042282271</v>
      </c>
      <c r="AL62" s="48"/>
      <c r="AM62" s="153">
        <f>AM61/'P&amp;L'!AM35</f>
        <v>5.1032555678642941E-2</v>
      </c>
      <c r="AN62" s="154">
        <f>AN61/'P&amp;L'!AN35</f>
        <v>0.11898889238358525</v>
      </c>
      <c r="AO62" s="154">
        <f>AO61/'P&amp;L'!AO35</f>
        <v>0.27830293291823066</v>
      </c>
      <c r="AP62" s="154">
        <f>AP61/'P&amp;L'!AP35</f>
        <v>0.26396876286473464</v>
      </c>
      <c r="AQ62" s="155">
        <f>AQ61/'P&amp;L'!AQ35</f>
        <v>0.71142658732633912</v>
      </c>
      <c r="AR62" s="48"/>
      <c r="AS62" s="153">
        <f>AS61/'P&amp;L'!AS35</f>
        <v>0.12052899135542597</v>
      </c>
      <c r="AT62" s="154">
        <f>AT61/'P&amp;L'!AT35</f>
        <v>0.15672474821875398</v>
      </c>
      <c r="AU62" s="154">
        <f>AU61/'P&amp;L'!AU35</f>
        <v>0.17578611996121343</v>
      </c>
      <c r="AV62" s="154">
        <f>AV61/'P&amp;L'!AV35</f>
        <v>0.20854442280146526</v>
      </c>
      <c r="AW62" s="155">
        <f>AW61/'P&amp;L'!AW35</f>
        <v>0.66080212830037144</v>
      </c>
      <c r="AX62" s="48"/>
      <c r="AY62" s="153">
        <f>AY61/'P&amp;L'!AY35</f>
        <v>-3.2358666303870083E-2</v>
      </c>
      <c r="AZ62" s="154">
        <f>AZ61/'P&amp;L'!AZ35</f>
        <v>0.27445666878962327</v>
      </c>
      <c r="BA62" s="154">
        <f>BA61/'P&amp;L'!BA35</f>
        <v>0.20170344240762</v>
      </c>
      <c r="BB62" s="156">
        <f>BB61/'P&amp;L'!BB35</f>
        <v>0.14828403492734507</v>
      </c>
      <c r="BC62" s="155">
        <f>BC61/'P&amp;L'!BC35</f>
        <v>0.59350518804050723</v>
      </c>
      <c r="BD62" s="28"/>
      <c r="BE62" s="153">
        <f>BE61/'P&amp;L'!BE35</f>
        <v>0.12466763305032098</v>
      </c>
      <c r="BF62" s="154">
        <f>BF61/'P&amp;L'!BF35</f>
        <v>0.12491006857660904</v>
      </c>
      <c r="BG62" s="154">
        <f>BG61/'P&amp;L'!BG35</f>
        <v>0.25080753284791985</v>
      </c>
      <c r="BH62" s="156">
        <f>BH61/'P&amp;L'!BH35</f>
        <v>0.21914461785237857</v>
      </c>
      <c r="BI62" s="155">
        <f>BI61/'P&amp;L'!BI35</f>
        <v>0.72050789718178987</v>
      </c>
      <c r="BJ62" s="28"/>
      <c r="BK62" s="153">
        <f>BK61/'P&amp;L'!BK35</f>
        <v>0.11634684250821173</v>
      </c>
      <c r="BL62" s="154">
        <f>BL61/'P&amp;L'!BL35</f>
        <v>0.20136718750000002</v>
      </c>
      <c r="BM62" s="154">
        <f>BM61/'P&amp;L'!BM35</f>
        <v>0.29804040144639987</v>
      </c>
      <c r="BN62" s="1095">
        <f>BN61/'P&amp;L'!BN35</f>
        <v>0.21853046803075443</v>
      </c>
      <c r="BO62" s="155">
        <f>BO61/'P&amp;L'!BO35</f>
        <v>0.83371560582599846</v>
      </c>
      <c r="BP62" s="28"/>
      <c r="BQ62" s="153">
        <f>BQ61/'P&amp;L'!BQ35</f>
        <v>0.16634718408893057</v>
      </c>
      <c r="BR62" s="154">
        <f>BR61/'P&amp;L'!BR35</f>
        <v>0.18590719103855652</v>
      </c>
      <c r="BS62" s="154">
        <f>BS61/'P&amp;L'!BS35</f>
        <v>0.33099568660163731</v>
      </c>
      <c r="BT62" s="156">
        <f>BT61/'P&amp;L'!BT35</f>
        <v>0.23751681818753392</v>
      </c>
      <c r="BU62" s="155">
        <f>BU61/'P&amp;L'!BU35</f>
        <v>0.92068620179595806</v>
      </c>
      <c r="BV62" s="28"/>
      <c r="BW62" s="153">
        <f>BW61/'P&amp;L'!BW35</f>
        <v>0.12723451206772865</v>
      </c>
      <c r="BX62" s="154">
        <f>BX61/'P&amp;L'!BX35</f>
        <v>0.32513921069942631</v>
      </c>
      <c r="BY62" s="154">
        <f>BY61/'P&amp;L'!BY35</f>
        <v>0.32931879630751748</v>
      </c>
      <c r="BZ62" s="156">
        <f>BZ61/'P&amp;L'!BZ35</f>
        <v>0.33521247830150885</v>
      </c>
      <c r="CA62" s="155">
        <f>CA61/'P&amp;L'!CA35</f>
        <v>1.1168484760239297</v>
      </c>
      <c r="CB62" s="28"/>
      <c r="CC62" s="153">
        <f>CC61/'P&amp;L'!CC35</f>
        <v>0.18809524823208346</v>
      </c>
      <c r="CD62" s="154">
        <f>CD61/'P&amp;L'!CD35</f>
        <v>0.20382036957455954</v>
      </c>
      <c r="CE62" s="154">
        <f>CE61/'P&amp;L'!CE35</f>
        <v>0.23418170255370155</v>
      </c>
      <c r="CF62" s="156">
        <f>CF61/'P&amp;L'!CF35</f>
        <v>0.21829463519035525</v>
      </c>
      <c r="CG62" s="155">
        <f>CG61/'P&amp;L'!CG35</f>
        <v>0.84509078342801236</v>
      </c>
      <c r="CH62" s="28"/>
      <c r="CI62" s="153">
        <f>CI61/'P&amp;L'!CI35</f>
        <v>0.19592395252541012</v>
      </c>
      <c r="CJ62" s="154">
        <f>CJ61/'P&amp;L'!CJ35</f>
        <v>0.12743260469905071</v>
      </c>
      <c r="CK62" s="154">
        <f>CK61/'P&amp;L'!CK35</f>
        <v>-1.7633748712472211E-2</v>
      </c>
      <c r="CL62" s="156">
        <f>CL61/'P&amp;L'!CL35</f>
        <v>0.38307287942834667</v>
      </c>
      <c r="CM62" s="155">
        <f>CM61/'P&amp;L'!CM35</f>
        <v>0.68839843605044759</v>
      </c>
      <c r="CN62" s="28"/>
      <c r="CO62" s="153">
        <f>CO61/'P&amp;L'!CO35</f>
        <v>0.4553004384272803</v>
      </c>
      <c r="CP62" s="154">
        <f>CP61/'P&amp;L'!CP35</f>
        <v>0.24507891463597631</v>
      </c>
      <c r="CQ62" s="154">
        <f>CQ61/'P&amp;L'!CQ35</f>
        <v>-8.5568130395352257E-3</v>
      </c>
      <c r="CR62" s="156">
        <f>CR61/'P&amp;L'!CR35</f>
        <v>0.42781794893150765</v>
      </c>
      <c r="CS62" s="155">
        <f>CS61/'P&amp;L'!CS35</f>
        <v>1.1220583790785514</v>
      </c>
      <c r="CT62" s="28"/>
      <c r="CU62" s="153">
        <f>CU61/'P&amp;L'!CU35</f>
        <v>0.62665339894399241</v>
      </c>
      <c r="CV62" s="154">
        <f>CV61/'P&amp;L'!CV35</f>
        <v>0.39066012965494834</v>
      </c>
      <c r="CW62" s="154">
        <f>CW61/'P&amp;L'!CW35</f>
        <v>5.3496450278695977E-2</v>
      </c>
      <c r="CX62" s="156">
        <f>CX61/'P&amp;L'!CX35</f>
        <v>0.57559988464711298</v>
      </c>
      <c r="CY62" s="155">
        <f>CY61/'P&amp;L'!CY35</f>
        <v>1.6496487401858539</v>
      </c>
      <c r="CZ62" s="20"/>
      <c r="DA62" s="20"/>
      <c r="DB62" s="48"/>
    </row>
    <row r="63" spans="1:112" ht="11.25" customHeight="1" x14ac:dyDescent="0.2">
      <c r="A63" s="2067" t="s">
        <v>194</v>
      </c>
      <c r="B63" s="48"/>
      <c r="C63" s="19"/>
      <c r="D63" s="28"/>
      <c r="E63" s="28"/>
      <c r="F63" s="28"/>
      <c r="G63" s="6"/>
      <c r="H63" s="48"/>
      <c r="I63" s="153"/>
      <c r="J63" s="154"/>
      <c r="K63" s="154"/>
      <c r="L63" s="154"/>
      <c r="M63" s="155"/>
      <c r="N63" s="48"/>
      <c r="O63" s="153"/>
      <c r="P63" s="154"/>
      <c r="Q63" s="154"/>
      <c r="R63" s="154"/>
      <c r="S63" s="155"/>
      <c r="T63" s="48"/>
      <c r="U63" s="153"/>
      <c r="V63" s="154"/>
      <c r="W63" s="154"/>
      <c r="X63" s="154"/>
      <c r="Y63" s="155"/>
      <c r="Z63" s="48"/>
      <c r="AA63" s="153"/>
      <c r="AB63" s="154"/>
      <c r="AC63" s="154"/>
      <c r="AD63" s="154"/>
      <c r="AE63" s="155"/>
      <c r="AF63" s="48"/>
      <c r="AG63" s="153"/>
      <c r="AH63" s="154"/>
      <c r="AI63" s="154"/>
      <c r="AJ63" s="154"/>
      <c r="AK63" s="155"/>
      <c r="AL63" s="48"/>
      <c r="AM63" s="153"/>
      <c r="AN63" s="154"/>
      <c r="AO63" s="154"/>
      <c r="AP63" s="154"/>
      <c r="AQ63" s="155"/>
      <c r="AR63" s="48"/>
      <c r="AS63" s="153"/>
      <c r="AT63" s="154"/>
      <c r="AU63" s="154"/>
      <c r="AV63" s="154"/>
      <c r="AW63" s="155"/>
      <c r="AX63" s="48"/>
      <c r="AY63" s="153"/>
      <c r="AZ63" s="154"/>
      <c r="BA63" s="154"/>
      <c r="BB63" s="154"/>
      <c r="BC63" s="155"/>
      <c r="BD63" s="28"/>
      <c r="BE63" s="153"/>
      <c r="BF63" s="154"/>
      <c r="BG63" s="154"/>
      <c r="BH63" s="154"/>
      <c r="BI63" s="2068">
        <f t="shared" ref="BI63" si="60">+BI62/BC62-1</f>
        <v>0.21398752984887914</v>
      </c>
      <c r="BJ63" s="28"/>
      <c r="BK63" s="153"/>
      <c r="BL63" s="154"/>
      <c r="BM63" s="154"/>
      <c r="BN63" s="154"/>
      <c r="BO63" s="2068">
        <f t="shared" ref="BO63" si="61">+BO62/BI62-1</f>
        <v>0.15712209274459266</v>
      </c>
      <c r="BP63" s="28"/>
      <c r="BQ63" s="153"/>
      <c r="BR63" s="154"/>
      <c r="BS63" s="154"/>
      <c r="BT63" s="154"/>
      <c r="BU63" s="2068">
        <f t="shared" ref="BU63" si="62">+BU62/BO62-1</f>
        <v>0.10431686220362169</v>
      </c>
      <c r="BV63" s="28"/>
      <c r="BW63" s="153"/>
      <c r="BX63" s="154"/>
      <c r="BY63" s="154"/>
      <c r="BZ63" s="154"/>
      <c r="CA63" s="2068">
        <f t="shared" ref="CA63" si="63">+CA62/BU62-1</f>
        <v>0.2130609471992988</v>
      </c>
      <c r="CB63" s="28"/>
      <c r="CC63" s="153"/>
      <c r="CD63" s="154"/>
      <c r="CE63" s="154"/>
      <c r="CF63" s="154"/>
      <c r="CG63" s="2068">
        <f t="shared" ref="CG63" si="64">+CG62/CA62-1</f>
        <v>-0.2433254809671197</v>
      </c>
      <c r="CH63" s="28"/>
      <c r="CI63" s="153"/>
      <c r="CJ63" s="154"/>
      <c r="CK63" s="154"/>
      <c r="CL63" s="154"/>
      <c r="CM63" s="2068">
        <f t="shared" ref="CM63" si="65">+CM62/CG62-1</f>
        <v>-0.18541481039700902</v>
      </c>
      <c r="CN63" s="28"/>
      <c r="CO63" s="153"/>
      <c r="CP63" s="154"/>
      <c r="CQ63" s="154"/>
      <c r="CR63" s="154"/>
      <c r="CS63" s="2068">
        <f>+CS62/CM62-1</f>
        <v>0.62995486380844157</v>
      </c>
      <c r="CT63" s="28"/>
      <c r="CU63" s="153"/>
      <c r="CV63" s="154"/>
      <c r="CW63" s="154"/>
      <c r="CX63" s="154"/>
      <c r="CY63" s="2068">
        <f>+CY62/CS62-1</f>
        <v>0.47019867321036046</v>
      </c>
      <c r="CZ63" s="20"/>
      <c r="DA63" s="20"/>
      <c r="DB63" s="48"/>
    </row>
    <row r="64" spans="1:112" ht="11.25" customHeight="1" x14ac:dyDescent="0.2">
      <c r="A64" s="417" t="s">
        <v>239</v>
      </c>
      <c r="B64" s="48"/>
      <c r="C64" s="19"/>
      <c r="D64" s="28"/>
      <c r="E64" s="28"/>
      <c r="F64" s="28"/>
      <c r="G64" s="6"/>
      <c r="H64" s="48"/>
      <c r="I64" s="958">
        <f>+I61/'P&amp;L'!I28</f>
        <v>1.2755233725265269</v>
      </c>
      <c r="J64" s="959">
        <f>+J61/'P&amp;L'!J28</f>
        <v>1.3835291160488934</v>
      </c>
      <c r="K64" s="959">
        <f>+K61/'P&amp;L'!K28</f>
        <v>0.93162430983790223</v>
      </c>
      <c r="L64" s="959">
        <f>+L61/'P&amp;L'!L28</f>
        <v>1.0376630011598986</v>
      </c>
      <c r="M64" s="960">
        <f>+M61/'P&amp;L'!M28</f>
        <v>1.1404148156082445</v>
      </c>
      <c r="N64" s="48"/>
      <c r="O64" s="958">
        <f>+O61/'P&amp;L'!O28</f>
        <v>0.92381695267810693</v>
      </c>
      <c r="P64" s="959">
        <f>+P61/'P&amp;L'!P28</f>
        <v>0.89186058225042786</v>
      </c>
      <c r="Q64" s="959">
        <f>+Q61/'P&amp;L'!Q28</f>
        <v>0.73108244121145527</v>
      </c>
      <c r="R64" s="959">
        <f>+R61/'P&amp;L'!R28</f>
        <v>0.90059884342075169</v>
      </c>
      <c r="S64" s="960">
        <f>+S61/'P&amp;L'!S28</f>
        <v>0.85988135763123363</v>
      </c>
      <c r="T64" s="48"/>
      <c r="U64" s="958">
        <f>+U61/'P&amp;L'!U28</f>
        <v>0.63576716761980823</v>
      </c>
      <c r="V64" s="959">
        <f>+V61/'P&amp;L'!V28</f>
        <v>0.22550652771859175</v>
      </c>
      <c r="W64" s="959">
        <f>+W61/'P&amp;L'!W28</f>
        <v>0.60173146240988695</v>
      </c>
      <c r="X64" s="959">
        <f>+X61/'P&amp;L'!X28</f>
        <v>0.35723192019949968</v>
      </c>
      <c r="Y64" s="960">
        <f>+Y61/'P&amp;L'!Y28</f>
        <v>0.45120245332759429</v>
      </c>
      <c r="Z64" s="48"/>
      <c r="AA64" s="958">
        <f>+AA61/'P&amp;L'!AA28</f>
        <v>-0.1046760349822654</v>
      </c>
      <c r="AB64" s="959">
        <f>+AB61/'P&amp;L'!AB28</f>
        <v>1.0208781694495974</v>
      </c>
      <c r="AC64" s="959">
        <f>+AC61/'P&amp;L'!AC28</f>
        <v>0.47584922561938653</v>
      </c>
      <c r="AD64" s="959">
        <f>+AD61/'P&amp;L'!AD28</f>
        <v>1.7459489277587512</v>
      </c>
      <c r="AE64" s="960">
        <f>+AE61/'P&amp;L'!AE28</f>
        <v>0.8178900824320523</v>
      </c>
      <c r="AF64" s="48"/>
      <c r="AG64" s="958">
        <f>+AG61/'P&amp;L'!AG28</f>
        <v>9.5281733746130082E-2</v>
      </c>
      <c r="AH64" s="959">
        <f>+AH61/'P&amp;L'!AH28</f>
        <v>1.2595370811662083</v>
      </c>
      <c r="AI64" s="959">
        <f>+AI61/'P&amp;L'!AI28</f>
        <v>1.1748182480796905</v>
      </c>
      <c r="AJ64" s="959">
        <f>+AJ61/'P&amp;L'!AJ28</f>
        <v>0.64971190836771209</v>
      </c>
      <c r="AK64" s="960">
        <f>+AK61/'P&amp;L'!AK28</f>
        <v>0.82578110908471425</v>
      </c>
      <c r="AL64" s="48"/>
      <c r="AM64" s="958">
        <f>+AM61/'P&amp;L'!AM28</f>
        <v>0.25006076318561177</v>
      </c>
      <c r="AN64" s="959">
        <f>+AN61/'P&amp;L'!AN28</f>
        <v>0.54703196347031968</v>
      </c>
      <c r="AO64" s="959">
        <f>+AO61/'P&amp;L'!AO28</f>
        <v>1.1317043288864692</v>
      </c>
      <c r="AP64" s="959">
        <f>+AP61/'P&amp;L'!AP28</f>
        <v>1.023821427995419</v>
      </c>
      <c r="AQ64" s="960">
        <f>+AQ61/'P&amp;L'!AQ28</f>
        <v>0.76822494533077668</v>
      </c>
      <c r="AR64" s="48"/>
      <c r="AS64" s="958">
        <f>+AS61/'P&amp;L'!AS28</f>
        <v>0.58524219286551182</v>
      </c>
      <c r="AT64" s="959">
        <f>+AT61/'P&amp;L'!AT28</f>
        <v>0.68714067389564037</v>
      </c>
      <c r="AU64" s="959">
        <f>+AU61/'P&amp;L'!AU28</f>
        <v>0.74268435427233703</v>
      </c>
      <c r="AV64" s="959">
        <f>+AV61/'P&amp;L'!AV28</f>
        <v>0.67034280436790217</v>
      </c>
      <c r="AW64" s="960">
        <f>+AW61/'P&amp;L'!AW28</f>
        <v>0.67370908036369204</v>
      </c>
      <c r="AX64" s="48"/>
      <c r="AY64" s="958">
        <f>+AY61/'P&amp;L'!AY28</f>
        <v>-0.14117432197972796</v>
      </c>
      <c r="AZ64" s="959">
        <f>+AZ61/'P&amp;L'!AZ28</f>
        <v>1.0840142709172511</v>
      </c>
      <c r="BA64" s="959">
        <f>+BA61/'P&amp;L'!BA28</f>
        <v>0.78350581628559979</v>
      </c>
      <c r="BB64" s="959">
        <f>+BB61/'P&amp;L'!BB28</f>
        <v>0.43285438299927587</v>
      </c>
      <c r="BC64" s="960">
        <f>+BC61/'P&amp;L'!BC28</f>
        <v>0.54802990146630737</v>
      </c>
      <c r="BD64" s="28"/>
      <c r="BE64" s="958">
        <f>+BE61/'P&amp;L'!BE28</f>
        <v>0.5504333833156565</v>
      </c>
      <c r="BF64" s="959">
        <f>+BF61/'P&amp;L'!BF28</f>
        <v>0.46750093388121039</v>
      </c>
      <c r="BG64" s="959">
        <f>+BG61/'P&amp;L'!BG28</f>
        <v>0.88889701152114242</v>
      </c>
      <c r="BH64" s="959">
        <f>+BH61/'P&amp;L'!BH28</f>
        <v>0.61268032627472524</v>
      </c>
      <c r="BI64" s="960">
        <f>+BI61/'P&amp;L'!BI28</f>
        <v>0.63510360666955423</v>
      </c>
      <c r="BJ64" s="28"/>
      <c r="BK64" s="958">
        <f>+BK61/'P&amp;L'!BK28</f>
        <v>0.52654521068514615</v>
      </c>
      <c r="BL64" s="959">
        <f>+BL61/'P&amp;L'!BL28</f>
        <v>0.79723926885046337</v>
      </c>
      <c r="BM64" s="959">
        <f>+BM61/'P&amp;L'!BM28</f>
        <v>1.0901116548244882</v>
      </c>
      <c r="BN64" s="1096">
        <f>+BN61/'P&amp;L'!BN28</f>
        <v>0.87195949300063069</v>
      </c>
      <c r="BO64" s="960">
        <f>+BO61/'P&amp;L'!BO28</f>
        <v>0.83590973997941098</v>
      </c>
      <c r="BP64" s="959"/>
      <c r="BQ64" s="958">
        <f>+BQ61/'P&amp;L'!BQ28</f>
        <v>0.771373119844736</v>
      </c>
      <c r="BR64" s="959">
        <f>+BR61/'P&amp;L'!BR28</f>
        <v>0.72724141889564875</v>
      </c>
      <c r="BS64" s="959">
        <f>+BS61/'P&amp;L'!BS28</f>
        <v>1.251061537486533</v>
      </c>
      <c r="BT64" s="959">
        <f>+BT61/'P&amp;L'!BT28</f>
        <v>0.7435638367668288</v>
      </c>
      <c r="BU64" s="960">
        <f>+BU61/'P&amp;L'!BU28</f>
        <v>0.87249630700319258</v>
      </c>
      <c r="BV64" s="28"/>
      <c r="BW64" s="958">
        <f>+BW61/'P&amp;L'!BW28</f>
        <v>0.67204396383619946</v>
      </c>
      <c r="BX64" s="959">
        <f>+BX61/'P&amp;L'!BX28</f>
        <v>1.3632211369545357</v>
      </c>
      <c r="BY64" s="959">
        <f>+BY61/'P&amp;L'!BY28</f>
        <v>1.1551428445786491</v>
      </c>
      <c r="BZ64" s="959">
        <f>+BZ61/'P&amp;L'!BZ28</f>
        <v>0.85905702950391916</v>
      </c>
      <c r="CA64" s="960">
        <f>+CA61/'P&amp;L'!CA28</f>
        <v>1.0124343217608214</v>
      </c>
      <c r="CB64" s="28"/>
      <c r="CC64" s="958">
        <f>+CC61/'P&amp;L'!CC28</f>
        <v>0.87035322393175785</v>
      </c>
      <c r="CD64" s="959">
        <f>+CD61/'P&amp;L'!CD28</f>
        <v>0.69086115480976518</v>
      </c>
      <c r="CE64" s="959">
        <f>+CE61/'P&amp;L'!CE28</f>
        <v>0.72164033844890785</v>
      </c>
      <c r="CF64" s="959">
        <f>+CF61/'P&amp;L'!CF28</f>
        <v>0.50516246280430577</v>
      </c>
      <c r="CG64" s="960">
        <f>+CG61/'P&amp;L'!CG28</f>
        <v>0.66659211061407087</v>
      </c>
      <c r="CH64" s="28"/>
      <c r="CI64" s="958">
        <f>+CI61/'P&amp;L'!CI28</f>
        <v>0.83569778779931769</v>
      </c>
      <c r="CJ64" s="959">
        <f>+CJ61/'P&amp;L'!CJ28</f>
        <v>0.39100023814667889</v>
      </c>
      <c r="CK64" s="959">
        <f>+CK61/'P&amp;L'!CK28</f>
        <v>-5.2116270552772848E-2</v>
      </c>
      <c r="CL64" s="959">
        <f>+CL61/'P&amp;L'!CL28</f>
        <v>0.91937136906285222</v>
      </c>
      <c r="CM64" s="960">
        <f>+CM61/'P&amp;L'!CM28</f>
        <v>0.52334559262043734</v>
      </c>
      <c r="CN64" s="28"/>
      <c r="CO64" s="958">
        <f>+CO61/'P&amp;L'!CO28</f>
        <v>1.488791194271945</v>
      </c>
      <c r="CP64" s="959">
        <f>+CP61/'P&amp;L'!CP28</f>
        <v>0.65968349168776452</v>
      </c>
      <c r="CQ64" s="959">
        <f>+CQ61/'P&amp;L'!CQ28</f>
        <v>-2.1498169624093812E-2</v>
      </c>
      <c r="CR64" s="959">
        <f>+CR61/'P&amp;L'!CR28</f>
        <v>0.8821220552707586</v>
      </c>
      <c r="CS64" s="960">
        <f>+CS61/'P&amp;L'!CS28</f>
        <v>0.71911092931370302</v>
      </c>
      <c r="CT64" s="28"/>
      <c r="CU64" s="958">
        <f>+CU61/'P&amp;L'!CU28</f>
        <v>1.4848918401426545</v>
      </c>
      <c r="CV64" s="959">
        <f>+CV61/'P&amp;L'!CV28</f>
        <v>0.77565467564890411</v>
      </c>
      <c r="CW64" s="959">
        <f>+CW61/'P&amp;L'!CW28</f>
        <v>9.9832438012226604E-2</v>
      </c>
      <c r="CX64" s="959">
        <f>+CX61/'P&amp;L'!CX28</f>
        <v>0.9071993695109839</v>
      </c>
      <c r="CY64" s="960">
        <f>+CY61/'P&amp;L'!CY28</f>
        <v>0.7870408508355986</v>
      </c>
      <c r="CZ64" s="20"/>
      <c r="DA64" s="20"/>
      <c r="DB64" s="48"/>
    </row>
    <row r="65" spans="1:106" ht="11.25" customHeight="1" x14ac:dyDescent="0.2">
      <c r="A65" s="418" t="s">
        <v>263</v>
      </c>
      <c r="B65" s="48"/>
      <c r="C65" s="19"/>
      <c r="D65" s="28"/>
      <c r="E65" s="28"/>
      <c r="F65" s="28"/>
      <c r="G65" s="6"/>
      <c r="H65" s="48"/>
      <c r="I65" s="100">
        <f>IF(ISERROR(I62*4/I66),"NM",(I62*4/I66))</f>
        <v>4.0895184506444013E-2</v>
      </c>
      <c r="J65" s="80">
        <f>IF(ISERROR(J62*4/J66),"NM",(J62*4/J66))</f>
        <v>4.8418928259285794E-2</v>
      </c>
      <c r="K65" s="80">
        <f>IF(ISERROR(K62*4/K66),"NM",(K62*4/K66))</f>
        <v>3.4277642235253689E-2</v>
      </c>
      <c r="L65" s="80">
        <f>IF(ISERROR(L62*4/L66),"NM",(L62*4/L66))</f>
        <v>4.7023608559107706E-2</v>
      </c>
      <c r="M65" s="101">
        <f>IF(ISERROR(M62/M66),"NM",M62/M66)</f>
        <v>4.2330919090243425E-2</v>
      </c>
      <c r="N65" s="48"/>
      <c r="O65" s="100">
        <f>IF(ISERROR(O62*4/O66),"NM",(O62*4/O66))</f>
        <v>3.4767455850936872E-2</v>
      </c>
      <c r="P65" s="80">
        <f>IF(ISERROR(P62*4/P66),"NM",(P62*4/P66))</f>
        <v>3.2771418283738134E-2</v>
      </c>
      <c r="Q65" s="80">
        <f>IF(ISERROR(Q62*4/Q66),"NM",(Q62*4/Q66))</f>
        <v>2.865102228158363E-2</v>
      </c>
      <c r="R65" s="80">
        <f>IF(ISERROR(R62*4/R66),"NM",(R62*4/R66))</f>
        <v>3.5471778923429009E-2</v>
      </c>
      <c r="S65" s="101">
        <f>IF(ISERROR(S62/S66),"NM",S62/S66)</f>
        <v>3.2917941346985113E-2</v>
      </c>
      <c r="T65" s="48"/>
      <c r="U65" s="100">
        <f>IF(ISERROR(U62*4/U66),"NM",(U62*4/U66))</f>
        <v>2.2124343976765052E-2</v>
      </c>
      <c r="V65" s="80">
        <f>IF(ISERROR(V62*4/V66),"NM",(V62*4/V66))</f>
        <v>8.5439981708481626E-3</v>
      </c>
      <c r="W65" s="80">
        <f>IF(ISERROR(W62*4/W66),"NM",(W62*4/W66))</f>
        <v>2.4102126666615823E-2</v>
      </c>
      <c r="X65" s="80">
        <f>IF(ISERROR(X62*4/X66),"NM",(X62*4/X66))</f>
        <v>1.0440167146534302E-2</v>
      </c>
      <c r="Y65" s="101">
        <f>IF(ISERROR(Y62/Y66),"NM",Y62/Y66)</f>
        <v>1.5690181110048475E-2</v>
      </c>
      <c r="Z65" s="48"/>
      <c r="AA65" s="100">
        <f>IF(ISERROR(AA62*4/AA66),"NM",(AA62*4/AA66))</f>
        <v>-3.6298936313374154E-3</v>
      </c>
      <c r="AB65" s="80">
        <f>IF(ISERROR(AB62*4/AB66),"NM",(AB62*4/AB66))</f>
        <v>3.8664194285290263E-2</v>
      </c>
      <c r="AC65" s="80">
        <f>IF(ISERROR(AC62*4/AC66),"NM",(AC62*4/AC66))</f>
        <v>1.9513252686420842E-2</v>
      </c>
      <c r="AD65" s="80">
        <f>IF(ISERROR(AD62*4/AD66),"NM",(AD62*4/AD66))</f>
        <v>9.4865702366676657E-2</v>
      </c>
      <c r="AE65" s="101">
        <f>IF(ISERROR(AE62/AE66),"NM",AE62/AE66)</f>
        <v>3.3719905367981751E-2</v>
      </c>
      <c r="AF65" s="48"/>
      <c r="AG65" s="100">
        <f>IF(ISERROR(AG62*4/AG66),"NM",(AG62*4/AG66))</f>
        <v>4.5455208113480694E-3</v>
      </c>
      <c r="AH65" s="80">
        <f>IF(ISERROR(AH62*4/AH66),"NM",(AH62*4/AH66))</f>
        <v>7.0940831425242837E-2</v>
      </c>
      <c r="AI65" s="80">
        <f>IF(ISERROR(AI62*4/AI66),"NM",(AI62*4/AI66))</f>
        <v>6.0448412004314236E-2</v>
      </c>
      <c r="AJ65" s="80">
        <f>IF(ISERROR(AJ62*4/AJ66),"NM",(AJ62*4/AJ66))</f>
        <v>2.8415669684257995E-2</v>
      </c>
      <c r="AK65" s="101">
        <f>IF(ISERROR(AK62/AK66),"NM",AK62/AK66)</f>
        <v>4.0941695862736084E-2</v>
      </c>
      <c r="AL65" s="48"/>
      <c r="AM65" s="100">
        <f>IF(ISERROR(AM62*4/AM66),"NM",(AM62*4/AM66))</f>
        <v>9.1429697820952921E-3</v>
      </c>
      <c r="AN65" s="80">
        <f>IF(ISERROR(AN62*4/AN66),"NM",(AN62*4/AN66))</f>
        <v>2.1891809534995192E-2</v>
      </c>
      <c r="AO65" s="80">
        <f>IF(ISERROR(AO62*4/AO66),"NM",(AO62*4/AO66))</f>
        <v>5.9273019369177338E-2</v>
      </c>
      <c r="AP65" s="80">
        <f>IF(ISERROR(AP62*4/AP66),"NM",(AP62*4/AP66))</f>
        <v>5.6276777604439956E-2</v>
      </c>
      <c r="AQ65" s="101">
        <f>IF(ISERROR(AQ62/AQ66),"NM",AQ62/AQ66)</f>
        <v>3.4917436804111281E-2</v>
      </c>
      <c r="AR65" s="48"/>
      <c r="AS65" s="100">
        <f>IF(ISERROR(AS62*4/AS66),"NM",(AS62*4/AS66))</f>
        <v>2.4644456448587274E-2</v>
      </c>
      <c r="AT65" s="80">
        <f>IF(ISERROR(AT62*4/AT66),"NM",(AT62*4/AT66))</f>
        <v>3.131749436694907E-2</v>
      </c>
      <c r="AU65" s="80">
        <f>IF(ISERROR(AU62*4/AU66),"NM",(AU62*4/AU66))</f>
        <v>4.4509644496581506E-2</v>
      </c>
      <c r="AV65" s="80">
        <f>IF(ISERROR(AV62*4/AV66),"NM",(AV62*4/AV66))</f>
        <v>6.0645415572945185E-2</v>
      </c>
      <c r="AW65" s="101">
        <f>IF(ISERROR(AW62/AW66),"NM",AW62/AW66)</f>
        <v>3.8266774035125517E-2</v>
      </c>
      <c r="AX65" s="48"/>
      <c r="AY65" s="100">
        <f>IF(ISERROR(AY62*4/AY66),"NM",(AY62*4/AY66))</f>
        <v>-8.4282851229064461E-3</v>
      </c>
      <c r="AZ65" s="80">
        <f>IF(ISERROR(AZ62*4/AZ66),"NM",(AZ62*4/AZ66))</f>
        <v>6.742915952204849E-2</v>
      </c>
      <c r="BA65" s="80">
        <f>IF(ISERROR(BA62*4/BA66),"NM",(BA62*4/BA66))</f>
        <v>4.5647395753415428E-2</v>
      </c>
      <c r="BB65" s="419">
        <f>IF(ISERROR(BB62*4/BB66),"NM",(BB62*4/BB66))</f>
        <v>3.3558078857984251E-2</v>
      </c>
      <c r="BC65" s="101">
        <f>IF(ISERROR(BC62/BC66),"NM",BC62/BC66)</f>
        <v>3.5439392628304603E-2</v>
      </c>
      <c r="BD65" s="28"/>
      <c r="BE65" s="100">
        <f>IF(ISERROR(BE62*4/BE66),"NM",(BE62*4/BE66))</f>
        <v>2.4410738444443959E-2</v>
      </c>
      <c r="BF65" s="80">
        <f>IF(ISERROR(BF62*4/BF66),"NM",(BF62*4/BF66))</f>
        <v>2.5595310222222833E-2</v>
      </c>
      <c r="BG65" s="80">
        <f>IF(ISERROR(BG62*4/BG66),"NM",(BG62*4/BG66))</f>
        <v>4.8097103545794842E-2</v>
      </c>
      <c r="BH65" s="419">
        <f>IF(ISERROR(BH62*4/BH66),"NM",(BH62*4/BH66))</f>
        <v>3.8871998322662207E-2</v>
      </c>
      <c r="BI65" s="101">
        <f>IF(ISERROR(BI62/BI66),"NM",BI62/BI66)</f>
        <v>3.4556733677783683E-2</v>
      </c>
      <c r="BJ65" s="28"/>
      <c r="BK65" s="100">
        <f>IF(ISERROR(BK62*4/BK66),"NM",(BK62*4/BK66))</f>
        <v>2.0757688226264358E-2</v>
      </c>
      <c r="BL65" s="80">
        <f>IF(ISERROR(BL62*4/BL66),"NM",(BL62*4/BL66))</f>
        <v>3.6051683937067654E-2</v>
      </c>
      <c r="BM65" s="80">
        <f>IF(ISERROR(BM62*4/BM66),"NM",(BM62*4/BM66))</f>
        <v>4.9387411087065361E-2</v>
      </c>
      <c r="BN65" s="1097">
        <f>IF(ISERROR(BN62*4/BN66),"NM",(BN62*4/BN66))</f>
        <v>3.770623907878029E-2</v>
      </c>
      <c r="BO65" s="1098">
        <f>IF(ISERROR(BO62/BO66),"NM",BO62/BO66)</f>
        <v>3.1272153256789142E-2</v>
      </c>
      <c r="BP65" s="28"/>
      <c r="BQ65" s="100">
        <f>IF(ISERROR(BQ62*4/BQ66),"NM",(BQ62*4/BQ66))</f>
        <v>2.7652754670144174E-2</v>
      </c>
      <c r="BR65" s="80">
        <f>IF(ISERROR(BR62*4/BR66),"NM",(BR62*4/BR66))</f>
        <v>3.0008749940666907E-2</v>
      </c>
      <c r="BS65" s="80">
        <f>IF(ISERROR(BS62*4/BS66),"NM",(BS62*4/BS66))</f>
        <v>4.9484854162258028E-2</v>
      </c>
      <c r="BT65" s="419">
        <f>IF(ISERROR(BT62*4/BT66),"NM",(BT62*4/BT66))</f>
        <v>3.6507809841635507E-2</v>
      </c>
      <c r="BU65" s="101">
        <f>IF(ISERROR(BU62/BU66),"NM",BU62/BU66)</f>
        <v>3.6213428802322166E-2</v>
      </c>
      <c r="BV65" s="28"/>
      <c r="BW65" s="100">
        <f>IF(ISERROR(BW62*4/BW66),"NM",(BW62*4/BW66))</f>
        <v>2.2938179397301313E-2</v>
      </c>
      <c r="BX65" s="80">
        <f>IF(ISERROR(BX62*4/BX66),"NM",(BX62*4/BX66))</f>
        <v>5.8917873482694651E-2</v>
      </c>
      <c r="BY65" s="80">
        <f>IF(ISERROR(BY62*4/BY66),"NM",(BY62*4/BY66))</f>
        <v>5.1692374635934714E-2</v>
      </c>
      <c r="BZ65" s="419">
        <f>IF(ISERROR(BZ62*4/BZ66),"NM",(BZ62*4/BZ66))</f>
        <v>4.968034408231807E-2</v>
      </c>
      <c r="CA65" s="101">
        <f>IF(ISERROR(CA62/CA66),"NM",CA62/CA66)</f>
        <v>4.6221147051547375E-2</v>
      </c>
      <c r="CB65" s="28"/>
      <c r="CC65" s="100">
        <f>IF(ISERROR(CC62*4/CC66),"NM",(CC62*4/CC66))</f>
        <v>2.6130323303115183E-2</v>
      </c>
      <c r="CD65" s="80">
        <f>IF(ISERROR(CD62*4/CD66),"NM",(CD62*4/CD66))</f>
        <v>2.5598682922948108E-2</v>
      </c>
      <c r="CE65" s="80">
        <f>IF(ISERROR(CE62*4/CE66),"NM",(CE62*4/CE66))</f>
        <v>2.8828134621859854E-2</v>
      </c>
      <c r="CF65" s="419">
        <f>IF(ISERROR(CF62*4/CF66),"NM",(CF62*4/CF66))</f>
        <v>2.6867491309906164E-2</v>
      </c>
      <c r="CG65" s="101">
        <f>IF(ISERROR(CG62/CG66),"NM",CG62/CG66)</f>
        <v>2.6906239701744959E-2</v>
      </c>
      <c r="CH65" s="28"/>
      <c r="CI65" s="100">
        <f>IF(ISERROR(CI62*4/CI66),"NM",(CI62*4/CI66))</f>
        <v>2.3748357881867892E-2</v>
      </c>
      <c r="CJ65" s="80">
        <f>IF(ISERROR(CJ62*4/CJ66),"NM",(CJ62*4/CJ66))</f>
        <v>1.5446376327157662E-2</v>
      </c>
      <c r="CK65" s="80">
        <f>IF(ISERROR(CK62*4/CK66),"NM",(CK62*4/CK66))</f>
        <v>-2.1374240863602681E-3</v>
      </c>
      <c r="CL65" s="419">
        <f>IF(ISERROR(CL62*4/CL66),"NM",(CL62*4/CL66))</f>
        <v>4.6433076294345052E-2</v>
      </c>
      <c r="CM65" s="101">
        <f>IF(ISERROR(CM62/CM66),"NM",CM62/CM66)</f>
        <v>2.0860558668195382E-2</v>
      </c>
      <c r="CN65" s="28"/>
      <c r="CO65" s="100">
        <f>IF(ISERROR(CO62*4/CO66),"NM",(CO62*4/CO66))</f>
        <v>5.5187931930579429E-2</v>
      </c>
      <c r="CP65" s="80">
        <f>IF(ISERROR(CP62*4/CP66),"NM",(CP62*4/CP66))</f>
        <v>2.9706535107391067E-2</v>
      </c>
      <c r="CQ65" s="80">
        <f>IF(ISERROR(CQ62*4/CQ66),"NM",(CQ62*4/CQ66))</f>
        <v>-1.0371894593376031E-3</v>
      </c>
      <c r="CR65" s="419">
        <f>IF(ISERROR(CR62*4/CR66),"NM",(CR62*4/CR66))</f>
        <v>5.1856721082606985E-2</v>
      </c>
      <c r="CS65" s="101">
        <f>IF(ISERROR(CS62/CS66),"NM",CS62/CS66)</f>
        <v>3.4001769062986409E-2</v>
      </c>
      <c r="CT65" s="28"/>
      <c r="CU65" s="100">
        <f>IF(ISERROR(CU62*4/CU66),"NM",(CU62*4/CU66))</f>
        <v>7.5957987750786965E-2</v>
      </c>
      <c r="CV65" s="80">
        <f>IF(ISERROR(CV62*4/CV66),"NM",(CV62*4/CV66))</f>
        <v>4.7352742988478587E-2</v>
      </c>
      <c r="CW65" s="80">
        <f>IF(ISERROR(CW62*4/CW66),"NM",(CW62*4/CW66))</f>
        <v>6.4844182155995127E-3</v>
      </c>
      <c r="CX65" s="419">
        <f>IF(ISERROR(CX62*4/CX66),"NM",(CX62*4/CX66))</f>
        <v>6.976968298752885E-2</v>
      </c>
      <c r="CY65" s="101">
        <f>IF(ISERROR(CY62/CY66),"NM",CY62/CY66)</f>
        <v>4.9989355763207698E-2</v>
      </c>
      <c r="CZ65" s="20"/>
      <c r="DA65" s="20"/>
      <c r="DB65" s="48"/>
    </row>
    <row r="66" spans="1:106" ht="11.25" customHeight="1" x14ac:dyDescent="0.2">
      <c r="A66" s="460" t="s">
        <v>264</v>
      </c>
      <c r="B66" s="366"/>
      <c r="C66" s="19"/>
      <c r="D66" s="20"/>
      <c r="E66" s="20"/>
      <c r="F66" s="20"/>
      <c r="G66" s="6"/>
      <c r="H66" s="39"/>
      <c r="I66" s="860">
        <v>11.674589803278691</v>
      </c>
      <c r="J66" s="861">
        <v>12.291249578125003</v>
      </c>
      <c r="K66" s="861">
        <v>12.931718328124994</v>
      </c>
      <c r="L66" s="861">
        <v>11.844126571428568</v>
      </c>
      <c r="M66" s="421">
        <v>12.192856738095237</v>
      </c>
      <c r="N66" s="59"/>
      <c r="O66" s="860">
        <v>13.421934870967739</v>
      </c>
      <c r="P66" s="861">
        <v>14.104491619047621</v>
      </c>
      <c r="Q66" s="861">
        <v>14.509999460317463</v>
      </c>
      <c r="R66" s="861">
        <v>15.32266601587302</v>
      </c>
      <c r="S66" s="421">
        <v>14.343429717131476</v>
      </c>
      <c r="T66" s="59"/>
      <c r="U66" s="860">
        <v>16.599338295081964</v>
      </c>
      <c r="V66" s="861">
        <v>17.368726015873019</v>
      </c>
      <c r="W66" s="861">
        <v>17.440311031746031</v>
      </c>
      <c r="X66" s="861">
        <v>21.393900109374993</v>
      </c>
      <c r="Y66" s="421">
        <v>18.226050107569741</v>
      </c>
      <c r="Z66" s="59"/>
      <c r="AA66" s="860">
        <v>20.768600426229519</v>
      </c>
      <c r="AB66" s="861">
        <v>20.778585671874996</v>
      </c>
      <c r="AC66" s="861">
        <v>20.224368156249998</v>
      </c>
      <c r="AD66" s="861">
        <v>15.852809031250001</v>
      </c>
      <c r="AE66" s="421">
        <v>19.389934581027699</v>
      </c>
      <c r="AF66" s="59"/>
      <c r="AG66" s="860">
        <v>16.662617377049177</v>
      </c>
      <c r="AH66" s="861">
        <v>16.818249063492061</v>
      </c>
      <c r="AI66" s="861">
        <v>19.967962515624997</v>
      </c>
      <c r="AJ66" s="861">
        <v>21.799212156250004</v>
      </c>
      <c r="AK66" s="421">
        <v>18.845510039682559</v>
      </c>
      <c r="AL66" s="59"/>
      <c r="AM66" s="860">
        <v>22.326468049180328</v>
      </c>
      <c r="AN66" s="861">
        <v>21.741262126984129</v>
      </c>
      <c r="AO66" s="861">
        <v>18.781086968749996</v>
      </c>
      <c r="AP66" s="861">
        <v>18.762180359375005</v>
      </c>
      <c r="AQ66" s="421">
        <v>20.374536404761923</v>
      </c>
      <c r="AR66" s="58"/>
      <c r="AS66" s="860">
        <v>19.562856516129038</v>
      </c>
      <c r="AT66" s="861">
        <v>20.017533507936509</v>
      </c>
      <c r="AU66" s="861">
        <v>15.797575734375</v>
      </c>
      <c r="AV66" s="861">
        <v>13.755000000000001</v>
      </c>
      <c r="AW66" s="421">
        <v>17.26829984920635</v>
      </c>
      <c r="AX66" s="58"/>
      <c r="AY66" s="860">
        <v>15.357176854838713</v>
      </c>
      <c r="AZ66" s="861">
        <v>16.281185809523809</v>
      </c>
      <c r="BA66" s="861">
        <v>17.674913460317452</v>
      </c>
      <c r="BB66" s="862">
        <v>17.674913460317452</v>
      </c>
      <c r="BC66" s="158">
        <f>AVERAGE(AY66:BB66)</f>
        <v>16.747047396249357</v>
      </c>
      <c r="BD66" s="19"/>
      <c r="BE66" s="860">
        <v>20.428326383333339</v>
      </c>
      <c r="BF66" s="861">
        <v>19.520774312499999</v>
      </c>
      <c r="BG66" s="998">
        <v>20.858431328125004</v>
      </c>
      <c r="BH66" s="862">
        <v>22.550383546874997</v>
      </c>
      <c r="BI66" s="158" t="s">
        <v>215</v>
      </c>
      <c r="BJ66" s="6"/>
      <c r="BK66" s="860" t="s">
        <v>419</v>
      </c>
      <c r="BL66" s="1066">
        <v>22.342056238095232</v>
      </c>
      <c r="BM66" s="1066">
        <v>24.138977515624997</v>
      </c>
      <c r="BN66" s="1066">
        <v>23.18242003125</v>
      </c>
      <c r="BO66" s="1101">
        <v>26.66</v>
      </c>
      <c r="BP66" s="6"/>
      <c r="BQ66" s="860">
        <v>24.062294852459019</v>
      </c>
      <c r="BR66" s="1066">
        <v>24.780397904761902</v>
      </c>
      <c r="BS66" s="1066">
        <v>26.755312687499998</v>
      </c>
      <c r="BT66" s="1066">
        <v>26.023672109374992</v>
      </c>
      <c r="BU66" s="1101">
        <v>25.423889210317462</v>
      </c>
      <c r="BV66" s="6"/>
      <c r="BW66" s="860">
        <v>22.187377622950816</v>
      </c>
      <c r="BX66" s="1066">
        <v>22.074062859375001</v>
      </c>
      <c r="BY66" s="1066">
        <v>25.482969093749986</v>
      </c>
      <c r="BZ66" s="1066">
        <v>26.989545623603334</v>
      </c>
      <c r="CA66" s="1875">
        <v>24.163149278367815</v>
      </c>
      <c r="CB66" s="6"/>
      <c r="CC66" s="1379">
        <v>28.793405431713012</v>
      </c>
      <c r="CD66" s="1066">
        <v>31.848571301587306</v>
      </c>
      <c r="CE66" s="1066">
        <v>32.493493682539665</v>
      </c>
      <c r="CF66" s="1066">
        <v>32.499444428571422</v>
      </c>
      <c r="CG66" s="158">
        <f>AVERAGE(CC66:CF66)</f>
        <v>31.408728711102853</v>
      </c>
      <c r="CH66" s="6"/>
      <c r="CI66" s="2166">
        <v>33</v>
      </c>
      <c r="CJ66" s="462">
        <f>CI66</f>
        <v>33</v>
      </c>
      <c r="CK66" s="462">
        <f>CJ66</f>
        <v>33</v>
      </c>
      <c r="CL66" s="462">
        <f>CK66</f>
        <v>33</v>
      </c>
      <c r="CM66" s="158">
        <f>AVERAGE(CI66:CL66)</f>
        <v>33</v>
      </c>
      <c r="CN66" s="6"/>
      <c r="CO66" s="461">
        <f>CL66</f>
        <v>33</v>
      </c>
      <c r="CP66" s="462">
        <f>CO66</f>
        <v>33</v>
      </c>
      <c r="CQ66" s="462">
        <f>CP66</f>
        <v>33</v>
      </c>
      <c r="CR66" s="462">
        <f>CQ66</f>
        <v>33</v>
      </c>
      <c r="CS66" s="158">
        <f>AVERAGE(CO66:CR66)</f>
        <v>33</v>
      </c>
      <c r="CT66" s="6"/>
      <c r="CU66" s="461">
        <f>CR66</f>
        <v>33</v>
      </c>
      <c r="CV66" s="462">
        <f>CU66</f>
        <v>33</v>
      </c>
      <c r="CW66" s="462">
        <f>CV66</f>
        <v>33</v>
      </c>
      <c r="CX66" s="462">
        <f>CW66</f>
        <v>33</v>
      </c>
      <c r="CY66" s="158">
        <f>AVERAGE(CU66:CX66)</f>
        <v>33</v>
      </c>
      <c r="CZ66" s="20"/>
      <c r="DA66" s="20"/>
      <c r="DB66" s="48"/>
    </row>
    <row r="67" spans="1:106" ht="11.25" customHeight="1" x14ac:dyDescent="0.2">
      <c r="A67" s="292"/>
      <c r="B67" s="292"/>
      <c r="C67" s="293"/>
      <c r="D67" s="293"/>
      <c r="E67" s="293"/>
      <c r="F67" s="293"/>
      <c r="G67" s="293"/>
      <c r="H67" s="292"/>
      <c r="I67" s="293"/>
      <c r="J67" s="293"/>
      <c r="K67" s="293"/>
      <c r="L67" s="293"/>
      <c r="M67" s="293"/>
      <c r="N67" s="292"/>
      <c r="O67" s="293"/>
      <c r="P67" s="293"/>
      <c r="Q67" s="293"/>
      <c r="R67" s="293"/>
      <c r="S67" s="293"/>
      <c r="T67" s="292"/>
      <c r="U67" s="293"/>
      <c r="V67" s="293"/>
      <c r="W67" s="293"/>
      <c r="X67" s="293"/>
      <c r="Y67" s="293"/>
      <c r="Z67" s="292"/>
      <c r="AA67" s="293"/>
      <c r="AB67" s="293"/>
      <c r="AC67" s="293"/>
      <c r="AD67" s="293"/>
      <c r="AE67" s="293"/>
      <c r="AF67" s="292"/>
      <c r="AG67" s="293"/>
      <c r="AH67" s="293"/>
      <c r="AI67" s="293"/>
      <c r="AJ67" s="293"/>
      <c r="AK67" s="293"/>
      <c r="AL67" s="292"/>
      <c r="AM67" s="293"/>
      <c r="AN67" s="293"/>
      <c r="AO67" s="293"/>
      <c r="AP67" s="293"/>
      <c r="AQ67" s="293"/>
      <c r="AR67" s="292"/>
      <c r="AS67" s="293"/>
      <c r="AT67" s="293"/>
      <c r="AU67" s="293"/>
      <c r="AV67" s="293"/>
      <c r="AW67" s="293"/>
      <c r="AX67" s="292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1065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1874"/>
      <c r="CA67" s="1874"/>
      <c r="CB67" s="293"/>
      <c r="CC67" s="1874"/>
      <c r="CD67" s="293"/>
      <c r="CE67" s="293"/>
      <c r="CF67" s="293"/>
      <c r="CG67" s="1708"/>
      <c r="CH67" s="293"/>
      <c r="CI67" s="293"/>
      <c r="CJ67" s="293"/>
      <c r="CK67" s="293"/>
      <c r="CL67" s="293"/>
      <c r="CM67" s="1708">
        <f>+(CM62/CA62)^(0.5)-1</f>
        <v>-0.21490391890281935</v>
      </c>
      <c r="CN67" s="293"/>
      <c r="CO67" s="293"/>
      <c r="CP67" s="293"/>
      <c r="CQ67" s="293"/>
      <c r="CR67" s="293"/>
      <c r="CS67" s="1708">
        <f>+(CS62/CG62)^(0.5)-1</f>
        <v>0.15227474665537843</v>
      </c>
      <c r="CT67" s="293"/>
      <c r="CU67" s="293"/>
      <c r="CV67" s="293"/>
      <c r="CW67" s="293"/>
      <c r="CX67" s="293"/>
      <c r="CY67" s="1708">
        <f>+(CY62/CG62)^(1/3)-1</f>
        <v>0.24976791652991115</v>
      </c>
      <c r="CZ67" s="20"/>
      <c r="DA67" s="20"/>
      <c r="DB67" s="48"/>
    </row>
    <row r="68" spans="1:106" ht="11.25" customHeight="1" x14ac:dyDescent="0.2">
      <c r="A68" s="463" t="s">
        <v>265</v>
      </c>
      <c r="B68" s="438"/>
      <c r="C68" s="464"/>
      <c r="D68" s="438"/>
      <c r="E68" s="464"/>
      <c r="F68" s="438"/>
      <c r="G68" s="464"/>
      <c r="H68" s="438"/>
      <c r="I68" s="464"/>
      <c r="J68" s="438"/>
      <c r="K68" s="464"/>
      <c r="L68" s="438"/>
      <c r="M68" s="464"/>
      <c r="N68" s="438"/>
      <c r="O68" s="464"/>
      <c r="P68" s="438"/>
      <c r="Q68" s="464"/>
      <c r="R68" s="438"/>
      <c r="S68" s="464"/>
      <c r="T68" s="438"/>
      <c r="U68" s="438"/>
      <c r="V68" s="438"/>
      <c r="W68" s="438"/>
      <c r="X68" s="438"/>
      <c r="Y68" s="438"/>
      <c r="Z68" s="438"/>
      <c r="AA68" s="438"/>
      <c r="AB68" s="438"/>
      <c r="AC68" s="438"/>
      <c r="AD68" s="438"/>
      <c r="AE68" s="438"/>
      <c r="AF68" s="438"/>
      <c r="AG68" s="438"/>
      <c r="AH68" s="438"/>
      <c r="AI68" s="438"/>
      <c r="AJ68" s="438"/>
      <c r="AK68" s="438"/>
      <c r="AL68" s="438"/>
      <c r="AM68" s="438"/>
      <c r="AN68" s="438"/>
      <c r="AO68" s="438"/>
      <c r="AP68" s="438"/>
      <c r="AQ68" s="438"/>
      <c r="AR68" s="438"/>
      <c r="AS68" s="438"/>
      <c r="AT68" s="438"/>
      <c r="AU68" s="438"/>
      <c r="AV68" s="438"/>
      <c r="AW68" s="438"/>
      <c r="AX68" s="438"/>
      <c r="AY68" s="438"/>
      <c r="AZ68" s="438"/>
      <c r="BA68" s="438"/>
      <c r="BB68" s="438"/>
      <c r="BC68" s="438"/>
      <c r="BD68" s="438"/>
      <c r="BE68" s="438"/>
      <c r="BF68" s="438"/>
      <c r="BG68" s="465"/>
      <c r="BH68" s="438"/>
      <c r="BI68" s="438"/>
      <c r="BJ68" s="438"/>
      <c r="BK68" s="438"/>
      <c r="BL68" s="438"/>
      <c r="BM68" s="465"/>
      <c r="BN68" s="438"/>
      <c r="BO68" s="438"/>
      <c r="BP68" s="438"/>
      <c r="BQ68" s="438"/>
      <c r="BR68" s="438"/>
      <c r="BS68" s="465"/>
      <c r="BT68" s="438"/>
      <c r="BU68" s="438"/>
      <c r="BV68" s="438"/>
      <c r="BW68" s="438"/>
      <c r="BX68" s="438"/>
      <c r="BY68" s="465"/>
      <c r="BZ68" s="438"/>
      <c r="CA68" s="438"/>
      <c r="CB68" s="438"/>
      <c r="CC68" s="438"/>
      <c r="CD68" s="438"/>
      <c r="CE68" s="465"/>
      <c r="CF68" s="438"/>
      <c r="CG68" s="438"/>
      <c r="CH68" s="438"/>
      <c r="CI68" s="438"/>
      <c r="CJ68" s="438"/>
      <c r="CK68" s="465"/>
      <c r="CL68" s="438"/>
      <c r="CM68" s="438"/>
      <c r="CN68" s="438"/>
      <c r="CO68" s="438"/>
      <c r="CP68" s="438"/>
      <c r="CQ68" s="465"/>
      <c r="CR68" s="438"/>
      <c r="CS68" s="438"/>
      <c r="CT68" s="438"/>
      <c r="CU68" s="438"/>
      <c r="CV68" s="438"/>
      <c r="CW68" s="465"/>
      <c r="CX68" s="438"/>
      <c r="CY68" s="438"/>
      <c r="CZ68" s="20"/>
      <c r="DA68" s="20"/>
      <c r="DB68" s="48"/>
    </row>
    <row r="69" spans="1:106" ht="11.25" customHeight="1" x14ac:dyDescent="0.2">
      <c r="A69" s="62" t="s">
        <v>266</v>
      </c>
      <c r="B69" s="48"/>
      <c r="C69" s="412"/>
      <c r="D69" s="28"/>
      <c r="E69" s="28"/>
      <c r="F69" s="28"/>
      <c r="G69" s="420">
        <v>13.356</v>
      </c>
      <c r="H69" s="48"/>
      <c r="I69" s="412"/>
      <c r="J69" s="28"/>
      <c r="K69" s="28"/>
      <c r="L69" s="28"/>
      <c r="M69" s="327">
        <f>G73</f>
        <v>13.047739000000002</v>
      </c>
      <c r="N69" s="48"/>
      <c r="O69" s="412"/>
      <c r="P69" s="28"/>
      <c r="Q69" s="28"/>
      <c r="R69" s="28"/>
      <c r="S69" s="327">
        <f>M73</f>
        <v>13.585295000000002</v>
      </c>
      <c r="T69" s="48"/>
      <c r="U69" s="412"/>
      <c r="V69" s="28"/>
      <c r="W69" s="28"/>
      <c r="X69" s="28"/>
      <c r="Y69" s="327">
        <f>S73</f>
        <v>11.716539000000001</v>
      </c>
      <c r="Z69" s="48"/>
      <c r="AA69" s="412"/>
      <c r="AB69" s="28"/>
      <c r="AC69" s="28"/>
      <c r="AD69" s="28"/>
      <c r="AE69" s="327">
        <f>Y73</f>
        <v>11.362640999999998</v>
      </c>
      <c r="AF69" s="48"/>
      <c r="AG69" s="412"/>
      <c r="AH69" s="28"/>
      <c r="AI69" s="28"/>
      <c r="AJ69" s="28"/>
      <c r="AK69" s="327">
        <f>AE73</f>
        <v>10.274995999999998</v>
      </c>
      <c r="AL69" s="48"/>
      <c r="AM69" s="412"/>
      <c r="AN69" s="28"/>
      <c r="AO69" s="28"/>
      <c r="AP69" s="28"/>
      <c r="AQ69" s="327">
        <f>AK73</f>
        <v>8.2815589999999997</v>
      </c>
      <c r="AR69" s="48"/>
      <c r="AS69" s="412"/>
      <c r="AT69" s="28"/>
      <c r="AU69" s="28"/>
      <c r="AV69" s="28"/>
      <c r="AW69" s="327">
        <f>AQ73</f>
        <v>7.3324110000000005</v>
      </c>
      <c r="AX69" s="48"/>
      <c r="AY69" s="412"/>
      <c r="AZ69" s="28"/>
      <c r="BA69" s="28"/>
      <c r="BB69" s="28"/>
      <c r="BC69" s="327">
        <f>AW73</f>
        <v>6.5274110000000007</v>
      </c>
      <c r="BD69" s="48"/>
      <c r="BE69" s="412"/>
      <c r="BF69" s="28"/>
      <c r="BG69" s="28"/>
      <c r="BH69" s="28"/>
      <c r="BI69" s="327">
        <f>BC73</f>
        <v>5.3330000000000002</v>
      </c>
      <c r="BJ69" s="48"/>
      <c r="BK69" s="412"/>
      <c r="BL69" s="28"/>
      <c r="BM69" s="28"/>
      <c r="BN69" s="28"/>
      <c r="BO69" s="327">
        <f>BI73</f>
        <v>3.3940000000000001</v>
      </c>
      <c r="BP69" s="48"/>
      <c r="BQ69" s="412"/>
      <c r="BR69" s="28"/>
      <c r="BS69" s="28"/>
      <c r="BT69" s="28"/>
      <c r="BU69" s="327">
        <f>BO73</f>
        <v>2.5310000000000001</v>
      </c>
      <c r="BV69" s="48"/>
      <c r="BW69" s="412"/>
      <c r="BX69" s="28"/>
      <c r="BY69" s="28"/>
      <c r="BZ69" s="28"/>
      <c r="CA69" s="327">
        <f>BU73</f>
        <v>1.8210000000000002</v>
      </c>
      <c r="CB69" s="48"/>
      <c r="CC69" s="412"/>
      <c r="CD69" s="28"/>
      <c r="CE69" s="28"/>
      <c r="CF69" s="28"/>
      <c r="CG69" s="2172">
        <f>CA73</f>
        <v>1.4390000000000001</v>
      </c>
      <c r="CH69" s="48"/>
      <c r="CI69" s="412">
        <f>+CG73</f>
        <v>1.1490000000000002</v>
      </c>
      <c r="CJ69" s="28">
        <f>+CI73</f>
        <v>1.0111200000000002</v>
      </c>
      <c r="CK69" s="28">
        <f>+CJ73</f>
        <v>0.88978560000000018</v>
      </c>
      <c r="CL69" s="28">
        <f>+CK73</f>
        <v>0.78301132800000017</v>
      </c>
      <c r="CM69" s="327">
        <f>+CI69</f>
        <v>1.1490000000000002</v>
      </c>
      <c r="CN69" s="48"/>
      <c r="CO69" s="412">
        <f>+CM73</f>
        <v>0.68904996864000012</v>
      </c>
      <c r="CP69" s="28">
        <f>+CO73</f>
        <v>0.60636397240320017</v>
      </c>
      <c r="CQ69" s="28">
        <f>+CP73</f>
        <v>0.53360029571481615</v>
      </c>
      <c r="CR69" s="28">
        <f>+CQ73</f>
        <v>0.46956826022903819</v>
      </c>
      <c r="CS69" s="327">
        <f>+CO69</f>
        <v>0.68904996864000012</v>
      </c>
      <c r="CT69" s="48"/>
      <c r="CU69" s="412">
        <f>+CS73</f>
        <v>0.41322006900155356</v>
      </c>
      <c r="CV69" s="28">
        <f>+CU73</f>
        <v>0.36363366072136716</v>
      </c>
      <c r="CW69" s="28">
        <f>+CV73</f>
        <v>0.31999762143480315</v>
      </c>
      <c r="CX69" s="28">
        <f>+CW73</f>
        <v>0.28159790686262676</v>
      </c>
      <c r="CY69" s="327">
        <f>+CU69</f>
        <v>0.41322006900155356</v>
      </c>
      <c r="CZ69" s="20"/>
      <c r="DA69" s="20"/>
      <c r="DB69" s="48"/>
    </row>
    <row r="70" spans="1:106" ht="11.25" customHeight="1" x14ac:dyDescent="0.2">
      <c r="A70" s="67" t="s">
        <v>267</v>
      </c>
      <c r="B70" s="48"/>
      <c r="C70" s="19"/>
      <c r="D70" s="28"/>
      <c r="E70" s="28"/>
      <c r="F70" s="28"/>
      <c r="G70" s="331">
        <v>2.1934999999999998</v>
      </c>
      <c r="H70" s="48"/>
      <c r="I70" s="19"/>
      <c r="J70" s="28"/>
      <c r="K70" s="28"/>
      <c r="L70" s="28"/>
      <c r="M70" s="331">
        <v>2.7494559999999999</v>
      </c>
      <c r="N70" s="48"/>
      <c r="O70" s="19"/>
      <c r="P70" s="28"/>
      <c r="Q70" s="28"/>
      <c r="R70" s="28"/>
      <c r="S70" s="331">
        <v>0.20150000000000001</v>
      </c>
      <c r="T70" s="48"/>
      <c r="U70" s="19"/>
      <c r="V70" s="28"/>
      <c r="W70" s="28"/>
      <c r="X70" s="28"/>
      <c r="Y70" s="331">
        <f>4.139854+0.379598</f>
        <v>4.5194519999999994</v>
      </c>
      <c r="Z70" s="48"/>
      <c r="AA70" s="19"/>
      <c r="AB70" s="28"/>
      <c r="AC70" s="28"/>
      <c r="AD70" s="28"/>
      <c r="AE70" s="331">
        <v>0.43272500000000003</v>
      </c>
      <c r="AF70" s="48"/>
      <c r="AG70" s="19"/>
      <c r="AH70" s="28"/>
      <c r="AI70" s="28"/>
      <c r="AJ70" s="28"/>
      <c r="AK70" s="331">
        <v>0.49171399999999998</v>
      </c>
      <c r="AL70" s="48"/>
      <c r="AM70" s="19"/>
      <c r="AN70" s="28"/>
      <c r="AO70" s="28"/>
      <c r="AP70" s="28"/>
      <c r="AQ70" s="331">
        <v>0.57028199999999996</v>
      </c>
      <c r="AR70" s="48"/>
      <c r="AS70" s="19"/>
      <c r="AT70" s="28"/>
      <c r="AU70" s="28"/>
      <c r="AV70" s="28"/>
      <c r="AW70" s="331">
        <v>0.60199999999999998</v>
      </c>
      <c r="AX70" s="48"/>
      <c r="AY70" s="19"/>
      <c r="AZ70" s="28"/>
      <c r="BA70" s="28"/>
      <c r="BB70" s="28"/>
      <c r="BC70" s="6">
        <f>BC69*BC79</f>
        <v>0.32637055000000004</v>
      </c>
      <c r="BD70" s="48"/>
      <c r="BE70" s="19"/>
      <c r="BF70" s="28"/>
      <c r="BG70" s="28"/>
      <c r="BH70" s="28"/>
      <c r="BI70" s="6">
        <v>0.54400000000000004</v>
      </c>
      <c r="BJ70" s="48"/>
      <c r="BK70" s="19"/>
      <c r="BL70" s="28"/>
      <c r="BM70" s="28"/>
      <c r="BN70" s="28"/>
      <c r="BO70" s="1263">
        <v>0</v>
      </c>
      <c r="BP70" s="48"/>
      <c r="BQ70" s="19"/>
      <c r="BR70" s="28"/>
      <c r="BS70" s="28"/>
      <c r="BT70" s="28"/>
      <c r="BU70" s="1263">
        <v>0</v>
      </c>
      <c r="BV70" s="48"/>
      <c r="BW70" s="1064"/>
      <c r="BX70" s="1063"/>
      <c r="BY70" s="1063"/>
      <c r="BZ70" s="28"/>
      <c r="CA70" s="1263">
        <v>0</v>
      </c>
      <c r="CB70" s="48"/>
      <c r="CC70" s="19"/>
      <c r="CD70" s="28"/>
      <c r="CE70" s="28"/>
      <c r="CF70" s="28"/>
      <c r="CG70" s="1263">
        <v>0</v>
      </c>
      <c r="CH70" s="48"/>
      <c r="CI70" s="19">
        <f>CI69*CI79</f>
        <v>0.10341000000000002</v>
      </c>
      <c r="CJ70" s="28">
        <f>CJ69*CJ79</f>
        <v>9.1000800000000021E-2</v>
      </c>
      <c r="CK70" s="28">
        <f>CK69*CK79</f>
        <v>8.0080704000000016E-2</v>
      </c>
      <c r="CL70" s="28">
        <f>CL69*CL79</f>
        <v>7.0471019520000011E-2</v>
      </c>
      <c r="CM70" s="6">
        <f>+SUM(CI70:CL70)</f>
        <v>0.34496252352000006</v>
      </c>
      <c r="CN70" s="48"/>
      <c r="CO70" s="19">
        <f>CO69*CO79</f>
        <v>6.2014497177600006E-2</v>
      </c>
      <c r="CP70" s="28">
        <f>CP69*CP79</f>
        <v>5.4572757516288012E-2</v>
      </c>
      <c r="CQ70" s="28">
        <f>CQ69*CQ79</f>
        <v>4.802402661433345E-2</v>
      </c>
      <c r="CR70" s="28">
        <f>CR69*CR79</f>
        <v>4.2261143420613434E-2</v>
      </c>
      <c r="CS70" s="6">
        <f>+SUM(CO70:CR70)</f>
        <v>0.20687242472883491</v>
      </c>
      <c r="CT70" s="48"/>
      <c r="CU70" s="19">
        <f>CU69*CU79</f>
        <v>3.7189806210139821E-2</v>
      </c>
      <c r="CV70" s="28">
        <f>CV69*CV79</f>
        <v>3.2727029464923042E-2</v>
      </c>
      <c r="CW70" s="28">
        <f>CW69*CW79</f>
        <v>2.8799785929132283E-2</v>
      </c>
      <c r="CX70" s="28">
        <f>CX69*CX79</f>
        <v>2.5343811617636408E-2</v>
      </c>
      <c r="CY70" s="6">
        <f>+SUM(CU70:CX70)</f>
        <v>0.12406043322183155</v>
      </c>
      <c r="CZ70" s="20"/>
      <c r="DA70" s="20"/>
      <c r="DB70" s="48"/>
    </row>
    <row r="71" spans="1:106" ht="11.25" customHeight="1" x14ac:dyDescent="0.2">
      <c r="A71" s="67" t="s">
        <v>268</v>
      </c>
      <c r="B71" s="48"/>
      <c r="C71" s="19"/>
      <c r="D71" s="28"/>
      <c r="E71" s="28"/>
      <c r="F71" s="28"/>
      <c r="G71" s="331">
        <v>-0.80268899999999999</v>
      </c>
      <c r="H71" s="48"/>
      <c r="I71" s="19"/>
      <c r="J71" s="28"/>
      <c r="K71" s="28"/>
      <c r="L71" s="28"/>
      <c r="M71" s="331">
        <v>-1.435657</v>
      </c>
      <c r="N71" s="48"/>
      <c r="O71" s="19"/>
      <c r="P71" s="28"/>
      <c r="Q71" s="28"/>
      <c r="R71" s="28"/>
      <c r="S71" s="331">
        <v>-1.586676</v>
      </c>
      <c r="T71" s="48"/>
      <c r="U71" s="19"/>
      <c r="V71" s="28"/>
      <c r="W71" s="28"/>
      <c r="X71" s="28"/>
      <c r="Y71" s="331">
        <v>-4.5516550000000002</v>
      </c>
      <c r="Z71" s="48"/>
      <c r="AA71" s="19"/>
      <c r="AB71" s="28"/>
      <c r="AC71" s="28"/>
      <c r="AD71" s="28"/>
      <c r="AE71" s="331">
        <v>-1.3409139999999999</v>
      </c>
      <c r="AF71" s="48"/>
      <c r="AG71" s="19"/>
      <c r="AH71" s="28"/>
      <c r="AI71" s="28"/>
      <c r="AJ71" s="28"/>
      <c r="AK71" s="331">
        <v>-2.2418480000000001</v>
      </c>
      <c r="AL71" s="48"/>
      <c r="AM71" s="19"/>
      <c r="AN71" s="28"/>
      <c r="AO71" s="28"/>
      <c r="AP71" s="28"/>
      <c r="AQ71" s="331">
        <v>-0.92452900000000005</v>
      </c>
      <c r="AR71" s="48"/>
      <c r="AS71" s="19"/>
      <c r="AT71" s="28"/>
      <c r="AU71" s="28"/>
      <c r="AV71" s="28"/>
      <c r="AW71" s="331">
        <v>-0.65500000000000003</v>
      </c>
      <c r="AX71" s="48"/>
      <c r="AY71" s="19"/>
      <c r="AZ71" s="28"/>
      <c r="BA71" s="28"/>
      <c r="BB71" s="28"/>
      <c r="BC71" s="6">
        <f>-BC69*BC77</f>
        <v>-1.3054822000000001</v>
      </c>
      <c r="BD71" s="48"/>
      <c r="BE71" s="19"/>
      <c r="BF71" s="28"/>
      <c r="BG71" s="28"/>
      <c r="BH71" s="28"/>
      <c r="BI71" s="6">
        <v>-2.3980000000000001</v>
      </c>
      <c r="BJ71" s="48"/>
      <c r="BK71" s="19"/>
      <c r="BL71" s="28"/>
      <c r="BM71" s="28"/>
      <c r="BN71" s="28"/>
      <c r="BO71" s="1263">
        <v>-0.79100000000000004</v>
      </c>
      <c r="BP71" s="48"/>
      <c r="BQ71" s="19"/>
      <c r="BR71" s="28"/>
      <c r="BS71" s="28"/>
      <c r="BT71" s="28"/>
      <c r="BU71" s="1263">
        <v>-0.66900000000000004</v>
      </c>
      <c r="BV71" s="48"/>
      <c r="BW71" s="19"/>
      <c r="BX71" s="28"/>
      <c r="BY71" s="28"/>
      <c r="BZ71" s="28"/>
      <c r="CA71" s="1263">
        <v>-0.35399999999999998</v>
      </c>
      <c r="CB71" s="48"/>
      <c r="CC71" s="19"/>
      <c r="CD71" s="28"/>
      <c r="CE71" s="28"/>
      <c r="CF71" s="28"/>
      <c r="CG71" s="1263">
        <v>-0.28699999999999998</v>
      </c>
      <c r="CH71" s="48"/>
      <c r="CI71" s="19">
        <f>-CI69*CI77</f>
        <v>-0.11490000000000003</v>
      </c>
      <c r="CJ71" s="28">
        <f>-CJ69*CJ77</f>
        <v>-0.10111200000000004</v>
      </c>
      <c r="CK71" s="28">
        <f>-CK69*CK77</f>
        <v>-8.8978560000000026E-2</v>
      </c>
      <c r="CL71" s="28">
        <f>-CL69*CL77</f>
        <v>-7.830113280000002E-2</v>
      </c>
      <c r="CM71" s="6">
        <f>+SUM(CI71:CL71)</f>
        <v>-0.38329169280000008</v>
      </c>
      <c r="CN71" s="48"/>
      <c r="CO71" s="19">
        <f>-CO69*CO77</f>
        <v>-6.890499686400002E-2</v>
      </c>
      <c r="CP71" s="28">
        <f>-CP69*CP77</f>
        <v>-6.0636397240320022E-2</v>
      </c>
      <c r="CQ71" s="28">
        <f>-CQ69*CQ77</f>
        <v>-5.3360029571481615E-2</v>
      </c>
      <c r="CR71" s="28">
        <f>-CR69*CR77</f>
        <v>-4.6956826022903825E-2</v>
      </c>
      <c r="CS71" s="6">
        <f>+SUM(CO71:CR71)</f>
        <v>-0.22985824969870547</v>
      </c>
      <c r="CT71" s="48"/>
      <c r="CU71" s="19">
        <f>-CU69*CU77</f>
        <v>-4.1322006900155361E-2</v>
      </c>
      <c r="CV71" s="28">
        <f>-CV69*CV77</f>
        <v>-3.6363366072136714E-2</v>
      </c>
      <c r="CW71" s="28">
        <f>-CW69*CW77</f>
        <v>-3.1999762143480319E-2</v>
      </c>
      <c r="CX71" s="28">
        <f>-CX69*CX77</f>
        <v>-2.8159790686262676E-2</v>
      </c>
      <c r="CY71" s="6">
        <f>+SUM(CU71:CX71)</f>
        <v>-0.13784492580203508</v>
      </c>
      <c r="CZ71" s="20"/>
      <c r="DA71" s="20"/>
      <c r="DB71" s="48"/>
    </row>
    <row r="72" spans="1:106" ht="11.25" customHeight="1" x14ac:dyDescent="0.2">
      <c r="A72" s="67" t="s">
        <v>269</v>
      </c>
      <c r="B72" s="48"/>
      <c r="C72" s="19"/>
      <c r="D72" s="28"/>
      <c r="E72" s="28"/>
      <c r="F72" s="28"/>
      <c r="G72" s="331">
        <v>-1.6990719999999999</v>
      </c>
      <c r="H72" s="48"/>
      <c r="I72" s="19"/>
      <c r="J72" s="28"/>
      <c r="K72" s="28"/>
      <c r="L72" s="28"/>
      <c r="M72" s="331">
        <v>-0.77624300000000002</v>
      </c>
      <c r="N72" s="48"/>
      <c r="O72" s="19"/>
      <c r="P72" s="28"/>
      <c r="Q72" s="28"/>
      <c r="R72" s="28"/>
      <c r="S72" s="331">
        <v>-0.48358000000000001</v>
      </c>
      <c r="T72" s="48"/>
      <c r="U72" s="19"/>
      <c r="V72" s="28"/>
      <c r="W72" s="28"/>
      <c r="X72" s="28"/>
      <c r="Y72" s="331">
        <v>-0.32169500000000001</v>
      </c>
      <c r="Z72" s="48"/>
      <c r="AA72" s="19"/>
      <c r="AB72" s="28"/>
      <c r="AC72" s="28"/>
      <c r="AD72" s="28"/>
      <c r="AE72" s="331">
        <v>-0.179456</v>
      </c>
      <c r="AF72" s="48"/>
      <c r="AG72" s="19"/>
      <c r="AH72" s="28"/>
      <c r="AI72" s="28"/>
      <c r="AJ72" s="28"/>
      <c r="AK72" s="331">
        <v>-0.24330299999999999</v>
      </c>
      <c r="AL72" s="48"/>
      <c r="AM72" s="19"/>
      <c r="AN72" s="28"/>
      <c r="AO72" s="28"/>
      <c r="AP72" s="28"/>
      <c r="AQ72" s="331">
        <v>-0.59490100000000001</v>
      </c>
      <c r="AR72" s="48"/>
      <c r="AS72" s="19"/>
      <c r="AT72" s="28"/>
      <c r="AU72" s="28"/>
      <c r="AV72" s="28"/>
      <c r="AW72" s="331">
        <f>-0.062-0.69</f>
        <v>-0.752</v>
      </c>
      <c r="AX72" s="48"/>
      <c r="AY72" s="19"/>
      <c r="AZ72" s="28"/>
      <c r="BA72" s="28"/>
      <c r="BB72" s="28"/>
      <c r="BC72" s="6">
        <f>BC73-SUM(BC69:BC71)</f>
        <v>-0.21529935000000044</v>
      </c>
      <c r="BD72" s="48"/>
      <c r="BE72" s="19"/>
      <c r="BF72" s="28"/>
      <c r="BG72" s="28"/>
      <c r="BH72" s="28"/>
      <c r="BI72" s="6">
        <f>-0.046-0.039</f>
        <v>-8.4999999999999992E-2</v>
      </c>
      <c r="BJ72" s="48"/>
      <c r="BK72" s="19"/>
      <c r="BL72" s="28"/>
      <c r="BM72" s="28"/>
      <c r="BN72" s="28"/>
      <c r="BO72" s="1263">
        <f>-0.053-0.019</f>
        <v>-7.1999999999999995E-2</v>
      </c>
      <c r="BP72" s="48"/>
      <c r="BQ72" s="19"/>
      <c r="BR72" s="28"/>
      <c r="BS72" s="28"/>
      <c r="BT72" s="28"/>
      <c r="BU72" s="1263">
        <f>-0.022-0.019</f>
        <v>-4.0999999999999995E-2</v>
      </c>
      <c r="BV72" s="48"/>
      <c r="BW72" s="19"/>
      <c r="BX72" s="28"/>
      <c r="BY72" s="28"/>
      <c r="BZ72" s="28"/>
      <c r="CA72" s="1263">
        <f>-0.003-0.025</f>
        <v>-2.8000000000000001E-2</v>
      </c>
      <c r="CB72" s="48"/>
      <c r="CC72" s="19"/>
      <c r="CD72" s="28"/>
      <c r="CE72" s="28"/>
      <c r="CF72" s="28"/>
      <c r="CG72" s="1263">
        <f>-0.003</f>
        <v>-3.0000000000000001E-3</v>
      </c>
      <c r="CH72" s="48"/>
      <c r="CI72" s="19">
        <f>-CI69*CI78</f>
        <v>-0.12639000000000003</v>
      </c>
      <c r="CJ72" s="28">
        <f>-CJ69*CJ78</f>
        <v>-0.11122320000000002</v>
      </c>
      <c r="CK72" s="28">
        <f>-CK69*CK78</f>
        <v>-9.7876416000000022E-2</v>
      </c>
      <c r="CL72" s="28">
        <f>-CL69*CL78</f>
        <v>-8.6131246080000015E-2</v>
      </c>
      <c r="CM72" s="6">
        <f>+SUM(CI72:CL72)</f>
        <v>-0.42162086208000005</v>
      </c>
      <c r="CN72" s="48"/>
      <c r="CO72" s="19">
        <f>-CO69*CO78</f>
        <v>-7.5795496550400007E-2</v>
      </c>
      <c r="CP72" s="28">
        <f>-CP69*CP78</f>
        <v>-6.6700036964352019E-2</v>
      </c>
      <c r="CQ72" s="28">
        <f>-CQ69*CQ78</f>
        <v>-5.8696032528629774E-2</v>
      </c>
      <c r="CR72" s="28">
        <f>-CR69*CR78</f>
        <v>-5.1652508625194202E-2</v>
      </c>
      <c r="CS72" s="6">
        <f>+SUM(CO72:CR72)</f>
        <v>-0.252844074668576</v>
      </c>
      <c r="CT72" s="48"/>
      <c r="CU72" s="19">
        <f>-CU69*CU78</f>
        <v>-4.5454207590170895E-2</v>
      </c>
      <c r="CV72" s="28">
        <f>-CV69*CV78</f>
        <v>-3.9999702679350387E-2</v>
      </c>
      <c r="CW72" s="28">
        <f>-CW69*CW78</f>
        <v>-3.5199738357828345E-2</v>
      </c>
      <c r="CX72" s="28">
        <f>-CX69*CX78</f>
        <v>-3.0975769754888943E-2</v>
      </c>
      <c r="CY72" s="6">
        <f>+SUM(CU72:CX72)</f>
        <v>-0.15162941838223859</v>
      </c>
      <c r="CZ72" s="20"/>
      <c r="DA72" s="20"/>
      <c r="DB72" s="48"/>
    </row>
    <row r="73" spans="1:106" ht="11.25" customHeight="1" x14ac:dyDescent="0.2">
      <c r="A73" s="62" t="s">
        <v>270</v>
      </c>
      <c r="B73" s="48"/>
      <c r="C73" s="19"/>
      <c r="D73" s="28"/>
      <c r="E73" s="28"/>
      <c r="F73" s="28"/>
      <c r="G73" s="60">
        <f>SUM(G69:G72)</f>
        <v>13.047739000000002</v>
      </c>
      <c r="H73" s="28"/>
      <c r="I73" s="19"/>
      <c r="J73" s="28"/>
      <c r="K73" s="28"/>
      <c r="L73" s="28"/>
      <c r="M73" s="60">
        <f>SUM(M69:M72)</f>
        <v>13.585295000000002</v>
      </c>
      <c r="N73" s="28"/>
      <c r="O73" s="19"/>
      <c r="P73" s="28"/>
      <c r="Q73" s="28"/>
      <c r="R73" s="28"/>
      <c r="S73" s="60">
        <f>SUM(S69:S72)</f>
        <v>11.716539000000001</v>
      </c>
      <c r="T73" s="28"/>
      <c r="U73" s="19"/>
      <c r="V73" s="28"/>
      <c r="W73" s="28"/>
      <c r="X73" s="28"/>
      <c r="Y73" s="60">
        <f>SUM(Y69:Y72)</f>
        <v>11.362640999999998</v>
      </c>
      <c r="Z73" s="28"/>
      <c r="AA73" s="19"/>
      <c r="AB73" s="28"/>
      <c r="AC73" s="28"/>
      <c r="AD73" s="28"/>
      <c r="AE73" s="60">
        <f>SUM(AE69:AE72)</f>
        <v>10.274995999999998</v>
      </c>
      <c r="AF73" s="28"/>
      <c r="AG73" s="19"/>
      <c r="AH73" s="28"/>
      <c r="AI73" s="28"/>
      <c r="AJ73" s="28"/>
      <c r="AK73" s="60">
        <f>SUM(AK69:AK72)</f>
        <v>8.2815589999999997</v>
      </c>
      <c r="AL73" s="28"/>
      <c r="AM73" s="19"/>
      <c r="AN73" s="28"/>
      <c r="AO73" s="28"/>
      <c r="AP73" s="28"/>
      <c r="AQ73" s="60">
        <f>SUM(AQ69:AQ72)</f>
        <v>7.3324110000000005</v>
      </c>
      <c r="AR73" s="28"/>
      <c r="AS73" s="19"/>
      <c r="AT73" s="28"/>
      <c r="AU73" s="28"/>
      <c r="AV73" s="28"/>
      <c r="AW73" s="60">
        <f>SUM(AW69:AW72)</f>
        <v>6.5274110000000007</v>
      </c>
      <c r="AX73" s="28"/>
      <c r="AY73" s="19"/>
      <c r="AZ73" s="28"/>
      <c r="BA73" s="28"/>
      <c r="BB73" s="28"/>
      <c r="BC73" s="1476">
        <v>5.3330000000000002</v>
      </c>
      <c r="BD73" s="28"/>
      <c r="BE73" s="19"/>
      <c r="BF73" s="28"/>
      <c r="BG73" s="28"/>
      <c r="BH73" s="28"/>
      <c r="BI73" s="1466">
        <v>3.3940000000000001</v>
      </c>
      <c r="BJ73" s="28"/>
      <c r="BK73" s="19"/>
      <c r="BL73" s="28"/>
      <c r="BM73" s="28"/>
      <c r="BN73" s="28"/>
      <c r="BO73" s="1467">
        <f>SUM(BO69:BO72)</f>
        <v>2.5310000000000001</v>
      </c>
      <c r="BP73" s="28"/>
      <c r="BQ73" s="19"/>
      <c r="BR73" s="28"/>
      <c r="BS73" s="28"/>
      <c r="BT73" s="28"/>
      <c r="BU73" s="1468">
        <f>SUM(BU69:BU72)</f>
        <v>1.8210000000000002</v>
      </c>
      <c r="BV73" s="28"/>
      <c r="BW73" s="19"/>
      <c r="BX73" s="28"/>
      <c r="BY73" s="28"/>
      <c r="BZ73" s="28"/>
      <c r="CA73" s="1468">
        <f>SUM(CA69:CA72)</f>
        <v>1.4390000000000001</v>
      </c>
      <c r="CB73" s="28"/>
      <c r="CC73" s="19"/>
      <c r="CD73" s="28"/>
      <c r="CE73" s="28"/>
      <c r="CF73" s="28"/>
      <c r="CG73" s="1468">
        <f>SUM(CG69:CG72)</f>
        <v>1.1490000000000002</v>
      </c>
      <c r="CH73" s="28"/>
      <c r="CI73" s="19">
        <f>+SUM(CI69:CI72)</f>
        <v>1.0111200000000002</v>
      </c>
      <c r="CJ73" s="28">
        <f>+SUM(CJ69:CJ72)</f>
        <v>0.88978560000000018</v>
      </c>
      <c r="CK73" s="28">
        <f>+SUM(CK69:CK72)</f>
        <v>0.78301132800000017</v>
      </c>
      <c r="CL73" s="28">
        <f>+SUM(CL69:CL72)</f>
        <v>0.68904996864000012</v>
      </c>
      <c r="CM73" s="60">
        <f>SUM(CM69:CM72)</f>
        <v>0.68904996864000012</v>
      </c>
      <c r="CN73" s="28"/>
      <c r="CO73" s="19">
        <f>+SUM(CO69:CO72)</f>
        <v>0.60636397240320017</v>
      </c>
      <c r="CP73" s="28">
        <f>+SUM(CP69:CP72)</f>
        <v>0.53360029571481615</v>
      </c>
      <c r="CQ73" s="28">
        <f>+SUM(CQ69:CQ72)</f>
        <v>0.46956826022903819</v>
      </c>
      <c r="CR73" s="28">
        <f>+SUM(CR69:CR72)</f>
        <v>0.4132200690015535</v>
      </c>
      <c r="CS73" s="60">
        <f>SUM(CS69:CS72)</f>
        <v>0.41322006900155356</v>
      </c>
      <c r="CT73" s="28"/>
      <c r="CU73" s="19">
        <f>+SUM(CU69:CU72)</f>
        <v>0.36363366072136716</v>
      </c>
      <c r="CV73" s="28">
        <f>+SUM(CV69:CV72)</f>
        <v>0.31999762143480315</v>
      </c>
      <c r="CW73" s="28">
        <f>+SUM(CW69:CW72)</f>
        <v>0.28159790686262676</v>
      </c>
      <c r="CX73" s="28">
        <f>+SUM(CX69:CX72)</f>
        <v>0.24780615803911157</v>
      </c>
      <c r="CY73" s="60">
        <f>SUM(CY69:CY72)</f>
        <v>0.24780615803911138</v>
      </c>
      <c r="CZ73" s="20"/>
      <c r="DA73" s="20"/>
      <c r="DB73" s="48"/>
    </row>
    <row r="74" spans="1:106" ht="11.25" customHeight="1" x14ac:dyDescent="0.2">
      <c r="A74" s="73" t="s">
        <v>271</v>
      </c>
      <c r="B74" s="48"/>
      <c r="C74" s="19"/>
      <c r="D74" s="28"/>
      <c r="E74" s="28"/>
      <c r="F74" s="28"/>
      <c r="G74" s="421">
        <v>6.44</v>
      </c>
      <c r="H74" s="48"/>
      <c r="I74" s="19"/>
      <c r="J74" s="28"/>
      <c r="K74" s="28"/>
      <c r="L74" s="28"/>
      <c r="M74" s="421">
        <v>5.62</v>
      </c>
      <c r="N74" s="48"/>
      <c r="O74" s="19"/>
      <c r="P74" s="28"/>
      <c r="Q74" s="28"/>
      <c r="R74" s="28"/>
      <c r="S74" s="421">
        <v>6.9340000000000002</v>
      </c>
      <c r="T74" s="48"/>
      <c r="U74" s="19"/>
      <c r="V74" s="28"/>
      <c r="W74" s="28"/>
      <c r="X74" s="28"/>
      <c r="Y74" s="421">
        <v>9.2889999999999997</v>
      </c>
      <c r="Z74" s="48"/>
      <c r="AA74" s="19"/>
      <c r="AB74" s="28"/>
      <c r="AC74" s="28"/>
      <c r="AD74" s="28"/>
      <c r="AE74" s="421">
        <v>9.923</v>
      </c>
      <c r="AF74" s="48"/>
      <c r="AG74" s="19"/>
      <c r="AH74" s="28"/>
      <c r="AI74" s="28"/>
      <c r="AJ74" s="28"/>
      <c r="AK74" s="421">
        <v>12.006</v>
      </c>
      <c r="AL74" s="48"/>
      <c r="AM74" s="19"/>
      <c r="AN74" s="28"/>
      <c r="AO74" s="28"/>
      <c r="AP74" s="28"/>
      <c r="AQ74" s="421">
        <v>12.468999999999999</v>
      </c>
      <c r="AR74" s="48"/>
      <c r="AS74" s="19"/>
      <c r="AT74" s="28"/>
      <c r="AU74" s="28"/>
      <c r="AV74" s="28"/>
      <c r="AW74" s="421">
        <v>12.95</v>
      </c>
      <c r="AX74" s="48"/>
      <c r="AY74" s="19"/>
      <c r="AZ74" s="28"/>
      <c r="BA74" s="28"/>
      <c r="BB74" s="28"/>
      <c r="BC74" s="1465">
        <v>14.16</v>
      </c>
      <c r="BD74" s="48"/>
      <c r="BE74" s="19"/>
      <c r="BF74" s="28"/>
      <c r="BG74" s="28"/>
      <c r="BH74" s="28"/>
      <c r="BI74" s="1465">
        <v>17.54</v>
      </c>
      <c r="BJ74" s="48"/>
      <c r="BK74" s="19"/>
      <c r="BL74" s="28"/>
      <c r="BM74" s="28"/>
      <c r="BN74" s="28"/>
      <c r="BO74" s="1465">
        <v>18.23</v>
      </c>
      <c r="BP74" s="48"/>
      <c r="BQ74" s="1379">
        <f>+BR74</f>
        <v>19.37</v>
      </c>
      <c r="BR74" s="1066">
        <f>+BS74</f>
        <v>19.37</v>
      </c>
      <c r="BS74" s="1066">
        <f>+BT74</f>
        <v>19.37</v>
      </c>
      <c r="BT74" s="1380">
        <f>+BU74</f>
        <v>19.37</v>
      </c>
      <c r="BU74" s="1465">
        <v>19.37</v>
      </c>
      <c r="BV74" s="48"/>
      <c r="BW74" s="1379">
        <f>+BX74</f>
        <v>19.84</v>
      </c>
      <c r="BX74" s="1066">
        <f>+BY74</f>
        <v>19.84</v>
      </c>
      <c r="BY74" s="1066">
        <f>+BZ74</f>
        <v>19.84</v>
      </c>
      <c r="BZ74" s="1380">
        <f>+CA74</f>
        <v>19.84</v>
      </c>
      <c r="CA74" s="1465">
        <v>19.84</v>
      </c>
      <c r="CB74" s="48"/>
      <c r="CC74" s="1381">
        <f>+BW74*(1+CC75)</f>
        <v>20.832000000000001</v>
      </c>
      <c r="CD74" s="1382">
        <f>+BX74*(1+CD75)</f>
        <v>20.832000000000001</v>
      </c>
      <c r="CE74" s="1382">
        <f>+BY74*(1+CE75)</f>
        <v>20.832000000000001</v>
      </c>
      <c r="CF74" s="1383">
        <f>+BZ74*(1+CF75)</f>
        <v>20.832000000000001</v>
      </c>
      <c r="CG74" s="1465">
        <v>19.54</v>
      </c>
      <c r="CH74" s="48"/>
      <c r="CI74" s="1381">
        <f>+CC74*(1+CI75)</f>
        <v>21.873600000000003</v>
      </c>
      <c r="CJ74" s="1382">
        <f>+CD74*(1+CJ75)</f>
        <v>21.873600000000003</v>
      </c>
      <c r="CK74" s="1382">
        <f>+CE74*(1+CK75)</f>
        <v>21.873600000000003</v>
      </c>
      <c r="CL74" s="1383">
        <f>+CF74*(1+CL75)</f>
        <v>21.873600000000003</v>
      </c>
      <c r="CM74" s="158">
        <f>+AVERAGE(CI74:CL74)</f>
        <v>21.873600000000003</v>
      </c>
      <c r="CN74" s="48"/>
      <c r="CO74" s="1381">
        <f>+CI74*(1+CO75)</f>
        <v>22.967280000000006</v>
      </c>
      <c r="CP74" s="1382">
        <f>+CJ74*(1+CP75)</f>
        <v>22.967280000000006</v>
      </c>
      <c r="CQ74" s="1382">
        <f>+CK74*(1+CQ75)</f>
        <v>22.967280000000006</v>
      </c>
      <c r="CR74" s="1383">
        <f>+CL74*(1+CR75)</f>
        <v>22.967280000000006</v>
      </c>
      <c r="CS74" s="158">
        <f>+AVERAGE(CO74:CR74)</f>
        <v>22.967280000000006</v>
      </c>
      <c r="CT74" s="48"/>
      <c r="CU74" s="1381">
        <f>+CO74*(1+CU75)</f>
        <v>24.115644000000007</v>
      </c>
      <c r="CV74" s="1382">
        <f>+CP74*(1+CV75)</f>
        <v>24.115644000000007</v>
      </c>
      <c r="CW74" s="1382">
        <f>+CQ74*(1+CW75)</f>
        <v>24.115644000000007</v>
      </c>
      <c r="CX74" s="1383">
        <f>+CR74*(1+CX75)</f>
        <v>24.115644000000007</v>
      </c>
      <c r="CY74" s="158">
        <f>+AVERAGE(CU74:CX74)</f>
        <v>24.115644000000007</v>
      </c>
      <c r="CZ74" s="20"/>
      <c r="DA74" s="20"/>
      <c r="DB74" s="48"/>
    </row>
    <row r="75" spans="1:106" ht="11.25" customHeight="1" x14ac:dyDescent="0.2">
      <c r="A75" s="422" t="s">
        <v>272</v>
      </c>
      <c r="B75" s="48"/>
      <c r="C75" s="19"/>
      <c r="D75" s="28"/>
      <c r="E75" s="28"/>
      <c r="F75" s="28"/>
      <c r="G75" s="6"/>
      <c r="H75" s="48"/>
      <c r="I75" s="19"/>
      <c r="J75" s="28"/>
      <c r="K75" s="28"/>
      <c r="L75" s="28"/>
      <c r="M75" s="110">
        <f>M74/G74-1</f>
        <v>-0.12732919254658392</v>
      </c>
      <c r="N75" s="48"/>
      <c r="O75" s="19"/>
      <c r="P75" s="28"/>
      <c r="Q75" s="28"/>
      <c r="R75" s="28"/>
      <c r="S75" s="110">
        <f>S74/M74-1</f>
        <v>0.23380782918149468</v>
      </c>
      <c r="T75" s="48"/>
      <c r="U75" s="19"/>
      <c r="V75" s="28"/>
      <c r="W75" s="28"/>
      <c r="X75" s="28"/>
      <c r="Y75" s="110">
        <f>Y74/S74-1</f>
        <v>0.33963080473031426</v>
      </c>
      <c r="Z75" s="48"/>
      <c r="AA75" s="19"/>
      <c r="AB75" s="28"/>
      <c r="AC75" s="28"/>
      <c r="AD75" s="28"/>
      <c r="AE75" s="110">
        <f>AE74/Y74-1</f>
        <v>6.8252772096027536E-2</v>
      </c>
      <c r="AF75" s="48"/>
      <c r="AG75" s="19"/>
      <c r="AH75" s="28"/>
      <c r="AI75" s="28"/>
      <c r="AJ75" s="28"/>
      <c r="AK75" s="110">
        <f>AK74/AE74-1</f>
        <v>0.20991635594074376</v>
      </c>
      <c r="AL75" s="48"/>
      <c r="AM75" s="19"/>
      <c r="AN75" s="28"/>
      <c r="AO75" s="28"/>
      <c r="AP75" s="28"/>
      <c r="AQ75" s="110">
        <f>AQ74/AK74-1</f>
        <v>3.8564051307679481E-2</v>
      </c>
      <c r="AR75" s="48"/>
      <c r="AS75" s="19"/>
      <c r="AT75" s="28"/>
      <c r="AU75" s="28"/>
      <c r="AV75" s="28"/>
      <c r="AW75" s="110">
        <f>AW74/AQ74-1</f>
        <v>3.8575667655786239E-2</v>
      </c>
      <c r="AX75" s="48"/>
      <c r="AY75" s="19"/>
      <c r="AZ75" s="28"/>
      <c r="BA75" s="28"/>
      <c r="BB75" s="28"/>
      <c r="BC75" s="110">
        <f>BC74/AW74-1</f>
        <v>9.343629343629356E-2</v>
      </c>
      <c r="BD75" s="48"/>
      <c r="BE75" s="19"/>
      <c r="BF75" s="28"/>
      <c r="BG75" s="28"/>
      <c r="BH75" s="28"/>
      <c r="BI75" s="110">
        <f>BI74/BC74-1</f>
        <v>0.23870056497175129</v>
      </c>
      <c r="BJ75" s="48"/>
      <c r="BK75" s="19"/>
      <c r="BL75" s="28"/>
      <c r="BM75" s="28"/>
      <c r="BN75" s="28"/>
      <c r="BO75" s="110">
        <f>BO74/BI74-1</f>
        <v>3.9338654503990877E-2</v>
      </c>
      <c r="BP75" s="48"/>
      <c r="BQ75" s="19"/>
      <c r="BR75" s="28"/>
      <c r="BS75" s="28"/>
      <c r="BT75" s="28"/>
      <c r="BU75" s="110">
        <f>BU74/BO74-1</f>
        <v>6.2534284147010455E-2</v>
      </c>
      <c r="BV75" s="48"/>
      <c r="BW75" s="1285"/>
      <c r="BX75" s="1286"/>
      <c r="BY75" s="1286"/>
      <c r="BZ75" s="1286"/>
      <c r="CA75" s="110">
        <f>CA74/BU74-1</f>
        <v>2.4264326277749104E-2</v>
      </c>
      <c r="CB75" s="48"/>
      <c r="CC75" s="1285">
        <v>0.05</v>
      </c>
      <c r="CD75" s="1286">
        <v>0.05</v>
      </c>
      <c r="CE75" s="1286">
        <v>0.05</v>
      </c>
      <c r="CF75" s="1286">
        <v>0.05</v>
      </c>
      <c r="CG75" s="110">
        <f>CG74/CA74-1</f>
        <v>-1.5120967741935498E-2</v>
      </c>
      <c r="CH75" s="48"/>
      <c r="CI75" s="1285">
        <v>0.05</v>
      </c>
      <c r="CJ75" s="1286">
        <v>0.05</v>
      </c>
      <c r="CK75" s="1286">
        <v>0.05</v>
      </c>
      <c r="CL75" s="1286">
        <v>0.05</v>
      </c>
      <c r="CM75" s="110">
        <f>CM74/CG74-1</f>
        <v>0.11942681678608014</v>
      </c>
      <c r="CN75" s="48"/>
      <c r="CO75" s="1285">
        <v>0.05</v>
      </c>
      <c r="CP75" s="1286">
        <v>0.05</v>
      </c>
      <c r="CQ75" s="1286">
        <v>0.05</v>
      </c>
      <c r="CR75" s="1286">
        <v>0.05</v>
      </c>
      <c r="CS75" s="110">
        <f>CS74/CM74-1</f>
        <v>5.0000000000000044E-2</v>
      </c>
      <c r="CT75" s="48"/>
      <c r="CU75" s="1285">
        <v>0.05</v>
      </c>
      <c r="CV75" s="1286">
        <v>0.05</v>
      </c>
      <c r="CW75" s="1286">
        <v>0.05</v>
      </c>
      <c r="CX75" s="1286">
        <v>0.05</v>
      </c>
      <c r="CY75" s="110">
        <f>CY74/CS74-1</f>
        <v>5.0000000000000044E-2</v>
      </c>
      <c r="CZ75" s="20"/>
      <c r="DA75" s="20"/>
      <c r="DB75" s="48"/>
    </row>
    <row r="76" spans="1:106" ht="11.25" hidden="1" customHeight="1" outlineLevel="1" x14ac:dyDescent="0.2">
      <c r="A76" s="73"/>
      <c r="B76" s="48"/>
      <c r="C76" s="19"/>
      <c r="D76" s="28"/>
      <c r="E76" s="28"/>
      <c r="F76" s="28"/>
      <c r="G76" s="6"/>
      <c r="H76" s="48"/>
      <c r="I76" s="19"/>
      <c r="J76" s="28"/>
      <c r="K76" s="28"/>
      <c r="L76" s="28"/>
      <c r="M76" s="6"/>
      <c r="N76" s="48"/>
      <c r="O76" s="19"/>
      <c r="P76" s="28"/>
      <c r="Q76" s="28"/>
      <c r="R76" s="28"/>
      <c r="S76" s="6"/>
      <c r="T76" s="48"/>
      <c r="U76" s="19"/>
      <c r="V76" s="28"/>
      <c r="W76" s="28"/>
      <c r="X76" s="28"/>
      <c r="Y76" s="6"/>
      <c r="Z76" s="48"/>
      <c r="AA76" s="19"/>
      <c r="AB76" s="28"/>
      <c r="AC76" s="28"/>
      <c r="AD76" s="28"/>
      <c r="AE76" s="6"/>
      <c r="AF76" s="48"/>
      <c r="AG76" s="19"/>
      <c r="AH76" s="28"/>
      <c r="AI76" s="28"/>
      <c r="AJ76" s="28"/>
      <c r="AK76" s="6"/>
      <c r="AL76" s="48"/>
      <c r="AM76" s="19"/>
      <c r="AN76" s="28"/>
      <c r="AO76" s="28"/>
      <c r="AP76" s="28"/>
      <c r="AQ76" s="6"/>
      <c r="AR76" s="48"/>
      <c r="AS76" s="19"/>
      <c r="AT76" s="28"/>
      <c r="AU76" s="28"/>
      <c r="AV76" s="28"/>
      <c r="AW76" s="6"/>
      <c r="AX76" s="48"/>
      <c r="AY76" s="19"/>
      <c r="AZ76" s="28"/>
      <c r="BA76" s="28"/>
      <c r="BB76" s="28"/>
      <c r="BC76" s="6"/>
      <c r="BD76" s="48"/>
      <c r="BE76" s="19"/>
      <c r="BF76" s="28"/>
      <c r="BG76" s="28"/>
      <c r="BH76" s="28"/>
      <c r="BI76" s="6"/>
      <c r="BJ76" s="48"/>
      <c r="BK76" s="19"/>
      <c r="BL76" s="28"/>
      <c r="BM76" s="28"/>
      <c r="BN76" s="28"/>
      <c r="BO76" s="6"/>
      <c r="BP76" s="48"/>
      <c r="BQ76" s="19"/>
      <c r="BR76" s="28"/>
      <c r="BS76" s="28"/>
      <c r="BT76" s="28"/>
      <c r="BU76" s="6"/>
      <c r="BV76" s="48"/>
      <c r="BW76" s="19"/>
      <c r="BX76" s="28"/>
      <c r="BY76" s="28"/>
      <c r="BZ76" s="28"/>
      <c r="CA76" s="6"/>
      <c r="CB76" s="48"/>
      <c r="CC76" s="19"/>
      <c r="CD76" s="28"/>
      <c r="CE76" s="28"/>
      <c r="CF76" s="28"/>
      <c r="CG76" s="6"/>
      <c r="CH76" s="48"/>
      <c r="CI76" s="19"/>
      <c r="CJ76" s="28"/>
      <c r="CK76" s="28"/>
      <c r="CL76" s="28"/>
      <c r="CM76" s="6"/>
      <c r="CN76" s="48"/>
      <c r="CO76" s="19"/>
      <c r="CP76" s="28"/>
      <c r="CQ76" s="28"/>
      <c r="CR76" s="28"/>
      <c r="CS76" s="6"/>
      <c r="CT76" s="48"/>
      <c r="CU76" s="19"/>
      <c r="CV76" s="28"/>
      <c r="CW76" s="28"/>
      <c r="CX76" s="28"/>
      <c r="CY76" s="6"/>
      <c r="CZ76" s="20"/>
      <c r="DA76" s="20"/>
      <c r="DB76" s="48"/>
    </row>
    <row r="77" spans="1:106" ht="11.25" hidden="1" customHeight="1" outlineLevel="1" x14ac:dyDescent="0.2">
      <c r="A77" s="423" t="s">
        <v>273</v>
      </c>
      <c r="B77" s="48"/>
      <c r="C77" s="19"/>
      <c r="D77" s="28"/>
      <c r="E77" s="28"/>
      <c r="F77" s="28"/>
      <c r="G77" s="101">
        <f>-G71/G69</f>
        <v>6.0099505840071878E-2</v>
      </c>
      <c r="H77" s="48"/>
      <c r="I77" s="19"/>
      <c r="J77" s="28"/>
      <c r="K77" s="28"/>
      <c r="L77" s="28"/>
      <c r="M77" s="101">
        <f>-M71/M69</f>
        <v>0.1100310942761807</v>
      </c>
      <c r="N77" s="48"/>
      <c r="O77" s="19"/>
      <c r="P77" s="28"/>
      <c r="Q77" s="28"/>
      <c r="R77" s="28"/>
      <c r="S77" s="101">
        <f>-S71/S69</f>
        <v>0.1167936360601665</v>
      </c>
      <c r="T77" s="48"/>
      <c r="U77" s="19"/>
      <c r="V77" s="28"/>
      <c r="W77" s="28"/>
      <c r="X77" s="28"/>
      <c r="Y77" s="101">
        <f>-Y71/Y69</f>
        <v>0.3884811888561972</v>
      </c>
      <c r="Z77" s="48"/>
      <c r="AA77" s="19"/>
      <c r="AB77" s="28"/>
      <c r="AC77" s="28"/>
      <c r="AD77" s="28"/>
      <c r="AE77" s="101">
        <f>-AE71/AE69</f>
        <v>0.11801076879926067</v>
      </c>
      <c r="AF77" s="48"/>
      <c r="AG77" s="19"/>
      <c r="AH77" s="28"/>
      <c r="AI77" s="28"/>
      <c r="AJ77" s="28"/>
      <c r="AK77" s="101">
        <f>-AK71/AK69</f>
        <v>0.21818480513277091</v>
      </c>
      <c r="AL77" s="48"/>
      <c r="AM77" s="19"/>
      <c r="AN77" s="28"/>
      <c r="AO77" s="28"/>
      <c r="AP77" s="28"/>
      <c r="AQ77" s="101">
        <f>-AQ71/AQ69</f>
        <v>0.11163707219860416</v>
      </c>
      <c r="AR77" s="48"/>
      <c r="AS77" s="19"/>
      <c r="AT77" s="28"/>
      <c r="AU77" s="28"/>
      <c r="AV77" s="28"/>
      <c r="AW77" s="101">
        <f>-AW71/AW69</f>
        <v>8.9329417022586427E-2</v>
      </c>
      <c r="AX77" s="48"/>
      <c r="AY77" s="19"/>
      <c r="AZ77" s="28"/>
      <c r="BA77" s="28"/>
      <c r="BB77" s="28"/>
      <c r="BC77" s="424">
        <v>0.2</v>
      </c>
      <c r="BD77" s="48"/>
      <c r="BE77" s="19"/>
      <c r="BF77" s="28"/>
      <c r="BG77" s="28"/>
      <c r="BH77" s="28"/>
      <c r="BI77" s="424"/>
      <c r="BJ77" s="48"/>
      <c r="BK77" s="1285"/>
      <c r="BL77" s="1286"/>
      <c r="BM77" s="1286"/>
      <c r="BN77" s="1286"/>
      <c r="BO77" s="424"/>
      <c r="BP77" s="48"/>
      <c r="BQ77" s="19"/>
      <c r="BR77" s="28"/>
      <c r="BS77" s="28"/>
      <c r="BT77" s="28"/>
      <c r="BU77" s="424"/>
      <c r="BV77" s="48"/>
      <c r="BW77" s="1285"/>
      <c r="BX77" s="1286"/>
      <c r="BY77" s="1286"/>
      <c r="BZ77" s="1286"/>
      <c r="CA77" s="424"/>
      <c r="CB77" s="48"/>
      <c r="CC77" s="1285"/>
      <c r="CD77" s="1286">
        <v>0.1</v>
      </c>
      <c r="CE77" s="1286">
        <v>0.1</v>
      </c>
      <c r="CF77" s="1286">
        <v>0.1</v>
      </c>
      <c r="CG77" s="424">
        <v>0.1</v>
      </c>
      <c r="CH77" s="48"/>
      <c r="CI77" s="1285">
        <v>0.1</v>
      </c>
      <c r="CJ77" s="1286">
        <v>0.1</v>
      </c>
      <c r="CK77" s="1286">
        <v>0.1</v>
      </c>
      <c r="CL77" s="1286">
        <v>0.1</v>
      </c>
      <c r="CM77" s="424">
        <v>0.1</v>
      </c>
      <c r="CN77" s="48"/>
      <c r="CO77" s="1285">
        <v>0.1</v>
      </c>
      <c r="CP77" s="1286">
        <v>0.1</v>
      </c>
      <c r="CQ77" s="1286">
        <v>0.1</v>
      </c>
      <c r="CR77" s="1286">
        <v>0.1</v>
      </c>
      <c r="CS77" s="424">
        <v>0.1</v>
      </c>
      <c r="CT77" s="48"/>
      <c r="CU77" s="1285">
        <v>0.1</v>
      </c>
      <c r="CV77" s="1286">
        <v>0.1</v>
      </c>
      <c r="CW77" s="1286">
        <v>0.1</v>
      </c>
      <c r="CX77" s="1286">
        <v>0.1</v>
      </c>
      <c r="CY77" s="424">
        <v>0.1</v>
      </c>
      <c r="CZ77" s="20"/>
      <c r="DA77" s="20"/>
      <c r="DB77" s="48"/>
    </row>
    <row r="78" spans="1:106" ht="11.25" hidden="1" customHeight="1" outlineLevel="1" x14ac:dyDescent="0.2">
      <c r="A78" s="423" t="s">
        <v>274</v>
      </c>
      <c r="B78" s="48"/>
      <c r="C78" s="19"/>
      <c r="D78" s="28"/>
      <c r="E78" s="28"/>
      <c r="F78" s="28"/>
      <c r="G78" s="101">
        <f>-G72/G69</f>
        <v>0.12721413596885295</v>
      </c>
      <c r="H78" s="48"/>
      <c r="I78" s="19"/>
      <c r="J78" s="28"/>
      <c r="K78" s="28"/>
      <c r="L78" s="28"/>
      <c r="M78" s="101">
        <f>-M72/M69</f>
        <v>5.9492529701889341E-2</v>
      </c>
      <c r="N78" s="48"/>
      <c r="O78" s="19"/>
      <c r="P78" s="28"/>
      <c r="Q78" s="28"/>
      <c r="R78" s="28"/>
      <c r="S78" s="101">
        <f>-S72/S69</f>
        <v>3.5595840944197377E-2</v>
      </c>
      <c r="T78" s="48"/>
      <c r="U78" s="19"/>
      <c r="V78" s="28"/>
      <c r="W78" s="28"/>
      <c r="X78" s="28"/>
      <c r="Y78" s="101">
        <f>-Y72/Y69</f>
        <v>2.7456486936970038E-2</v>
      </c>
      <c r="Z78" s="48"/>
      <c r="AA78" s="19"/>
      <c r="AB78" s="28"/>
      <c r="AC78" s="28"/>
      <c r="AD78" s="28"/>
      <c r="AE78" s="101">
        <f>-AE72/AE69</f>
        <v>1.5793511385249259E-2</v>
      </c>
      <c r="AF78" s="48"/>
      <c r="AG78" s="19"/>
      <c r="AH78" s="28"/>
      <c r="AI78" s="28"/>
      <c r="AJ78" s="28"/>
      <c r="AK78" s="101">
        <f>-AK72/AK69</f>
        <v>2.367913330574533E-2</v>
      </c>
      <c r="AL78" s="48"/>
      <c r="AM78" s="19"/>
      <c r="AN78" s="28"/>
      <c r="AO78" s="28"/>
      <c r="AP78" s="28"/>
      <c r="AQ78" s="101">
        <f>-AQ72/AQ69</f>
        <v>7.183442151411347E-2</v>
      </c>
      <c r="AR78" s="48"/>
      <c r="AS78" s="19"/>
      <c r="AT78" s="28"/>
      <c r="AU78" s="28"/>
      <c r="AV78" s="28"/>
      <c r="AW78" s="101">
        <f>-AW72/AW69</f>
        <v>0.10255835358929007</v>
      </c>
      <c r="AX78" s="48"/>
      <c r="AY78" s="19"/>
      <c r="AZ78" s="28"/>
      <c r="BA78" s="28"/>
      <c r="BB78" s="28"/>
      <c r="BC78" s="424">
        <v>0.12</v>
      </c>
      <c r="BD78" s="48"/>
      <c r="BE78" s="19"/>
      <c r="BF78" s="28"/>
      <c r="BG78" s="28"/>
      <c r="BH78" s="28"/>
      <c r="BI78" s="424"/>
      <c r="BJ78" s="48"/>
      <c r="BK78" s="1285"/>
      <c r="BL78" s="1286"/>
      <c r="BM78" s="1286"/>
      <c r="BN78" s="1286"/>
      <c r="BO78" s="424"/>
      <c r="BP78" s="48"/>
      <c r="BQ78" s="19"/>
      <c r="BR78" s="28"/>
      <c r="BS78" s="28"/>
      <c r="BT78" s="28"/>
      <c r="BU78" s="424"/>
      <c r="BV78" s="48"/>
      <c r="BW78" s="1285"/>
      <c r="BX78" s="1286"/>
      <c r="BY78" s="1286"/>
      <c r="BZ78" s="1286"/>
      <c r="CA78" s="424"/>
      <c r="CB78" s="48"/>
      <c r="CC78" s="1285"/>
      <c r="CD78" s="1286">
        <v>0.11</v>
      </c>
      <c r="CE78" s="1286">
        <v>0.11</v>
      </c>
      <c r="CF78" s="1286">
        <v>0.11</v>
      </c>
      <c r="CG78" s="424">
        <v>0.11</v>
      </c>
      <c r="CH78" s="48"/>
      <c r="CI78" s="1285">
        <v>0.11</v>
      </c>
      <c r="CJ78" s="1286">
        <v>0.11</v>
      </c>
      <c r="CK78" s="1286">
        <v>0.11</v>
      </c>
      <c r="CL78" s="1286">
        <v>0.11</v>
      </c>
      <c r="CM78" s="424">
        <v>0.11</v>
      </c>
      <c r="CN78" s="48"/>
      <c r="CO78" s="1285">
        <v>0.11</v>
      </c>
      <c r="CP78" s="1286">
        <v>0.11</v>
      </c>
      <c r="CQ78" s="1286">
        <v>0.11</v>
      </c>
      <c r="CR78" s="1286">
        <v>0.11</v>
      </c>
      <c r="CS78" s="424">
        <v>0.11</v>
      </c>
      <c r="CT78" s="48"/>
      <c r="CU78" s="1285">
        <v>0.11</v>
      </c>
      <c r="CV78" s="1286">
        <v>0.11</v>
      </c>
      <c r="CW78" s="1286">
        <v>0.11</v>
      </c>
      <c r="CX78" s="1286">
        <v>0.11</v>
      </c>
      <c r="CY78" s="424">
        <v>0.11</v>
      </c>
      <c r="CZ78" s="20"/>
      <c r="DA78" s="20"/>
      <c r="DB78" s="48"/>
    </row>
    <row r="79" spans="1:106" ht="11.25" hidden="1" customHeight="1" outlineLevel="1" x14ac:dyDescent="0.2">
      <c r="A79" s="73" t="s">
        <v>275</v>
      </c>
      <c r="B79" s="48"/>
      <c r="C79" s="19"/>
      <c r="D79" s="28"/>
      <c r="E79" s="28"/>
      <c r="F79" s="28"/>
      <c r="G79" s="101">
        <f>G70/G69</f>
        <v>0.16423330338424677</v>
      </c>
      <c r="H79" s="48"/>
      <c r="I79" s="19"/>
      <c r="J79" s="28"/>
      <c r="K79" s="28"/>
      <c r="L79" s="28"/>
      <c r="M79" s="101">
        <f>M70/M69</f>
        <v>0.21072279266162508</v>
      </c>
      <c r="N79" s="48"/>
      <c r="O79" s="19"/>
      <c r="P79" s="28"/>
      <c r="Q79" s="28"/>
      <c r="R79" s="28"/>
      <c r="S79" s="101">
        <f>S70/S69</f>
        <v>1.4832213801761389E-2</v>
      </c>
      <c r="T79" s="48"/>
      <c r="U79" s="19"/>
      <c r="V79" s="28"/>
      <c r="W79" s="28"/>
      <c r="X79" s="28"/>
      <c r="Y79" s="101">
        <f>Y70/Y69</f>
        <v>0.3857326809563813</v>
      </c>
      <c r="Z79" s="48"/>
      <c r="AA79" s="19"/>
      <c r="AB79" s="28"/>
      <c r="AC79" s="28"/>
      <c r="AD79" s="28"/>
      <c r="AE79" s="101">
        <f>AE70/AE69</f>
        <v>3.8083135778029076E-2</v>
      </c>
      <c r="AF79" s="48"/>
      <c r="AG79" s="19"/>
      <c r="AH79" s="28"/>
      <c r="AI79" s="28"/>
      <c r="AJ79" s="28"/>
      <c r="AK79" s="101">
        <f>AK70/AK69</f>
        <v>4.7855395758791545E-2</v>
      </c>
      <c r="AL79" s="48"/>
      <c r="AM79" s="19"/>
      <c r="AN79" s="28"/>
      <c r="AO79" s="28"/>
      <c r="AP79" s="28"/>
      <c r="AQ79" s="101">
        <f>AQ70/AQ69</f>
        <v>6.886167205957236E-2</v>
      </c>
      <c r="AR79" s="48"/>
      <c r="AS79" s="19"/>
      <c r="AT79" s="28"/>
      <c r="AU79" s="28"/>
      <c r="AV79" s="28"/>
      <c r="AW79" s="101">
        <f>AW70/AW69</f>
        <v>8.2101235187171037E-2</v>
      </c>
      <c r="AX79" s="48"/>
      <c r="AY79" s="19"/>
      <c r="AZ79" s="28"/>
      <c r="BA79" s="28"/>
      <c r="BB79" s="28"/>
      <c r="BC79" s="424">
        <v>0.05</v>
      </c>
      <c r="BD79" s="48"/>
      <c r="BE79" s="19"/>
      <c r="BF79" s="28"/>
      <c r="BG79" s="28"/>
      <c r="BH79" s="28"/>
      <c r="BI79" s="424"/>
      <c r="BJ79" s="48"/>
      <c r="BK79" s="1285"/>
      <c r="BL79" s="1286"/>
      <c r="BM79" s="1286"/>
      <c r="BN79" s="1286"/>
      <c r="BO79" s="424"/>
      <c r="BP79" s="48"/>
      <c r="BQ79" s="19"/>
      <c r="BR79" s="28"/>
      <c r="BS79" s="28"/>
      <c r="BT79" s="28"/>
      <c r="BU79" s="424"/>
      <c r="BV79" s="48"/>
      <c r="BW79" s="1285"/>
      <c r="BX79" s="1286"/>
      <c r="BY79" s="1286"/>
      <c r="BZ79" s="1286"/>
      <c r="CA79" s="424"/>
      <c r="CB79" s="48"/>
      <c r="CC79" s="1285"/>
      <c r="CD79" s="1286">
        <v>0.09</v>
      </c>
      <c r="CE79" s="1286">
        <v>0.09</v>
      </c>
      <c r="CF79" s="1286">
        <v>0.09</v>
      </c>
      <c r="CG79" s="424">
        <v>0.09</v>
      </c>
      <c r="CH79" s="48"/>
      <c r="CI79" s="1285">
        <v>0.09</v>
      </c>
      <c r="CJ79" s="1286">
        <v>0.09</v>
      </c>
      <c r="CK79" s="1286">
        <v>0.09</v>
      </c>
      <c r="CL79" s="1286">
        <v>0.09</v>
      </c>
      <c r="CM79" s="424">
        <v>0.09</v>
      </c>
      <c r="CN79" s="48"/>
      <c r="CO79" s="1285">
        <v>0.09</v>
      </c>
      <c r="CP79" s="1286">
        <v>0.09</v>
      </c>
      <c r="CQ79" s="1286">
        <v>0.09</v>
      </c>
      <c r="CR79" s="1286">
        <v>0.09</v>
      </c>
      <c r="CS79" s="424">
        <v>0.09</v>
      </c>
      <c r="CT79" s="48"/>
      <c r="CU79" s="1285">
        <v>0.09</v>
      </c>
      <c r="CV79" s="1286">
        <v>0.09</v>
      </c>
      <c r="CW79" s="1286">
        <v>0.09</v>
      </c>
      <c r="CX79" s="1286">
        <v>0.09</v>
      </c>
      <c r="CY79" s="424">
        <v>0.09</v>
      </c>
      <c r="CZ79" s="20"/>
      <c r="DA79" s="20"/>
      <c r="DB79" s="48"/>
    </row>
    <row r="80" spans="1:106" ht="11.25" hidden="1" customHeight="1" outlineLevel="1" x14ac:dyDescent="0.2">
      <c r="A80" s="73"/>
      <c r="B80" s="48"/>
      <c r="C80" s="19"/>
      <c r="D80" s="28"/>
      <c r="E80" s="28"/>
      <c r="F80" s="28"/>
      <c r="G80" s="6"/>
      <c r="H80" s="48"/>
      <c r="I80" s="19"/>
      <c r="J80" s="28"/>
      <c r="K80" s="28"/>
      <c r="L80" s="28"/>
      <c r="M80" s="6"/>
      <c r="N80" s="48"/>
      <c r="O80" s="19"/>
      <c r="P80" s="28"/>
      <c r="Q80" s="28"/>
      <c r="R80" s="28"/>
      <c r="S80" s="6"/>
      <c r="T80" s="48"/>
      <c r="U80" s="19"/>
      <c r="V80" s="28"/>
      <c r="W80" s="28"/>
      <c r="X80" s="28"/>
      <c r="Y80" s="6"/>
      <c r="Z80" s="48"/>
      <c r="AA80" s="19"/>
      <c r="AB80" s="28"/>
      <c r="AC80" s="28"/>
      <c r="AD80" s="28"/>
      <c r="AE80" s="6"/>
      <c r="AF80" s="48"/>
      <c r="AG80" s="19"/>
      <c r="AH80" s="28"/>
      <c r="AI80" s="28"/>
      <c r="AJ80" s="28"/>
      <c r="AK80" s="6"/>
      <c r="AL80" s="48"/>
      <c r="AM80" s="19"/>
      <c r="AN80" s="28"/>
      <c r="AO80" s="28"/>
      <c r="AP80" s="28"/>
      <c r="AQ80" s="6"/>
      <c r="AR80" s="48"/>
      <c r="AS80" s="19"/>
      <c r="AT80" s="28"/>
      <c r="AU80" s="28"/>
      <c r="AV80" s="28"/>
      <c r="AW80" s="6"/>
      <c r="AX80" s="48"/>
      <c r="AY80" s="19"/>
      <c r="AZ80" s="28"/>
      <c r="BA80" s="28"/>
      <c r="BB80" s="28"/>
      <c r="BC80" s="6"/>
      <c r="BD80" s="48"/>
      <c r="BE80" s="19"/>
      <c r="BF80" s="28"/>
      <c r="BG80" s="28"/>
      <c r="BH80" s="28"/>
      <c r="BI80" s="6"/>
      <c r="BJ80" s="48"/>
      <c r="BK80" s="19"/>
      <c r="BL80" s="28"/>
      <c r="BM80" s="28"/>
      <c r="BN80" s="28"/>
      <c r="BO80" s="6"/>
      <c r="BP80" s="48"/>
      <c r="BQ80" s="19"/>
      <c r="BR80" s="28"/>
      <c r="BS80" s="28"/>
      <c r="BT80" s="28"/>
      <c r="BU80" s="6"/>
      <c r="BV80" s="48"/>
      <c r="BW80" s="19"/>
      <c r="BX80" s="28"/>
      <c r="BY80" s="28"/>
      <c r="BZ80" s="28"/>
      <c r="CA80" s="6"/>
      <c r="CB80" s="48"/>
      <c r="CC80" s="19"/>
      <c r="CD80" s="28"/>
      <c r="CE80" s="28"/>
      <c r="CF80" s="28"/>
      <c r="CG80" s="6"/>
      <c r="CH80" s="48"/>
      <c r="CI80" s="19"/>
      <c r="CJ80" s="28"/>
      <c r="CK80" s="28"/>
      <c r="CL80" s="28"/>
      <c r="CM80" s="6"/>
      <c r="CN80" s="48"/>
      <c r="CO80" s="19"/>
      <c r="CP80" s="28"/>
      <c r="CQ80" s="28"/>
      <c r="CR80" s="28"/>
      <c r="CS80" s="6"/>
      <c r="CT80" s="48"/>
      <c r="CU80" s="19"/>
      <c r="CV80" s="28"/>
      <c r="CW80" s="28"/>
      <c r="CX80" s="28"/>
      <c r="CY80" s="6"/>
      <c r="CZ80" s="20"/>
      <c r="DA80" s="20"/>
      <c r="DB80" s="48"/>
    </row>
    <row r="81" spans="1:106" ht="11.25" hidden="1" customHeight="1" outlineLevel="1" x14ac:dyDescent="0.2">
      <c r="A81" s="72" t="s">
        <v>276</v>
      </c>
      <c r="B81" s="48"/>
      <c r="C81" s="19"/>
      <c r="D81" s="28"/>
      <c r="E81" s="28"/>
      <c r="F81" s="28"/>
      <c r="G81" s="98">
        <f>-G71*G74</f>
        <v>5.1693171600000003</v>
      </c>
      <c r="H81" s="48"/>
      <c r="I81" s="19"/>
      <c r="J81" s="28"/>
      <c r="K81" s="28"/>
      <c r="L81" s="28"/>
      <c r="M81" s="98">
        <f>-M71*M74</f>
        <v>8.0683923399999991</v>
      </c>
      <c r="N81" s="48"/>
      <c r="O81" s="19"/>
      <c r="P81" s="28"/>
      <c r="Q81" s="28"/>
      <c r="R81" s="28"/>
      <c r="S81" s="98">
        <f>-S71*S74</f>
        <v>11.002011383999999</v>
      </c>
      <c r="T81" s="48"/>
      <c r="U81" s="19"/>
      <c r="V81" s="28"/>
      <c r="W81" s="28"/>
      <c r="X81" s="28"/>
      <c r="Y81" s="98">
        <f>-Y71*Y74</f>
        <v>42.280323295000002</v>
      </c>
      <c r="Z81" s="48"/>
      <c r="AA81" s="19"/>
      <c r="AB81" s="28"/>
      <c r="AC81" s="28"/>
      <c r="AD81" s="28"/>
      <c r="AE81" s="98">
        <f>-AE71*AE74</f>
        <v>13.305889621999999</v>
      </c>
      <c r="AF81" s="48"/>
      <c r="AG81" s="19"/>
      <c r="AH81" s="28"/>
      <c r="AI81" s="28"/>
      <c r="AJ81" s="28"/>
      <c r="AK81" s="98">
        <f>-AK71*AK74</f>
        <v>26.915627088000001</v>
      </c>
      <c r="AL81" s="48"/>
      <c r="AM81" s="19"/>
      <c r="AN81" s="28"/>
      <c r="AO81" s="28"/>
      <c r="AP81" s="28"/>
      <c r="AQ81" s="98">
        <f>-AQ71*AQ74</f>
        <v>11.527952101</v>
      </c>
      <c r="AR81" s="48"/>
      <c r="AS81" s="19"/>
      <c r="AT81" s="28"/>
      <c r="AU81" s="28"/>
      <c r="AV81" s="28"/>
      <c r="AW81" s="98">
        <f>-AW71*AW74</f>
        <v>8.4822500000000005</v>
      </c>
      <c r="AX81" s="48"/>
      <c r="AY81" s="19"/>
      <c r="AZ81" s="28"/>
      <c r="BA81" s="28"/>
      <c r="BB81" s="28"/>
      <c r="BC81" s="98">
        <f>-BC71*BC74</f>
        <v>18.485627952000002</v>
      </c>
      <c r="BD81" s="48"/>
      <c r="BE81" s="19"/>
      <c r="BF81" s="28"/>
      <c r="BG81" s="28"/>
      <c r="BH81" s="28"/>
      <c r="BI81" s="98">
        <f>-BI71*BI74</f>
        <v>42.060920000000003</v>
      </c>
      <c r="BJ81" s="48"/>
      <c r="BK81" s="19"/>
      <c r="BL81" s="28"/>
      <c r="BM81" s="28"/>
      <c r="BN81" s="28"/>
      <c r="BO81" s="98">
        <f>-BO71*BO74</f>
        <v>14.419930000000001</v>
      </c>
      <c r="BP81" s="48"/>
      <c r="BQ81" s="19"/>
      <c r="BR81" s="28"/>
      <c r="BS81" s="28"/>
      <c r="BT81" s="28"/>
      <c r="BU81" s="98">
        <f>-BU71*BU74</f>
        <v>12.958530000000001</v>
      </c>
      <c r="BV81" s="48"/>
      <c r="BW81" s="19"/>
      <c r="BX81" s="28"/>
      <c r="BY81" s="28"/>
      <c r="BZ81" s="28"/>
      <c r="CA81" s="98">
        <f>-CA71*CA74</f>
        <v>7.0233599999999994</v>
      </c>
      <c r="CB81" s="48"/>
      <c r="CC81" s="19"/>
      <c r="CD81" s="28"/>
      <c r="CE81" s="28"/>
      <c r="CF81" s="28"/>
      <c r="CG81" s="6"/>
      <c r="CH81" s="48"/>
      <c r="CI81" s="19">
        <f>-CI71*CI74</f>
        <v>2.5132766400000008</v>
      </c>
      <c r="CJ81" s="28">
        <f>-CJ71*CJ74</f>
        <v>2.211683443200001</v>
      </c>
      <c r="CK81" s="28">
        <f>-CK71*CK74</f>
        <v>1.946281430016001</v>
      </c>
      <c r="CL81" s="28">
        <f>-CL71*CL74</f>
        <v>1.7127276584140807</v>
      </c>
      <c r="CM81" s="6">
        <f>+SUM(CI81:CL81)</f>
        <v>8.3839691716300848</v>
      </c>
      <c r="CN81" s="48"/>
      <c r="CO81" s="19">
        <f>-CO71*CO74</f>
        <v>1.5825603563746109</v>
      </c>
      <c r="CP81" s="28">
        <f>-CP71*CP74</f>
        <v>1.3926531136096576</v>
      </c>
      <c r="CQ81" s="28">
        <f>-CQ71*CQ74</f>
        <v>1.2255347399764986</v>
      </c>
      <c r="CR81" s="28">
        <f>-CR71*CR74</f>
        <v>1.0784705711793188</v>
      </c>
      <c r="CS81" s="6">
        <f>+SUM(CO81:CR81)</f>
        <v>5.2792187811400861</v>
      </c>
      <c r="CT81" s="48"/>
      <c r="CU81" s="19">
        <f>-CU71*CU74</f>
        <v>0.99650680776969047</v>
      </c>
      <c r="CV81" s="28">
        <f>-CV71*CV74</f>
        <v>0.87692599083732758</v>
      </c>
      <c r="CW81" s="28">
        <f>-CW71*CW74</f>
        <v>0.77169487193684849</v>
      </c>
      <c r="CX81" s="28">
        <f>-CX71*CX74</f>
        <v>0.67909148730442659</v>
      </c>
      <c r="CY81" s="6">
        <f>+SUM(CU81:CX81)</f>
        <v>3.3242191578482934</v>
      </c>
      <c r="CZ81" s="20"/>
      <c r="DA81" s="20"/>
      <c r="DB81" s="48"/>
    </row>
    <row r="82" spans="1:106" ht="11.25" hidden="1" customHeight="1" outlineLevel="1" x14ac:dyDescent="0.2">
      <c r="A82" s="73"/>
      <c r="B82" s="48"/>
      <c r="C82" s="19"/>
      <c r="D82" s="28"/>
      <c r="E82" s="28"/>
      <c r="F82" s="28"/>
      <c r="G82" s="6"/>
      <c r="H82" s="48"/>
      <c r="I82" s="19"/>
      <c r="J82" s="28"/>
      <c r="K82" s="28"/>
      <c r="L82" s="28"/>
      <c r="M82" s="6"/>
      <c r="N82" s="48"/>
      <c r="O82" s="19"/>
      <c r="P82" s="28"/>
      <c r="Q82" s="28"/>
      <c r="R82" s="28"/>
      <c r="S82" s="6"/>
      <c r="T82" s="48"/>
      <c r="U82" s="19"/>
      <c r="V82" s="28"/>
      <c r="W82" s="28"/>
      <c r="X82" s="28"/>
      <c r="Y82" s="6"/>
      <c r="Z82" s="48"/>
      <c r="AA82" s="19"/>
      <c r="AB82" s="28"/>
      <c r="AC82" s="28"/>
      <c r="AD82" s="28"/>
      <c r="AE82" s="6"/>
      <c r="AF82" s="48"/>
      <c r="AG82" s="19"/>
      <c r="AH82" s="28"/>
      <c r="AI82" s="28"/>
      <c r="AJ82" s="28"/>
      <c r="AK82" s="6"/>
      <c r="AL82" s="48"/>
      <c r="AM82" s="19"/>
      <c r="AN82" s="28"/>
      <c r="AO82" s="28"/>
      <c r="AP82" s="28"/>
      <c r="AQ82" s="6"/>
      <c r="AR82" s="48"/>
      <c r="AS82" s="19"/>
      <c r="AT82" s="28"/>
      <c r="AU82" s="28"/>
      <c r="AV82" s="28"/>
      <c r="AW82" s="6"/>
      <c r="AX82" s="48"/>
      <c r="AY82" s="19"/>
      <c r="AZ82" s="28"/>
      <c r="BA82" s="28"/>
      <c r="BB82" s="28"/>
      <c r="BC82" s="6"/>
      <c r="BD82" s="48"/>
      <c r="BE82" s="19"/>
      <c r="BF82" s="28"/>
      <c r="BG82" s="28"/>
      <c r="BH82" s="28"/>
      <c r="BI82" s="6"/>
      <c r="BJ82" s="48"/>
      <c r="BK82" s="19"/>
      <c r="BL82" s="28"/>
      <c r="BM82" s="28"/>
      <c r="BN82" s="28"/>
      <c r="BO82" s="6"/>
      <c r="BP82" s="48"/>
      <c r="BQ82" s="19"/>
      <c r="BR82" s="28"/>
      <c r="BS82" s="28"/>
      <c r="BT82" s="28"/>
      <c r="BU82" s="6"/>
      <c r="BV82" s="48"/>
      <c r="BW82" s="19"/>
      <c r="BX82" s="28"/>
      <c r="BY82" s="28"/>
      <c r="BZ82" s="28"/>
      <c r="CA82" s="6"/>
      <c r="CB82" s="48"/>
      <c r="CC82" s="19"/>
      <c r="CD82" s="28"/>
      <c r="CE82" s="28"/>
      <c r="CF82" s="28"/>
      <c r="CG82" s="6"/>
      <c r="CH82" s="48"/>
      <c r="CI82" s="19"/>
      <c r="CJ82" s="28"/>
      <c r="CK82" s="28"/>
      <c r="CL82" s="28"/>
      <c r="CM82" s="6"/>
      <c r="CN82" s="48"/>
      <c r="CO82" s="19"/>
      <c r="CP82" s="28"/>
      <c r="CQ82" s="28"/>
      <c r="CR82" s="28"/>
      <c r="CS82" s="6"/>
      <c r="CT82" s="48"/>
      <c r="CU82" s="19"/>
      <c r="CV82" s="28"/>
      <c r="CW82" s="28"/>
      <c r="CX82" s="28"/>
      <c r="CY82" s="6"/>
      <c r="CZ82" s="20"/>
      <c r="DA82" s="20"/>
      <c r="DB82" s="48"/>
    </row>
    <row r="83" spans="1:106" ht="11.25" hidden="1" customHeight="1" outlineLevel="1" x14ac:dyDescent="0.2">
      <c r="A83" s="70" t="s">
        <v>277</v>
      </c>
      <c r="B83" s="48"/>
      <c r="C83" s="19"/>
      <c r="D83" s="28"/>
      <c r="E83" s="28"/>
      <c r="F83" s="28"/>
      <c r="G83" s="6"/>
      <c r="H83" s="48"/>
      <c r="I83" s="19"/>
      <c r="J83" s="28"/>
      <c r="K83" s="28"/>
      <c r="L83" s="28"/>
      <c r="M83" s="6"/>
      <c r="N83" s="48"/>
      <c r="O83" s="19"/>
      <c r="P83" s="28"/>
      <c r="Q83" s="28"/>
      <c r="R83" s="28"/>
      <c r="S83" s="6"/>
      <c r="T83" s="48"/>
      <c r="U83" s="19"/>
      <c r="V83" s="28"/>
      <c r="W83" s="28"/>
      <c r="X83" s="28"/>
      <c r="Y83" s="6"/>
      <c r="Z83" s="48"/>
      <c r="AA83" s="19"/>
      <c r="AB83" s="28"/>
      <c r="AC83" s="28"/>
      <c r="AD83" s="28"/>
      <c r="AE83" s="6"/>
      <c r="AF83" s="48"/>
      <c r="AG83" s="19"/>
      <c r="AH83" s="28"/>
      <c r="AI83" s="28"/>
      <c r="AJ83" s="28"/>
      <c r="AK83" s="6"/>
      <c r="AL83" s="48"/>
      <c r="AM83" s="19"/>
      <c r="AN83" s="28"/>
      <c r="AO83" s="28"/>
      <c r="AP83" s="28"/>
      <c r="AQ83" s="6"/>
      <c r="AR83" s="48"/>
      <c r="AS83" s="19"/>
      <c r="AT83" s="28"/>
      <c r="AU83" s="28"/>
      <c r="AV83" s="28"/>
      <c r="AW83" s="6"/>
      <c r="AX83" s="48"/>
      <c r="AY83" s="19"/>
      <c r="AZ83" s="28"/>
      <c r="BA83" s="28"/>
      <c r="BB83" s="28"/>
      <c r="BC83" s="6"/>
      <c r="BD83" s="48"/>
      <c r="BE83" s="19"/>
      <c r="BF83" s="28"/>
      <c r="BG83" s="28"/>
      <c r="BH83" s="28"/>
      <c r="BI83" s="6"/>
      <c r="BJ83" s="48"/>
      <c r="BK83" s="19"/>
      <c r="BL83" s="28"/>
      <c r="BM83" s="28"/>
      <c r="BN83" s="28"/>
      <c r="BO83" s="6"/>
      <c r="BP83" s="58"/>
      <c r="BQ83" s="20"/>
      <c r="BR83" s="28"/>
      <c r="BS83" s="28"/>
      <c r="BT83" s="28"/>
      <c r="BU83" s="6"/>
      <c r="BV83" s="58"/>
      <c r="BW83" s="20"/>
      <c r="BX83" s="28"/>
      <c r="BY83" s="28"/>
      <c r="BZ83" s="28"/>
      <c r="CA83" s="6"/>
      <c r="CB83" s="58"/>
      <c r="CC83" s="20"/>
      <c r="CD83" s="28"/>
      <c r="CE83" s="28"/>
      <c r="CF83" s="28"/>
      <c r="CG83" s="6"/>
      <c r="CH83" s="58"/>
      <c r="CI83" s="20"/>
      <c r="CJ83" s="28"/>
      <c r="CK83" s="28"/>
      <c r="CL83" s="28"/>
      <c r="CM83" s="6"/>
      <c r="CN83" s="58"/>
      <c r="CO83" s="20"/>
      <c r="CP83" s="28"/>
      <c r="CQ83" s="28"/>
      <c r="CR83" s="28"/>
      <c r="CS83" s="6"/>
      <c r="CT83" s="58"/>
      <c r="CU83" s="20"/>
      <c r="CV83" s="28"/>
      <c r="CW83" s="28"/>
      <c r="CX83" s="28"/>
      <c r="CY83" s="6"/>
      <c r="CZ83" s="20"/>
      <c r="DA83" s="20"/>
      <c r="DB83" s="48"/>
    </row>
    <row r="84" spans="1:106" ht="11.25" hidden="1" customHeight="1" outlineLevel="1" x14ac:dyDescent="0.2">
      <c r="A84" s="62" t="s">
        <v>158</v>
      </c>
      <c r="B84" s="48"/>
      <c r="C84" s="19"/>
      <c r="D84" s="28"/>
      <c r="E84" s="28"/>
      <c r="F84" s="28"/>
      <c r="G84" s="87">
        <v>0</v>
      </c>
      <c r="H84" s="48"/>
      <c r="I84" s="102">
        <v>0</v>
      </c>
      <c r="J84" s="82">
        <v>0</v>
      </c>
      <c r="K84" s="82">
        <v>0</v>
      </c>
      <c r="L84" s="82">
        <v>0</v>
      </c>
      <c r="M84" s="86">
        <f>SUM(I84:L84)</f>
        <v>0</v>
      </c>
      <c r="N84" s="48"/>
      <c r="O84" s="102">
        <v>0</v>
      </c>
      <c r="P84" s="82">
        <v>0</v>
      </c>
      <c r="Q84" s="82">
        <v>0</v>
      </c>
      <c r="R84" s="82">
        <v>0</v>
      </c>
      <c r="S84" s="86">
        <f>SUM(O84:R84)</f>
        <v>0</v>
      </c>
      <c r="T84" s="48"/>
      <c r="U84" s="102">
        <v>0</v>
      </c>
      <c r="V84" s="82">
        <v>0</v>
      </c>
      <c r="W84" s="82">
        <v>0</v>
      </c>
      <c r="X84" s="82">
        <v>0</v>
      </c>
      <c r="Y84" s="86">
        <f>SUM(U84:X84)</f>
        <v>0</v>
      </c>
      <c r="Z84" s="48"/>
      <c r="AA84" s="102">
        <v>0</v>
      </c>
      <c r="AB84" s="82">
        <v>0</v>
      </c>
      <c r="AC84" s="82">
        <v>0</v>
      </c>
      <c r="AD84" s="82">
        <v>0</v>
      </c>
      <c r="AE84" s="86">
        <f>SUM(AA84:AD84)</f>
        <v>0</v>
      </c>
      <c r="AF84" s="48"/>
      <c r="AG84" s="102">
        <v>0</v>
      </c>
      <c r="AH84" s="82">
        <v>0</v>
      </c>
      <c r="AI84" s="82">
        <v>0</v>
      </c>
      <c r="AJ84" s="82">
        <v>0</v>
      </c>
      <c r="AK84" s="86">
        <f>SUM(AG84:AJ84)</f>
        <v>0</v>
      </c>
      <c r="AL84" s="48"/>
      <c r="AM84" s="102">
        <v>0</v>
      </c>
      <c r="AN84" s="82">
        <v>0</v>
      </c>
      <c r="AO84" s="82">
        <v>0</v>
      </c>
      <c r="AP84" s="82">
        <v>0</v>
      </c>
      <c r="AQ84" s="86">
        <f>SUM(AM84:AP84)</f>
        <v>0</v>
      </c>
      <c r="AR84" s="48"/>
      <c r="AS84" s="102">
        <v>0</v>
      </c>
      <c r="AT84" s="82">
        <v>0</v>
      </c>
      <c r="AU84" s="82">
        <v>0</v>
      </c>
      <c r="AV84" s="82">
        <v>0</v>
      </c>
      <c r="AW84" s="86">
        <f>SUM(AS84:AV84)</f>
        <v>0</v>
      </c>
      <c r="AX84" s="48"/>
      <c r="AY84" s="102">
        <v>0</v>
      </c>
      <c r="AZ84" s="82">
        <v>0</v>
      </c>
      <c r="BA84" s="82">
        <v>0.5</v>
      </c>
      <c r="BB84" s="84">
        <f>IF(ISERROR(-BB85/BB86),"0.0",(-BB85/BB86))</f>
        <v>0</v>
      </c>
      <c r="BC84" s="86">
        <f>SUM(AY84:BB84)</f>
        <v>0.5</v>
      </c>
      <c r="BD84" s="58"/>
      <c r="BE84" s="84">
        <f>IF(ISERROR(-BE85/BE86),"0.0",(-BE85/BE86))</f>
        <v>-0.83785620411686124</v>
      </c>
      <c r="BF84" s="84">
        <f>IF(ISERROR(-BF85/BF86),"0.0",(-BF85/BF86))</f>
        <v>-4.8000145127439921E-2</v>
      </c>
      <c r="BG84" s="84">
        <f>IF(ISERROR(-BG85/BG86),"0.0",(-BG85/BG86))</f>
        <v>-0.17268796216440066</v>
      </c>
      <c r="BH84" s="977">
        <f>IF(ISERROR(-BH85/BH86),"0.0",(-BH85/BH86))</f>
        <v>4.7752624595568225</v>
      </c>
      <c r="BI84" s="86">
        <f>SUM(BE84:BH84)</f>
        <v>3.7167181481481206</v>
      </c>
      <c r="BJ84" s="58"/>
      <c r="BK84" s="84">
        <f>IF(ISERROR(-BK85/BK86),"0.0",(-BK85/BK86))</f>
        <v>1.8102586975914361</v>
      </c>
      <c r="BL84" s="84">
        <f>IF(ISERROR(-BL85/BL86),"0.0",(-BL85/BL86))</f>
        <v>1.2907495931743562</v>
      </c>
      <c r="BM84" s="84">
        <f>IF(ISERROR(-BM85/BM86),"0.0",(-BM85/BM86))</f>
        <v>0.51244921173620495</v>
      </c>
      <c r="BN84" s="84">
        <f>IF(ISERROR(-BN85/BN86),"0.0",(-BN85/BN86))</f>
        <v>1.9452240076407783</v>
      </c>
      <c r="BO84" s="86">
        <f>SUM(BK84:BN84)</f>
        <v>5.5586815101427751</v>
      </c>
      <c r="BP84" s="58"/>
      <c r="BQ84" s="84">
        <f>IF(ISERROR(-BQ85/BQ86),"0.0",(-BQ85/BQ86))</f>
        <v>-0.15663510164388297</v>
      </c>
      <c r="BR84" s="84">
        <f>IF(ISERROR(-BR85/BR86),"0.0",(-BR85/BR86))</f>
        <v>0.50560124369885029</v>
      </c>
      <c r="BS84" s="84">
        <f>IF(ISERROR(-BS85/BS86),"0.0",(-BS85/BS86))</f>
        <v>0.10992209414072837</v>
      </c>
      <c r="BT84" s="84">
        <f>IF(ISERROR(-BT85/BT86),"0.0",(-BT85/BT86))</f>
        <v>-4.6073436329843002E-2</v>
      </c>
      <c r="BU84" s="86">
        <f>SUM(BQ84:BT84)</f>
        <v>0.41281479986585273</v>
      </c>
      <c r="BV84" s="58"/>
      <c r="BW84" s="84">
        <f>IF(ISERROR(-BW85/BW86),"0.0",(-BW85/BW86))</f>
        <v>-2.9656501601133752E-2</v>
      </c>
      <c r="BX84" s="84">
        <f>IF(ISERROR(-BX85/BX86),"0.0",(-BX85/BX86))</f>
        <v>-1.7214773846610274E-2</v>
      </c>
      <c r="BY84" s="84">
        <f>IF(ISERROR(-BY85/BY86),"0.0",(-BY85/BY86))</f>
        <v>-5.9804648131593884E-2</v>
      </c>
      <c r="BZ84" s="84">
        <f>IF(ISERROR(-BZ85/BZ86),"0.0",(-BZ85/BZ86))</f>
        <v>-0.13734947789406632</v>
      </c>
      <c r="CA84" s="86">
        <f>SUM(BW84:BZ84)</f>
        <v>-0.24402540147340424</v>
      </c>
      <c r="CB84" s="58"/>
      <c r="CC84" s="84">
        <f>IF(ISERROR(-CC85/CC86),"0.0",(-CC85/CC86))</f>
        <v>8.406751350550449</v>
      </c>
      <c r="CD84" s="84">
        <f>IF(ISERROR(-CD85/CD86),"0.0",(-CD85/CD86))</f>
        <v>0</v>
      </c>
      <c r="CE84" s="84">
        <f>IF(ISERROR(-CE85/CE86),"0.0",(-CE85/CE86))</f>
        <v>9.3667982573245876</v>
      </c>
      <c r="CF84" s="84">
        <f>IF(ISERROR(-CF85/CF86),"0.0",(-CF85/CF86))</f>
        <v>-7.58369887035124</v>
      </c>
      <c r="CG84" s="86">
        <f>SUM(CC84:CF84)</f>
        <v>10.189850737523797</v>
      </c>
      <c r="CH84" s="58"/>
      <c r="CI84" s="84">
        <f>IF(ISERROR(-CI85/CI86),"0.0",(-CI85/CI86))</f>
        <v>1.6538178414492115</v>
      </c>
      <c r="CJ84" s="84">
        <f>IF(ISERROR(-CJ85/CJ86),"0.0",(-CJ85/CJ86))</f>
        <v>1.4951706049267688</v>
      </c>
      <c r="CK84" s="84">
        <f>IF(ISERROR(-CK85/CK86),"0.0",(-CK85/CK86))</f>
        <v>1.4654948490391368</v>
      </c>
      <c r="CL84" s="84">
        <f>IF(ISERROR(-CL85/CL86),"0.0",(-CL85/CL86))</f>
        <v>1.4652265125241346</v>
      </c>
      <c r="CM84" s="86">
        <f>SUM(CI84:CL84)</f>
        <v>6.0797098079392518</v>
      </c>
      <c r="CN84" s="58"/>
      <c r="CO84" s="84">
        <f>IF(ISERROR(-CO85/CO86),"0.0",(-CO85/CO86))</f>
        <v>1.575064610904011</v>
      </c>
      <c r="CP84" s="84">
        <f>IF(ISERROR(-CP85/CP86),"0.0",(-CP85/CP86))</f>
        <v>1.4239720046921605</v>
      </c>
      <c r="CQ84" s="84">
        <f>IF(ISERROR(-CQ85/CQ86),"0.0",(-CQ85/CQ86))</f>
        <v>1.3957093800372731</v>
      </c>
      <c r="CR84" s="84">
        <f>IF(ISERROR(-CR85/CR86),"0.0",(-CR85/CR86))</f>
        <v>1.3954538214515566</v>
      </c>
      <c r="CS84" s="86">
        <f>SUM(CO84:CR84)</f>
        <v>5.7901998170850009</v>
      </c>
      <c r="CT84" s="58"/>
      <c r="CU84" s="84">
        <f>IF(ISERROR(-CU85/CU86),"0.0",(-CU85/CU86))</f>
        <v>1.5000615341942962</v>
      </c>
      <c r="CV84" s="84">
        <f>IF(ISERROR(-CV85/CV86),"0.0",(-CV85/CV86))</f>
        <v>1.3561638139925338</v>
      </c>
      <c r="CW84" s="84">
        <f>IF(ISERROR(-CW85/CW86),"0.0",(-CW85/CW86))</f>
        <v>1.3292470286069267</v>
      </c>
      <c r="CX84" s="84">
        <f>IF(ISERROR(-CX85/CX86),"0.0",(-CX85/CX86))</f>
        <v>1.329003639477673</v>
      </c>
      <c r="CY84" s="86">
        <f>SUM(CU84:CX84)</f>
        <v>5.5144760162714288</v>
      </c>
      <c r="CZ84" s="84">
        <f>IF(ISERROR(-CZ85/CZ86),"0.0",(-CZ85/CZ86))</f>
        <v>0</v>
      </c>
      <c r="DA84" s="20"/>
      <c r="DB84" s="48"/>
    </row>
    <row r="85" spans="1:106" ht="11.25" hidden="1" customHeight="1" outlineLevel="1" x14ac:dyDescent="0.2">
      <c r="A85" s="72" t="s">
        <v>278</v>
      </c>
      <c r="B85" s="48"/>
      <c r="C85" s="19"/>
      <c r="D85" s="28"/>
      <c r="E85" s="28"/>
      <c r="F85" s="28"/>
      <c r="G85" s="128">
        <v>0</v>
      </c>
      <c r="H85" s="48"/>
      <c r="I85" s="425">
        <v>0</v>
      </c>
      <c r="J85" s="125">
        <v>0</v>
      </c>
      <c r="K85" s="125">
        <v>0</v>
      </c>
      <c r="L85" s="125">
        <v>0</v>
      </c>
      <c r="M85" s="98">
        <f>SUM(I85:L85)</f>
        <v>0</v>
      </c>
      <c r="N85" s="48"/>
      <c r="O85" s="425">
        <v>0</v>
      </c>
      <c r="P85" s="125">
        <v>0</v>
      </c>
      <c r="Q85" s="125">
        <v>0</v>
      </c>
      <c r="R85" s="125">
        <v>0</v>
      </c>
      <c r="S85" s="98">
        <f>SUM(O85:R85)</f>
        <v>0</v>
      </c>
      <c r="T85" s="48"/>
      <c r="U85" s="425">
        <v>0</v>
      </c>
      <c r="V85" s="125">
        <v>0</v>
      </c>
      <c r="W85" s="125">
        <v>0</v>
      </c>
      <c r="X85" s="125">
        <v>0</v>
      </c>
      <c r="Y85" s="98">
        <f>SUM(U85:X85)</f>
        <v>0</v>
      </c>
      <c r="Z85" s="48"/>
      <c r="AA85" s="425">
        <v>0</v>
      </c>
      <c r="AB85" s="125">
        <v>0</v>
      </c>
      <c r="AC85" s="125">
        <v>0</v>
      </c>
      <c r="AD85" s="125">
        <v>0</v>
      </c>
      <c r="AE85" s="98">
        <f>SUM(AA85:AD85)</f>
        <v>0</v>
      </c>
      <c r="AF85" s="48"/>
      <c r="AG85" s="425">
        <v>0</v>
      </c>
      <c r="AH85" s="125">
        <v>0</v>
      </c>
      <c r="AI85" s="125">
        <v>0</v>
      </c>
      <c r="AJ85" s="125">
        <v>0</v>
      </c>
      <c r="AK85" s="98">
        <f>SUM(AG85:AJ85)</f>
        <v>0</v>
      </c>
      <c r="AL85" s="48"/>
      <c r="AM85" s="425">
        <v>0</v>
      </c>
      <c r="AN85" s="125">
        <v>0</v>
      </c>
      <c r="AO85" s="125">
        <v>0</v>
      </c>
      <c r="AP85" s="125">
        <v>0</v>
      </c>
      <c r="AQ85" s="98">
        <f>SUM(AM85:AP85)</f>
        <v>0</v>
      </c>
      <c r="AR85" s="48"/>
      <c r="AS85" s="425">
        <v>0</v>
      </c>
      <c r="AT85" s="125">
        <v>0</v>
      </c>
      <c r="AU85" s="125">
        <v>0</v>
      </c>
      <c r="AV85" s="125">
        <v>0</v>
      </c>
      <c r="AW85" s="98">
        <f>SUM(AS85:AV85)</f>
        <v>0</v>
      </c>
      <c r="AX85" s="48"/>
      <c r="AY85" s="425">
        <v>0</v>
      </c>
      <c r="AZ85" s="125">
        <v>0</v>
      </c>
      <c r="BA85" s="125">
        <v>-10</v>
      </c>
      <c r="BB85" s="125">
        <v>0</v>
      </c>
      <c r="BC85" s="98">
        <f>SUM(AY85:BB85)</f>
        <v>-10</v>
      </c>
      <c r="BD85" s="58"/>
      <c r="BE85" s="83">
        <f>BE48</f>
        <v>17.116</v>
      </c>
      <c r="BF85" s="83">
        <f>BF48</f>
        <v>0.93700000000000117</v>
      </c>
      <c r="BG85" s="83">
        <f>BG48</f>
        <v>3.6020000000000003</v>
      </c>
      <c r="BH85" s="83">
        <f>BH48</f>
        <v>-107.684</v>
      </c>
      <c r="BI85" s="98">
        <f>SUM(BE85:BH85)</f>
        <v>-86.028999999999996</v>
      </c>
      <c r="BJ85" s="58"/>
      <c r="BK85" s="83">
        <f>BK48</f>
        <v>-40.585999999999999</v>
      </c>
      <c r="BL85" s="83">
        <f>BL48</f>
        <v>-28.838000000000008</v>
      </c>
      <c r="BM85" s="83">
        <f>BM48</f>
        <v>-12.370000000000005</v>
      </c>
      <c r="BN85" s="83">
        <f>BN48</f>
        <v>-45.094999999999985</v>
      </c>
      <c r="BO85" s="98">
        <f>SUM(BK85:BN85)</f>
        <v>-126.889</v>
      </c>
      <c r="BP85" s="58"/>
      <c r="BQ85" s="83">
        <f>BQ48</f>
        <v>3.7690000000000001</v>
      </c>
      <c r="BR85" s="83">
        <f>BR48</f>
        <v>-12.529000000000002</v>
      </c>
      <c r="BS85" s="83">
        <f>BS48</f>
        <v>-2.9409999999999989</v>
      </c>
      <c r="BT85" s="83">
        <f>BT48</f>
        <v>1.1989999999999998</v>
      </c>
      <c r="BU85" s="98">
        <f>SUM(BQ85:BT85)</f>
        <v>-10.502000000000001</v>
      </c>
      <c r="BV85" s="58"/>
      <c r="BW85" s="83">
        <f>BW48</f>
        <v>0.65800000000000003</v>
      </c>
      <c r="BX85" s="83">
        <f>BX48</f>
        <v>0.38</v>
      </c>
      <c r="BY85" s="83">
        <f>BY48</f>
        <v>1.5239999999999998</v>
      </c>
      <c r="BZ85" s="83">
        <f>BZ48</f>
        <v>3.7070000000000003</v>
      </c>
      <c r="CA85" s="98">
        <f>SUM(BW85:BZ85)</f>
        <v>6.2690000000000001</v>
      </c>
      <c r="CB85" s="58"/>
      <c r="CC85" s="83">
        <f>CC48</f>
        <v>-242.059</v>
      </c>
      <c r="CD85" s="2065">
        <v>0</v>
      </c>
      <c r="CE85" s="83">
        <f>CE48</f>
        <v>-304.36</v>
      </c>
      <c r="CF85" s="83">
        <f>CF48</f>
        <v>246.46600000000001</v>
      </c>
      <c r="CG85" s="98">
        <f>SUM(CC85:CF85)</f>
        <v>-299.95299999999997</v>
      </c>
      <c r="CH85" s="58"/>
      <c r="CI85" s="83">
        <f>CI48</f>
        <v>-50</v>
      </c>
      <c r="CJ85" s="83">
        <f>CJ48</f>
        <v>-50</v>
      </c>
      <c r="CK85" s="83">
        <f>CK48</f>
        <v>-50</v>
      </c>
      <c r="CL85" s="83">
        <f>CL48</f>
        <v>-50</v>
      </c>
      <c r="CM85" s="98">
        <f>SUM(CI85:CL85)</f>
        <v>-200</v>
      </c>
      <c r="CN85" s="58"/>
      <c r="CO85" s="83">
        <f>CO48</f>
        <v>-50</v>
      </c>
      <c r="CP85" s="83">
        <f>CP48</f>
        <v>-50</v>
      </c>
      <c r="CQ85" s="83">
        <f>CQ48</f>
        <v>-50</v>
      </c>
      <c r="CR85" s="83">
        <f>CR48</f>
        <v>-50</v>
      </c>
      <c r="CS85" s="98">
        <f>SUM(CO85:CR85)</f>
        <v>-200</v>
      </c>
      <c r="CT85" s="58"/>
      <c r="CU85" s="83">
        <f>CU48</f>
        <v>-50</v>
      </c>
      <c r="CV85" s="83">
        <f>CV48</f>
        <v>-50</v>
      </c>
      <c r="CW85" s="83">
        <f>CW48</f>
        <v>-50</v>
      </c>
      <c r="CX85" s="83">
        <f>CX48</f>
        <v>-50</v>
      </c>
      <c r="CY85" s="98">
        <f>SUM(CU85:CX85)</f>
        <v>-200</v>
      </c>
      <c r="CZ85" s="20">
        <f>+-'P&amp;L'!CZ17</f>
        <v>0</v>
      </c>
      <c r="DA85" s="20"/>
      <c r="DB85" s="48"/>
    </row>
    <row r="86" spans="1:106" ht="11.25" hidden="1" customHeight="1" outlineLevel="1" x14ac:dyDescent="0.2">
      <c r="A86" s="1479" t="s">
        <v>279</v>
      </c>
      <c r="B86" s="366"/>
      <c r="C86" s="1287">
        <f>+C66</f>
        <v>0</v>
      </c>
      <c r="D86" s="1287">
        <f>+D66</f>
        <v>0</v>
      </c>
      <c r="E86" s="1287">
        <f>+E66</f>
        <v>0</v>
      </c>
      <c r="F86" s="1287">
        <f>+F66</f>
        <v>0</v>
      </c>
      <c r="G86" s="426" t="str">
        <f>IF(ISERROR(-G85/G84),"NM",(-G85/G84))</f>
        <v>NM</v>
      </c>
      <c r="H86" s="39"/>
      <c r="I86" s="427" t="str">
        <f>IF(ISERROR(-I85/I84),"NM",(-I85/I84))</f>
        <v>NM</v>
      </c>
      <c r="J86" s="428" t="str">
        <f>IF(ISERROR(-J85/J84),"NM",(-J85/J84))</f>
        <v>NM</v>
      </c>
      <c r="K86" s="428" t="str">
        <f>IF(ISERROR(-K85/K84),"NM",(-K85/K84))</f>
        <v>NM</v>
      </c>
      <c r="L86" s="428" t="str">
        <f>IF(ISERROR(-L85/L84),"NM",(-L85/L84))</f>
        <v>NM</v>
      </c>
      <c r="M86" s="426" t="str">
        <f>IF(ISERROR(-M85/M84),"NM",(-M85/M84))</f>
        <v>NM</v>
      </c>
      <c r="N86" s="39"/>
      <c r="O86" s="427" t="str">
        <f>IF(ISERROR(-O85/O84),"NM",(-O85/O84))</f>
        <v>NM</v>
      </c>
      <c r="P86" s="428" t="str">
        <f>IF(ISERROR(-P85/P84),"NM",(-P85/P84))</f>
        <v>NM</v>
      </c>
      <c r="Q86" s="428" t="str">
        <f>IF(ISERROR(-Q85/Q84),"NM",(-Q85/Q84))</f>
        <v>NM</v>
      </c>
      <c r="R86" s="428" t="str">
        <f>IF(ISERROR(-R85/R84),"NM",(-R85/R84))</f>
        <v>NM</v>
      </c>
      <c r="S86" s="426" t="str">
        <f>IF(ISERROR(-S85/S84),"NM",(-S85/S84))</f>
        <v>NM</v>
      </c>
      <c r="T86" s="39"/>
      <c r="U86" s="427" t="str">
        <f>IF(ISERROR(-U85/U84),"NM",(-U85/U84))</f>
        <v>NM</v>
      </c>
      <c r="V86" s="428" t="str">
        <f>IF(ISERROR(-V85/V84),"NM",(-V85/V84))</f>
        <v>NM</v>
      </c>
      <c r="W86" s="428" t="str">
        <f>IF(ISERROR(-W85/W84),"NM",(-W85/W84))</f>
        <v>NM</v>
      </c>
      <c r="X86" s="428" t="str">
        <f>IF(ISERROR(-X85/X84),"NM",(-X85/X84))</f>
        <v>NM</v>
      </c>
      <c r="Y86" s="426" t="str">
        <f>IF(ISERROR(-Y85/Y84),"NM",(-Y85/Y84))</f>
        <v>NM</v>
      </c>
      <c r="Z86" s="39"/>
      <c r="AA86" s="427" t="str">
        <f>IF(ISERROR(-AA85/AA84),"NM",(-AA85/AA84))</f>
        <v>NM</v>
      </c>
      <c r="AB86" s="428" t="str">
        <f>IF(ISERROR(-AB85/AB84),"NM",(-AB85/AB84))</f>
        <v>NM</v>
      </c>
      <c r="AC86" s="428" t="str">
        <f>IF(ISERROR(-AC85/AC84),"NM",(-AC85/AC84))</f>
        <v>NM</v>
      </c>
      <c r="AD86" s="428" t="str">
        <f>IF(ISERROR(-AD85/AD84),"NM",(-AD85/AD84))</f>
        <v>NM</v>
      </c>
      <c r="AE86" s="426" t="str">
        <f>IF(ISERROR(-AE85/AE84),"NM",(-AE85/AE84))</f>
        <v>NM</v>
      </c>
      <c r="AF86" s="39"/>
      <c r="AG86" s="427" t="str">
        <f>IF(ISERROR(-AG85/AG84),"NM",(-AG85/AG84))</f>
        <v>NM</v>
      </c>
      <c r="AH86" s="428" t="str">
        <f>IF(ISERROR(-AH85/AH84),"NM",(-AH85/AH84))</f>
        <v>NM</v>
      </c>
      <c r="AI86" s="428" t="str">
        <f>IF(ISERROR(-AI85/AI84),"NM",(-AI85/AI84))</f>
        <v>NM</v>
      </c>
      <c r="AJ86" s="428" t="str">
        <f>IF(ISERROR(-AJ85/AJ84),"NM",(-AJ85/AJ84))</f>
        <v>NM</v>
      </c>
      <c r="AK86" s="426" t="str">
        <f>IF(ISERROR(-AK85/AK84),"NM",(-AK85/AK84))</f>
        <v>NM</v>
      </c>
      <c r="AL86" s="39"/>
      <c r="AM86" s="427" t="str">
        <f>IF(ISERROR(-AM85/AM84),"NM",(-AM85/AM84))</f>
        <v>NM</v>
      </c>
      <c r="AN86" s="428" t="str">
        <f>IF(ISERROR(-AN85/AN84),"NM",(-AN85/AN84))</f>
        <v>NM</v>
      </c>
      <c r="AO86" s="428" t="str">
        <f>IF(ISERROR(-AO85/AO84),"NM",(-AO85/AO84))</f>
        <v>NM</v>
      </c>
      <c r="AP86" s="428" t="str">
        <f>IF(ISERROR(-AP85/AP84),"NM",(-AP85/AP84))</f>
        <v>NM</v>
      </c>
      <c r="AQ86" s="426" t="str">
        <f>IF(ISERROR(-AQ85/AQ84),"NM",(-AQ85/AQ84))</f>
        <v>NM</v>
      </c>
      <c r="AR86" s="39"/>
      <c r="AS86" s="427" t="str">
        <f>IF(ISERROR(-AS85/AS84),"NM",(-AS85/AS84))</f>
        <v>NM</v>
      </c>
      <c r="AT86" s="428" t="str">
        <f>IF(ISERROR(-AT85/AT84),"NM",(-AT85/AT84))</f>
        <v>NM</v>
      </c>
      <c r="AU86" s="428" t="str">
        <f>IF(ISERROR(-AU85/AU84),"NM",(-AU85/AU84))</f>
        <v>NM</v>
      </c>
      <c r="AV86" s="428" t="str">
        <f>IF(ISERROR(-AV85/AV84),"NM",(-AV85/AV84))</f>
        <v>NM</v>
      </c>
      <c r="AW86" s="426" t="str">
        <f>IF(ISERROR(-AW85/AW84),"NM",(-AW85/AW84))</f>
        <v>NM</v>
      </c>
      <c r="AX86" s="58"/>
      <c r="AY86" s="1287">
        <f>+AY66</f>
        <v>15.357176854838713</v>
      </c>
      <c r="AZ86" s="1287">
        <f>+AZ66</f>
        <v>16.281185809523809</v>
      </c>
      <c r="BA86" s="1287">
        <f>+BA66</f>
        <v>17.674913460317452</v>
      </c>
      <c r="BB86" s="1287">
        <f>+BB66</f>
        <v>17.674913460317452</v>
      </c>
      <c r="BC86" s="426">
        <f>IF(ISERROR(-BC85/BC84),"NM",(-BC85/BC84))</f>
        <v>20</v>
      </c>
      <c r="BD86" s="58"/>
      <c r="BE86" s="1287">
        <f>+BE66</f>
        <v>20.428326383333339</v>
      </c>
      <c r="BF86" s="1287">
        <f>+BF66</f>
        <v>19.520774312499999</v>
      </c>
      <c r="BG86" s="1287">
        <f>+BG66</f>
        <v>20.858431328125004</v>
      </c>
      <c r="BH86" s="1287">
        <f>+BH66</f>
        <v>22.550383546874997</v>
      </c>
      <c r="BI86" s="426">
        <f>IF(ISERROR(-BI85/BI84),"NM",(-BI85/BI84))</f>
        <v>23.146495529359555</v>
      </c>
      <c r="BJ86" s="58"/>
      <c r="BK86" s="1287" t="str">
        <f>+BK66</f>
        <v xml:space="preserve">$22.42 </v>
      </c>
      <c r="BL86" s="1287">
        <f>+BL66</f>
        <v>22.342056238095232</v>
      </c>
      <c r="BM86" s="1287">
        <f>+BM66</f>
        <v>24.138977515624997</v>
      </c>
      <c r="BN86" s="1287">
        <f>+BN66</f>
        <v>23.18242003125</v>
      </c>
      <c r="BO86" s="426">
        <f>IF(ISERROR(-BO85/BO84),"NM",(-BO85/BO84))</f>
        <v>22.827175791321931</v>
      </c>
      <c r="BP86" s="58"/>
      <c r="BQ86" s="1287">
        <f>+BQ66</f>
        <v>24.062294852459019</v>
      </c>
      <c r="BR86" s="1287">
        <f>+BR66</f>
        <v>24.780397904761902</v>
      </c>
      <c r="BS86" s="1287">
        <f>+BS66</f>
        <v>26.755312687499998</v>
      </c>
      <c r="BT86" s="1287">
        <f>+BT66</f>
        <v>26.023672109374992</v>
      </c>
      <c r="BU86" s="426">
        <f>IF(ISERROR(-BU85/BU84),"NM",(-BU85/BU84))</f>
        <v>25.439979388851135</v>
      </c>
      <c r="BV86" s="58"/>
      <c r="BW86" s="1287">
        <f>+BW66</f>
        <v>22.187377622950816</v>
      </c>
      <c r="BX86" s="1287">
        <f>+BX66</f>
        <v>22.074062859375001</v>
      </c>
      <c r="BY86" s="1287">
        <f>+BY66</f>
        <v>25.482969093749986</v>
      </c>
      <c r="BZ86" s="1287">
        <f>+BZ66</f>
        <v>26.989545623603334</v>
      </c>
      <c r="CA86" s="1294">
        <f>IF(ISERROR(-CA85/CA84),"NM",(-CA85/CA84))</f>
        <v>25.689948514164186</v>
      </c>
      <c r="CB86" s="58"/>
      <c r="CC86" s="1287">
        <f>+CC66</f>
        <v>28.793405431713012</v>
      </c>
      <c r="CD86" s="1287">
        <f>+CD66</f>
        <v>31.848571301587306</v>
      </c>
      <c r="CE86" s="1287">
        <f>+CE66</f>
        <v>32.493493682539665</v>
      </c>
      <c r="CF86" s="1287">
        <f>+CF66</f>
        <v>32.499444428571422</v>
      </c>
      <c r="CG86" s="1294">
        <f>IF(ISERROR(-CG85/CG84),"NM",(-CG85/CG84))</f>
        <v>29.436446884882496</v>
      </c>
      <c r="CH86" s="58"/>
      <c r="CI86" s="1287">
        <f>+CC86*(1+CI87)</f>
        <v>30.233075703298663</v>
      </c>
      <c r="CJ86" s="1287">
        <f>+CD86*(1+CJ87)</f>
        <v>33.440999866666672</v>
      </c>
      <c r="CK86" s="1287">
        <f>+CE86*(1+CK87)</f>
        <v>34.118168366666652</v>
      </c>
      <c r="CL86" s="1287">
        <f>+CF86*(1+CL87)</f>
        <v>34.124416649999993</v>
      </c>
      <c r="CM86" s="1294">
        <f>IF(ISERROR(-CM85/CM84),"NM",(-CM85/CM84))</f>
        <v>32.89630694853691</v>
      </c>
      <c r="CN86" s="58"/>
      <c r="CO86" s="1287">
        <f>+CI86*(1+CO87)</f>
        <v>31.744729488463598</v>
      </c>
      <c r="CP86" s="1287">
        <f>+CJ86*(1+CP87)</f>
        <v>35.113049860000011</v>
      </c>
      <c r="CQ86" s="1287">
        <f>+CK86*(1+CQ87)</f>
        <v>35.824076784999988</v>
      </c>
      <c r="CR86" s="1287">
        <f>+CL86*(1+CR87)</f>
        <v>35.830637482499995</v>
      </c>
      <c r="CS86" s="1294">
        <f>IF(ISERROR(-CS85/CS84),"NM",(-CS85/CS84))</f>
        <v>34.54112229596376</v>
      </c>
      <c r="CT86" s="58"/>
      <c r="CU86" s="1287">
        <f>+CO86*(1+CU87)</f>
        <v>33.331965962886777</v>
      </c>
      <c r="CV86" s="1287">
        <f>+CP86*(1+CV87)</f>
        <v>36.86870235300001</v>
      </c>
      <c r="CW86" s="1287">
        <f>+CQ86*(1+CW87)</f>
        <v>37.615280624249991</v>
      </c>
      <c r="CX86" s="1287">
        <f>+CR86*(1+CX87)</f>
        <v>37.622169356624994</v>
      </c>
      <c r="CY86" s="1294">
        <f>IF(ISERROR(-CY85/CY84),"NM",(-CY85/CY84))</f>
        <v>36.268178410761948</v>
      </c>
      <c r="CZ86" s="20">
        <v>30</v>
      </c>
      <c r="DA86" s="20"/>
      <c r="DB86" s="48"/>
    </row>
    <row r="87" spans="1:106" ht="11.25" hidden="1" customHeight="1" outlineLevel="1" x14ac:dyDescent="0.2">
      <c r="A87" s="429" t="s">
        <v>280</v>
      </c>
      <c r="B87" s="240"/>
      <c r="C87" s="22"/>
      <c r="D87" s="379"/>
      <c r="E87" s="379"/>
      <c r="F87" s="379"/>
      <c r="G87" s="157"/>
      <c r="H87" s="240"/>
      <c r="I87" s="22"/>
      <c r="J87" s="379"/>
      <c r="K87" s="379"/>
      <c r="L87" s="379"/>
      <c r="M87" s="157"/>
      <c r="N87" s="240"/>
      <c r="O87" s="22"/>
      <c r="P87" s="379"/>
      <c r="Q87" s="379"/>
      <c r="R87" s="379"/>
      <c r="S87" s="157"/>
      <c r="T87" s="240"/>
      <c r="U87" s="22"/>
      <c r="V87" s="379"/>
      <c r="W87" s="379"/>
      <c r="X87" s="379"/>
      <c r="Y87" s="157"/>
      <c r="Z87" s="240"/>
      <c r="AA87" s="22"/>
      <c r="AB87" s="379"/>
      <c r="AC87" s="379"/>
      <c r="AD87" s="379"/>
      <c r="AE87" s="157"/>
      <c r="AF87" s="240"/>
      <c r="AG87" s="22"/>
      <c r="AH87" s="379"/>
      <c r="AI87" s="379"/>
      <c r="AJ87" s="379"/>
      <c r="AK87" s="157"/>
      <c r="AL87" s="240"/>
      <c r="AM87" s="22"/>
      <c r="AN87" s="379"/>
      <c r="AO87" s="379"/>
      <c r="AP87" s="379"/>
      <c r="AQ87" s="157"/>
      <c r="AR87" s="240"/>
      <c r="AS87" s="22"/>
      <c r="AT87" s="379"/>
      <c r="AU87" s="379"/>
      <c r="AV87" s="379"/>
      <c r="AW87" s="157"/>
      <c r="AX87" s="316"/>
      <c r="AY87" s="22"/>
      <c r="AZ87" s="379"/>
      <c r="BA87" s="379"/>
      <c r="BB87" s="379"/>
      <c r="BC87" s="157"/>
      <c r="BD87" s="316"/>
      <c r="BE87" s="22"/>
      <c r="BF87" s="379"/>
      <c r="BG87" s="379"/>
      <c r="BH87" s="379"/>
      <c r="BI87" s="101">
        <f>+BI86/BC86-1</f>
        <v>0.15732477646797771</v>
      </c>
      <c r="BJ87" s="240"/>
      <c r="BK87" s="22"/>
      <c r="BL87" s="379"/>
      <c r="BM87" s="379"/>
      <c r="BN87" s="379"/>
      <c r="BO87" s="101">
        <f>+BO86/BI86-1</f>
        <v>-1.379559759414084E-2</v>
      </c>
      <c r="BP87" s="172"/>
      <c r="BQ87" s="379"/>
      <c r="BR87" s="379"/>
      <c r="BS87" s="379"/>
      <c r="BT87" s="379"/>
      <c r="BU87" s="101">
        <f>+BU86/BO86-1</f>
        <v>0.11446022151029722</v>
      </c>
      <c r="BV87" s="172"/>
      <c r="BW87" s="1291"/>
      <c r="BX87" s="1292"/>
      <c r="BY87" s="1292"/>
      <c r="BZ87" s="1293"/>
      <c r="CA87" s="101">
        <f>+CA86/BU86-1</f>
        <v>9.8258383582887632E-3</v>
      </c>
      <c r="CB87" s="172"/>
      <c r="CC87" s="1291"/>
      <c r="CD87" s="1292"/>
      <c r="CE87" s="1292"/>
      <c r="CF87" s="1293"/>
      <c r="CG87" s="101">
        <f>+CG86/CA86-1</f>
        <v>0.14583518408581764</v>
      </c>
      <c r="CH87" s="172"/>
      <c r="CI87" s="1291">
        <v>0.05</v>
      </c>
      <c r="CJ87" s="1292">
        <v>0.05</v>
      </c>
      <c r="CK87" s="1292">
        <v>0.05</v>
      </c>
      <c r="CL87" s="1293">
        <v>0.05</v>
      </c>
      <c r="CM87" s="1703">
        <f>+CM86/CG86-1</f>
        <v>0.11753660613948869</v>
      </c>
      <c r="CN87" s="172"/>
      <c r="CO87" s="1291">
        <v>0.05</v>
      </c>
      <c r="CP87" s="1292">
        <v>0.05</v>
      </c>
      <c r="CQ87" s="1292">
        <v>0.05</v>
      </c>
      <c r="CR87" s="1293">
        <v>0.05</v>
      </c>
      <c r="CS87" s="101">
        <f>+CS86/CM86-1</f>
        <v>5.0000000000000044E-2</v>
      </c>
      <c r="CT87" s="172"/>
      <c r="CU87" s="1291">
        <v>0.05</v>
      </c>
      <c r="CV87" s="1292">
        <v>0.05</v>
      </c>
      <c r="CW87" s="1292">
        <v>0.05</v>
      </c>
      <c r="CX87" s="1293">
        <v>0.05</v>
      </c>
      <c r="CY87" s="101">
        <f>+CY86/CS86-1</f>
        <v>5.0000000000000044E-2</v>
      </c>
      <c r="CZ87" s="20"/>
      <c r="DA87" s="20"/>
      <c r="DB87" s="48"/>
    </row>
    <row r="88" spans="1:106" ht="11.25" customHeight="1" collapsed="1" x14ac:dyDescent="0.2">
      <c r="A88" s="40"/>
      <c r="B88" s="40"/>
      <c r="C88" s="281"/>
      <c r="D88" s="281"/>
      <c r="E88" s="281"/>
      <c r="F88" s="281"/>
      <c r="G88" s="281"/>
      <c r="H88" s="40"/>
      <c r="I88" s="281"/>
      <c r="J88" s="281"/>
      <c r="K88" s="281"/>
      <c r="L88" s="281"/>
      <c r="M88" s="281"/>
      <c r="N88" s="40"/>
      <c r="O88" s="281"/>
      <c r="P88" s="281"/>
      <c r="Q88" s="281"/>
      <c r="R88" s="281"/>
      <c r="S88" s="281"/>
      <c r="T88" s="40"/>
      <c r="U88" s="281"/>
      <c r="V88" s="281"/>
      <c r="W88" s="281"/>
      <c r="X88" s="281"/>
      <c r="Y88" s="281"/>
      <c r="Z88" s="40"/>
      <c r="AA88" s="281"/>
      <c r="AB88" s="281"/>
      <c r="AC88" s="281"/>
      <c r="AD88" s="281"/>
      <c r="AE88" s="281"/>
      <c r="AF88" s="40"/>
      <c r="AG88" s="281"/>
      <c r="AH88" s="281"/>
      <c r="AI88" s="281"/>
      <c r="AJ88" s="281"/>
      <c r="AK88" s="281"/>
      <c r="AL88" s="40"/>
      <c r="AM88" s="281"/>
      <c r="AN88" s="281"/>
      <c r="AO88" s="281"/>
      <c r="AP88" s="281"/>
      <c r="AQ88" s="281"/>
      <c r="AR88" s="40"/>
      <c r="AS88" s="281"/>
      <c r="AT88" s="281"/>
      <c r="AU88" s="281"/>
      <c r="AV88" s="281"/>
      <c r="AW88" s="281"/>
      <c r="AX88" s="40"/>
      <c r="AY88" s="281"/>
      <c r="AZ88" s="281"/>
      <c r="BA88" s="281"/>
      <c r="BB88" s="281"/>
      <c r="BC88" s="1698"/>
      <c r="BD88" s="281"/>
      <c r="BE88" s="281"/>
      <c r="BF88" s="281"/>
      <c r="BG88" s="281"/>
      <c r="BH88" s="281"/>
      <c r="BI88" s="1698"/>
      <c r="BJ88" s="281"/>
      <c r="BK88" s="281"/>
      <c r="BL88" s="281"/>
      <c r="BM88" s="281"/>
      <c r="BN88" s="281"/>
      <c r="BO88" s="1698"/>
      <c r="BP88" s="281"/>
      <c r="BQ88" s="281"/>
      <c r="BR88" s="281"/>
      <c r="BS88" s="281"/>
      <c r="BT88" s="281"/>
      <c r="BU88" s="1698"/>
      <c r="BV88" s="281"/>
      <c r="BW88" s="281"/>
      <c r="BX88" s="281"/>
      <c r="BY88" s="281"/>
      <c r="BZ88" s="281"/>
      <c r="CA88" s="1698"/>
      <c r="CB88" s="281"/>
      <c r="CC88" s="281"/>
      <c r="CD88" s="281"/>
      <c r="CE88" s="281"/>
      <c r="CF88" s="281"/>
      <c r="CG88" s="1698">
        <f>+CG85/-CG61</f>
        <v>1.5249417889353223</v>
      </c>
      <c r="CH88" s="281"/>
      <c r="CI88" s="281"/>
      <c r="CJ88" s="281"/>
      <c r="CK88" s="281"/>
      <c r="CL88" s="281"/>
      <c r="CM88" s="1698">
        <f>+CM85/-CM61</f>
        <v>1.2682192286125182</v>
      </c>
      <c r="CN88" s="281"/>
      <c r="CO88" s="281"/>
      <c r="CP88" s="281"/>
      <c r="CQ88" s="281"/>
      <c r="CR88" s="281"/>
      <c r="CS88" s="1698">
        <f>+CS85/-CS61</f>
        <v>0.79903437007761879</v>
      </c>
      <c r="CT88" s="281"/>
      <c r="CU88" s="281"/>
      <c r="CV88" s="281"/>
      <c r="CW88" s="281"/>
      <c r="CX88" s="281"/>
      <c r="CY88" s="1698">
        <f>+CY85/-CY61</f>
        <v>0.55784541319255831</v>
      </c>
      <c r="CZ88" s="20"/>
      <c r="DA88" s="20"/>
      <c r="DB88" s="48"/>
    </row>
    <row r="89" spans="1:106" ht="11.25" hidden="1" customHeight="1" outlineLevel="1" x14ac:dyDescent="0.2">
      <c r="A89" s="31" t="s">
        <v>160</v>
      </c>
      <c r="B89" s="469"/>
      <c r="C89" s="470">
        <v>37987</v>
      </c>
      <c r="D89" s="470">
        <v>38078</v>
      </c>
      <c r="E89" s="470">
        <v>38169</v>
      </c>
      <c r="F89" s="470">
        <v>38261</v>
      </c>
      <c r="G89" s="470">
        <f>C89</f>
        <v>37987</v>
      </c>
      <c r="H89" s="470"/>
      <c r="I89" s="470">
        <v>38353</v>
      </c>
      <c r="J89" s="470">
        <v>38443</v>
      </c>
      <c r="K89" s="470">
        <v>38534</v>
      </c>
      <c r="L89" s="470">
        <v>38626</v>
      </c>
      <c r="M89" s="470">
        <f>I89</f>
        <v>38353</v>
      </c>
      <c r="N89" s="470"/>
      <c r="O89" s="470">
        <v>38718</v>
      </c>
      <c r="P89" s="470">
        <v>38808</v>
      </c>
      <c r="Q89" s="470">
        <v>38899</v>
      </c>
      <c r="R89" s="470">
        <v>38991</v>
      </c>
      <c r="S89" s="470">
        <f>O89</f>
        <v>38718</v>
      </c>
      <c r="T89" s="470"/>
      <c r="U89" s="470">
        <v>39083</v>
      </c>
      <c r="V89" s="470">
        <v>39173</v>
      </c>
      <c r="W89" s="470">
        <v>39264</v>
      </c>
      <c r="X89" s="470">
        <v>39356</v>
      </c>
      <c r="Y89" s="470">
        <f>U89</f>
        <v>39083</v>
      </c>
      <c r="Z89" s="470"/>
      <c r="AA89" s="470">
        <v>39448</v>
      </c>
      <c r="AB89" s="470">
        <v>39539</v>
      </c>
      <c r="AC89" s="470">
        <v>39630</v>
      </c>
      <c r="AD89" s="470">
        <v>39722</v>
      </c>
      <c r="AE89" s="470">
        <f>AA89</f>
        <v>39448</v>
      </c>
      <c r="AF89" s="470"/>
      <c r="AG89" s="470">
        <v>39814</v>
      </c>
      <c r="AH89" s="470">
        <v>39904</v>
      </c>
      <c r="AI89" s="470">
        <v>39995</v>
      </c>
      <c r="AJ89" s="470">
        <v>40087</v>
      </c>
      <c r="AK89" s="470">
        <f>AG89</f>
        <v>39814</v>
      </c>
      <c r="AL89" s="470"/>
      <c r="AM89" s="470">
        <v>40179</v>
      </c>
      <c r="AN89" s="470">
        <v>40269</v>
      </c>
      <c r="AO89" s="470">
        <v>40360</v>
      </c>
      <c r="AP89" s="470">
        <v>40452</v>
      </c>
      <c r="AQ89" s="470">
        <f>AM89</f>
        <v>40179</v>
      </c>
      <c r="AR89" s="470"/>
      <c r="AS89" s="470">
        <v>40544</v>
      </c>
      <c r="AT89" s="470">
        <v>40634</v>
      </c>
      <c r="AU89" s="470">
        <v>40725</v>
      </c>
      <c r="AV89" s="470">
        <v>40817</v>
      </c>
      <c r="AW89" s="470">
        <f>AS89</f>
        <v>40544</v>
      </c>
      <c r="AX89" s="470"/>
      <c r="AY89" s="470">
        <v>40909</v>
      </c>
      <c r="AZ89" s="470">
        <v>41000</v>
      </c>
      <c r="BA89" s="470">
        <v>41091</v>
      </c>
      <c r="BB89" s="470">
        <v>41183</v>
      </c>
      <c r="BC89" s="470"/>
      <c r="BD89" s="470"/>
      <c r="BE89" s="470">
        <v>41275</v>
      </c>
      <c r="BF89" s="470">
        <v>41365</v>
      </c>
      <c r="BG89" s="470">
        <v>41456</v>
      </c>
      <c r="BH89" s="470">
        <v>41548</v>
      </c>
      <c r="BI89" s="470">
        <f>BE89</f>
        <v>41275</v>
      </c>
      <c r="BJ89" s="469"/>
      <c r="BK89" s="470">
        <v>41640</v>
      </c>
      <c r="BL89" s="470">
        <f>EDATE(BK89,3)</f>
        <v>41730</v>
      </c>
      <c r="BM89" s="470">
        <f>EDATE(BL89,3)</f>
        <v>41821</v>
      </c>
      <c r="BN89" s="470">
        <f>EDATE(BM89,3)</f>
        <v>41913</v>
      </c>
      <c r="BO89" s="470">
        <f>BK89</f>
        <v>41640</v>
      </c>
      <c r="BP89" s="469"/>
      <c r="BQ89" s="470">
        <f>EDATE(BN89,3)</f>
        <v>42005</v>
      </c>
      <c r="BR89" s="470">
        <f>EDATE(BQ89,3)</f>
        <v>42095</v>
      </c>
      <c r="BS89" s="470">
        <f>EDATE(BR89,3)</f>
        <v>42186</v>
      </c>
      <c r="BT89" s="470">
        <f>EDATE(BS89,3)</f>
        <v>42278</v>
      </c>
      <c r="BU89" s="470">
        <f>BQ89</f>
        <v>42005</v>
      </c>
      <c r="BV89" s="469"/>
      <c r="BW89" s="470">
        <f>EDATE(BT89,3)</f>
        <v>42370</v>
      </c>
      <c r="BX89" s="470">
        <f>EDATE(BW89,3)</f>
        <v>42461</v>
      </c>
      <c r="BY89" s="470">
        <f>EDATE(BX89,3)</f>
        <v>42552</v>
      </c>
      <c r="BZ89" s="470">
        <f>EDATE(BY89,3)</f>
        <v>42644</v>
      </c>
      <c r="CA89" s="470">
        <f>BW89</f>
        <v>42370</v>
      </c>
      <c r="CB89" s="469"/>
      <c r="CC89" s="470">
        <f>EDATE(BZ89,3)</f>
        <v>42736</v>
      </c>
      <c r="CD89" s="470">
        <f>EDATE(CC89,3)</f>
        <v>42826</v>
      </c>
      <c r="CE89" s="470">
        <f>EDATE(CD89,3)</f>
        <v>42917</v>
      </c>
      <c r="CF89" s="470">
        <f>EDATE(CE89,3)</f>
        <v>43009</v>
      </c>
      <c r="CG89" s="469"/>
      <c r="CH89" s="469"/>
      <c r="CI89" s="469"/>
      <c r="CJ89" s="469"/>
      <c r="CK89" s="469"/>
      <c r="CL89" s="469"/>
      <c r="CM89" s="469"/>
      <c r="CN89" s="469"/>
      <c r="CO89" s="469"/>
      <c r="CP89" s="469"/>
      <c r="CQ89" s="469"/>
      <c r="CR89" s="469"/>
      <c r="CS89" s="469"/>
      <c r="CT89" s="469"/>
      <c r="CU89" s="469"/>
      <c r="CV89" s="469"/>
      <c r="CW89" s="469"/>
      <c r="CX89" s="469"/>
      <c r="CY89" s="469"/>
      <c r="CZ89" s="20"/>
      <c r="DA89" s="20"/>
      <c r="DB89" s="48"/>
    </row>
    <row r="90" spans="1:106" ht="11.25" hidden="1" customHeight="1" outlineLevel="1" x14ac:dyDescent="0.2">
      <c r="A90" s="31" t="s">
        <v>161</v>
      </c>
      <c r="B90" s="471"/>
      <c r="C90" s="470">
        <v>38077</v>
      </c>
      <c r="D90" s="470">
        <v>38168</v>
      </c>
      <c r="E90" s="470">
        <v>38260</v>
      </c>
      <c r="F90" s="470">
        <v>38352</v>
      </c>
      <c r="G90" s="470">
        <f>F90</f>
        <v>38352</v>
      </c>
      <c r="H90" s="472"/>
      <c r="I90" s="470">
        <v>38442</v>
      </c>
      <c r="J90" s="470">
        <v>38533</v>
      </c>
      <c r="K90" s="470">
        <v>38625</v>
      </c>
      <c r="L90" s="470">
        <v>38717</v>
      </c>
      <c r="M90" s="470">
        <f>L90</f>
        <v>38717</v>
      </c>
      <c r="N90" s="472"/>
      <c r="O90" s="470">
        <v>38807</v>
      </c>
      <c r="P90" s="470">
        <v>38898</v>
      </c>
      <c r="Q90" s="470">
        <v>38990</v>
      </c>
      <c r="R90" s="470">
        <v>39082</v>
      </c>
      <c r="S90" s="470">
        <f>R90</f>
        <v>39082</v>
      </c>
      <c r="T90" s="472"/>
      <c r="U90" s="470">
        <v>39172</v>
      </c>
      <c r="V90" s="470">
        <v>39263</v>
      </c>
      <c r="W90" s="470">
        <v>39355</v>
      </c>
      <c r="X90" s="470">
        <v>39447</v>
      </c>
      <c r="Y90" s="470">
        <f>X90</f>
        <v>39447</v>
      </c>
      <c r="Z90" s="472"/>
      <c r="AA90" s="470">
        <v>39538</v>
      </c>
      <c r="AB90" s="470">
        <v>39629</v>
      </c>
      <c r="AC90" s="470">
        <v>39721</v>
      </c>
      <c r="AD90" s="470">
        <v>39813</v>
      </c>
      <c r="AE90" s="470">
        <f>AD90</f>
        <v>39813</v>
      </c>
      <c r="AF90" s="472"/>
      <c r="AG90" s="470">
        <v>39903</v>
      </c>
      <c r="AH90" s="470">
        <v>39994</v>
      </c>
      <c r="AI90" s="470">
        <v>40086</v>
      </c>
      <c r="AJ90" s="470">
        <v>40178</v>
      </c>
      <c r="AK90" s="470">
        <f>AJ90</f>
        <v>40178</v>
      </c>
      <c r="AL90" s="472"/>
      <c r="AM90" s="470">
        <v>40268</v>
      </c>
      <c r="AN90" s="470">
        <v>40359</v>
      </c>
      <c r="AO90" s="470">
        <v>40451</v>
      </c>
      <c r="AP90" s="470">
        <v>40543</v>
      </c>
      <c r="AQ90" s="470">
        <f>AP90</f>
        <v>40543</v>
      </c>
      <c r="AR90" s="472"/>
      <c r="AS90" s="470">
        <v>40633</v>
      </c>
      <c r="AT90" s="470">
        <v>40724</v>
      </c>
      <c r="AU90" s="470">
        <v>40816</v>
      </c>
      <c r="AV90" s="470">
        <v>40908</v>
      </c>
      <c r="AW90" s="470">
        <f>AV90</f>
        <v>40908</v>
      </c>
      <c r="AX90" s="472"/>
      <c r="AY90" s="470">
        <v>40999</v>
      </c>
      <c r="AZ90" s="470">
        <v>41090</v>
      </c>
      <c r="BA90" s="470">
        <v>41182</v>
      </c>
      <c r="BB90" s="470">
        <v>41274</v>
      </c>
      <c r="BC90" s="472"/>
      <c r="BD90" s="472"/>
      <c r="BE90" s="470">
        <v>41364</v>
      </c>
      <c r="BF90" s="470">
        <v>41455</v>
      </c>
      <c r="BG90" s="470">
        <v>41547</v>
      </c>
      <c r="BH90" s="470">
        <v>41639</v>
      </c>
      <c r="BI90" s="470">
        <f>BH90</f>
        <v>41639</v>
      </c>
      <c r="BJ90" s="469"/>
      <c r="BK90" s="470">
        <v>41729</v>
      </c>
      <c r="BL90" s="470">
        <f>EOMONTH(BK90,3)</f>
        <v>41820</v>
      </c>
      <c r="BM90" s="470">
        <f>EOMONTH(BL90,3)</f>
        <v>41912</v>
      </c>
      <c r="BN90" s="470">
        <f>EOMONTH(BM90,3)</f>
        <v>42004</v>
      </c>
      <c r="BO90" s="470">
        <f>BN90</f>
        <v>42004</v>
      </c>
      <c r="BP90" s="469"/>
      <c r="BQ90" s="470">
        <f>EOMONTH(BN90,3)</f>
        <v>42094</v>
      </c>
      <c r="BR90" s="470">
        <f>EOMONTH(BQ90,3)</f>
        <v>42185</v>
      </c>
      <c r="BS90" s="470">
        <f>EOMONTH(BR90,3)</f>
        <v>42277</v>
      </c>
      <c r="BT90" s="470">
        <f>EOMONTH(BS90,3)</f>
        <v>42369</v>
      </c>
      <c r="BU90" s="470">
        <f>BT90</f>
        <v>42369</v>
      </c>
      <c r="BV90" s="469"/>
      <c r="BW90" s="470">
        <f>EOMONTH(BT90,3)</f>
        <v>42460</v>
      </c>
      <c r="BX90" s="470">
        <f>EOMONTH(BW90,3)</f>
        <v>42551</v>
      </c>
      <c r="BY90" s="470">
        <f>EOMONTH(BX90,3)</f>
        <v>42643</v>
      </c>
      <c r="BZ90" s="470">
        <f>EOMONTH(BY90,3)</f>
        <v>42735</v>
      </c>
      <c r="CA90" s="470">
        <f>BZ90</f>
        <v>42735</v>
      </c>
      <c r="CB90" s="469"/>
      <c r="CC90" s="470">
        <f>EOMONTH(BZ90,3)</f>
        <v>42825</v>
      </c>
      <c r="CD90" s="470">
        <f>EOMONTH(CC90,3)</f>
        <v>42916</v>
      </c>
      <c r="CE90" s="470">
        <f>EOMONTH(CD90,3)</f>
        <v>43008</v>
      </c>
      <c r="CF90" s="470">
        <f>EOMONTH(CE90,3)</f>
        <v>43100</v>
      </c>
      <c r="CG90" s="469"/>
      <c r="CH90" s="469"/>
      <c r="CI90" s="469"/>
      <c r="CJ90" s="469"/>
      <c r="CK90" s="469"/>
      <c r="CL90" s="469"/>
      <c r="CM90" s="469"/>
      <c r="CN90" s="469"/>
      <c r="CO90" s="469"/>
      <c r="CP90" s="469"/>
      <c r="CQ90" s="469"/>
      <c r="CR90" s="469"/>
      <c r="CS90" s="469"/>
      <c r="CT90" s="469"/>
      <c r="CU90" s="469"/>
      <c r="CV90" s="469"/>
      <c r="CW90" s="469"/>
      <c r="CX90" s="469"/>
      <c r="CY90" s="469"/>
      <c r="CZ90" s="20"/>
      <c r="DA90" s="20"/>
      <c r="DB90" s="48"/>
    </row>
    <row r="91" spans="1:106" ht="11.25" hidden="1" customHeight="1" outlineLevel="1" x14ac:dyDescent="0.2">
      <c r="A91" s="39"/>
      <c r="B91" s="39"/>
      <c r="C91" s="20"/>
      <c r="D91" s="20"/>
      <c r="E91" s="20"/>
      <c r="F91" s="20"/>
      <c r="G91" s="20"/>
      <c r="H91" s="39"/>
      <c r="I91" s="20"/>
      <c r="J91" s="20"/>
      <c r="K91" s="20"/>
      <c r="L91" s="20"/>
      <c r="M91" s="20"/>
      <c r="N91" s="39"/>
      <c r="O91" s="20"/>
      <c r="P91" s="20"/>
      <c r="Q91" s="20"/>
      <c r="R91" s="20"/>
      <c r="S91" s="20"/>
      <c r="T91" s="39"/>
      <c r="U91" s="20"/>
      <c r="V91" s="20"/>
      <c r="W91" s="20"/>
      <c r="X91" s="20"/>
      <c r="Y91" s="20"/>
      <c r="Z91" s="39"/>
      <c r="AA91" s="20"/>
      <c r="AB91" s="20"/>
      <c r="AC91" s="20"/>
      <c r="AD91" s="20"/>
      <c r="AE91" s="20"/>
      <c r="AF91" s="39"/>
      <c r="AG91" s="20"/>
      <c r="AH91" s="20"/>
      <c r="AI91" s="20"/>
      <c r="AJ91" s="20"/>
      <c r="AK91" s="20"/>
      <c r="AL91" s="39"/>
      <c r="AM91" s="20"/>
      <c r="AN91" s="20"/>
      <c r="AO91" s="20"/>
      <c r="AP91" s="20"/>
      <c r="AQ91" s="20"/>
      <c r="AR91" s="39"/>
      <c r="AS91" s="20"/>
      <c r="AT91" s="20"/>
      <c r="AU91" s="20"/>
      <c r="AV91" s="20"/>
      <c r="AW91" s="20"/>
      <c r="AX91" s="39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48"/>
    </row>
    <row r="92" spans="1:106" customFormat="1" ht="11.25" hidden="1" customHeight="1" outlineLevel="1" x14ac:dyDescent="0.2"/>
    <row r="93" spans="1:106" collapsed="1" x14ac:dyDescent="0.2">
      <c r="A93" s="39"/>
      <c r="B93" s="39"/>
      <c r="C93" s="20"/>
      <c r="D93" s="20"/>
      <c r="E93" s="20"/>
      <c r="F93" s="20"/>
      <c r="G93" s="20"/>
      <c r="H93" s="39"/>
      <c r="I93" s="20"/>
      <c r="J93" s="20"/>
      <c r="K93" s="20"/>
      <c r="L93" s="20"/>
      <c r="M93" s="20"/>
      <c r="N93" s="39"/>
      <c r="O93" s="20"/>
      <c r="P93" s="20"/>
      <c r="Q93" s="20"/>
      <c r="R93" s="20"/>
      <c r="S93" s="20"/>
      <c r="T93" s="39"/>
      <c r="U93" s="20"/>
      <c r="V93" s="20"/>
      <c r="W93" s="20"/>
      <c r="X93" s="20"/>
      <c r="Y93" s="20"/>
      <c r="Z93" s="39"/>
      <c r="AA93" s="20"/>
      <c r="AB93" s="20"/>
      <c r="AC93" s="20"/>
      <c r="AD93" s="20"/>
      <c r="AE93" s="20"/>
      <c r="AF93" s="39"/>
      <c r="AG93" s="20"/>
      <c r="AH93" s="20"/>
      <c r="AI93" s="20"/>
      <c r="AJ93" s="20"/>
      <c r="AK93" s="20"/>
      <c r="AL93" s="39"/>
      <c r="AM93" s="20"/>
      <c r="AN93" s="20"/>
      <c r="AO93" s="20"/>
      <c r="AP93" s="20"/>
      <c r="AQ93" s="20"/>
      <c r="AR93" s="39"/>
      <c r="AS93" s="20"/>
      <c r="AT93" s="20"/>
      <c r="AU93" s="20"/>
      <c r="AV93" s="20"/>
      <c r="AW93" s="20"/>
      <c r="AX93" s="39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48"/>
    </row>
    <row r="94" spans="1:106" x14ac:dyDescent="0.2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893">
        <f>+AG61/AG9</f>
        <v>0.15584994328309856</v>
      </c>
      <c r="AH94" s="893">
        <f>+AH61/AH9</f>
        <v>1.9652753079634009</v>
      </c>
      <c r="AI94" s="893">
        <f>+AI61/AI9</f>
        <v>1.6678429291589283</v>
      </c>
      <c r="AJ94" s="893"/>
      <c r="AK94" s="893"/>
      <c r="AL94" s="893"/>
      <c r="AM94" s="893"/>
      <c r="AN94" s="893"/>
      <c r="AO94" s="893"/>
      <c r="AP94" s="893"/>
      <c r="AQ94" s="893"/>
      <c r="AR94" s="893"/>
      <c r="AS94" s="893"/>
      <c r="AT94" s="893"/>
      <c r="AU94" s="893"/>
      <c r="AV94" s="893"/>
      <c r="AW94" s="893"/>
      <c r="AX94" s="893"/>
      <c r="AY94" s="893"/>
      <c r="AZ94" s="893"/>
      <c r="BA94" s="893"/>
      <c r="BB94" s="893"/>
      <c r="BC94" s="893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48"/>
      <c r="CV94" s="48"/>
      <c r="CW94" s="48"/>
      <c r="CX94" s="48"/>
      <c r="CY94" s="48"/>
      <c r="CZ94" s="39"/>
      <c r="DA94" s="39"/>
      <c r="DB94" s="48"/>
    </row>
    <row r="95" spans="1:106" x14ac:dyDescent="0.2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894"/>
      <c r="AL95" s="894"/>
      <c r="AM95" s="894"/>
      <c r="AN95" s="894"/>
      <c r="AO95" s="894"/>
      <c r="AP95" s="894"/>
      <c r="AQ95" s="894"/>
      <c r="AR95" s="894"/>
      <c r="AS95" s="894"/>
      <c r="AT95" s="894"/>
      <c r="AU95" s="894"/>
      <c r="AV95" s="894"/>
      <c r="AW95" s="894"/>
      <c r="AX95" s="894"/>
      <c r="AY95" s="894"/>
      <c r="AZ95" s="894"/>
      <c r="BA95" s="894"/>
      <c r="BB95" s="894"/>
      <c r="BC95" s="894"/>
      <c r="BD95" s="48"/>
      <c r="BE95" s="48"/>
      <c r="BF95" s="48"/>
      <c r="BG95" s="48"/>
      <c r="BH95" s="48"/>
      <c r="BI95" s="48"/>
      <c r="BJ95" s="48"/>
      <c r="BK95" s="48"/>
      <c r="BL95" s="48"/>
      <c r="BM95" s="48"/>
      <c r="BN95" s="48"/>
      <c r="BO95" s="48"/>
      <c r="BP95" s="48"/>
      <c r="BQ95" s="48"/>
      <c r="BR95" s="48"/>
      <c r="BS95" s="48"/>
      <c r="BT95" s="48"/>
      <c r="BU95" s="48"/>
      <c r="BV95" s="48"/>
      <c r="BW95" s="48"/>
      <c r="BX95" s="48"/>
      <c r="BY95" s="48"/>
      <c r="BZ95" s="48"/>
      <c r="CA95" s="48"/>
      <c r="CB95" s="48"/>
      <c r="CC95" s="48"/>
      <c r="CD95" s="48"/>
      <c r="CE95" s="48"/>
      <c r="CF95" s="48"/>
      <c r="CG95" s="48"/>
      <c r="CH95" s="48"/>
      <c r="CI95" s="48"/>
      <c r="CJ95" s="48"/>
      <c r="CK95" s="48"/>
      <c r="CL95" s="48"/>
      <c r="CM95" s="48"/>
      <c r="CN95" s="48"/>
      <c r="CO95" s="48"/>
      <c r="CP95" s="48"/>
      <c r="CQ95" s="48"/>
      <c r="CR95" s="48"/>
      <c r="CS95" s="48"/>
      <c r="CT95" s="48"/>
      <c r="CU95" s="48"/>
      <c r="CV95" s="48"/>
      <c r="CW95" s="48"/>
      <c r="CX95" s="48"/>
      <c r="CY95" s="48"/>
      <c r="CZ95" s="39"/>
      <c r="DA95" s="39"/>
      <c r="DB95" s="48"/>
    </row>
    <row r="96" spans="1:106" x14ac:dyDescent="0.2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  <c r="BB96" s="48"/>
      <c r="BC96" s="48"/>
      <c r="BD96" s="48"/>
      <c r="BE96" s="48"/>
      <c r="BF96" s="48"/>
      <c r="BG96" s="48"/>
      <c r="BH96" s="48"/>
      <c r="BI96" s="48"/>
      <c r="BJ96" s="48"/>
      <c r="BK96" s="48"/>
      <c r="BL96" s="48"/>
      <c r="BM96" s="48"/>
      <c r="BN96" s="48"/>
      <c r="BO96" s="48"/>
      <c r="BP96" s="48"/>
      <c r="BQ96" s="48"/>
      <c r="BR96" s="48"/>
      <c r="BS96" s="48"/>
      <c r="BT96" s="48"/>
      <c r="BU96" s="48"/>
      <c r="BV96" s="48"/>
      <c r="BW96" s="48"/>
      <c r="BX96" s="48"/>
      <c r="BY96" s="48"/>
      <c r="BZ96" s="48"/>
      <c r="CA96" s="48"/>
      <c r="CB96" s="48"/>
      <c r="CC96" s="48"/>
      <c r="CD96" s="48"/>
      <c r="CE96" s="48"/>
      <c r="CF96" s="48"/>
      <c r="CG96" s="48"/>
      <c r="CH96" s="48"/>
      <c r="CI96" s="48"/>
      <c r="CJ96" s="48"/>
      <c r="CK96" s="48"/>
      <c r="CL96" s="48"/>
      <c r="CM96" s="48"/>
      <c r="CN96" s="48"/>
      <c r="CO96" s="48"/>
      <c r="CP96" s="48"/>
      <c r="CQ96" s="48"/>
      <c r="CR96" s="48"/>
      <c r="CS96" s="48"/>
      <c r="CT96" s="48"/>
      <c r="CU96" s="48"/>
      <c r="CV96" s="48"/>
      <c r="CW96" s="48"/>
      <c r="CX96" s="48"/>
      <c r="CY96" s="48"/>
      <c r="CZ96" s="39"/>
      <c r="DA96" s="39"/>
      <c r="DB96" s="48"/>
    </row>
    <row r="97" spans="1:106" x14ac:dyDescent="0.2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  <c r="BM97" s="48"/>
      <c r="BN97" s="48"/>
      <c r="BO97" s="48"/>
      <c r="BP97" s="48"/>
      <c r="BQ97" s="48"/>
      <c r="BR97" s="48"/>
      <c r="BS97" s="48"/>
      <c r="BT97" s="48"/>
      <c r="BU97" s="48"/>
      <c r="BV97" s="48"/>
      <c r="BW97" s="48"/>
      <c r="BX97" s="48"/>
      <c r="BY97" s="48"/>
      <c r="BZ97" s="48"/>
      <c r="CA97" s="48"/>
      <c r="CB97" s="48"/>
      <c r="CC97" s="48"/>
      <c r="CD97" s="48"/>
      <c r="CE97" s="48"/>
      <c r="CF97" s="48"/>
      <c r="CG97" s="48"/>
      <c r="CH97" s="48"/>
      <c r="CI97" s="48"/>
      <c r="CJ97" s="48"/>
      <c r="CK97" s="48"/>
      <c r="CL97" s="48"/>
      <c r="CM97" s="48"/>
      <c r="CN97" s="48"/>
      <c r="CO97" s="48"/>
      <c r="CP97" s="48"/>
      <c r="CQ97" s="48"/>
      <c r="CR97" s="48"/>
      <c r="CS97" s="48"/>
      <c r="CT97" s="48"/>
      <c r="CU97" s="48"/>
      <c r="CV97" s="48"/>
      <c r="CW97" s="48"/>
      <c r="CX97" s="48"/>
      <c r="CY97" s="48"/>
      <c r="CZ97" s="39"/>
      <c r="DA97" s="39"/>
      <c r="DB97" s="48"/>
    </row>
    <row r="99" spans="1:106" x14ac:dyDescent="0.2">
      <c r="AS99" s="975"/>
      <c r="AT99" s="975"/>
      <c r="AU99" s="975"/>
      <c r="AV99" s="975"/>
      <c r="AW99" s="975"/>
    </row>
  </sheetData>
  <phoneticPr fontId="4" type="noConversion"/>
  <pageMargins left="0" right="0" top="0" bottom="0" header="0" footer="0"/>
  <pageSetup paperSize="5" scale="85" orientation="landscape" r:id="rId1"/>
  <headerFooter alignWithMargins="0"/>
  <ignoredErrors>
    <ignoredError sqref="BC13:BC14 BI12 BC12 BO15 M12 BO12 AW12 S12:AV12 AW19:AW20 AW21 AW13:AW14 BO13:BO14 BI13:BI14 BU12:BV12 BF23 CM12 AW15:AW18 BH18 BG19:BG23 BH20 BL23:BM23 BT22:BT23 BT43:BT44 BX12 BX38 BZ12:CC12 BZ14 CE12:CG12" formula="1"/>
    <ignoredError sqref="AY12 BQ38:BS38 BQ12:BQ34 BQ35:BR35 BQ36:BR36 BQ37:BR37 BQ40:BS42 BQ39:BR39 BQ44 BQ43:BR43 BQ50:BS51 BQ45:BR45 BQ46:BR46 BQ47:BR47 BQ48 BQ49:BR49" formulaRange="1"/>
    <ignoredError sqref="CK64:CM64 CK61:CM62" evalError="1"/>
    <ignoredError sqref="BR13:BS13 BR17:BS17 BR14 BR15 BR16 BR20:BS20 BR18 BR19 BR22:BS22 BR21 BR29:BS29 BR23 BR24 BR25 BR26 BR27 BR28 BR31:BS31 BR30 BR12 BR34 BR32 BR33 BW12" formula="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  <pageSetUpPr fitToPage="1"/>
  </sheetPr>
  <dimension ref="A1:DB121"/>
  <sheetViews>
    <sheetView workbookViewId="0">
      <pane xSplit="2" ySplit="6" topLeftCell="C7" activePane="bottomRight" state="frozen"/>
      <selection activeCell="BC8" sqref="BC8"/>
      <selection pane="topRight" activeCell="BC8" sqref="BC8"/>
      <selection pane="bottomLeft" activeCell="BC8" sqref="BC8"/>
      <selection pane="bottomRight" activeCell="AQ51" sqref="AQ51"/>
    </sheetView>
  </sheetViews>
  <sheetFormatPr defaultRowHeight="12.75" outlineLevelRow="1" outlineLevelCol="1" x14ac:dyDescent="0.2"/>
  <cols>
    <col min="1" max="1" width="33" style="5" bestFit="1" customWidth="1"/>
    <col min="2" max="2" width="0.85546875" style="5" customWidth="1"/>
    <col min="3" max="7" width="8.7109375" style="5" hidden="1" customWidth="1" outlineLevel="1"/>
    <col min="8" max="8" width="0.85546875" style="5" hidden="1" customWidth="1" outlineLevel="1"/>
    <col min="9" max="13" width="8.7109375" style="5" hidden="1" customWidth="1" outlineLevel="1"/>
    <col min="14" max="14" width="0.85546875" style="5" hidden="1" customWidth="1" outlineLevel="1"/>
    <col min="15" max="19" width="8.7109375" style="5" hidden="1" customWidth="1" outlineLevel="1"/>
    <col min="20" max="20" width="0.85546875" style="5" hidden="1" customWidth="1" outlineLevel="1"/>
    <col min="21" max="25" width="8.7109375" style="5" hidden="1" customWidth="1" outlineLevel="1"/>
    <col min="26" max="26" width="0.85546875" style="5" hidden="1" customWidth="1" outlineLevel="1"/>
    <col min="27" max="31" width="8.7109375" style="5" hidden="1" customWidth="1" outlineLevel="1"/>
    <col min="32" max="32" width="0.85546875" style="5" hidden="1" customWidth="1" outlineLevel="1"/>
    <col min="33" max="37" width="8.7109375" style="5" hidden="1" customWidth="1" outlineLevel="1"/>
    <col min="38" max="38" width="0.85546875" style="5" hidden="1" customWidth="1" outlineLevel="1"/>
    <col min="39" max="42" width="8.7109375" style="5" hidden="1" customWidth="1" outlineLevel="1"/>
    <col min="43" max="43" width="8.7109375" style="5" customWidth="1" collapsed="1"/>
    <col min="44" max="44" width="0.85546875" style="5" customWidth="1"/>
    <col min="45" max="48" width="8.7109375" style="5" hidden="1" customWidth="1" outlineLevel="1"/>
    <col min="49" max="49" width="8.7109375" style="5" customWidth="1" collapsed="1"/>
    <col min="50" max="50" width="0.85546875" style="5" customWidth="1"/>
    <col min="51" max="54" width="8.7109375" style="5" hidden="1" customWidth="1" outlineLevel="1"/>
    <col min="55" max="55" width="8.7109375" style="5" customWidth="1" collapsed="1"/>
    <col min="56" max="56" width="0.85546875" style="5" customWidth="1"/>
    <col min="57" max="60" width="8.7109375" style="5" hidden="1" customWidth="1" outlineLevel="1"/>
    <col min="61" max="61" width="8.7109375" style="5" customWidth="1" collapsed="1"/>
    <col min="62" max="62" width="0.85546875" style="5" customWidth="1"/>
    <col min="63" max="66" width="8.7109375" style="5" hidden="1" customWidth="1" outlineLevel="1"/>
    <col min="67" max="67" width="8.7109375" style="5" customWidth="1" collapsed="1"/>
    <col min="68" max="68" width="0.85546875" style="5" customWidth="1"/>
    <col min="69" max="72" width="8.7109375" style="5" hidden="1" customWidth="1" outlineLevel="1"/>
    <col min="73" max="73" width="8.7109375" style="5" customWidth="1" collapsed="1"/>
    <col min="74" max="74" width="0.85546875" style="5" customWidth="1"/>
    <col min="75" max="78" width="8.7109375" style="5" hidden="1" customWidth="1" outlineLevel="1"/>
    <col min="79" max="79" width="8.7109375" style="5" customWidth="1" collapsed="1"/>
    <col min="80" max="80" width="0.85546875" style="5" customWidth="1"/>
    <col min="81" max="84" width="8.7109375" style="5" customWidth="1" outlineLevel="1"/>
    <col min="85" max="85" width="8.7109375" style="5" customWidth="1"/>
    <col min="86" max="86" width="0.85546875" style="5" customWidth="1"/>
    <col min="87" max="90" width="8.7109375" style="5" customWidth="1" outlineLevel="1"/>
    <col min="91" max="91" width="8.7109375" style="5" customWidth="1"/>
    <col min="92" max="92" width="0.85546875" style="5" customWidth="1"/>
    <col min="93" max="96" width="8.7109375" style="5" hidden="1" customWidth="1" outlineLevel="1"/>
    <col min="97" max="97" width="8.7109375" style="5" customWidth="1" collapsed="1"/>
    <col min="98" max="98" width="0.85546875" style="5" customWidth="1"/>
    <col min="99" max="102" width="8.7109375" style="5" hidden="1" customWidth="1" outlineLevel="1"/>
    <col min="103" max="103" width="8.7109375" style="5" customWidth="1" collapsed="1"/>
    <col min="104" max="16384" width="9.140625" style="5"/>
  </cols>
  <sheetData>
    <row r="1" spans="1:103" ht="11.25" customHeight="1" x14ac:dyDescent="0.2"/>
    <row r="2" spans="1:103" ht="11.25" customHeight="1" x14ac:dyDescent="0.2">
      <c r="A2" s="788" t="s">
        <v>309</v>
      </c>
    </row>
    <row r="3" spans="1:103" ht="11.25" customHeight="1" x14ac:dyDescent="0.2">
      <c r="A3" s="846" t="s">
        <v>218</v>
      </c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372"/>
      <c r="AQ3" s="372"/>
      <c r="AR3" s="372"/>
      <c r="AS3" s="372"/>
      <c r="AT3" s="372"/>
      <c r="AU3" s="372"/>
      <c r="AV3" s="372"/>
      <c r="AW3" s="372"/>
      <c r="AX3" s="372"/>
      <c r="AY3" s="372"/>
      <c r="AZ3" s="372"/>
      <c r="BA3" s="372"/>
      <c r="BB3" s="372"/>
      <c r="BC3" s="372"/>
      <c r="BD3" s="372"/>
      <c r="BE3" s="372"/>
      <c r="BF3" s="372"/>
      <c r="BG3" s="372"/>
      <c r="BH3" s="372"/>
      <c r="BI3" s="372"/>
      <c r="BJ3" s="372"/>
      <c r="BK3" s="372"/>
      <c r="BL3" s="372"/>
      <c r="BM3" s="372"/>
      <c r="BN3" s="372"/>
      <c r="BO3" s="372"/>
      <c r="BP3" s="372"/>
      <c r="BQ3" s="372"/>
      <c r="BR3" s="372"/>
      <c r="BS3" s="372"/>
      <c r="BT3" s="372"/>
      <c r="BU3" s="373"/>
      <c r="BV3" s="372"/>
      <c r="BW3" s="372"/>
      <c r="BX3" s="372"/>
      <c r="BY3" s="372"/>
      <c r="BZ3" s="372"/>
      <c r="CA3" s="373"/>
      <c r="CB3" s="372"/>
      <c r="CC3" s="372"/>
      <c r="CD3" s="372"/>
      <c r="CE3" s="372"/>
      <c r="CF3" s="372"/>
      <c r="CG3" s="373"/>
      <c r="CH3" s="372"/>
      <c r="CI3" s="372"/>
      <c r="CJ3" s="372"/>
      <c r="CK3" s="372"/>
      <c r="CL3" s="372"/>
      <c r="CM3" s="373"/>
      <c r="CN3" s="372"/>
      <c r="CO3" s="372"/>
      <c r="CP3" s="372"/>
      <c r="CQ3" s="372"/>
      <c r="CR3" s="372"/>
      <c r="CS3" s="373"/>
      <c r="CT3" s="372"/>
      <c r="CU3" s="372"/>
      <c r="CV3" s="372"/>
      <c r="CW3" s="372"/>
      <c r="CX3" s="372"/>
      <c r="CY3" s="373"/>
    </row>
    <row r="4" spans="1:103" ht="11.25" customHeight="1" x14ac:dyDescent="0.2">
      <c r="A4" s="532" t="s">
        <v>6</v>
      </c>
    </row>
    <row r="5" spans="1:103" ht="11.25" customHeight="1" collapsed="1" x14ac:dyDescent="0.2">
      <c r="A5" s="342" t="s">
        <v>7</v>
      </c>
      <c r="B5" s="39"/>
      <c r="C5" s="343" t="s">
        <v>95</v>
      </c>
      <c r="D5" s="344"/>
      <c r="E5" s="344"/>
      <c r="F5" s="344"/>
      <c r="G5" s="345">
        <v>2004</v>
      </c>
      <c r="H5" s="346"/>
      <c r="I5" s="343" t="s">
        <v>94</v>
      </c>
      <c r="J5" s="344"/>
      <c r="K5" s="344"/>
      <c r="L5" s="344"/>
      <c r="M5" s="345">
        <f>G5+1</f>
        <v>2005</v>
      </c>
      <c r="N5" s="347"/>
      <c r="O5" s="343" t="s">
        <v>93</v>
      </c>
      <c r="P5" s="344"/>
      <c r="Q5" s="344"/>
      <c r="R5" s="344"/>
      <c r="S5" s="345">
        <f>M5+1</f>
        <v>2006</v>
      </c>
      <c r="T5" s="251"/>
      <c r="U5" s="343">
        <v>2007</v>
      </c>
      <c r="V5" s="344"/>
      <c r="W5" s="344"/>
      <c r="X5" s="344"/>
      <c r="Y5" s="345">
        <f>S5+1</f>
        <v>2007</v>
      </c>
      <c r="Z5" s="346"/>
      <c r="AA5" s="343">
        <f>U5+1</f>
        <v>2008</v>
      </c>
      <c r="AB5" s="344"/>
      <c r="AC5" s="344"/>
      <c r="AD5" s="344"/>
      <c r="AE5" s="345">
        <f>Y5+1</f>
        <v>2008</v>
      </c>
      <c r="AF5" s="347"/>
      <c r="AG5" s="343">
        <f>AA5+1</f>
        <v>2009</v>
      </c>
      <c r="AH5" s="344"/>
      <c r="AI5" s="344"/>
      <c r="AJ5" s="344"/>
      <c r="AK5" s="345">
        <f>AE5+1</f>
        <v>2009</v>
      </c>
      <c r="AL5" s="347"/>
      <c r="AM5" s="343">
        <f>AG5+1</f>
        <v>2010</v>
      </c>
      <c r="AN5" s="344"/>
      <c r="AO5" s="344"/>
      <c r="AP5" s="344"/>
      <c r="AQ5" s="345">
        <f>AK5+1</f>
        <v>2010</v>
      </c>
      <c r="AR5" s="347"/>
      <c r="AS5" s="343">
        <f>AM5+1</f>
        <v>2011</v>
      </c>
      <c r="AT5" s="344"/>
      <c r="AU5" s="344"/>
      <c r="AV5" s="344"/>
      <c r="AW5" s="345">
        <f>AQ5+1</f>
        <v>2011</v>
      </c>
      <c r="AX5" s="347"/>
      <c r="AY5" s="343">
        <f>AS5+1</f>
        <v>2012</v>
      </c>
      <c r="AZ5" s="344"/>
      <c r="BA5" s="344"/>
      <c r="BB5" s="344"/>
      <c r="BC5" s="345">
        <f>AW5+1</f>
        <v>2012</v>
      </c>
      <c r="BD5" s="347"/>
      <c r="BE5" s="343">
        <f>AY5+1</f>
        <v>2013</v>
      </c>
      <c r="BF5" s="344"/>
      <c r="BG5" s="344"/>
      <c r="BH5" s="344"/>
      <c r="BI5" s="345">
        <f>BC5+1</f>
        <v>2013</v>
      </c>
      <c r="BJ5" s="347"/>
      <c r="BK5" s="343">
        <f>BE5+1</f>
        <v>2014</v>
      </c>
      <c r="BL5" s="344"/>
      <c r="BM5" s="344"/>
      <c r="BN5" s="344"/>
      <c r="BO5" s="345">
        <f>BI5+1</f>
        <v>2014</v>
      </c>
      <c r="BP5" s="252"/>
      <c r="BQ5" s="343">
        <f>BK5+1</f>
        <v>2015</v>
      </c>
      <c r="BR5" s="344"/>
      <c r="BS5" s="344"/>
      <c r="BT5" s="344"/>
      <c r="BU5" s="345">
        <f>BO5+1</f>
        <v>2015</v>
      </c>
      <c r="BW5" s="343">
        <f>BQ5+1</f>
        <v>2016</v>
      </c>
      <c r="BX5" s="344"/>
      <c r="BY5" s="344"/>
      <c r="BZ5" s="344"/>
      <c r="CA5" s="345">
        <f>BU5+1</f>
        <v>2016</v>
      </c>
      <c r="CC5" s="343">
        <f>BW5+1</f>
        <v>2017</v>
      </c>
      <c r="CD5" s="344"/>
      <c r="CE5" s="344"/>
      <c r="CF5" s="344"/>
      <c r="CG5" s="345">
        <f>CA5+1</f>
        <v>2017</v>
      </c>
      <c r="CI5" s="348">
        <f>CC5+1</f>
        <v>2018</v>
      </c>
      <c r="CJ5" s="344"/>
      <c r="CK5" s="344"/>
      <c r="CL5" s="344"/>
      <c r="CM5" s="349">
        <f>CG5+1</f>
        <v>2018</v>
      </c>
      <c r="CO5" s="348">
        <f>CI5+1</f>
        <v>2019</v>
      </c>
      <c r="CP5" s="344"/>
      <c r="CQ5" s="344"/>
      <c r="CR5" s="344"/>
      <c r="CS5" s="349">
        <f>CM5+1</f>
        <v>2019</v>
      </c>
      <c r="CU5" s="348">
        <f>CO5+1</f>
        <v>2020</v>
      </c>
      <c r="CV5" s="344"/>
      <c r="CW5" s="344"/>
      <c r="CX5" s="344"/>
      <c r="CY5" s="349">
        <f>CS5+1</f>
        <v>2020</v>
      </c>
    </row>
    <row r="6" spans="1:103" customFormat="1" ht="11.25" customHeight="1" x14ac:dyDescent="0.2">
      <c r="A6" s="39"/>
      <c r="B6" s="39"/>
      <c r="C6" s="357">
        <v>38077</v>
      </c>
      <c r="D6" s="358">
        <f>C6+FLOOR(365/4,1)</f>
        <v>38168</v>
      </c>
      <c r="E6" s="358">
        <f>D6+FLOOR(365/4,1)</f>
        <v>38259</v>
      </c>
      <c r="F6" s="358">
        <f>E6+FLOOR(365/4,1)</f>
        <v>38350</v>
      </c>
      <c r="G6" s="359"/>
      <c r="H6" s="365"/>
      <c r="I6" s="357">
        <f>F6+FLOOR(365/4,1)</f>
        <v>38441</v>
      </c>
      <c r="J6" s="358">
        <f>I6+FLOOR(365/4,1)</f>
        <v>38532</v>
      </c>
      <c r="K6" s="358">
        <f>J6+FLOOR(365/4,1)</f>
        <v>38623</v>
      </c>
      <c r="L6" s="358">
        <f>K6+FLOOR(365/4,1)</f>
        <v>38714</v>
      </c>
      <c r="M6" s="359"/>
      <c r="N6" s="364"/>
      <c r="O6" s="357">
        <f>L6+FLOOR(365/4,1)</f>
        <v>38805</v>
      </c>
      <c r="P6" s="358">
        <f>O6+FLOOR(365/4,1)</f>
        <v>38896</v>
      </c>
      <c r="Q6" s="358">
        <f>P6+FLOOR(365/4,1)</f>
        <v>38987</v>
      </c>
      <c r="R6" s="358">
        <f>Q6+FLOOR(365/4,1)</f>
        <v>39078</v>
      </c>
      <c r="S6" s="359"/>
      <c r="T6" s="337"/>
      <c r="U6" s="357">
        <v>39172</v>
      </c>
      <c r="V6" s="358">
        <f>U6+FLOOR(365/4,1)</f>
        <v>39263</v>
      </c>
      <c r="W6" s="358">
        <f>V6+FLOOR(365/4,1)+1</f>
        <v>39355</v>
      </c>
      <c r="X6" s="358">
        <f>W6+FLOOR(365/4,1)+1</f>
        <v>39447</v>
      </c>
      <c r="Y6" s="359"/>
      <c r="Z6" s="365"/>
      <c r="AA6" s="357">
        <f>U6+366</f>
        <v>39538</v>
      </c>
      <c r="AB6" s="358">
        <f>AA6+FLOOR(365/4,1)</f>
        <v>39629</v>
      </c>
      <c r="AC6" s="358">
        <f>AB6+FLOOR(365/4,1)+1</f>
        <v>39721</v>
      </c>
      <c r="AD6" s="358">
        <f>AC6+FLOOR(365/4,1)+1</f>
        <v>39813</v>
      </c>
      <c r="AE6" s="359"/>
      <c r="AF6" s="359"/>
      <c r="AG6" s="357">
        <f>AA6+365</f>
        <v>39903</v>
      </c>
      <c r="AH6" s="358">
        <f>AG6+FLOOR(365/4,1)</f>
        <v>39994</v>
      </c>
      <c r="AI6" s="358">
        <f>AH6+FLOOR(365/4,1)+1</f>
        <v>40086</v>
      </c>
      <c r="AJ6" s="358">
        <f>AI6+FLOOR(365/4,1)+1</f>
        <v>40178</v>
      </c>
      <c r="AK6" s="359"/>
      <c r="AL6" s="359"/>
      <c r="AM6" s="357">
        <f>AG6+365</f>
        <v>40268</v>
      </c>
      <c r="AN6" s="358">
        <f>AM6+FLOOR(365/4,1)</f>
        <v>40359</v>
      </c>
      <c r="AO6" s="358">
        <f>AN6+FLOOR(365/4,1)+1</f>
        <v>40451</v>
      </c>
      <c r="AP6" s="358">
        <f>AO6+FLOOR(365/4,1)+1</f>
        <v>40543</v>
      </c>
      <c r="AQ6" s="359"/>
      <c r="AR6" s="359"/>
      <c r="AS6" s="357">
        <f>AM6+365</f>
        <v>40633</v>
      </c>
      <c r="AT6" s="358">
        <f>AS6+FLOOR(365/4,1)</f>
        <v>40724</v>
      </c>
      <c r="AU6" s="358">
        <f>AT6+FLOOR(365/4,1)+1</f>
        <v>40816</v>
      </c>
      <c r="AV6" s="358">
        <f>AU6+FLOOR(365/4,1)+1</f>
        <v>40908</v>
      </c>
      <c r="AW6" s="359"/>
      <c r="AX6" s="359"/>
      <c r="AY6" s="357">
        <f>AS6+366</f>
        <v>40999</v>
      </c>
      <c r="AZ6" s="358">
        <f>AY6+FLOOR(365/4,1)</f>
        <v>41090</v>
      </c>
      <c r="BA6" s="358">
        <f>AZ6+FLOOR(365/4,1)+1</f>
        <v>41182</v>
      </c>
      <c r="BB6" s="358">
        <f>BA6+FLOOR(365/4,1)+1</f>
        <v>41274</v>
      </c>
      <c r="BC6" s="359"/>
      <c r="BD6" s="364"/>
      <c r="BE6" s="357">
        <f>AY6+365</f>
        <v>41364</v>
      </c>
      <c r="BF6" s="358">
        <f>BE6+FLOOR(365/4,1)</f>
        <v>41455</v>
      </c>
      <c r="BG6" s="358">
        <f>BF6+FLOOR(365/4,1)+1</f>
        <v>41547</v>
      </c>
      <c r="BH6" s="358">
        <f>BG6+FLOOR(365/4,1)+1</f>
        <v>41639</v>
      </c>
      <c r="BI6" s="359"/>
      <c r="BJ6" s="359"/>
      <c r="BK6" s="357">
        <f>BE6+365</f>
        <v>41729</v>
      </c>
      <c r="BL6" s="358">
        <f>BK6+FLOOR(365/4,1)</f>
        <v>41820</v>
      </c>
      <c r="BM6" s="358">
        <f>BL6+FLOOR(365/4,1)+1</f>
        <v>41912</v>
      </c>
      <c r="BN6" s="358">
        <f>BM6+FLOOR(365/4,1)+1</f>
        <v>42004</v>
      </c>
      <c r="BO6" s="359"/>
      <c r="BP6" s="8"/>
      <c r="BQ6" s="357">
        <f>BK6+365</f>
        <v>42094</v>
      </c>
      <c r="BR6" s="358">
        <f>BQ6+FLOOR(365/4,1)</f>
        <v>42185</v>
      </c>
      <c r="BS6" s="358">
        <f>BR6+FLOOR(365/4,1)</f>
        <v>42276</v>
      </c>
      <c r="BT6" s="358">
        <f>BS6+FLOOR(365/4,1)+1</f>
        <v>42368</v>
      </c>
      <c r="BU6" s="359"/>
      <c r="BW6" s="357">
        <f>BQ6+365</f>
        <v>42459</v>
      </c>
      <c r="BX6" s="358">
        <f>BW6+FLOOR(365/4,1)</f>
        <v>42550</v>
      </c>
      <c r="BY6" s="358">
        <f>BX6+FLOOR(365/4,1)+1</f>
        <v>42642</v>
      </c>
      <c r="BZ6" s="358">
        <f>BY6+FLOOR(365/4,1)+1</f>
        <v>42734</v>
      </c>
      <c r="CA6" s="359"/>
      <c r="CC6" s="357">
        <f>BW6+365</f>
        <v>42824</v>
      </c>
      <c r="CD6" s="358">
        <f>CC6+FLOOR(365/4,1)</f>
        <v>42915</v>
      </c>
      <c r="CE6" s="358">
        <f>CD6+FLOOR(365/4,1)+1</f>
        <v>43007</v>
      </c>
      <c r="CF6" s="358">
        <f>CE6+FLOOR(365/4,1)+1</f>
        <v>43099</v>
      </c>
      <c r="CG6" s="359"/>
      <c r="CI6" s="362">
        <f>CC6+365</f>
        <v>43189</v>
      </c>
      <c r="CJ6" s="360">
        <f>CI6+FLOOR(365/4,1)</f>
        <v>43280</v>
      </c>
      <c r="CK6" s="360">
        <f>CJ6+FLOOR(365/4,1)+1</f>
        <v>43372</v>
      </c>
      <c r="CL6" s="361">
        <f>CK6+FLOOR(365/4,1)+1</f>
        <v>43464</v>
      </c>
      <c r="CM6" s="359"/>
      <c r="CO6" s="362">
        <f>CI6+365</f>
        <v>43554</v>
      </c>
      <c r="CP6" s="360">
        <f>CO6+FLOOR(365/4,1)</f>
        <v>43645</v>
      </c>
      <c r="CQ6" s="360">
        <f>CP6+FLOOR(365/4,1)+1</f>
        <v>43737</v>
      </c>
      <c r="CR6" s="361">
        <f>CQ6+FLOOR(365/4,1)+1</f>
        <v>43829</v>
      </c>
      <c r="CS6" s="359"/>
      <c r="CU6" s="362">
        <f>CO6+365</f>
        <v>43919</v>
      </c>
      <c r="CV6" s="360">
        <f>CU6+FLOOR(365/4,1)</f>
        <v>44010</v>
      </c>
      <c r="CW6" s="360">
        <f>CV6+FLOOR(365/4,1)+1</f>
        <v>44102</v>
      </c>
      <c r="CX6" s="361">
        <f>CW6+FLOOR(365/4,1)+1</f>
        <v>44194</v>
      </c>
      <c r="CY6" s="359"/>
    </row>
    <row r="7" spans="1:103" customFormat="1" ht="11.25" customHeight="1" x14ac:dyDescent="0.2">
      <c r="A7" s="179" t="s">
        <v>15</v>
      </c>
      <c r="B7" s="41"/>
      <c r="C7" s="180"/>
      <c r="D7" s="41"/>
      <c r="E7" s="41"/>
      <c r="F7" s="41"/>
      <c r="G7" s="45"/>
      <c r="H7" s="41"/>
      <c r="I7" s="180"/>
      <c r="J7" s="41"/>
      <c r="K7" s="41"/>
      <c r="L7" s="41"/>
      <c r="M7" s="45"/>
      <c r="N7" s="41"/>
      <c r="O7" s="180"/>
      <c r="P7" s="41"/>
      <c r="Q7" s="41"/>
      <c r="R7" s="41"/>
      <c r="S7" s="45"/>
      <c r="T7" s="41"/>
      <c r="U7" s="180"/>
      <c r="V7" s="41"/>
      <c r="W7" s="41"/>
      <c r="X7" s="41"/>
      <c r="Y7" s="45"/>
      <c r="Z7" s="41"/>
      <c r="AA7" s="180"/>
      <c r="AB7" s="41"/>
      <c r="AC7" s="41"/>
      <c r="AD7" s="41"/>
      <c r="AE7" s="45"/>
      <c r="AF7" s="41"/>
      <c r="AG7" s="180"/>
      <c r="AH7" s="41"/>
      <c r="AI7" s="41"/>
      <c r="AJ7" s="41"/>
      <c r="AK7" s="45"/>
      <c r="AL7" s="41"/>
      <c r="AM7" s="180"/>
      <c r="AN7" s="41"/>
      <c r="AO7" s="41"/>
      <c r="AP7" s="41"/>
      <c r="AQ7" s="45"/>
      <c r="AR7" s="41"/>
      <c r="AS7" s="180"/>
      <c r="AT7" s="41"/>
      <c r="AU7" s="41"/>
      <c r="AV7" s="41"/>
      <c r="AW7" s="45"/>
      <c r="AX7" s="41"/>
      <c r="AY7" s="180"/>
      <c r="AZ7" s="41"/>
      <c r="BA7" s="41"/>
      <c r="BB7" s="41"/>
      <c r="BC7" s="45"/>
      <c r="BD7" s="41"/>
      <c r="BE7" s="180"/>
      <c r="BF7" s="41"/>
      <c r="BG7" s="41"/>
      <c r="BH7" s="41"/>
      <c r="BI7" s="45"/>
      <c r="BJ7" s="41"/>
      <c r="BK7" s="10"/>
      <c r="BL7" s="10"/>
      <c r="BM7" s="10"/>
      <c r="BN7" s="10"/>
      <c r="BO7" s="45"/>
      <c r="BP7" s="10"/>
      <c r="BQ7" s="10"/>
      <c r="BR7" s="10"/>
      <c r="BS7" s="10"/>
      <c r="BT7" s="10"/>
      <c r="BU7" s="45"/>
      <c r="BV7" s="891"/>
      <c r="BW7" s="10"/>
      <c r="BX7" s="10"/>
      <c r="BY7" s="10"/>
      <c r="BZ7" s="10"/>
      <c r="CA7" s="45"/>
      <c r="CB7" s="891"/>
      <c r="CC7" s="10"/>
      <c r="CD7" s="10"/>
      <c r="CE7" s="10"/>
      <c r="CF7" s="10"/>
      <c r="CG7" s="45"/>
      <c r="CH7" s="891"/>
      <c r="CI7" s="10"/>
      <c r="CJ7" s="10"/>
      <c r="CK7" s="10"/>
      <c r="CL7" s="10"/>
      <c r="CM7" s="45"/>
      <c r="CN7" s="891"/>
      <c r="CO7" s="10"/>
      <c r="CP7" s="10"/>
      <c r="CQ7" s="10"/>
      <c r="CR7" s="10"/>
      <c r="CS7" s="45"/>
      <c r="CT7" s="891"/>
      <c r="CU7" s="10"/>
      <c r="CV7" s="10"/>
      <c r="CW7" s="10"/>
      <c r="CX7" s="10"/>
      <c r="CY7" s="45"/>
    </row>
    <row r="8" spans="1:103" ht="11.25" customHeight="1" x14ac:dyDescent="0.2">
      <c r="A8" s="789" t="s">
        <v>222</v>
      </c>
      <c r="B8" s="790"/>
      <c r="C8" s="791">
        <f>C12+C16+C20+C24+C28+C60+C64+C69+-C73</f>
        <v>98.3</v>
      </c>
      <c r="D8" s="792">
        <f>D12+D16+D20+D24+D28+D60+D64+D69+-D73</f>
        <v>98.300000000000011</v>
      </c>
      <c r="E8" s="792">
        <f>E12+E16+E20+E24+E28+E60+E64+E69+-E73</f>
        <v>199.7</v>
      </c>
      <c r="F8" s="793">
        <f>G8</f>
        <v>197.35599999999999</v>
      </c>
      <c r="G8" s="794">
        <f>G12+G16+G20+G24+G28+G60+G64+G69+-G73</f>
        <v>197.35599999999999</v>
      </c>
      <c r="H8" s="790"/>
      <c r="I8" s="791">
        <f>I12+I16+I20+I24+I28+I60+I64+I69+-I73+I56</f>
        <v>201.9</v>
      </c>
      <c r="J8" s="792">
        <f>J12+J16+J20+J24+J28+J60+J64+J69+-J73+J56</f>
        <v>198.3</v>
      </c>
      <c r="K8" s="792">
        <f>K12+K16+K20+K24+K28+K60+K64+K69+-K73+K56</f>
        <v>198.2</v>
      </c>
      <c r="L8" s="792">
        <f>L12+L16+L20+L24+L28+L60+L64+L69+-L73+L56</f>
        <v>191.447</v>
      </c>
      <c r="M8" s="794">
        <f>M12+M16+M20+M24+M28+M60+M64+M69+-M73+M56</f>
        <v>191.447</v>
      </c>
      <c r="N8" s="790"/>
      <c r="O8" s="791">
        <f>O12+O16+O20+O24+O28+O60+O64+O69+-O73+O56</f>
        <v>198.6</v>
      </c>
      <c r="P8" s="792">
        <f>P12+P16+P20+P24+P28+P60+P64+P69+-P73+P56</f>
        <v>494.7</v>
      </c>
      <c r="Q8" s="792">
        <f>Q12+Q16+Q20+Q24+Q28+Q60+Q64+Q69+-Q73+Q56</f>
        <v>494.5</v>
      </c>
      <c r="R8" s="792">
        <f>R12+R16+R20+R24+R28+R60+R64+R69+-R73+R56</f>
        <v>489.59200000000004</v>
      </c>
      <c r="S8" s="794">
        <f>S12+S16+S20+S24+S28+S60+S64+S69+-S73+S56</f>
        <v>489.59200000000004</v>
      </c>
      <c r="T8" s="790"/>
      <c r="U8" s="791">
        <f>U12+U16+U20+U24+U28+U60+U64+U69+-U73+U56</f>
        <v>496.8</v>
      </c>
      <c r="V8" s="792">
        <f>V12+V16+V20+V24+V28+V60+V64+V69+-V73+V56</f>
        <v>490.6</v>
      </c>
      <c r="W8" s="792">
        <f>W12+W16+W20+W24+W28+W60+W64+W69+-W73+W56</f>
        <v>950</v>
      </c>
      <c r="X8" s="792">
        <f>X12+X16+X20+X24+X28+X60+X64+X69+-X73+X56</f>
        <v>950</v>
      </c>
      <c r="Y8" s="794">
        <f>Y12+Y16+Y20+Y24+Y28+Y60+Y64+Y69+-Y73+Y56</f>
        <v>950</v>
      </c>
      <c r="Z8" s="790"/>
      <c r="AA8" s="791">
        <f>AA12+AA16+AA20+AA24+AA28+AA60+AA64+AA69+-AA73+AA56</f>
        <v>950</v>
      </c>
      <c r="AB8" s="792">
        <f>AB12+AB16+AB20+AB24+AB28+AB60+AB64+AB69+-AB73+AB56</f>
        <v>950</v>
      </c>
      <c r="AC8" s="792">
        <f>AC12+AC16+AC20+AC24+AC28+AC60+AC64+AC69+-AC73+AC56</f>
        <v>950</v>
      </c>
      <c r="AD8" s="792">
        <f>AD12+AD16+AD20+AD24+AD28+AD60+AD64+AD69+-AD73+AD56</f>
        <v>920</v>
      </c>
      <c r="AE8" s="794">
        <f>AE12+AE16+AE20+AE24+AE28+AE60+AE64+AE69+-AE73+AE56</f>
        <v>920</v>
      </c>
      <c r="AF8" s="790"/>
      <c r="AG8" s="791">
        <f>AG12+AG16+AG20+AG24+AG28+AG60+AG64+AG69+-AG73+AG56</f>
        <v>920</v>
      </c>
      <c r="AH8" s="792">
        <f>AH12+AH16+AH20+AH24+AH28+AH60+AH64+AH69+-AH73+AH56</f>
        <v>920</v>
      </c>
      <c r="AI8" s="792">
        <f>AI12+AI16+AI20+AI24+AI28+AI60+AI64+AI69+-AI73+AI56</f>
        <v>870</v>
      </c>
      <c r="AJ8" s="792">
        <f>AJ12+AJ16+AJ20+AJ24+AJ28+AJ60+AJ64+AJ69+-AJ73+AJ56</f>
        <v>870</v>
      </c>
      <c r="AK8" s="794">
        <f>AK12+AK16+AK20+AK24+AK28+AK60+AK64+AK69+-AK73+AK56</f>
        <v>870</v>
      </c>
      <c r="AL8" s="790"/>
      <c r="AM8" s="791">
        <f>AM12+AM16+AM20+AM24+AM28+AM60+AM64+AM69+-AM73+AM56</f>
        <v>870</v>
      </c>
      <c r="AN8" s="792">
        <f>AN12+AN16+AN20+AN24+AN28+AN60+AN64+AN69+-AN73+AN56</f>
        <v>871.78300000000002</v>
      </c>
      <c r="AO8" s="792">
        <f>AO12+AO16+AO20+AO24+AO28+AO60+AO64+AO69+-AO73+AO56</f>
        <v>797.64499999999998</v>
      </c>
      <c r="AP8" s="792">
        <f>AP12+AP16+AP20+AP24+AP28+AP60+AP64+AP69+-AP73+AP56</f>
        <v>797.17099999999994</v>
      </c>
      <c r="AQ8" s="794">
        <f>AQ12+AQ16+AQ20+AQ24+AQ28+AQ60+AQ64+AQ69+-AQ73+AQ56</f>
        <v>797.17099999999994</v>
      </c>
      <c r="AR8" s="790"/>
      <c r="AS8" s="791">
        <f>AS12+AS16+AS20+AS24+AS28+AS60+AS64+AS69+-AS73+AS56</f>
        <v>796.86500000000001</v>
      </c>
      <c r="AT8" s="792">
        <f>AT12+AT16+AT20+AT24+AT28+AT60+AT64+AT69+-AT73+AT56</f>
        <v>796.44600000000003</v>
      </c>
      <c r="AU8" s="792">
        <f>AU12+AU16+AU20+AU24+AU28+AU60+AU64+AU69+-AU73+AU56</f>
        <v>446.505</v>
      </c>
      <c r="AV8" s="793">
        <f>AV12+AV16+AV20+AV24+AV28+AV60+AV64+AV69+-AV73+AV56</f>
        <v>446.005</v>
      </c>
      <c r="AW8" s="794">
        <f>AW12+AW16+AW20+AW24+AW28+AW60+AW64+AW69+-AW73+AW56</f>
        <v>446.005</v>
      </c>
      <c r="AX8" s="790"/>
      <c r="AY8" s="791">
        <f>AY12+AY16+AY20+AY24+AY28+AY60+AY64+AY69+-AY73+AY56</f>
        <v>445.58600000000001</v>
      </c>
      <c r="AZ8" s="792">
        <f>AZ12+AZ16+AZ20+AZ24+AZ28+AZ60+AZ64+AZ69+-AZ73+AZ56</f>
        <v>445.44100000000003</v>
      </c>
      <c r="BA8" s="792">
        <f>BA12+BA16+BA20+BA24+BA28+BA60+BA64+BA69+-BA73+BA56</f>
        <v>445.42099999999999</v>
      </c>
      <c r="BB8" s="793">
        <f>BB12+BB16+BB20+BB24+BB28+BB32+BB36+BB40+BB60+BB64+BB69+-BB73+BB56</f>
        <v>846.04399999999998</v>
      </c>
      <c r="BC8" s="794">
        <f>BC12+BC16+BC20+BC24+BC28+BC32+BC36+BC40+BC60+BC64+BC69+-BC73+BC56</f>
        <v>846.04399999999998</v>
      </c>
      <c r="BD8" s="790"/>
      <c r="BE8" s="791">
        <f>BE12+BE16+BE20+BE24+BE28+BE32+BE36+BE40+BE60+BE64+BE69+-BE73+BE56</f>
        <v>846.07999999999993</v>
      </c>
      <c r="BF8" s="792">
        <f>BF12+BF16+BF20+BF24+BF28+BF32+BF36+BF40+BF60+BF64+BF69+-BF73+BF56</f>
        <v>845.62900000000002</v>
      </c>
      <c r="BG8" s="792">
        <f>BG12+BG16+BG20+BG24+BG28+BG32+BG36+BG40+BG60+BG64+BG69+-BG73+BG56</f>
        <v>846.33499999999992</v>
      </c>
      <c r="BH8" s="793">
        <f>BH12+BH16+BH20+BH24+BH28+BH32+BH36+BH40+BH60+BH64+BH69+-BH73+BH56</f>
        <v>845.27599999999995</v>
      </c>
      <c r="BI8" s="794">
        <f>BI12+BI16+BI20+BI24+BI28+BI32+BI36+BI40+BI60+BI64+BI69+-BI73+BI56</f>
        <v>845.27599999999995</v>
      </c>
      <c r="BJ8" s="790"/>
      <c r="BK8" s="791">
        <f>BK12+BK16+BK20+BK24+BK28+BK32+BK36+BK40+BK44+BK48+BK60+BK64+BK69+-BK73+BK56</f>
        <v>1170.8820000000001</v>
      </c>
      <c r="BL8" s="792">
        <f>BL12+BL16+BL20+BL24+BL28+BL32+BL36+BL40+BL44+BL48+BL60+BL64+BL69+-BL73+BL56</f>
        <v>1174.953</v>
      </c>
      <c r="BM8" s="792">
        <f>BM12+BM16+BM20+BM24+BM28+BM32+BM36+BM40+BM44+BM48+BM60+BM64+BM69+-BM73+BM56</f>
        <v>1033.548</v>
      </c>
      <c r="BN8" s="793">
        <f>BN12+BN16+BN20+BN24+BN28+BN32+BN36+BN40+BN44+BN48+BN60+BN64+BN69+-BN73+BN56</f>
        <v>1040.96</v>
      </c>
      <c r="BO8" s="794">
        <f>BO12+BO16+BO20+BO24+BO28+BO32+BO36+BO40+BO44+BO48+BO60+BO64+BO69+-BO73+BO56</f>
        <v>1040.96</v>
      </c>
      <c r="BP8" s="20"/>
      <c r="BQ8" s="791">
        <f>BQ12+BQ16+BQ20+BQ24+BQ28+BQ32+BQ36+BQ40+BQ44+BQ48+BQ60+BQ64+BQ69+-BQ73+BQ56</f>
        <v>1048.3229999999999</v>
      </c>
      <c r="BR8" s="792">
        <f>BR12+BR16+BR20+BR24+BR28+BR32+BR36+BR40+BR44+BR48+BR60+BR64+BR69+-BR73+BR56</f>
        <v>1048.971</v>
      </c>
      <c r="BS8" s="792">
        <f>BS12+BS16+BS20+BS24+BS28+BS32+BS36+BS40+BS44+BS48+BS60+BS64+BS69+-BS73+BS56</f>
        <v>1058.4159999999999</v>
      </c>
      <c r="BT8" s="793">
        <f>BT12+BT16+BT20+BT24+BT28+BT32+BT36+BT40+BT44+BT48+BT60+BT64+BT69+-BT73+BT56</f>
        <v>1059.587</v>
      </c>
      <c r="BU8" s="794">
        <f>BU12+BU16+BU20+BU24+BU28+BU32+BU36+BU40+BU44+BU48+BU60+BU64+BU69+-BU73+BU56</f>
        <v>1059.587</v>
      </c>
      <c r="BW8" s="791">
        <f>BW12+BW16+BW20+BW24+BW28+BW32+BW36+BW40+BW44+BW48+BW60+BW64+BW69+-BW73+BW56</f>
        <v>1059.787</v>
      </c>
      <c r="BX8" s="792">
        <f>BX12+BX16+BX20+BX24+BX28+BX32+BX36+BX40+BX44+BX48+BX60+BX64+BX69+-BX73+BX56</f>
        <v>1072.412</v>
      </c>
      <c r="BY8" s="792">
        <f>BY12+BY16+BY20+BY24+BY28+BY32+BY36+BY40+BY44+BY48+BY60+BY64+BY69+-BY73+BY56</f>
        <v>1069.44</v>
      </c>
      <c r="BZ8" s="793">
        <f>BZ12+BZ16+BZ20+BZ24+BZ28+BZ32+BZ36+BZ40+BZ44+BZ48+BZ60+BZ64+BZ69+-BZ73+BZ56</f>
        <v>1067.096</v>
      </c>
      <c r="CA8" s="794">
        <f>CA12+CA16+CA20+CA24+CA28+CA32+CA36+CA40+CA44+CA48+CA60+CA64+CA69+-CA73+CA56</f>
        <v>1067.096</v>
      </c>
      <c r="CC8" s="791">
        <f>CC12+CC16+CC20+CC24+CC28+CC32+CC36+CC40+CC44+CC48+CC60+CC64+CC69+-CC73+CC56</f>
        <v>1071.5630000000001</v>
      </c>
      <c r="CD8" s="792">
        <f>CD12+CD16+CD20+CD24+CD28+CD32+CD36+CD40+CD44+CD48+CD60+CD64+CD69+-CD73+CD56</f>
        <v>1383.8300000000002</v>
      </c>
      <c r="CE8" s="792">
        <f>CE12+CE16+CE20+CE24+CE28+CE32+CE36+CE40+CE44+CE48+CE60+CE64+CE69+-CE73+CE56+CE52</f>
        <v>1746.9940000000001</v>
      </c>
      <c r="CF8" s="793">
        <f>CF12+CF16+CF20+CF24+CF28+CF32+CF36+CF40+CF44+CF48+CF60+CF64+CF69+-CF73+CF56</f>
        <v>1435.3560000000002</v>
      </c>
      <c r="CG8" s="794">
        <f>CG12+CG16+CG20+CG24+CG28+CG32+CG36+CG40+CG44+CG48+CG60+CG64+CG69+-CG73+CG56</f>
        <v>1435.3560000000002</v>
      </c>
      <c r="CI8" s="791">
        <f>CI12+CI16+CI20+CI24+CI28+CI32+CI36+CI40+CI44+CI48+CI60+CI64+CI69+-CI73+CI56</f>
        <v>1435.3560000000002</v>
      </c>
      <c r="CJ8" s="792">
        <f>CJ12+CJ16+CJ20+CJ24+CJ28+CJ32+CJ36+CJ40+CJ44+CJ48+CJ60+CJ64+CJ69+-CJ73+CJ56</f>
        <v>1435.3560000000002</v>
      </c>
      <c r="CK8" s="792">
        <f>CK12+CK16+CK20+CK24+CK28+CK32+CK36+CK40+CK44+CK48+CK60+CK64+CK69+-CK73+CK56</f>
        <v>1435.3560000000002</v>
      </c>
      <c r="CL8" s="793">
        <f>CL12+CL16+CL20+CL24+CL28+CL32+CL36+CL40+CL44+CL48+CL60+CL64+CL69+-CL73+CL56</f>
        <v>1435.3560000000002</v>
      </c>
      <c r="CM8" s="794">
        <f>CM12+CM16+CM20+CM24+CM28+CM32+CM36+CM40+CM44+CM48+CM60+CM64+CM69+-CM73+CM56</f>
        <v>1435.3560000000002</v>
      </c>
      <c r="CO8" s="791">
        <f>CO12+CO16+CO20+CO24+CO28+CO32+CO36+CO40+CO44+CO48+CO60+CO64+CO69+-CO73+CO56</f>
        <v>1435.3560000000002</v>
      </c>
      <c r="CP8" s="792">
        <f>CP12+CP16+CP20+CP24+CP28+CP32+CP36+CP40+CP44+CP48+CP60+CP64+CP69+-CP73+CP56</f>
        <v>1435.3560000000002</v>
      </c>
      <c r="CQ8" s="792">
        <f>CQ12+CQ16+CQ20+CQ24+CQ28+CQ32+CQ36+CQ40+CQ44+CQ48+CQ60+CQ64+CQ69+-CQ73+CQ56</f>
        <v>1435.3560000000002</v>
      </c>
      <c r="CR8" s="793">
        <f>CR12+CR16+CR20+CR24+CR28+CR32+CR36+CR40+CR44+CR48+CR60+CR64+CR69+-CR73+CR56</f>
        <v>1435.3560000000002</v>
      </c>
      <c r="CS8" s="794">
        <f>CS12+CS16+CS20+CS24+CS28+CS32+CS36+CS40+CS44+CS48+CS60+CS64+CS69+-CS73+CS56</f>
        <v>1435.3560000000002</v>
      </c>
      <c r="CU8" s="791">
        <f>CU12+CU16+CU20+CU24+CU28+CU32+CU36+CU40+CU44+CU48+CU60+CU64+CU69+-CU73+CU56</f>
        <v>1435.3560000000002</v>
      </c>
      <c r="CV8" s="792">
        <f>CV12+CV16+CV20+CV24+CV28+CV32+CV36+CV40+CV44+CV48+CV60+CV64+CV69+-CV73+CV56</f>
        <v>1435.3560000000002</v>
      </c>
      <c r="CW8" s="792">
        <f>CW12+CW16+CW20+CW24+CW28+CW32+CW36+CW40+CW44+CW48+CW60+CW64+CW69+-CW73+CW56</f>
        <v>1435.3560000000002</v>
      </c>
      <c r="CX8" s="793">
        <f>CX12+CX16+CX20+CX24+CX28+CX32+CX36+CX40+CX44+CX48+CX60+CX64+CX69+-CX73+CX56</f>
        <v>1435.3560000000002</v>
      </c>
      <c r="CY8" s="794">
        <f>CY12+CY16+CY20+CY24+CY28+CY32+CY36+CY40+CY44+CY48+CY60+CY64+CY69+-CY73+CY56</f>
        <v>1435.3560000000002</v>
      </c>
    </row>
    <row r="9" spans="1:103" ht="11.25" customHeight="1" outlineLevel="1" x14ac:dyDescent="0.2">
      <c r="A9" s="301" t="s">
        <v>104</v>
      </c>
      <c r="B9" s="8"/>
      <c r="C9" s="302"/>
      <c r="D9" s="255"/>
      <c r="E9" s="255"/>
      <c r="F9" s="255"/>
      <c r="G9" s="60"/>
      <c r="H9" s="8"/>
      <c r="I9" s="302"/>
      <c r="J9" s="255"/>
      <c r="K9" s="255"/>
      <c r="L9" s="255"/>
      <c r="M9" s="60"/>
      <c r="N9" s="8"/>
      <c r="O9" s="302"/>
      <c r="P9" s="255"/>
      <c r="Q9" s="255"/>
      <c r="R9" s="255"/>
      <c r="S9" s="60"/>
      <c r="T9" s="8"/>
      <c r="U9" s="302"/>
      <c r="V9" s="255"/>
      <c r="W9" s="255"/>
      <c r="X9" s="255"/>
      <c r="Y9" s="60"/>
      <c r="Z9" s="8"/>
      <c r="AA9" s="302"/>
      <c r="AB9" s="255"/>
      <c r="AC9" s="255"/>
      <c r="AD9" s="890">
        <v>1.2500000000000001E-2</v>
      </c>
      <c r="AE9" s="60"/>
      <c r="AF9" s="8"/>
      <c r="AG9" s="302"/>
      <c r="AH9" s="255"/>
      <c r="AI9" s="255"/>
      <c r="AJ9" s="255"/>
      <c r="AK9" s="60"/>
      <c r="AL9" s="8"/>
      <c r="AM9" s="302"/>
      <c r="AN9" s="255"/>
      <c r="AO9" s="255"/>
      <c r="AP9" s="255"/>
      <c r="AQ9" s="60"/>
      <c r="AR9" s="8"/>
      <c r="AS9" s="302"/>
      <c r="AT9" s="255"/>
      <c r="AU9" s="255"/>
      <c r="AV9" s="255"/>
      <c r="AW9" s="60"/>
      <c r="AX9" s="8"/>
      <c r="AY9" s="302"/>
      <c r="AZ9" s="255"/>
      <c r="BA9" s="255"/>
      <c r="BB9" s="255"/>
      <c r="BC9" s="60"/>
      <c r="BD9" s="8"/>
      <c r="BE9" s="302"/>
      <c r="BF9" s="255"/>
      <c r="BG9" s="255"/>
      <c r="BH9" s="255"/>
      <c r="BI9" s="60"/>
      <c r="BJ9" s="8"/>
      <c r="BK9" s="302"/>
      <c r="BL9" s="255"/>
      <c r="BM9" s="255"/>
      <c r="BN9" s="255"/>
      <c r="BO9" s="60"/>
      <c r="BP9" s="20"/>
      <c r="BQ9" s="302"/>
      <c r="BR9" s="255"/>
      <c r="BS9" s="255"/>
      <c r="BT9" s="255"/>
      <c r="BU9" s="60"/>
      <c r="BW9" s="302"/>
      <c r="BX9" s="255"/>
      <c r="BY9" s="255"/>
      <c r="BZ9" s="255"/>
      <c r="CA9" s="60"/>
      <c r="CC9" s="302"/>
      <c r="CD9" s="255"/>
      <c r="CE9" s="255"/>
      <c r="CF9" s="255"/>
      <c r="CG9" s="60"/>
      <c r="CI9" s="302"/>
      <c r="CJ9" s="255"/>
      <c r="CK9" s="255"/>
      <c r="CL9" s="255"/>
      <c r="CM9" s="60"/>
      <c r="CO9" s="302"/>
      <c r="CP9" s="255"/>
      <c r="CQ9" s="255"/>
      <c r="CR9" s="255"/>
      <c r="CS9" s="60"/>
      <c r="CU9" s="302"/>
      <c r="CV9" s="255"/>
      <c r="CW9" s="255"/>
      <c r="CX9" s="255"/>
      <c r="CY9" s="60"/>
    </row>
    <row r="10" spans="1:103" ht="11.25" customHeight="1" outlineLevel="1" x14ac:dyDescent="0.2">
      <c r="A10" s="301" t="s">
        <v>113</v>
      </c>
      <c r="B10" s="8"/>
      <c r="C10" s="302"/>
      <c r="D10" s="255"/>
      <c r="E10" s="255"/>
      <c r="F10" s="255"/>
      <c r="G10" s="60"/>
      <c r="H10" s="8"/>
      <c r="I10" s="302"/>
      <c r="J10" s="255"/>
      <c r="K10" s="255"/>
      <c r="L10" s="255"/>
      <c r="M10" s="60"/>
      <c r="N10" s="8"/>
      <c r="O10" s="302"/>
      <c r="P10" s="255"/>
      <c r="Q10" s="255"/>
      <c r="R10" s="255"/>
      <c r="S10" s="60"/>
      <c r="T10" s="8"/>
      <c r="U10" s="302"/>
      <c r="V10" s="255"/>
      <c r="W10" s="255"/>
      <c r="X10" s="255"/>
      <c r="Y10" s="60"/>
      <c r="Z10" s="8"/>
      <c r="AA10" s="302"/>
      <c r="AB10" s="255"/>
      <c r="AC10" s="255"/>
      <c r="AD10" s="890">
        <v>1.8880000000000001E-2</v>
      </c>
      <c r="AE10" s="60"/>
      <c r="AF10" s="8"/>
      <c r="AG10" s="302"/>
      <c r="AH10" s="255"/>
      <c r="AI10" s="255"/>
      <c r="AJ10" s="255"/>
      <c r="AK10" s="60"/>
      <c r="AL10" s="8"/>
      <c r="AM10" s="302"/>
      <c r="AN10" s="255"/>
      <c r="AO10" s="255"/>
      <c r="AP10" s="255"/>
      <c r="AQ10" s="60"/>
      <c r="AR10" s="8"/>
      <c r="AS10" s="302"/>
      <c r="AT10" s="255"/>
      <c r="AU10" s="255"/>
      <c r="AV10" s="255"/>
      <c r="AW10" s="60"/>
      <c r="AX10" s="8"/>
      <c r="AY10" s="302"/>
      <c r="AZ10" s="255"/>
      <c r="BA10" s="255"/>
      <c r="BB10" s="255"/>
      <c r="BC10" s="60"/>
      <c r="BD10" s="8"/>
      <c r="BE10" s="302"/>
      <c r="BF10" s="255"/>
      <c r="BG10" s="255"/>
      <c r="BH10" s="255"/>
      <c r="BI10" s="60"/>
      <c r="BJ10" s="8"/>
      <c r="BK10" s="302"/>
      <c r="BL10" s="255"/>
      <c r="BM10" s="255"/>
      <c r="BN10" s="255"/>
      <c r="BO10" s="60"/>
      <c r="BP10" s="20"/>
      <c r="BQ10" s="302"/>
      <c r="BR10" s="255"/>
      <c r="BS10" s="255"/>
      <c r="BT10" s="255"/>
      <c r="BU10" s="1707">
        <f>(BU8-BS!BU10)/'P&amp;L'!BU20</f>
        <v>1.5125611745513872</v>
      </c>
      <c r="BW10" s="302"/>
      <c r="BX10" s="255"/>
      <c r="BY10" s="255"/>
      <c r="BZ10" s="255"/>
      <c r="CA10" s="1707">
        <f>(CA8-BS!CA10)/'P&amp;L'!CA20</f>
        <v>1.1711616941590759</v>
      </c>
      <c r="CC10" s="302"/>
      <c r="CD10" s="255"/>
      <c r="CE10" s="255"/>
      <c r="CF10" s="255"/>
      <c r="CG10" s="1707">
        <f>(CG8-BS!CG10)/'P&amp;L'!CG20</f>
        <v>1.3229163831350885</v>
      </c>
      <c r="CI10" s="302"/>
      <c r="CJ10" s="255"/>
      <c r="CK10" s="255"/>
      <c r="CL10" s="255"/>
      <c r="CM10" s="60"/>
      <c r="CO10" s="302"/>
      <c r="CP10" s="255"/>
      <c r="CQ10" s="255"/>
      <c r="CR10" s="255"/>
      <c r="CS10" s="60"/>
      <c r="CU10" s="302"/>
      <c r="CV10" s="255"/>
      <c r="CW10" s="255"/>
      <c r="CX10" s="255"/>
      <c r="CY10" s="60"/>
    </row>
    <row r="11" spans="1:103" ht="11.25" customHeight="1" x14ac:dyDescent="0.2">
      <c r="A11" s="795" t="s">
        <v>395</v>
      </c>
      <c r="B11" s="430"/>
      <c r="C11" s="475"/>
      <c r="D11" s="431"/>
      <c r="E11" s="431"/>
      <c r="F11" s="431"/>
      <c r="G11" s="474">
        <f>G8/'P&amp;L'!G20</f>
        <v>1.7473792321858619</v>
      </c>
      <c r="H11" s="430"/>
      <c r="I11" s="475"/>
      <c r="J11" s="431"/>
      <c r="K11" s="431"/>
      <c r="L11" s="431"/>
      <c r="M11" s="474">
        <f>M8/'P&amp;L'!M20</f>
        <v>1.5112288152317201</v>
      </c>
      <c r="N11" s="430"/>
      <c r="O11" s="475"/>
      <c r="P11" s="431"/>
      <c r="Q11" s="431"/>
      <c r="R11" s="431"/>
      <c r="S11" s="474">
        <f>S8/'P&amp;L'!S20</f>
        <v>3.2505543826103125</v>
      </c>
      <c r="T11" s="430"/>
      <c r="U11" s="475"/>
      <c r="V11" s="431"/>
      <c r="W11" s="431"/>
      <c r="X11" s="431"/>
      <c r="Y11" s="474">
        <f>Y8/'P&amp;L'!Y20</f>
        <v>4.1882139251500039</v>
      </c>
      <c r="Z11" s="430"/>
      <c r="AA11" s="475"/>
      <c r="AB11" s="431"/>
      <c r="AC11" s="431"/>
      <c r="AD11" s="431"/>
      <c r="AE11" s="474">
        <f>AE8/'P&amp;L'!AE20</f>
        <v>2.5675445622476074</v>
      </c>
      <c r="AF11" s="430"/>
      <c r="AG11" s="475"/>
      <c r="AH11" s="431"/>
      <c r="AI11" s="431"/>
      <c r="AJ11" s="431"/>
      <c r="AK11" s="474">
        <f>AK8/'P&amp;L'!AK20</f>
        <v>2.08873523480265</v>
      </c>
      <c r="AL11" s="430"/>
      <c r="AM11" s="475"/>
      <c r="AN11" s="431"/>
      <c r="AO11" s="431"/>
      <c r="AP11" s="431"/>
      <c r="AQ11" s="474">
        <f>AQ8/'P&amp;L'!AQ20</f>
        <v>1.7675318397899813</v>
      </c>
      <c r="AR11" s="430"/>
      <c r="AS11" s="475"/>
      <c r="AT11" s="431"/>
      <c r="AU11" s="431"/>
      <c r="AV11" s="431"/>
      <c r="AW11" s="474">
        <f>AW8/'P&amp;L'!AW20</f>
        <v>0.91580066980006614</v>
      </c>
      <c r="AX11" s="430"/>
      <c r="AY11" s="475"/>
      <c r="AZ11" s="431"/>
      <c r="BA11" s="431"/>
      <c r="BB11" s="431"/>
      <c r="BC11" s="474">
        <f>BC8/'P&amp;L'!BC20</f>
        <v>1.5262653723551074</v>
      </c>
      <c r="BD11" s="430"/>
      <c r="BE11" s="475"/>
      <c r="BF11" s="431"/>
      <c r="BG11" s="431"/>
      <c r="BH11" s="431"/>
      <c r="BI11" s="474">
        <f>BI8/'P&amp;L'!BI20</f>
        <v>1.5225287700003065</v>
      </c>
      <c r="BJ11" s="430"/>
      <c r="BK11" s="475"/>
      <c r="BL11" s="431"/>
      <c r="BM11" s="431"/>
      <c r="BN11" s="431"/>
      <c r="BO11" s="474">
        <f>BO8/'P&amp;L'!BO20</f>
        <v>2.0288809930789307</v>
      </c>
      <c r="BP11" s="20"/>
      <c r="BQ11" s="475"/>
      <c r="BR11" s="431"/>
      <c r="BS11" s="431"/>
      <c r="BT11" s="431"/>
      <c r="BU11" s="1706">
        <f>BU8/'P&amp;L'!BU20</f>
        <v>2.0825625503645906</v>
      </c>
      <c r="BW11" s="475"/>
      <c r="BX11" s="431"/>
      <c r="BY11" s="431"/>
      <c r="BZ11" s="431"/>
      <c r="CA11" s="474">
        <f>CA8/'P&amp;L'!CA20</f>
        <v>1.9903011854935582</v>
      </c>
      <c r="CC11" s="475"/>
      <c r="CD11" s="431"/>
      <c r="CE11" s="431"/>
      <c r="CF11" s="431"/>
      <c r="CG11" s="474">
        <f>CG8/'P&amp;L'!CG20</f>
        <v>2.4418125153107058</v>
      </c>
      <c r="CI11" s="475"/>
      <c r="CJ11" s="431"/>
      <c r="CK11" s="431"/>
      <c r="CL11" s="431"/>
      <c r="CM11" s="474">
        <f>CM8/'P&amp;L'!CM20</f>
        <v>2.3688502143429764</v>
      </c>
      <c r="CO11" s="475"/>
      <c r="CP11" s="431"/>
      <c r="CQ11" s="431"/>
      <c r="CR11" s="431"/>
      <c r="CS11" s="474">
        <f>CS8/'P&amp;L'!CS20</f>
        <v>2.1347479466528752</v>
      </c>
      <c r="CU11" s="475"/>
      <c r="CV11" s="431"/>
      <c r="CW11" s="431"/>
      <c r="CX11" s="431"/>
      <c r="CY11" s="474">
        <f>CY8/'P&amp;L'!CY20</f>
        <v>1.9019592712886115</v>
      </c>
    </row>
    <row r="12" spans="1:103" ht="11.25" customHeight="1" x14ac:dyDescent="0.2">
      <c r="A12" s="796" t="s">
        <v>105</v>
      </c>
      <c r="B12" s="40"/>
      <c r="C12" s="797">
        <v>0</v>
      </c>
      <c r="D12" s="798">
        <v>0</v>
      </c>
      <c r="E12" s="798">
        <v>0</v>
      </c>
      <c r="F12" s="281">
        <f>G12</f>
        <v>0</v>
      </c>
      <c r="G12" s="420">
        <v>0</v>
      </c>
      <c r="H12" s="40"/>
      <c r="I12" s="797">
        <v>0</v>
      </c>
      <c r="J12" s="798">
        <v>0</v>
      </c>
      <c r="K12" s="798">
        <v>0</v>
      </c>
      <c r="L12" s="281">
        <f>M12</f>
        <v>0</v>
      </c>
      <c r="M12" s="420">
        <v>0</v>
      </c>
      <c r="N12" s="40"/>
      <c r="O12" s="797">
        <v>0</v>
      </c>
      <c r="P12" s="798">
        <v>0</v>
      </c>
      <c r="Q12" s="798">
        <v>0</v>
      </c>
      <c r="R12" s="281">
        <f>S12</f>
        <v>0</v>
      </c>
      <c r="S12" s="420">
        <v>0</v>
      </c>
      <c r="T12" s="40"/>
      <c r="U12" s="797">
        <v>0</v>
      </c>
      <c r="V12" s="798">
        <v>0</v>
      </c>
      <c r="W12" s="798">
        <v>500</v>
      </c>
      <c r="X12" s="844">
        <f>Y12</f>
        <v>500</v>
      </c>
      <c r="Y12" s="420">
        <v>500</v>
      </c>
      <c r="Z12" s="40"/>
      <c r="AA12" s="797">
        <v>500</v>
      </c>
      <c r="AB12" s="798">
        <v>500</v>
      </c>
      <c r="AC12" s="798">
        <v>500</v>
      </c>
      <c r="AD12" s="798">
        <v>500</v>
      </c>
      <c r="AE12" s="327">
        <f>AD12</f>
        <v>500</v>
      </c>
      <c r="AF12" s="40"/>
      <c r="AG12" s="797">
        <v>500</v>
      </c>
      <c r="AH12" s="798">
        <v>500</v>
      </c>
      <c r="AI12" s="798">
        <v>475</v>
      </c>
      <c r="AJ12" s="798">
        <v>475</v>
      </c>
      <c r="AK12" s="6">
        <f>AJ12</f>
        <v>475</v>
      </c>
      <c r="AL12" s="40"/>
      <c r="AM12" s="797">
        <v>475</v>
      </c>
      <c r="AN12" s="798">
        <v>475</v>
      </c>
      <c r="AO12" s="798">
        <v>425</v>
      </c>
      <c r="AP12" s="798">
        <v>425</v>
      </c>
      <c r="AQ12" s="327">
        <f>AP12</f>
        <v>425</v>
      </c>
      <c r="AR12" s="40"/>
      <c r="AS12" s="797">
        <v>425</v>
      </c>
      <c r="AT12" s="798">
        <v>425</v>
      </c>
      <c r="AU12" s="798">
        <v>350</v>
      </c>
      <c r="AV12" s="798">
        <v>0</v>
      </c>
      <c r="AW12" s="327">
        <f>AV12</f>
        <v>0</v>
      </c>
      <c r="AX12" s="40"/>
      <c r="AY12" s="797">
        <v>0</v>
      </c>
      <c r="AZ12" s="798">
        <v>0</v>
      </c>
      <c r="BA12" s="798">
        <v>0</v>
      </c>
      <c r="BB12" s="798">
        <v>0</v>
      </c>
      <c r="BC12" s="327">
        <f>BB12</f>
        <v>0</v>
      </c>
      <c r="BD12" s="40"/>
      <c r="BE12" s="797">
        <v>0</v>
      </c>
      <c r="BF12" s="798">
        <v>0</v>
      </c>
      <c r="BG12" s="798">
        <v>0</v>
      </c>
      <c r="BH12" s="798">
        <v>0</v>
      </c>
      <c r="BI12" s="327">
        <f>BH12</f>
        <v>0</v>
      </c>
      <c r="BJ12" s="40"/>
      <c r="BK12" s="412">
        <f>BI12-BK14</f>
        <v>0</v>
      </c>
      <c r="BL12" s="281">
        <f>BK12-BL14</f>
        <v>0</v>
      </c>
      <c r="BM12" s="281">
        <f>BL12-BM14</f>
        <v>0</v>
      </c>
      <c r="BN12" s="281">
        <f>BM12-BN14</f>
        <v>0</v>
      </c>
      <c r="BO12" s="327">
        <f>BN12</f>
        <v>0</v>
      </c>
      <c r="BP12" s="20"/>
      <c r="BQ12" s="412">
        <f>BO12-BQ14</f>
        <v>0</v>
      </c>
      <c r="BR12" s="281">
        <f>BQ12-BR14</f>
        <v>0</v>
      </c>
      <c r="BS12" s="281">
        <f>BR12-BS14</f>
        <v>0</v>
      </c>
      <c r="BT12" s="281">
        <f>BS12-BT14</f>
        <v>0</v>
      </c>
      <c r="BU12" s="327">
        <f>BT12</f>
        <v>0</v>
      </c>
      <c r="BW12" s="412">
        <f>BU12-BW14</f>
        <v>0</v>
      </c>
      <c r="BX12" s="281">
        <f>BW12-BX14</f>
        <v>0</v>
      </c>
      <c r="BY12" s="281">
        <f>BX12-BY14</f>
        <v>0</v>
      </c>
      <c r="BZ12" s="281">
        <f>BY12-BZ14</f>
        <v>0</v>
      </c>
      <c r="CA12" s="327">
        <f>BZ12</f>
        <v>0</v>
      </c>
      <c r="CC12" s="412">
        <f>CA12-CC14</f>
        <v>0</v>
      </c>
      <c r="CD12" s="281">
        <f>CC12-CD14</f>
        <v>0</v>
      </c>
      <c r="CE12" s="281">
        <f>CD12-CE14</f>
        <v>0</v>
      </c>
      <c r="CF12" s="281">
        <f>CE12-CF14</f>
        <v>0</v>
      </c>
      <c r="CG12" s="327">
        <f>CF12</f>
        <v>0</v>
      </c>
      <c r="CI12" s="412">
        <f>CG12-CI14</f>
        <v>0</v>
      </c>
      <c r="CJ12" s="281">
        <f>CI12-CJ14</f>
        <v>0</v>
      </c>
      <c r="CK12" s="281">
        <f>CJ12-CK14</f>
        <v>0</v>
      </c>
      <c r="CL12" s="281">
        <f>CK12-CL14</f>
        <v>0</v>
      </c>
      <c r="CM12" s="327">
        <f>CL12</f>
        <v>0</v>
      </c>
      <c r="CO12" s="412">
        <f>CM12-CO14</f>
        <v>0</v>
      </c>
      <c r="CP12" s="281">
        <f>CO12-CP14</f>
        <v>0</v>
      </c>
      <c r="CQ12" s="281">
        <f>CP12-CQ14</f>
        <v>0</v>
      </c>
      <c r="CR12" s="281">
        <f>CQ12-CR14</f>
        <v>0</v>
      </c>
      <c r="CS12" s="327">
        <f>CR12</f>
        <v>0</v>
      </c>
      <c r="CU12" s="412">
        <f>CS12-CU14</f>
        <v>0</v>
      </c>
      <c r="CV12" s="281">
        <f>CU12-CV14</f>
        <v>0</v>
      </c>
      <c r="CW12" s="281">
        <f>CV12-CW14</f>
        <v>0</v>
      </c>
      <c r="CX12" s="281">
        <f>CW12-CX14</f>
        <v>0</v>
      </c>
      <c r="CY12" s="327">
        <f>CX12</f>
        <v>0</v>
      </c>
    </row>
    <row r="13" spans="1:103" ht="11.25" customHeight="1" x14ac:dyDescent="0.2">
      <c r="A13" s="800" t="s">
        <v>106</v>
      </c>
      <c r="B13" s="211"/>
      <c r="C13" s="210"/>
      <c r="D13" s="211"/>
      <c r="E13" s="211"/>
      <c r="F13" s="211"/>
      <c r="G13" s="204"/>
      <c r="H13" s="314"/>
      <c r="I13" s="210"/>
      <c r="J13" s="211"/>
      <c r="K13" s="211"/>
      <c r="L13" s="211"/>
      <c r="M13" s="204"/>
      <c r="N13" s="314"/>
      <c r="O13" s="210"/>
      <c r="P13" s="211"/>
      <c r="Q13" s="211"/>
      <c r="R13" s="211"/>
      <c r="S13" s="204"/>
      <c r="T13" s="314"/>
      <c r="U13" s="210"/>
      <c r="V13" s="211"/>
      <c r="W13" s="801">
        <v>5.5449999999999999E-2</v>
      </c>
      <c r="X13" s="211">
        <f>Y13</f>
        <v>5.5449999999999999E-2</v>
      </c>
      <c r="Y13" s="802">
        <v>5.5449999999999999E-2</v>
      </c>
      <c r="Z13" s="314"/>
      <c r="AA13" s="803">
        <v>3.4040000000000001E-2</v>
      </c>
      <c r="AB13" s="804">
        <v>3.4040000000000001E-2</v>
      </c>
      <c r="AC13" s="804">
        <v>4.2529999999999998E-2</v>
      </c>
      <c r="AD13" s="804">
        <v>5.5449999999999999E-2</v>
      </c>
      <c r="AE13" s="315">
        <f>AD13</f>
        <v>5.5449999999999999E-2</v>
      </c>
      <c r="AF13" s="314"/>
      <c r="AG13" s="803">
        <v>1.01E-2</v>
      </c>
      <c r="AH13" s="804">
        <v>1.01E-2</v>
      </c>
      <c r="AI13" s="804">
        <v>1.01E-2</v>
      </c>
      <c r="AJ13" s="804">
        <v>1.068E-2</v>
      </c>
      <c r="AK13" s="315">
        <f>AJ13</f>
        <v>1.068E-2</v>
      </c>
      <c r="AL13" s="314"/>
      <c r="AM13" s="803">
        <v>6.4799999999999996E-3</v>
      </c>
      <c r="AN13" s="804">
        <v>7.5399999999999998E-3</v>
      </c>
      <c r="AO13" s="804">
        <v>7.4700000000000001E-3</v>
      </c>
      <c r="AP13" s="805">
        <v>7.5399999999999998E-3</v>
      </c>
      <c r="AQ13" s="315">
        <f>AP13</f>
        <v>7.5399999999999998E-3</v>
      </c>
      <c r="AR13" s="314"/>
      <c r="AS13" s="803">
        <v>6.4799999999999996E-3</v>
      </c>
      <c r="AT13" s="804">
        <v>6.2899999999999996E-3</v>
      </c>
      <c r="AU13" s="804">
        <v>6.3899999999999998E-3</v>
      </c>
      <c r="AV13" s="51">
        <v>0</v>
      </c>
      <c r="AW13" s="6">
        <f>AV13</f>
        <v>0</v>
      </c>
      <c r="AX13" s="314"/>
      <c r="AY13" s="53">
        <v>0</v>
      </c>
      <c r="AZ13" s="51">
        <v>0</v>
      </c>
      <c r="BA13" s="51">
        <v>0</v>
      </c>
      <c r="BB13" s="51">
        <v>0</v>
      </c>
      <c r="BC13" s="6">
        <f>BB13</f>
        <v>0</v>
      </c>
      <c r="BD13" s="314"/>
      <c r="BE13" s="53">
        <v>0</v>
      </c>
      <c r="BF13" s="51">
        <v>0</v>
      </c>
      <c r="BG13" s="51">
        <v>0</v>
      </c>
      <c r="BH13" s="51">
        <v>0</v>
      </c>
      <c r="BI13" s="6">
        <f>BH13</f>
        <v>0</v>
      </c>
      <c r="BJ13" s="314"/>
      <c r="BK13" s="38"/>
      <c r="BL13" s="261"/>
      <c r="BM13" s="261"/>
      <c r="BN13" s="806"/>
      <c r="BO13" s="37"/>
      <c r="BP13" s="807"/>
      <c r="BQ13" s="38"/>
      <c r="BR13" s="261"/>
      <c r="BS13" s="261"/>
      <c r="BT13" s="806"/>
      <c r="BU13" s="37"/>
      <c r="BW13" s="38"/>
      <c r="BX13" s="261"/>
      <c r="BY13" s="261"/>
      <c r="BZ13" s="806"/>
      <c r="CA13" s="37"/>
      <c r="CC13" s="38"/>
      <c r="CD13" s="261"/>
      <c r="CE13" s="261"/>
      <c r="CF13" s="806"/>
      <c r="CG13" s="37"/>
      <c r="CI13" s="38"/>
      <c r="CJ13" s="261"/>
      <c r="CK13" s="261"/>
      <c r="CL13" s="806"/>
      <c r="CM13" s="37"/>
      <c r="CO13" s="38"/>
      <c r="CP13" s="261"/>
      <c r="CQ13" s="261"/>
      <c r="CR13" s="806"/>
      <c r="CS13" s="37"/>
      <c r="CU13" s="38"/>
      <c r="CV13" s="261"/>
      <c r="CW13" s="261"/>
      <c r="CX13" s="806"/>
      <c r="CY13" s="37"/>
    </row>
    <row r="14" spans="1:103" ht="11.25" customHeight="1" x14ac:dyDescent="0.2">
      <c r="A14" s="808" t="s">
        <v>107</v>
      </c>
      <c r="B14" s="39"/>
      <c r="C14" s="19"/>
      <c r="D14" s="20"/>
      <c r="E14" s="20"/>
      <c r="F14" s="20"/>
      <c r="G14" s="6"/>
      <c r="H14" s="39"/>
      <c r="I14" s="19"/>
      <c r="J14" s="20"/>
      <c r="K14" s="20"/>
      <c r="L14" s="20"/>
      <c r="M14" s="6"/>
      <c r="N14" s="39"/>
      <c r="O14" s="19"/>
      <c r="P14" s="20"/>
      <c r="Q14" s="20"/>
      <c r="R14" s="20"/>
      <c r="S14" s="6"/>
      <c r="T14" s="39"/>
      <c r="U14" s="19"/>
      <c r="V14" s="20"/>
      <c r="W14" s="20"/>
      <c r="X14" s="20">
        <f>W12-X12</f>
        <v>0</v>
      </c>
      <c r="Y14" s="6">
        <f>SUM(U14:X14)</f>
        <v>0</v>
      </c>
      <c r="Z14" s="39"/>
      <c r="AA14" s="19">
        <f>X12-AA12</f>
        <v>0</v>
      </c>
      <c r="AB14" s="20">
        <f>AA12-AB12</f>
        <v>0</v>
      </c>
      <c r="AC14" s="20">
        <f>AB12-AC12</f>
        <v>0</v>
      </c>
      <c r="AD14" s="51">
        <v>0</v>
      </c>
      <c r="AE14" s="6">
        <f>SUM(AA14:AD14)</f>
        <v>0</v>
      </c>
      <c r="AF14" s="39"/>
      <c r="AG14" s="19">
        <f>AE12-AG12</f>
        <v>0</v>
      </c>
      <c r="AH14" s="20">
        <f>AG12-AH12</f>
        <v>0</v>
      </c>
      <c r="AI14" s="20">
        <f>AH12-AI12</f>
        <v>25</v>
      </c>
      <c r="AJ14" s="20">
        <f>AI12-AJ12</f>
        <v>0</v>
      </c>
      <c r="AK14" s="6">
        <f>SUM(AG14:AJ14)</f>
        <v>25</v>
      </c>
      <c r="AL14" s="39"/>
      <c r="AM14" s="19">
        <f>AK12-AM12</f>
        <v>0</v>
      </c>
      <c r="AN14" s="20">
        <f>AM12-AN12</f>
        <v>0</v>
      </c>
      <c r="AO14" s="20">
        <f>AN12-AO12</f>
        <v>50</v>
      </c>
      <c r="AP14" s="20">
        <f>AO12-AP12</f>
        <v>0</v>
      </c>
      <c r="AQ14" s="6">
        <f>SUM(AM14:AP14)</f>
        <v>50</v>
      </c>
      <c r="AR14" s="39"/>
      <c r="AS14" s="19">
        <f>AQ12-AS12</f>
        <v>0</v>
      </c>
      <c r="AT14" s="20">
        <f>AS12-AT12</f>
        <v>0</v>
      </c>
      <c r="AU14" s="20">
        <f>AT12-AU12</f>
        <v>75</v>
      </c>
      <c r="AV14" s="20">
        <f>AU12-AV12</f>
        <v>350</v>
      </c>
      <c r="AW14" s="6">
        <f>SUM(AS14:AV14)</f>
        <v>425</v>
      </c>
      <c r="AX14" s="39"/>
      <c r="AY14" s="53">
        <v>0</v>
      </c>
      <c r="AZ14" s="51">
        <v>0</v>
      </c>
      <c r="BA14" s="51">
        <v>0</v>
      </c>
      <c r="BB14" s="51">
        <v>0</v>
      </c>
      <c r="BC14" s="6">
        <f>SUM(AY14:BB14)</f>
        <v>0</v>
      </c>
      <c r="BD14" s="39"/>
      <c r="BE14" s="53">
        <v>0</v>
      </c>
      <c r="BF14" s="51">
        <v>0</v>
      </c>
      <c r="BG14" s="51">
        <v>0</v>
      </c>
      <c r="BH14" s="51">
        <v>0</v>
      </c>
      <c r="BI14" s="6">
        <f>SUM(BE14:BH14)</f>
        <v>0</v>
      </c>
      <c r="BJ14" s="39"/>
      <c r="BK14" s="53">
        <v>0</v>
      </c>
      <c r="BL14" s="51">
        <v>0</v>
      </c>
      <c r="BM14" s="51">
        <v>0</v>
      </c>
      <c r="BN14" s="51">
        <v>0</v>
      </c>
      <c r="BO14" s="6">
        <f>SUM(BK14:BN14)</f>
        <v>0</v>
      </c>
      <c r="BP14" s="20"/>
      <c r="BQ14" s="53">
        <v>0</v>
      </c>
      <c r="BR14" s="51">
        <v>0</v>
      </c>
      <c r="BS14" s="51">
        <v>0</v>
      </c>
      <c r="BT14" s="51">
        <v>0</v>
      </c>
      <c r="BU14" s="6">
        <f>SUM(BQ14:BT14)</f>
        <v>0</v>
      </c>
      <c r="BW14" s="53">
        <v>0</v>
      </c>
      <c r="BX14" s="51">
        <v>0</v>
      </c>
      <c r="BY14" s="51">
        <v>0</v>
      </c>
      <c r="BZ14" s="51">
        <v>0</v>
      </c>
      <c r="CA14" s="6">
        <f>SUM(BW14:BZ14)</f>
        <v>0</v>
      </c>
      <c r="CC14" s="53">
        <v>0</v>
      </c>
      <c r="CD14" s="51">
        <v>0</v>
      </c>
      <c r="CE14" s="51">
        <v>0</v>
      </c>
      <c r="CF14" s="51">
        <v>0</v>
      </c>
      <c r="CG14" s="6">
        <f>SUM(CC14:CF14)</f>
        <v>0</v>
      </c>
      <c r="CI14" s="53">
        <v>0</v>
      </c>
      <c r="CJ14" s="51">
        <v>0</v>
      </c>
      <c r="CK14" s="51">
        <v>0</v>
      </c>
      <c r="CL14" s="51">
        <v>0</v>
      </c>
      <c r="CM14" s="6">
        <f>SUM(CI14:CL14)</f>
        <v>0</v>
      </c>
      <c r="CO14" s="53">
        <v>0</v>
      </c>
      <c r="CP14" s="51">
        <v>0</v>
      </c>
      <c r="CQ14" s="51">
        <v>0</v>
      </c>
      <c r="CR14" s="51">
        <v>0</v>
      </c>
      <c r="CS14" s="6">
        <f>SUM(CO14:CR14)</f>
        <v>0</v>
      </c>
      <c r="CU14" s="53">
        <v>0</v>
      </c>
      <c r="CV14" s="51">
        <v>0</v>
      </c>
      <c r="CW14" s="51">
        <v>0</v>
      </c>
      <c r="CX14" s="51">
        <v>0</v>
      </c>
      <c r="CY14" s="6">
        <f>SUM(CU14:CX14)</f>
        <v>0</v>
      </c>
    </row>
    <row r="15" spans="1:103" ht="11.25" customHeight="1" x14ac:dyDescent="0.2">
      <c r="A15" s="809" t="s">
        <v>15</v>
      </c>
      <c r="B15" s="240"/>
      <c r="C15" s="22"/>
      <c r="D15" s="379"/>
      <c r="E15" s="379"/>
      <c r="F15" s="379"/>
      <c r="G15" s="157"/>
      <c r="H15" s="240"/>
      <c r="I15" s="22"/>
      <c r="J15" s="379"/>
      <c r="K15" s="379"/>
      <c r="L15" s="379"/>
      <c r="M15" s="157"/>
      <c r="N15" s="240"/>
      <c r="O15" s="22"/>
      <c r="P15" s="379"/>
      <c r="Q15" s="379"/>
      <c r="R15" s="379"/>
      <c r="S15" s="157"/>
      <c r="T15" s="240"/>
      <c r="U15" s="22"/>
      <c r="V15" s="379"/>
      <c r="W15" s="379">
        <f>(W13*W12)/4</f>
        <v>6.9312500000000004</v>
      </c>
      <c r="X15" s="379">
        <f>(X13*X12)/4</f>
        <v>6.9312500000000004</v>
      </c>
      <c r="Y15" s="157">
        <f>SUM(U15:X15)</f>
        <v>13.862500000000001</v>
      </c>
      <c r="Z15" s="240"/>
      <c r="AA15" s="22">
        <f>(AA13*AA12)/4</f>
        <v>4.2549999999999999</v>
      </c>
      <c r="AB15" s="379">
        <f>(AB13*AB12)/4</f>
        <v>4.2549999999999999</v>
      </c>
      <c r="AC15" s="379">
        <f>(AC13*AC12)/4</f>
        <v>5.3162500000000001</v>
      </c>
      <c r="AD15" s="379">
        <f>(AD13*AD12)/4</f>
        <v>6.9312500000000004</v>
      </c>
      <c r="AE15" s="157">
        <f>SUM(AA15:AD15)</f>
        <v>20.7575</v>
      </c>
      <c r="AF15" s="240"/>
      <c r="AG15" s="22">
        <f>(AG13*AG12)/4</f>
        <v>1.2625</v>
      </c>
      <c r="AH15" s="379">
        <f>(AH13*AH12)/4</f>
        <v>1.2625</v>
      </c>
      <c r="AI15" s="379">
        <f>(AI13*AI12)/4</f>
        <v>1.1993749999999999</v>
      </c>
      <c r="AJ15" s="379">
        <f>(AJ13*AJ12)/4</f>
        <v>1.2682500000000001</v>
      </c>
      <c r="AK15" s="157">
        <f>SUM(AG15:AJ15)</f>
        <v>4.9926250000000003</v>
      </c>
      <c r="AL15" s="240"/>
      <c r="AM15" s="22">
        <f>(AM13*AM12)/4</f>
        <v>0.76949999999999996</v>
      </c>
      <c r="AN15" s="379">
        <f>(AN13*AN12)/4</f>
        <v>0.89537500000000003</v>
      </c>
      <c r="AO15" s="379">
        <f>(AO13*AO12)/4</f>
        <v>0.79368749999999999</v>
      </c>
      <c r="AP15" s="379">
        <f>(AP13*AP12)/4</f>
        <v>0.80112499999999998</v>
      </c>
      <c r="AQ15" s="157">
        <f>SUM(AM15:AP15)</f>
        <v>3.2596874999999996</v>
      </c>
      <c r="AR15" s="240"/>
      <c r="AS15" s="22">
        <f>(AS13*AS12)/4</f>
        <v>0.6885</v>
      </c>
      <c r="AT15" s="379">
        <f>(AT13*AT12)/4</f>
        <v>0.66831249999999998</v>
      </c>
      <c r="AU15" s="379">
        <f>(AU13*AU12)/4</f>
        <v>0.55912499999999998</v>
      </c>
      <c r="AV15" s="379">
        <f>(AV13*AV12)/4</f>
        <v>0</v>
      </c>
      <c r="AW15" s="157">
        <f>SUM(AS15:AV15)</f>
        <v>1.9159375000000001</v>
      </c>
      <c r="AX15" s="240"/>
      <c r="AY15" s="22">
        <f>(AY13*AY12)/4</f>
        <v>0</v>
      </c>
      <c r="AZ15" s="379">
        <f>(AZ13*AZ12)/4</f>
        <v>0</v>
      </c>
      <c r="BA15" s="379">
        <f>(BA13*BA12)/4</f>
        <v>0</v>
      </c>
      <c r="BB15" s="379">
        <f>(BB13*BB12)/4</f>
        <v>0</v>
      </c>
      <c r="BC15" s="157">
        <f>SUM(AY15:BB15)</f>
        <v>0</v>
      </c>
      <c r="BD15" s="240"/>
      <c r="BE15" s="22">
        <f>(BE13*BE12)/4</f>
        <v>0</v>
      </c>
      <c r="BF15" s="379">
        <f>(BF13*BF12)/4</f>
        <v>0</v>
      </c>
      <c r="BG15" s="379">
        <f>(BG13*BG12)/4</f>
        <v>0</v>
      </c>
      <c r="BH15" s="379">
        <f>(BH13*BH12)/4</f>
        <v>0</v>
      </c>
      <c r="BI15" s="157">
        <f>SUM(BE15:BH15)</f>
        <v>0</v>
      </c>
      <c r="BJ15" s="240"/>
      <c r="BK15" s="22">
        <f>(BK13*BK12)/4</f>
        <v>0</v>
      </c>
      <c r="BL15" s="379">
        <f>(BL13*BL12)/4</f>
        <v>0</v>
      </c>
      <c r="BM15" s="379">
        <f>(BM13*BM12)/4</f>
        <v>0</v>
      </c>
      <c r="BN15" s="379">
        <f>(BN13*BN12)/4</f>
        <v>0</v>
      </c>
      <c r="BO15" s="157">
        <f>SUM(BK15:BN15)</f>
        <v>0</v>
      </c>
      <c r="BP15" s="20"/>
      <c r="BQ15" s="22">
        <f>(BQ13*BQ12)/4</f>
        <v>0</v>
      </c>
      <c r="BR15" s="379">
        <f>(BR13*BR12)/4</f>
        <v>0</v>
      </c>
      <c r="BS15" s="379">
        <f>(BS13*BS12)/4</f>
        <v>0</v>
      </c>
      <c r="BT15" s="379">
        <f>(BT13*BT12)/4</f>
        <v>0</v>
      </c>
      <c r="BU15" s="157">
        <f>SUM(BQ15:BT15)</f>
        <v>0</v>
      </c>
      <c r="BW15" s="22">
        <f>(BW13*BW12)/4</f>
        <v>0</v>
      </c>
      <c r="BX15" s="379">
        <f>(BX13*BX12)/4</f>
        <v>0</v>
      </c>
      <c r="BY15" s="379">
        <f>(BY13*BY12)/4</f>
        <v>0</v>
      </c>
      <c r="BZ15" s="379">
        <f>(BZ13*BZ12)/4</f>
        <v>0</v>
      </c>
      <c r="CA15" s="157">
        <f>SUM(BW15:BZ15)</f>
        <v>0</v>
      </c>
      <c r="CC15" s="22">
        <f>(CC13*CC12)/4</f>
        <v>0</v>
      </c>
      <c r="CD15" s="379">
        <f>(CD13*CD12)/4</f>
        <v>0</v>
      </c>
      <c r="CE15" s="379">
        <f>(CE13*CE12)/4</f>
        <v>0</v>
      </c>
      <c r="CF15" s="379">
        <f>(CF13*CF12)/4</f>
        <v>0</v>
      </c>
      <c r="CG15" s="157">
        <f>SUM(CC15:CF15)</f>
        <v>0</v>
      </c>
      <c r="CI15" s="22">
        <f>(CI13*CI12)/4</f>
        <v>0</v>
      </c>
      <c r="CJ15" s="379">
        <f>(CJ13*CJ12)/4</f>
        <v>0</v>
      </c>
      <c r="CK15" s="379">
        <f>(CK13*CK12)/4</f>
        <v>0</v>
      </c>
      <c r="CL15" s="379">
        <f>(CL13*CL12)/4</f>
        <v>0</v>
      </c>
      <c r="CM15" s="157">
        <f>SUM(CI15:CL15)</f>
        <v>0</v>
      </c>
      <c r="CO15" s="22">
        <f>(CO13*CO12)/4</f>
        <v>0</v>
      </c>
      <c r="CP15" s="379">
        <f>(CP13*CP12)/4</f>
        <v>0</v>
      </c>
      <c r="CQ15" s="379">
        <f>(CQ13*CQ12)/4</f>
        <v>0</v>
      </c>
      <c r="CR15" s="379">
        <f>(CR13*CR12)/4</f>
        <v>0</v>
      </c>
      <c r="CS15" s="157">
        <f>SUM(CO15:CR15)</f>
        <v>0</v>
      </c>
      <c r="CU15" s="22">
        <f>(CU13*CU12)/4</f>
        <v>0</v>
      </c>
      <c r="CV15" s="379">
        <f>(CV13*CV12)/4</f>
        <v>0</v>
      </c>
      <c r="CW15" s="379">
        <f>(CW13*CW12)/4</f>
        <v>0</v>
      </c>
      <c r="CX15" s="379">
        <f>(CX13*CX12)/4</f>
        <v>0</v>
      </c>
      <c r="CY15" s="157">
        <f>SUM(CU15:CX15)</f>
        <v>0</v>
      </c>
    </row>
    <row r="16" spans="1:103" ht="11.25" customHeight="1" outlineLevel="1" x14ac:dyDescent="0.2">
      <c r="A16" s="381" t="s">
        <v>111</v>
      </c>
      <c r="B16" s="39"/>
      <c r="C16" s="53">
        <v>0</v>
      </c>
      <c r="D16" s="51">
        <v>0</v>
      </c>
      <c r="E16" s="51">
        <v>0</v>
      </c>
      <c r="F16" s="20">
        <f>G16</f>
        <v>54.152000000000001</v>
      </c>
      <c r="G16" s="331">
        <v>54.152000000000001</v>
      </c>
      <c r="H16" s="39"/>
      <c r="I16" s="53">
        <v>51.9</v>
      </c>
      <c r="J16" s="51">
        <v>42.3</v>
      </c>
      <c r="K16" s="51">
        <v>42.2</v>
      </c>
      <c r="L16" s="20">
        <f>M16</f>
        <v>41.447000000000003</v>
      </c>
      <c r="M16" s="331">
        <v>41.447000000000003</v>
      </c>
      <c r="N16" s="39"/>
      <c r="O16" s="53">
        <v>42.5</v>
      </c>
      <c r="P16" s="51">
        <v>38.299999999999997</v>
      </c>
      <c r="Q16" s="51">
        <v>38.1</v>
      </c>
      <c r="R16" s="20">
        <f>S16</f>
        <v>39.591999999999999</v>
      </c>
      <c r="S16" s="331">
        <v>39.591999999999999</v>
      </c>
      <c r="T16" s="39"/>
      <c r="U16" s="53">
        <v>40.1</v>
      </c>
      <c r="V16" s="51">
        <v>33.799999999999997</v>
      </c>
      <c r="W16" s="51">
        <v>0</v>
      </c>
      <c r="X16" s="20">
        <f>Y16</f>
        <v>0</v>
      </c>
      <c r="Y16" s="331">
        <v>0</v>
      </c>
      <c r="Z16" s="39"/>
      <c r="AA16" s="53">
        <v>0</v>
      </c>
      <c r="AB16" s="51">
        <v>0</v>
      </c>
      <c r="AC16" s="51">
        <v>0</v>
      </c>
      <c r="AD16" s="20"/>
      <c r="AE16" s="6"/>
      <c r="AF16" s="39"/>
      <c r="AG16" s="19"/>
      <c r="AH16" s="20"/>
      <c r="AI16" s="20"/>
      <c r="AJ16" s="20"/>
      <c r="AK16" s="327"/>
      <c r="AL16" s="39"/>
      <c r="AM16" s="19"/>
      <c r="AN16" s="20"/>
      <c r="AO16" s="20"/>
      <c r="AP16" s="20"/>
      <c r="AQ16" s="6"/>
      <c r="AR16" s="39"/>
      <c r="AS16" s="19"/>
      <c r="AT16" s="20"/>
      <c r="AU16" s="20"/>
      <c r="AV16" s="20"/>
      <c r="AW16" s="6"/>
      <c r="AX16" s="39"/>
      <c r="AY16" s="19"/>
      <c r="AZ16" s="20"/>
      <c r="BA16" s="20"/>
      <c r="BB16" s="20"/>
      <c r="BC16" s="6"/>
      <c r="BD16" s="39"/>
      <c r="BE16" s="19"/>
      <c r="BF16" s="20"/>
      <c r="BG16" s="20"/>
      <c r="BH16" s="20"/>
      <c r="BI16" s="6"/>
      <c r="BJ16" s="39"/>
      <c r="BK16" s="19"/>
      <c r="BL16" s="20"/>
      <c r="BM16" s="20"/>
      <c r="BN16" s="20"/>
      <c r="BO16" s="6"/>
      <c r="BP16" s="20"/>
      <c r="BQ16" s="19"/>
      <c r="BR16" s="20"/>
      <c r="BS16" s="20"/>
      <c r="BT16" s="20"/>
      <c r="BU16" s="6"/>
      <c r="BW16" s="19"/>
      <c r="BX16" s="20"/>
      <c r="BY16" s="20"/>
      <c r="BZ16" s="20"/>
      <c r="CA16" s="6"/>
      <c r="CC16" s="19"/>
      <c r="CD16" s="20"/>
      <c r="CE16" s="20"/>
      <c r="CF16" s="20"/>
      <c r="CG16" s="6"/>
      <c r="CI16" s="19"/>
      <c r="CJ16" s="20"/>
      <c r="CK16" s="20"/>
      <c r="CL16" s="20"/>
      <c r="CM16" s="6"/>
      <c r="CO16" s="19"/>
      <c r="CP16" s="20"/>
      <c r="CQ16" s="20"/>
      <c r="CR16" s="20"/>
      <c r="CS16" s="6"/>
      <c r="CU16" s="19"/>
      <c r="CV16" s="20"/>
      <c r="CW16" s="20"/>
      <c r="CX16" s="20"/>
      <c r="CY16" s="6"/>
    </row>
    <row r="17" spans="1:103" ht="11.25" customHeight="1" outlineLevel="1" x14ac:dyDescent="0.2">
      <c r="A17" s="810" t="s">
        <v>106</v>
      </c>
      <c r="B17" s="211"/>
      <c r="C17" s="210"/>
      <c r="D17" s="211"/>
      <c r="E17" s="211"/>
      <c r="F17" s="211">
        <f>G17</f>
        <v>2.1299999999999999E-2</v>
      </c>
      <c r="G17" s="383">
        <v>2.1299999999999999E-2</v>
      </c>
      <c r="H17" s="211"/>
      <c r="I17" s="210">
        <f>$AD$10+0.75%</f>
        <v>2.6380000000000001E-2</v>
      </c>
      <c r="J17" s="211">
        <f>$AD$10+0.75%</f>
        <v>2.6380000000000001E-2</v>
      </c>
      <c r="K17" s="211">
        <f>$AD$10+0.75%</f>
        <v>2.6380000000000001E-2</v>
      </c>
      <c r="L17" s="211">
        <f>M17</f>
        <v>2.4E-2</v>
      </c>
      <c r="M17" s="383">
        <v>2.4E-2</v>
      </c>
      <c r="N17" s="211"/>
      <c r="O17" s="210">
        <f>$AD$10+0.75%</f>
        <v>2.6380000000000001E-2</v>
      </c>
      <c r="P17" s="211">
        <f>$AD$10+0.75%</f>
        <v>2.6380000000000001E-2</v>
      </c>
      <c r="Q17" s="211">
        <f>$AD$10+0.75%</f>
        <v>2.6380000000000001E-2</v>
      </c>
      <c r="R17" s="211">
        <f>S17</f>
        <v>4.3700000000000003E-2</v>
      </c>
      <c r="S17" s="383">
        <v>4.3700000000000003E-2</v>
      </c>
      <c r="T17" s="211"/>
      <c r="U17" s="210">
        <f>$AD$10+0.75%</f>
        <v>2.6380000000000001E-2</v>
      </c>
      <c r="V17" s="211">
        <f>$AD$10+0.75%</f>
        <v>2.6380000000000001E-2</v>
      </c>
      <c r="W17" s="211"/>
      <c r="X17" s="211"/>
      <c r="Y17" s="204"/>
      <c r="Z17" s="211"/>
      <c r="AA17" s="210"/>
      <c r="AB17" s="211"/>
      <c r="AC17" s="211"/>
      <c r="AD17" s="211"/>
      <c r="AE17" s="204"/>
      <c r="AF17" s="211"/>
      <c r="AG17" s="210"/>
      <c r="AH17" s="211"/>
      <c r="AI17" s="211"/>
      <c r="AJ17" s="211"/>
      <c r="AK17" s="204"/>
      <c r="AL17" s="211"/>
      <c r="AM17" s="210"/>
      <c r="AN17" s="211"/>
      <c r="AO17" s="211"/>
      <c r="AP17" s="211"/>
      <c r="AQ17" s="204"/>
      <c r="AR17" s="211"/>
      <c r="AS17" s="210"/>
      <c r="AT17" s="211"/>
      <c r="AU17" s="211"/>
      <c r="AV17" s="211"/>
      <c r="AW17" s="204"/>
      <c r="AX17" s="211"/>
      <c r="AY17" s="811"/>
      <c r="AZ17" s="211"/>
      <c r="BA17" s="211"/>
      <c r="BB17" s="211"/>
      <c r="BC17" s="204"/>
      <c r="BD17" s="211"/>
      <c r="BE17" s="210"/>
      <c r="BF17" s="211"/>
      <c r="BG17" s="211"/>
      <c r="BH17" s="211"/>
      <c r="BI17" s="204"/>
      <c r="BJ17" s="211"/>
      <c r="BK17" s="210"/>
      <c r="BL17" s="211"/>
      <c r="BM17" s="211"/>
      <c r="BN17" s="211"/>
      <c r="BO17" s="204"/>
      <c r="BP17" s="211"/>
      <c r="BQ17" s="210"/>
      <c r="BR17" s="211"/>
      <c r="BS17" s="211"/>
      <c r="BT17" s="211"/>
      <c r="BU17" s="204"/>
      <c r="BW17" s="210"/>
      <c r="BX17" s="211"/>
      <c r="BY17" s="211"/>
      <c r="BZ17" s="211"/>
      <c r="CA17" s="204"/>
      <c r="CC17" s="210"/>
      <c r="CD17" s="211"/>
      <c r="CE17" s="211"/>
      <c r="CF17" s="211"/>
      <c r="CG17" s="204"/>
      <c r="CI17" s="210"/>
      <c r="CJ17" s="211"/>
      <c r="CK17" s="211"/>
      <c r="CL17" s="211"/>
      <c r="CM17" s="204"/>
      <c r="CO17" s="210"/>
      <c r="CP17" s="211"/>
      <c r="CQ17" s="211"/>
      <c r="CR17" s="211"/>
      <c r="CS17" s="204"/>
      <c r="CU17" s="210"/>
      <c r="CV17" s="211"/>
      <c r="CW17" s="211"/>
      <c r="CX17" s="211"/>
      <c r="CY17" s="204"/>
    </row>
    <row r="18" spans="1:103" ht="11.25" customHeight="1" outlineLevel="1" x14ac:dyDescent="0.2">
      <c r="A18" s="59" t="s">
        <v>107</v>
      </c>
      <c r="B18" s="39"/>
      <c r="C18" s="19"/>
      <c r="D18" s="20"/>
      <c r="E18" s="20"/>
      <c r="F18" s="20"/>
      <c r="G18" s="6">
        <f>SUM(C18:F18)</f>
        <v>0</v>
      </c>
      <c r="H18" s="39"/>
      <c r="I18" s="19">
        <f>F16-I16</f>
        <v>2.2520000000000024</v>
      </c>
      <c r="J18" s="20">
        <f>I16-J16</f>
        <v>9.6000000000000014</v>
      </c>
      <c r="K18" s="20">
        <f>J16-K16</f>
        <v>9.9999999999994316E-2</v>
      </c>
      <c r="L18" s="20">
        <f>K16-L16</f>
        <v>0.75300000000000011</v>
      </c>
      <c r="M18" s="6">
        <f>SUM(I18:L18)</f>
        <v>12.704999999999998</v>
      </c>
      <c r="N18" s="39"/>
      <c r="O18" s="19">
        <f>L16-O16</f>
        <v>-1.0529999999999973</v>
      </c>
      <c r="P18" s="20">
        <f>O16-P16</f>
        <v>4.2000000000000028</v>
      </c>
      <c r="Q18" s="20">
        <f>P16-Q16</f>
        <v>0.19999999999999574</v>
      </c>
      <c r="R18" s="20">
        <f>Q16-R16</f>
        <v>-1.4919999999999973</v>
      </c>
      <c r="S18" s="6">
        <f>SUM(O18:R18)</f>
        <v>1.855000000000004</v>
      </c>
      <c r="T18" s="39"/>
      <c r="U18" s="19">
        <f>R16-U16</f>
        <v>-0.50800000000000267</v>
      </c>
      <c r="V18" s="20">
        <f>U16-V16</f>
        <v>6.3000000000000043</v>
      </c>
      <c r="W18" s="20">
        <f>V16-W16</f>
        <v>33.799999999999997</v>
      </c>
      <c r="X18" s="20">
        <f>W16-X16</f>
        <v>0</v>
      </c>
      <c r="Y18" s="6">
        <f>SUM(U18:X18)</f>
        <v>39.591999999999999</v>
      </c>
      <c r="Z18" s="39"/>
      <c r="AA18" s="19"/>
      <c r="AB18" s="20"/>
      <c r="AC18" s="20"/>
      <c r="AD18" s="20"/>
      <c r="AE18" s="6"/>
      <c r="AF18" s="39"/>
      <c r="AG18" s="19"/>
      <c r="AH18" s="20"/>
      <c r="AI18" s="259"/>
      <c r="AJ18" s="259"/>
      <c r="AK18" s="6"/>
      <c r="AL18" s="39"/>
      <c r="AM18" s="481"/>
      <c r="AN18" s="259"/>
      <c r="AO18" s="259"/>
      <c r="AP18" s="259"/>
      <c r="AQ18" s="6"/>
      <c r="AR18" s="39"/>
      <c r="AS18" s="481"/>
      <c r="AT18" s="259"/>
      <c r="AU18" s="259"/>
      <c r="AV18" s="259"/>
      <c r="AW18" s="6"/>
      <c r="AX18" s="39"/>
      <c r="AY18" s="481"/>
      <c r="AZ18" s="259"/>
      <c r="BA18" s="259"/>
      <c r="BB18" s="259"/>
      <c r="BC18" s="6"/>
      <c r="BD18" s="39"/>
      <c r="BE18" s="481"/>
      <c r="BF18" s="259"/>
      <c r="BG18" s="259"/>
      <c r="BH18" s="259"/>
      <c r="BI18" s="6"/>
      <c r="BJ18" s="39"/>
      <c r="BK18" s="481"/>
      <c r="BL18" s="259"/>
      <c r="BM18" s="259"/>
      <c r="BN18" s="259"/>
      <c r="BO18" s="6"/>
      <c r="BP18" s="20"/>
      <c r="BQ18" s="481"/>
      <c r="BR18" s="259"/>
      <c r="BS18" s="259"/>
      <c r="BT18" s="259"/>
      <c r="BU18" s="6"/>
      <c r="BW18" s="481"/>
      <c r="BX18" s="259"/>
      <c r="BY18" s="259"/>
      <c r="BZ18" s="259"/>
      <c r="CA18" s="6"/>
      <c r="CC18" s="481"/>
      <c r="CD18" s="259"/>
      <c r="CE18" s="259"/>
      <c r="CF18" s="259"/>
      <c r="CG18" s="6"/>
      <c r="CI18" s="481"/>
      <c r="CJ18" s="259"/>
      <c r="CK18" s="259"/>
      <c r="CL18" s="259"/>
      <c r="CM18" s="6"/>
      <c r="CO18" s="481"/>
      <c r="CP18" s="259"/>
      <c r="CQ18" s="259"/>
      <c r="CR18" s="259"/>
      <c r="CS18" s="6"/>
      <c r="CU18" s="481"/>
      <c r="CV18" s="259"/>
      <c r="CW18" s="259"/>
      <c r="CX18" s="259"/>
      <c r="CY18" s="6"/>
    </row>
    <row r="19" spans="1:103" ht="11.25" customHeight="1" outlineLevel="1" x14ac:dyDescent="0.2">
      <c r="A19" s="59" t="s">
        <v>15</v>
      </c>
      <c r="B19" s="39"/>
      <c r="C19" s="19"/>
      <c r="D19" s="20"/>
      <c r="E19" s="20"/>
      <c r="F19" s="20"/>
      <c r="G19" s="6"/>
      <c r="H19" s="39"/>
      <c r="I19" s="19"/>
      <c r="J19" s="20"/>
      <c r="K19" s="20"/>
      <c r="L19" s="20"/>
      <c r="M19" s="6"/>
      <c r="N19" s="39"/>
      <c r="O19" s="19"/>
      <c r="P19" s="20"/>
      <c r="Q19" s="20"/>
      <c r="R19" s="20"/>
      <c r="S19" s="6"/>
      <c r="T19" s="39"/>
      <c r="U19" s="19"/>
      <c r="V19" s="20"/>
      <c r="W19" s="20"/>
      <c r="X19" s="20"/>
      <c r="Y19" s="6"/>
      <c r="Z19" s="39"/>
      <c r="AA19" s="19"/>
      <c r="AB19" s="20"/>
      <c r="AC19" s="20"/>
      <c r="AD19" s="20"/>
      <c r="AE19" s="6"/>
      <c r="AF19" s="39"/>
      <c r="AG19" s="19"/>
      <c r="AH19" s="20"/>
      <c r="AI19" s="20"/>
      <c r="AJ19" s="20"/>
      <c r="AK19" s="6"/>
      <c r="AL19" s="39"/>
      <c r="AM19" s="19"/>
      <c r="AN19" s="20"/>
      <c r="AO19" s="20"/>
      <c r="AP19" s="20"/>
      <c r="AQ19" s="6"/>
      <c r="AR19" s="39"/>
      <c r="AS19" s="19"/>
      <c r="AT19" s="20"/>
      <c r="AU19" s="20"/>
      <c r="AV19" s="20"/>
      <c r="AW19" s="6"/>
      <c r="AX19" s="39"/>
      <c r="AY19" s="19"/>
      <c r="AZ19" s="20"/>
      <c r="BA19" s="20"/>
      <c r="BB19" s="20"/>
      <c r="BC19" s="6"/>
      <c r="BD19" s="39"/>
      <c r="BE19" s="19"/>
      <c r="BF19" s="20"/>
      <c r="BG19" s="20"/>
      <c r="BH19" s="20"/>
      <c r="BI19" s="6"/>
      <c r="BJ19" s="39"/>
      <c r="BK19" s="19"/>
      <c r="BL19" s="20"/>
      <c r="BM19" s="20"/>
      <c r="BN19" s="20"/>
      <c r="BO19" s="6"/>
      <c r="BP19" s="20"/>
      <c r="BQ19" s="19"/>
      <c r="BR19" s="20"/>
      <c r="BS19" s="20"/>
      <c r="BT19" s="20"/>
      <c r="BU19" s="6"/>
      <c r="BW19" s="19"/>
      <c r="BX19" s="20"/>
      <c r="BY19" s="20"/>
      <c r="BZ19" s="20"/>
      <c r="CA19" s="6"/>
      <c r="CC19" s="19"/>
      <c r="CD19" s="20"/>
      <c r="CE19" s="20"/>
      <c r="CF19" s="20"/>
      <c r="CG19" s="6"/>
      <c r="CI19" s="19"/>
      <c r="CJ19" s="20"/>
      <c r="CK19" s="20"/>
      <c r="CL19" s="20"/>
      <c r="CM19" s="6"/>
      <c r="CO19" s="19"/>
      <c r="CP19" s="20"/>
      <c r="CQ19" s="20"/>
      <c r="CR19" s="20"/>
      <c r="CS19" s="6"/>
      <c r="CU19" s="19"/>
      <c r="CV19" s="20"/>
      <c r="CW19" s="20"/>
      <c r="CX19" s="20"/>
      <c r="CY19" s="6"/>
    </row>
    <row r="20" spans="1:103" ht="11.25" customHeight="1" outlineLevel="1" x14ac:dyDescent="0.2">
      <c r="A20" s="59" t="s">
        <v>112</v>
      </c>
      <c r="B20" s="39"/>
      <c r="C20" s="53">
        <v>0</v>
      </c>
      <c r="D20" s="51">
        <v>0</v>
      </c>
      <c r="E20" s="51">
        <v>0</v>
      </c>
      <c r="F20" s="20">
        <f>G20</f>
        <v>0</v>
      </c>
      <c r="G20" s="331">
        <v>0</v>
      </c>
      <c r="H20" s="39"/>
      <c r="I20" s="53">
        <v>0</v>
      </c>
      <c r="J20" s="51">
        <v>6</v>
      </c>
      <c r="K20" s="51">
        <v>6</v>
      </c>
      <c r="L20" s="20">
        <f>M20</f>
        <v>5.9210000000000003</v>
      </c>
      <c r="M20" s="331">
        <v>5.9210000000000003</v>
      </c>
      <c r="N20" s="39"/>
      <c r="O20" s="53">
        <v>6.1</v>
      </c>
      <c r="P20" s="51">
        <v>6.4</v>
      </c>
      <c r="Q20" s="51">
        <v>6.4</v>
      </c>
      <c r="R20" s="20">
        <f>S20</f>
        <v>6.5990000000000002</v>
      </c>
      <c r="S20" s="331">
        <v>6.5990000000000002</v>
      </c>
      <c r="T20" s="39"/>
      <c r="U20" s="53">
        <v>6.7</v>
      </c>
      <c r="V20" s="51">
        <v>6.8</v>
      </c>
      <c r="W20" s="51">
        <v>0</v>
      </c>
      <c r="X20" s="20">
        <f>Y20</f>
        <v>0</v>
      </c>
      <c r="Y20" s="331">
        <v>0</v>
      </c>
      <c r="Z20" s="39"/>
      <c r="AA20" s="53">
        <v>0</v>
      </c>
      <c r="AB20" s="51">
        <v>0</v>
      </c>
      <c r="AC20" s="51">
        <v>0</v>
      </c>
      <c r="AD20" s="51"/>
      <c r="AE20" s="6"/>
      <c r="AF20" s="39"/>
      <c r="AG20" s="19"/>
      <c r="AH20" s="20"/>
      <c r="AI20" s="20"/>
      <c r="AJ20" s="20"/>
      <c r="AK20" s="6"/>
      <c r="AL20" s="39"/>
      <c r="AM20" s="19"/>
      <c r="AN20" s="20"/>
      <c r="AO20" s="20"/>
      <c r="AP20" s="20"/>
      <c r="AQ20" s="6"/>
      <c r="AR20" s="39"/>
      <c r="AS20" s="19"/>
      <c r="AT20" s="20"/>
      <c r="AU20" s="20"/>
      <c r="AV20" s="20"/>
      <c r="AW20" s="6"/>
      <c r="AX20" s="39"/>
      <c r="AY20" s="19"/>
      <c r="AZ20" s="20"/>
      <c r="BA20" s="20"/>
      <c r="BB20" s="20"/>
      <c r="BC20" s="6"/>
      <c r="BD20" s="39"/>
      <c r="BE20" s="19"/>
      <c r="BF20" s="20"/>
      <c r="BG20" s="20"/>
      <c r="BH20" s="20"/>
      <c r="BI20" s="6"/>
      <c r="BJ20" s="39"/>
      <c r="BK20" s="19"/>
      <c r="BL20" s="20"/>
      <c r="BM20" s="20"/>
      <c r="BN20" s="20"/>
      <c r="BO20" s="6"/>
      <c r="BP20" s="20"/>
      <c r="BQ20" s="19"/>
      <c r="BR20" s="20"/>
      <c r="BS20" s="20"/>
      <c r="BT20" s="20"/>
      <c r="BU20" s="6"/>
      <c r="BW20" s="19"/>
      <c r="BX20" s="20"/>
      <c r="BY20" s="20"/>
      <c r="BZ20" s="20"/>
      <c r="CA20" s="6"/>
      <c r="CC20" s="19"/>
      <c r="CD20" s="20"/>
      <c r="CE20" s="20"/>
      <c r="CF20" s="20"/>
      <c r="CG20" s="6"/>
      <c r="CI20" s="19"/>
      <c r="CJ20" s="20"/>
      <c r="CK20" s="20"/>
      <c r="CL20" s="20"/>
      <c r="CM20" s="6"/>
      <c r="CO20" s="19"/>
      <c r="CP20" s="20"/>
      <c r="CQ20" s="20"/>
      <c r="CR20" s="20"/>
      <c r="CS20" s="6"/>
      <c r="CU20" s="19"/>
      <c r="CV20" s="20"/>
      <c r="CW20" s="20"/>
      <c r="CX20" s="20"/>
      <c r="CY20" s="6"/>
    </row>
    <row r="21" spans="1:103" ht="11.25" customHeight="1" outlineLevel="1" x14ac:dyDescent="0.2">
      <c r="A21" s="810" t="s">
        <v>106</v>
      </c>
      <c r="B21" s="211"/>
      <c r="C21" s="210"/>
      <c r="D21" s="211"/>
      <c r="E21" s="211"/>
      <c r="F21" s="211"/>
      <c r="G21" s="204"/>
      <c r="H21" s="211"/>
      <c r="I21" s="210"/>
      <c r="J21" s="211">
        <f>$AD$10+0.75%</f>
        <v>2.6380000000000001E-2</v>
      </c>
      <c r="K21" s="211">
        <f>$AD$10+0.75%</f>
        <v>2.6380000000000001E-2</v>
      </c>
      <c r="L21" s="211">
        <f>M21</f>
        <v>2.6380000000000001E-2</v>
      </c>
      <c r="M21" s="204">
        <f>$AD$10+0.75%</f>
        <v>2.6380000000000001E-2</v>
      </c>
      <c r="N21" s="211"/>
      <c r="O21" s="210">
        <f>$AD$10+0.75%</f>
        <v>2.6380000000000001E-2</v>
      </c>
      <c r="P21" s="211">
        <f>$AD$10+0.75%</f>
        <v>2.6380000000000001E-2</v>
      </c>
      <c r="Q21" s="211">
        <f>$AD$10+0.75%</f>
        <v>2.6380000000000001E-2</v>
      </c>
      <c r="R21" s="211">
        <f>S21</f>
        <v>2.6380000000000001E-2</v>
      </c>
      <c r="S21" s="204">
        <f>$AD$10+0.75%</f>
        <v>2.6380000000000001E-2</v>
      </c>
      <c r="T21" s="211"/>
      <c r="U21" s="210">
        <f>$AD$10+0.75%</f>
        <v>2.6380000000000001E-2</v>
      </c>
      <c r="V21" s="211">
        <f>$AD$10+0.75%</f>
        <v>2.6380000000000001E-2</v>
      </c>
      <c r="W21" s="211"/>
      <c r="X21" s="211"/>
      <c r="Y21" s="204"/>
      <c r="Z21" s="211"/>
      <c r="AA21" s="210"/>
      <c r="AB21" s="211"/>
      <c r="AC21" s="211"/>
      <c r="AD21" s="211"/>
      <c r="AE21" s="204"/>
      <c r="AF21" s="211"/>
      <c r="AG21" s="210"/>
      <c r="AH21" s="211"/>
      <c r="AI21" s="211"/>
      <c r="AJ21" s="211"/>
      <c r="AK21" s="204"/>
      <c r="AL21" s="211"/>
      <c r="AM21" s="210"/>
      <c r="AN21" s="211"/>
      <c r="AO21" s="211"/>
      <c r="AP21" s="211"/>
      <c r="AQ21" s="204"/>
      <c r="AR21" s="211"/>
      <c r="AS21" s="210"/>
      <c r="AT21" s="211"/>
      <c r="AU21" s="211"/>
      <c r="AV21" s="211"/>
      <c r="AW21" s="204"/>
      <c r="AX21" s="211"/>
      <c r="AY21" s="210"/>
      <c r="AZ21" s="211"/>
      <c r="BA21" s="211"/>
      <c r="BB21" s="211"/>
      <c r="BC21" s="204"/>
      <c r="BD21" s="211"/>
      <c r="BE21" s="210"/>
      <c r="BF21" s="211"/>
      <c r="BG21" s="211"/>
      <c r="BH21" s="211"/>
      <c r="BI21" s="204"/>
      <c r="BJ21" s="211"/>
      <c r="BK21" s="210"/>
      <c r="BL21" s="211"/>
      <c r="BM21" s="211"/>
      <c r="BN21" s="211"/>
      <c r="BO21" s="204"/>
      <c r="BP21" s="211"/>
      <c r="BQ21" s="210"/>
      <c r="BR21" s="211"/>
      <c r="BS21" s="211"/>
      <c r="BT21" s="211"/>
      <c r="BU21" s="204"/>
      <c r="BW21" s="210"/>
      <c r="BX21" s="211"/>
      <c r="BY21" s="211"/>
      <c r="BZ21" s="211"/>
      <c r="CA21" s="204"/>
      <c r="CC21" s="210"/>
      <c r="CD21" s="211"/>
      <c r="CE21" s="211"/>
      <c r="CF21" s="211"/>
      <c r="CG21" s="204"/>
      <c r="CI21" s="210"/>
      <c r="CJ21" s="211"/>
      <c r="CK21" s="211"/>
      <c r="CL21" s="211"/>
      <c r="CM21" s="204"/>
      <c r="CO21" s="210"/>
      <c r="CP21" s="211"/>
      <c r="CQ21" s="211"/>
      <c r="CR21" s="211"/>
      <c r="CS21" s="204"/>
      <c r="CU21" s="210"/>
      <c r="CV21" s="211"/>
      <c r="CW21" s="211"/>
      <c r="CX21" s="211"/>
      <c r="CY21" s="204"/>
    </row>
    <row r="22" spans="1:103" ht="11.25" customHeight="1" outlineLevel="1" x14ac:dyDescent="0.2">
      <c r="A22" s="59" t="s">
        <v>107</v>
      </c>
      <c r="B22" s="39"/>
      <c r="C22" s="19"/>
      <c r="D22" s="20"/>
      <c r="E22" s="20"/>
      <c r="F22" s="20"/>
      <c r="G22" s="6"/>
      <c r="H22" s="39"/>
      <c r="I22" s="19"/>
      <c r="J22" s="20"/>
      <c r="K22" s="20">
        <f>J20-K20</f>
        <v>0</v>
      </c>
      <c r="L22" s="20">
        <f>K20-L20</f>
        <v>7.8999999999999737E-2</v>
      </c>
      <c r="M22" s="6">
        <f>SUM(I22:L22)</f>
        <v>7.8999999999999737E-2</v>
      </c>
      <c r="N22" s="39"/>
      <c r="O22" s="19">
        <f>L20-O20</f>
        <v>-0.17899999999999938</v>
      </c>
      <c r="P22" s="20">
        <f>O20-P20</f>
        <v>-0.30000000000000071</v>
      </c>
      <c r="Q22" s="20">
        <f>P20-Q20</f>
        <v>0</v>
      </c>
      <c r="R22" s="20">
        <f>Q20-R20</f>
        <v>-0.19899999999999984</v>
      </c>
      <c r="S22" s="6">
        <f>SUM(O22:R22)</f>
        <v>-0.67799999999999994</v>
      </c>
      <c r="T22" s="39"/>
      <c r="U22" s="19">
        <f>R20-U20</f>
        <v>-0.10099999999999998</v>
      </c>
      <c r="V22" s="20">
        <f>U20-V20</f>
        <v>-9.9999999999999645E-2</v>
      </c>
      <c r="W22" s="20">
        <f>V20-W20</f>
        <v>6.8</v>
      </c>
      <c r="X22" s="20">
        <f>W20-X20</f>
        <v>0</v>
      </c>
      <c r="Y22" s="6">
        <f>SUM(U22:X22)</f>
        <v>6.5990000000000002</v>
      </c>
      <c r="Z22" s="39"/>
      <c r="AA22" s="19"/>
      <c r="AB22" s="20"/>
      <c r="AC22" s="20"/>
      <c r="AD22" s="20"/>
      <c r="AE22" s="6"/>
      <c r="AF22" s="39"/>
      <c r="AG22" s="19"/>
      <c r="AH22" s="20"/>
      <c r="AI22" s="20"/>
      <c r="AJ22" s="20"/>
      <c r="AK22" s="6"/>
      <c r="AL22" s="39"/>
      <c r="AM22" s="19"/>
      <c r="AN22" s="20"/>
      <c r="AO22" s="20"/>
      <c r="AP22" s="20"/>
      <c r="AQ22" s="6"/>
      <c r="AR22" s="39"/>
      <c r="AS22" s="19"/>
      <c r="AT22" s="20"/>
      <c r="AU22" s="20"/>
      <c r="AV22" s="20"/>
      <c r="AW22" s="6"/>
      <c r="AX22" s="39"/>
      <c r="AY22" s="19"/>
      <c r="AZ22" s="20"/>
      <c r="BA22" s="20"/>
      <c r="BB22" s="20"/>
      <c r="BC22" s="6"/>
      <c r="BD22" s="39"/>
      <c r="BE22" s="19"/>
      <c r="BF22" s="20"/>
      <c r="BG22" s="20"/>
      <c r="BH22" s="20"/>
      <c r="BI22" s="6"/>
      <c r="BJ22" s="39"/>
      <c r="BK22" s="19"/>
      <c r="BL22" s="20"/>
      <c r="BM22" s="20"/>
      <c r="BN22" s="20"/>
      <c r="BO22" s="6"/>
      <c r="BP22" s="20"/>
      <c r="BQ22" s="19"/>
      <c r="BR22" s="20"/>
      <c r="BS22" s="20"/>
      <c r="BT22" s="20"/>
      <c r="BU22" s="6"/>
      <c r="BW22" s="19"/>
      <c r="BX22" s="20"/>
      <c r="BY22" s="20"/>
      <c r="BZ22" s="20"/>
      <c r="CA22" s="6"/>
      <c r="CC22" s="19"/>
      <c r="CD22" s="20"/>
      <c r="CE22" s="20"/>
      <c r="CF22" s="20"/>
      <c r="CG22" s="6"/>
      <c r="CI22" s="19"/>
      <c r="CJ22" s="20"/>
      <c r="CK22" s="20"/>
      <c r="CL22" s="20"/>
      <c r="CM22" s="6"/>
      <c r="CO22" s="19"/>
      <c r="CP22" s="20"/>
      <c r="CQ22" s="20"/>
      <c r="CR22" s="20"/>
      <c r="CS22" s="6"/>
      <c r="CU22" s="19"/>
      <c r="CV22" s="20"/>
      <c r="CW22" s="20"/>
      <c r="CX22" s="20"/>
      <c r="CY22" s="6"/>
    </row>
    <row r="23" spans="1:103" ht="11.25" customHeight="1" outlineLevel="1" x14ac:dyDescent="0.2">
      <c r="A23" s="279" t="s">
        <v>15</v>
      </c>
      <c r="B23" s="39"/>
      <c r="C23" s="19"/>
      <c r="D23" s="20"/>
      <c r="E23" s="20"/>
      <c r="F23" s="20"/>
      <c r="G23" s="6"/>
      <c r="H23" s="39"/>
      <c r="I23" s="19"/>
      <c r="J23" s="20"/>
      <c r="K23" s="20"/>
      <c r="L23" s="20"/>
      <c r="M23" s="6"/>
      <c r="N23" s="39"/>
      <c r="O23" s="19"/>
      <c r="P23" s="20"/>
      <c r="Q23" s="20"/>
      <c r="R23" s="20"/>
      <c r="S23" s="6"/>
      <c r="T23" s="39"/>
      <c r="U23" s="19"/>
      <c r="V23" s="20"/>
      <c r="W23" s="20"/>
      <c r="X23" s="20"/>
      <c r="Y23" s="6"/>
      <c r="Z23" s="39"/>
      <c r="AA23" s="19"/>
      <c r="AB23" s="20"/>
      <c r="AC23" s="20"/>
      <c r="AD23" s="20"/>
      <c r="AE23" s="6"/>
      <c r="AF23" s="39"/>
      <c r="AG23" s="19"/>
      <c r="AH23" s="20"/>
      <c r="AI23" s="20"/>
      <c r="AJ23" s="20"/>
      <c r="AK23" s="157"/>
      <c r="AL23" s="39"/>
      <c r="AM23" s="19"/>
      <c r="AN23" s="20"/>
      <c r="AO23" s="20"/>
      <c r="AP23" s="20"/>
      <c r="AQ23" s="6"/>
      <c r="AR23" s="39"/>
      <c r="AS23" s="19"/>
      <c r="AT23" s="20"/>
      <c r="AU23" s="20"/>
      <c r="AV23" s="20"/>
      <c r="AW23" s="6"/>
      <c r="AX23" s="39"/>
      <c r="AY23" s="19"/>
      <c r="AZ23" s="20"/>
      <c r="BA23" s="20"/>
      <c r="BB23" s="20"/>
      <c r="BC23" s="6"/>
      <c r="BD23" s="39"/>
      <c r="BE23" s="19"/>
      <c r="BF23" s="20"/>
      <c r="BG23" s="20"/>
      <c r="BH23" s="20"/>
      <c r="BI23" s="6"/>
      <c r="BJ23" s="39"/>
      <c r="BK23" s="19"/>
      <c r="BL23" s="20"/>
      <c r="BM23" s="20"/>
      <c r="BN23" s="20"/>
      <c r="BO23" s="6"/>
      <c r="BP23" s="20"/>
      <c r="BQ23" s="19"/>
      <c r="BR23" s="20"/>
      <c r="BS23" s="20"/>
      <c r="BT23" s="20"/>
      <c r="BU23" s="6"/>
      <c r="BW23" s="19"/>
      <c r="BX23" s="20"/>
      <c r="BY23" s="20"/>
      <c r="BZ23" s="20"/>
      <c r="CA23" s="6"/>
      <c r="CC23" s="19"/>
      <c r="CD23" s="20"/>
      <c r="CE23" s="20"/>
      <c r="CF23" s="20"/>
      <c r="CG23" s="6"/>
      <c r="CI23" s="19"/>
      <c r="CJ23" s="20"/>
      <c r="CK23" s="20"/>
      <c r="CL23" s="20"/>
      <c r="CM23" s="6"/>
      <c r="CO23" s="19"/>
      <c r="CP23" s="20"/>
      <c r="CQ23" s="20"/>
      <c r="CR23" s="20"/>
      <c r="CS23" s="6"/>
      <c r="CU23" s="19"/>
      <c r="CV23" s="20"/>
      <c r="CW23" s="20"/>
      <c r="CX23" s="20"/>
      <c r="CY23" s="6"/>
    </row>
    <row r="24" spans="1:103" ht="11.25" customHeight="1" outlineLevel="1" x14ac:dyDescent="0.2">
      <c r="A24" s="812" t="s">
        <v>108</v>
      </c>
      <c r="B24" s="40"/>
      <c r="C24" s="797">
        <v>0</v>
      </c>
      <c r="D24" s="798">
        <v>0</v>
      </c>
      <c r="E24" s="798">
        <v>0</v>
      </c>
      <c r="F24" s="281">
        <f>G24</f>
        <v>0</v>
      </c>
      <c r="G24" s="420">
        <v>0</v>
      </c>
      <c r="H24" s="40"/>
      <c r="I24" s="797">
        <v>0</v>
      </c>
      <c r="J24" s="798">
        <v>0</v>
      </c>
      <c r="K24" s="798">
        <v>0</v>
      </c>
      <c r="L24" s="281">
        <f>M24</f>
        <v>0</v>
      </c>
      <c r="M24" s="420">
        <v>0</v>
      </c>
      <c r="N24" s="40"/>
      <c r="O24" s="797">
        <v>0</v>
      </c>
      <c r="P24" s="798">
        <v>300</v>
      </c>
      <c r="Q24" s="798">
        <v>300</v>
      </c>
      <c r="R24" s="281">
        <f>S24</f>
        <v>300</v>
      </c>
      <c r="S24" s="420">
        <v>300</v>
      </c>
      <c r="T24" s="40"/>
      <c r="U24" s="797">
        <v>300</v>
      </c>
      <c r="V24" s="798">
        <v>300</v>
      </c>
      <c r="W24" s="798">
        <v>300</v>
      </c>
      <c r="X24" s="281">
        <f>Y24</f>
        <v>300</v>
      </c>
      <c r="Y24" s="420">
        <v>300</v>
      </c>
      <c r="Z24" s="40"/>
      <c r="AA24" s="797">
        <v>300</v>
      </c>
      <c r="AB24" s="798">
        <v>300</v>
      </c>
      <c r="AC24" s="798">
        <v>300</v>
      </c>
      <c r="AD24" s="798">
        <v>300</v>
      </c>
      <c r="AE24" s="327">
        <f>AD24</f>
        <v>300</v>
      </c>
      <c r="AF24" s="40"/>
      <c r="AG24" s="797">
        <v>300</v>
      </c>
      <c r="AH24" s="798">
        <v>300</v>
      </c>
      <c r="AI24" s="798">
        <v>300</v>
      </c>
      <c r="AJ24" s="798">
        <v>300</v>
      </c>
      <c r="AK24" s="6">
        <f>AJ24</f>
        <v>300</v>
      </c>
      <c r="AL24" s="40"/>
      <c r="AM24" s="797">
        <v>300</v>
      </c>
      <c r="AN24" s="798">
        <v>300</v>
      </c>
      <c r="AO24" s="798">
        <v>300</v>
      </c>
      <c r="AP24" s="798">
        <v>300</v>
      </c>
      <c r="AQ24" s="327">
        <f>AP24</f>
        <v>300</v>
      </c>
      <c r="AR24" s="40"/>
      <c r="AS24" s="797">
        <v>300</v>
      </c>
      <c r="AT24" s="798">
        <v>300</v>
      </c>
      <c r="AU24" s="798">
        <v>300</v>
      </c>
      <c r="AV24" s="798">
        <v>300</v>
      </c>
      <c r="AW24" s="327">
        <f>AV24</f>
        <v>300</v>
      </c>
      <c r="AX24" s="40"/>
      <c r="AY24" s="797">
        <v>300</v>
      </c>
      <c r="AZ24" s="798">
        <v>300</v>
      </c>
      <c r="BA24" s="798">
        <v>300</v>
      </c>
      <c r="BB24" s="798">
        <v>300</v>
      </c>
      <c r="BC24" s="327">
        <f>BB24</f>
        <v>300</v>
      </c>
      <c r="BD24" s="40"/>
      <c r="BE24" s="797">
        <v>300</v>
      </c>
      <c r="BF24" s="798">
        <v>300</v>
      </c>
      <c r="BG24" s="798">
        <v>300</v>
      </c>
      <c r="BH24" s="798">
        <v>300</v>
      </c>
      <c r="BI24" s="327">
        <f>BH24</f>
        <v>300</v>
      </c>
      <c r="BJ24" s="40"/>
      <c r="BK24" s="797">
        <v>0</v>
      </c>
      <c r="BL24" s="798">
        <v>0</v>
      </c>
      <c r="BM24" s="798">
        <v>0</v>
      </c>
      <c r="BN24" s="798">
        <v>0</v>
      </c>
      <c r="BO24" s="327">
        <f>BN24</f>
        <v>0</v>
      </c>
      <c r="BP24" s="20"/>
      <c r="BQ24" s="797">
        <v>0</v>
      </c>
      <c r="BR24" s="798">
        <v>0</v>
      </c>
      <c r="BS24" s="798">
        <v>0</v>
      </c>
      <c r="BT24" s="798">
        <v>0</v>
      </c>
      <c r="BU24" s="327">
        <f>BT24</f>
        <v>0</v>
      </c>
      <c r="BW24" s="797">
        <v>0</v>
      </c>
      <c r="BX24" s="798">
        <v>0</v>
      </c>
      <c r="BY24" s="798">
        <v>0</v>
      </c>
      <c r="BZ24" s="798">
        <v>0</v>
      </c>
      <c r="CA24" s="327">
        <f>BZ24</f>
        <v>0</v>
      </c>
      <c r="CC24" s="2066">
        <v>0</v>
      </c>
      <c r="CD24" s="1068">
        <v>0</v>
      </c>
      <c r="CE24" s="1068">
        <v>0</v>
      </c>
      <c r="CF24" s="1068">
        <v>0</v>
      </c>
      <c r="CG24" s="327">
        <f>CF24</f>
        <v>0</v>
      </c>
      <c r="CI24" s="412">
        <f>CG24-CI26</f>
        <v>0</v>
      </c>
      <c r="CJ24" s="281">
        <f>CI24-CJ26</f>
        <v>0</v>
      </c>
      <c r="CK24" s="281">
        <f>CJ24-CK26</f>
        <v>0</v>
      </c>
      <c r="CL24" s="281">
        <f>CK24-CL26</f>
        <v>0</v>
      </c>
      <c r="CM24" s="327">
        <f>CL24</f>
        <v>0</v>
      </c>
      <c r="CO24" s="412">
        <f>CM24-CO26</f>
        <v>0</v>
      </c>
      <c r="CP24" s="281">
        <f>CO24-CP26</f>
        <v>0</v>
      </c>
      <c r="CQ24" s="281">
        <f>CP24-CQ26</f>
        <v>0</v>
      </c>
      <c r="CR24" s="281">
        <f>CQ24-CR26</f>
        <v>0</v>
      </c>
      <c r="CS24" s="327">
        <f>CR24</f>
        <v>0</v>
      </c>
      <c r="CU24" s="412">
        <f>CS24-CU26</f>
        <v>0</v>
      </c>
      <c r="CV24" s="281">
        <f>CU24-CV26</f>
        <v>0</v>
      </c>
      <c r="CW24" s="281">
        <f>CV24-CW26</f>
        <v>0</v>
      </c>
      <c r="CX24" s="281">
        <f>CW24-CX26</f>
        <v>0</v>
      </c>
      <c r="CY24" s="327">
        <f>CX24</f>
        <v>0</v>
      </c>
    </row>
    <row r="25" spans="1:103" ht="11.25" customHeight="1" outlineLevel="1" x14ac:dyDescent="0.2">
      <c r="A25" s="813" t="s">
        <v>106</v>
      </c>
      <c r="B25" s="211"/>
      <c r="C25" s="210"/>
      <c r="D25" s="211"/>
      <c r="E25" s="211"/>
      <c r="F25" s="211"/>
      <c r="G25" s="204"/>
      <c r="H25" s="211"/>
      <c r="I25" s="210"/>
      <c r="J25" s="211"/>
      <c r="K25" s="211"/>
      <c r="L25" s="211"/>
      <c r="M25" s="204"/>
      <c r="N25" s="211"/>
      <c r="O25" s="814"/>
      <c r="P25" s="801">
        <v>4.2000000000000003E-2</v>
      </c>
      <c r="Q25" s="801">
        <v>4.2000000000000003E-2</v>
      </c>
      <c r="R25" s="211">
        <f>S25</f>
        <v>4.2000000000000003E-2</v>
      </c>
      <c r="S25" s="383">
        <v>4.2000000000000003E-2</v>
      </c>
      <c r="T25" s="211"/>
      <c r="U25" s="814">
        <v>4.2000000000000003E-2</v>
      </c>
      <c r="V25" s="801">
        <v>4.2000000000000003E-2</v>
      </c>
      <c r="W25" s="801">
        <v>4.2000000000000003E-2</v>
      </c>
      <c r="X25" s="211">
        <f>Y25</f>
        <v>4.2000000000000003E-2</v>
      </c>
      <c r="Y25" s="383">
        <v>4.2000000000000003E-2</v>
      </c>
      <c r="Z25" s="211"/>
      <c r="AA25" s="814">
        <v>4.2000000000000003E-2</v>
      </c>
      <c r="AB25" s="801">
        <v>4.2000000000000003E-2</v>
      </c>
      <c r="AC25" s="801">
        <v>4.2000000000000003E-2</v>
      </c>
      <c r="AD25" s="801">
        <v>4.2000000000000003E-2</v>
      </c>
      <c r="AE25" s="204">
        <f>AD25</f>
        <v>4.2000000000000003E-2</v>
      </c>
      <c r="AF25" s="211"/>
      <c r="AG25" s="814">
        <v>3.9100000000000003E-2</v>
      </c>
      <c r="AH25" s="801">
        <v>3.9100000000000003E-2</v>
      </c>
      <c r="AI25" s="815">
        <v>3.9100000000000003E-2</v>
      </c>
      <c r="AJ25" s="815">
        <v>3.9E-2</v>
      </c>
      <c r="AK25" s="802">
        <v>3.9100000000000003E-2</v>
      </c>
      <c r="AL25" s="211"/>
      <c r="AM25" s="816">
        <v>3.9399999999999998E-2</v>
      </c>
      <c r="AN25" s="815">
        <f>AQ25</f>
        <v>3.9699999999999999E-2</v>
      </c>
      <c r="AO25" s="815">
        <v>3.9399999999999998E-2</v>
      </c>
      <c r="AP25" s="815">
        <v>3.9699999999999999E-2</v>
      </c>
      <c r="AQ25" s="315">
        <f>AP25</f>
        <v>3.9699999999999999E-2</v>
      </c>
      <c r="AR25" s="211"/>
      <c r="AS25" s="816">
        <v>3.9699999999999999E-2</v>
      </c>
      <c r="AT25" s="815">
        <v>3.9699999999999999E-2</v>
      </c>
      <c r="AU25" s="815">
        <v>3.9699999999999999E-2</v>
      </c>
      <c r="AV25" s="815">
        <v>3.9699999999999999E-2</v>
      </c>
      <c r="AW25" s="315">
        <f>AV25</f>
        <v>3.9699999999999999E-2</v>
      </c>
      <c r="AX25" s="211"/>
      <c r="AY25" s="816">
        <v>3.9699999999999999E-2</v>
      </c>
      <c r="AZ25" s="815">
        <v>3.9699999999999999E-2</v>
      </c>
      <c r="BA25" s="815">
        <v>3.9699999999999999E-2</v>
      </c>
      <c r="BB25" s="815">
        <v>3.6999999999999998E-2</v>
      </c>
      <c r="BC25" s="315">
        <f>AW25</f>
        <v>3.9699999999999999E-2</v>
      </c>
      <c r="BD25" s="211"/>
      <c r="BE25" s="816">
        <v>3.6999999999999998E-2</v>
      </c>
      <c r="BF25" s="804">
        <v>3.6999999999999998E-2</v>
      </c>
      <c r="BG25" s="804">
        <v>3.6999999999999998E-2</v>
      </c>
      <c r="BH25" s="804">
        <v>3.6999999999999998E-2</v>
      </c>
      <c r="BI25" s="315">
        <v>3.6999999999999998E-2</v>
      </c>
      <c r="BJ25" s="211"/>
      <c r="BK25" s="816">
        <v>3.6999999999999998E-2</v>
      </c>
      <c r="BL25" s="804">
        <f>BO25</f>
        <v>3.6999999999999998E-2</v>
      </c>
      <c r="BM25" s="804">
        <f>BO25</f>
        <v>3.6999999999999998E-2</v>
      </c>
      <c r="BN25" s="804">
        <f>BO25</f>
        <v>3.6999999999999998E-2</v>
      </c>
      <c r="BO25" s="315">
        <v>3.6999999999999998E-2</v>
      </c>
      <c r="BP25" s="807"/>
      <c r="BQ25" s="816">
        <v>3.6999999999999998E-2</v>
      </c>
      <c r="BR25" s="804">
        <f>BU25</f>
        <v>3.6999999999999998E-2</v>
      </c>
      <c r="BS25" s="804">
        <f>BU25</f>
        <v>3.6999999999999998E-2</v>
      </c>
      <c r="BT25" s="804">
        <f>BU25</f>
        <v>3.6999999999999998E-2</v>
      </c>
      <c r="BU25" s="315">
        <v>3.6999999999999998E-2</v>
      </c>
      <c r="BW25" s="816">
        <f>CA25</f>
        <v>3.6999999999999998E-2</v>
      </c>
      <c r="BX25" s="804">
        <f>CA25</f>
        <v>3.6999999999999998E-2</v>
      </c>
      <c r="BY25" s="804">
        <f>CA25</f>
        <v>3.6999999999999998E-2</v>
      </c>
      <c r="BZ25" s="804">
        <f>CA25</f>
        <v>3.6999999999999998E-2</v>
      </c>
      <c r="CA25" s="2064">
        <v>3.6999999999999998E-2</v>
      </c>
      <c r="CC25" s="313">
        <f>CG25</f>
        <v>3.6999999999999998E-2</v>
      </c>
      <c r="CD25" s="314">
        <f>CG25</f>
        <v>3.6999999999999998E-2</v>
      </c>
      <c r="CE25" s="314">
        <f>CG25</f>
        <v>3.6999999999999998E-2</v>
      </c>
      <c r="CF25" s="314">
        <f>CG25</f>
        <v>3.6999999999999998E-2</v>
      </c>
      <c r="CG25" s="315">
        <f>CA25</f>
        <v>3.6999999999999998E-2</v>
      </c>
      <c r="CI25" s="313">
        <f>CM25</f>
        <v>3.6999999999999998E-2</v>
      </c>
      <c r="CJ25" s="314">
        <f>CM25</f>
        <v>3.6999999999999998E-2</v>
      </c>
      <c r="CK25" s="314">
        <f>CM25</f>
        <v>3.6999999999999998E-2</v>
      </c>
      <c r="CL25" s="314">
        <f>CM25</f>
        <v>3.6999999999999998E-2</v>
      </c>
      <c r="CM25" s="315">
        <f>CG25</f>
        <v>3.6999999999999998E-2</v>
      </c>
      <c r="CO25" s="313">
        <f>CS25</f>
        <v>3.6999999999999998E-2</v>
      </c>
      <c r="CP25" s="314">
        <f>CS25</f>
        <v>3.6999999999999998E-2</v>
      </c>
      <c r="CQ25" s="314">
        <f>CS25</f>
        <v>3.6999999999999998E-2</v>
      </c>
      <c r="CR25" s="314">
        <f>CS25</f>
        <v>3.6999999999999998E-2</v>
      </c>
      <c r="CS25" s="315">
        <f>CM25</f>
        <v>3.6999999999999998E-2</v>
      </c>
      <c r="CU25" s="313">
        <f>CY25</f>
        <v>3.6999999999999998E-2</v>
      </c>
      <c r="CV25" s="314">
        <f>CY25</f>
        <v>3.6999999999999998E-2</v>
      </c>
      <c r="CW25" s="314">
        <f>CY25</f>
        <v>3.6999999999999998E-2</v>
      </c>
      <c r="CX25" s="314">
        <f>CY25</f>
        <v>3.6999999999999998E-2</v>
      </c>
      <c r="CY25" s="315">
        <f>CS25</f>
        <v>3.6999999999999998E-2</v>
      </c>
    </row>
    <row r="26" spans="1:103" ht="11.25" customHeight="1" outlineLevel="1" x14ac:dyDescent="0.2">
      <c r="A26" s="808" t="s">
        <v>107</v>
      </c>
      <c r="B26" s="39"/>
      <c r="C26" s="19"/>
      <c r="D26" s="20"/>
      <c r="E26" s="20"/>
      <c r="F26" s="20"/>
      <c r="G26" s="6"/>
      <c r="H26" s="39"/>
      <c r="I26" s="19"/>
      <c r="J26" s="20"/>
      <c r="K26" s="20"/>
      <c r="L26" s="20"/>
      <c r="M26" s="6"/>
      <c r="N26" s="39"/>
      <c r="O26" s="19"/>
      <c r="P26" s="20"/>
      <c r="Q26" s="20">
        <f>P24-Q24</f>
        <v>0</v>
      </c>
      <c r="R26" s="20">
        <f>Q24-R24</f>
        <v>0</v>
      </c>
      <c r="S26" s="6">
        <f>SUM(O26:R26)</f>
        <v>0</v>
      </c>
      <c r="T26" s="39"/>
      <c r="U26" s="19">
        <f>R24-U24</f>
        <v>0</v>
      </c>
      <c r="V26" s="20">
        <f>U24-V24</f>
        <v>0</v>
      </c>
      <c r="W26" s="20">
        <f>V24-W24</f>
        <v>0</v>
      </c>
      <c r="X26" s="20">
        <f>W24-X24</f>
        <v>0</v>
      </c>
      <c r="Y26" s="6">
        <f>SUM(U26:X26)</f>
        <v>0</v>
      </c>
      <c r="Z26" s="39"/>
      <c r="AA26" s="19">
        <f>X24-AA24</f>
        <v>0</v>
      </c>
      <c r="AB26" s="20">
        <f>AA24-AB24</f>
        <v>0</v>
      </c>
      <c r="AC26" s="20">
        <f>AB24-AC24</f>
        <v>0</v>
      </c>
      <c r="AD26" s="51">
        <v>0</v>
      </c>
      <c r="AE26" s="6">
        <f>SUM(AA26:AD26)</f>
        <v>0</v>
      </c>
      <c r="AF26" s="39"/>
      <c r="AG26" s="19">
        <f>AD24-AG24</f>
        <v>0</v>
      </c>
      <c r="AH26" s="20">
        <f>AG24-AH24</f>
        <v>0</v>
      </c>
      <c r="AI26" s="20">
        <f>AH24-AI24</f>
        <v>0</v>
      </c>
      <c r="AJ26" s="20">
        <f>AI24-AJ24</f>
        <v>0</v>
      </c>
      <c r="AK26" s="6">
        <f>SUM(AG26:AJ26)</f>
        <v>0</v>
      </c>
      <c r="AL26" s="39"/>
      <c r="AM26" s="19">
        <f>AJ24-AM24</f>
        <v>0</v>
      </c>
      <c r="AN26" s="20">
        <f>AM24-AN24</f>
        <v>0</v>
      </c>
      <c r="AO26" s="20">
        <f>AN24-AO24</f>
        <v>0</v>
      </c>
      <c r="AP26" s="20">
        <f>AO24-AP24</f>
        <v>0</v>
      </c>
      <c r="AQ26" s="6">
        <f>SUM(AM26:AP26)</f>
        <v>0</v>
      </c>
      <c r="AR26" s="39"/>
      <c r="AS26" s="19">
        <f>AP24-AS24</f>
        <v>0</v>
      </c>
      <c r="AT26" s="20">
        <f>AS24-AT24</f>
        <v>0</v>
      </c>
      <c r="AU26" s="20">
        <f>AT24-AU24</f>
        <v>0</v>
      </c>
      <c r="AV26" s="20">
        <f>AU24-AV24</f>
        <v>0</v>
      </c>
      <c r="AW26" s="6">
        <f>SUM(AS26:AV26)</f>
        <v>0</v>
      </c>
      <c r="AX26" s="39"/>
      <c r="AY26" s="19">
        <f>AV24-AY24</f>
        <v>0</v>
      </c>
      <c r="AZ26" s="20">
        <f>AY24-AZ24</f>
        <v>0</v>
      </c>
      <c r="BA26" s="20">
        <f>AZ24-BA24</f>
        <v>0</v>
      </c>
      <c r="BB26" s="20">
        <f>BA24-BB24</f>
        <v>0</v>
      </c>
      <c r="BC26" s="6">
        <f>SUM(AY26:BB26)</f>
        <v>0</v>
      </c>
      <c r="BD26" s="39"/>
      <c r="BE26" s="19">
        <f>BB24-BE24</f>
        <v>0</v>
      </c>
      <c r="BF26" s="20">
        <f>BE24-BF24</f>
        <v>0</v>
      </c>
      <c r="BG26" s="20">
        <f>BF24-BG24</f>
        <v>0</v>
      </c>
      <c r="BH26" s="20">
        <f>BG24-BH24</f>
        <v>0</v>
      </c>
      <c r="BI26" s="6">
        <f>SUM(BE26:BH26)</f>
        <v>0</v>
      </c>
      <c r="BJ26" s="39"/>
      <c r="BK26" s="1064">
        <v>0</v>
      </c>
      <c r="BL26" s="1062">
        <v>0</v>
      </c>
      <c r="BM26" s="1062">
        <v>0</v>
      </c>
      <c r="BN26" s="1062">
        <v>0</v>
      </c>
      <c r="BO26" s="6">
        <f>SUM(BK26:BN26)</f>
        <v>0</v>
      </c>
      <c r="BP26" s="20"/>
      <c r="BQ26" s="1064">
        <v>0</v>
      </c>
      <c r="BR26" s="1062">
        <v>0</v>
      </c>
      <c r="BS26" s="1062">
        <v>0</v>
      </c>
      <c r="BT26" s="1062">
        <v>0</v>
      </c>
      <c r="BU26" s="6">
        <f>SUM(BQ26:BT26)</f>
        <v>0</v>
      </c>
      <c r="BW26" s="1064">
        <v>0</v>
      </c>
      <c r="BX26" s="1062">
        <v>0</v>
      </c>
      <c r="BY26" s="1062">
        <v>0</v>
      </c>
      <c r="BZ26" s="1062">
        <v>0</v>
      </c>
      <c r="CA26" s="6">
        <f>SUM(BW26:BZ26)</f>
        <v>0</v>
      </c>
      <c r="CC26" s="1064">
        <v>0</v>
      </c>
      <c r="CD26" s="51">
        <v>0</v>
      </c>
      <c r="CE26" s="51">
        <v>0</v>
      </c>
      <c r="CF26" s="51">
        <v>0</v>
      </c>
      <c r="CG26" s="6">
        <f>SUM(CC26:CF26)</f>
        <v>0</v>
      </c>
      <c r="CI26" s="53">
        <v>0</v>
      </c>
      <c r="CJ26" s="51">
        <v>0</v>
      </c>
      <c r="CK26" s="51">
        <v>0</v>
      </c>
      <c r="CL26" s="51">
        <v>0</v>
      </c>
      <c r="CM26" s="6">
        <f>SUM(CI26:CL26)</f>
        <v>0</v>
      </c>
      <c r="CO26" s="53">
        <v>0</v>
      </c>
      <c r="CP26" s="51">
        <v>0</v>
      </c>
      <c r="CQ26" s="51">
        <v>0</v>
      </c>
      <c r="CR26" s="51">
        <v>0</v>
      </c>
      <c r="CS26" s="6">
        <f>SUM(CO26:CR26)</f>
        <v>0</v>
      </c>
      <c r="CU26" s="53">
        <v>0</v>
      </c>
      <c r="CV26" s="51">
        <v>0</v>
      </c>
      <c r="CW26" s="51">
        <v>0</v>
      </c>
      <c r="CX26" s="51">
        <v>0</v>
      </c>
      <c r="CY26" s="6">
        <f>SUM(CU26:CX26)</f>
        <v>0</v>
      </c>
    </row>
    <row r="27" spans="1:103" ht="11.25" customHeight="1" outlineLevel="1" x14ac:dyDescent="0.2">
      <c r="A27" s="809" t="s">
        <v>15</v>
      </c>
      <c r="B27" s="240"/>
      <c r="C27" s="22"/>
      <c r="D27" s="379"/>
      <c r="E27" s="379"/>
      <c r="F27" s="379"/>
      <c r="G27" s="157"/>
      <c r="H27" s="240"/>
      <c r="I27" s="22"/>
      <c r="J27" s="379"/>
      <c r="K27" s="379"/>
      <c r="L27" s="379"/>
      <c r="M27" s="157"/>
      <c r="N27" s="240"/>
      <c r="O27" s="22"/>
      <c r="P27" s="379"/>
      <c r="Q27" s="379"/>
      <c r="R27" s="379"/>
      <c r="S27" s="157"/>
      <c r="T27" s="240"/>
      <c r="U27" s="22"/>
      <c r="V27" s="379"/>
      <c r="W27" s="379"/>
      <c r="X27" s="379"/>
      <c r="Y27" s="157"/>
      <c r="Z27" s="240"/>
      <c r="AA27" s="22"/>
      <c r="AB27" s="379"/>
      <c r="AC27" s="379"/>
      <c r="AD27" s="379"/>
      <c r="AE27" s="157">
        <f>SUM(AA27:AD27)</f>
        <v>0</v>
      </c>
      <c r="AF27" s="240"/>
      <c r="AG27" s="22"/>
      <c r="AH27" s="379"/>
      <c r="AI27" s="379"/>
      <c r="AJ27" s="379"/>
      <c r="AK27" s="157">
        <f>SUM(AG27:AJ27)</f>
        <v>0</v>
      </c>
      <c r="AL27" s="240"/>
      <c r="AM27" s="22"/>
      <c r="AN27" s="379"/>
      <c r="AO27" s="379"/>
      <c r="AP27" s="379"/>
      <c r="AQ27" s="157"/>
      <c r="AR27" s="240"/>
      <c r="AS27" s="22"/>
      <c r="AT27" s="379"/>
      <c r="AU27" s="379"/>
      <c r="AV27" s="379"/>
      <c r="AW27" s="157"/>
      <c r="AX27" s="240"/>
      <c r="AY27" s="22">
        <f>(AY25*AY24)/4</f>
        <v>2.9775</v>
      </c>
      <c r="AZ27" s="379">
        <f>(AZ25*AZ24)/4</f>
        <v>2.9775</v>
      </c>
      <c r="BA27" s="379">
        <f>(BA25*BA24)/4</f>
        <v>2.9775</v>
      </c>
      <c r="BB27" s="379">
        <f>(BB25*BB24)/4</f>
        <v>2.7749999999999999</v>
      </c>
      <c r="BC27" s="157">
        <f>SUM(AY27:BB27)</f>
        <v>11.707500000000001</v>
      </c>
      <c r="BD27" s="240"/>
      <c r="BE27" s="22">
        <f>(BE25*BE24)/4</f>
        <v>2.7749999999999999</v>
      </c>
      <c r="BF27" s="379">
        <f>(BF25*BF24)/4</f>
        <v>2.7749999999999999</v>
      </c>
      <c r="BG27" s="379">
        <f>(BG25*BG24)/4</f>
        <v>2.7749999999999999</v>
      </c>
      <c r="BH27" s="379">
        <f>(BH25*BH24)/4</f>
        <v>2.7749999999999999</v>
      </c>
      <c r="BI27" s="157">
        <f>SUM(BE27:BH27)</f>
        <v>11.1</v>
      </c>
      <c r="BJ27" s="240"/>
      <c r="BK27" s="22">
        <f>(BK25*BK24)/4</f>
        <v>0</v>
      </c>
      <c r="BL27" s="379">
        <f>(BL25*BL24)/4</f>
        <v>0</v>
      </c>
      <c r="BM27" s="379">
        <f>(BM25*BM24)/4</f>
        <v>0</v>
      </c>
      <c r="BN27" s="379">
        <f>(BN25*BN24)/4</f>
        <v>0</v>
      </c>
      <c r="BO27" s="157">
        <f>SUM(BK27:BN27)</f>
        <v>0</v>
      </c>
      <c r="BP27" s="20"/>
      <c r="BQ27" s="22">
        <f>(BQ25*BQ24)/4</f>
        <v>0</v>
      </c>
      <c r="BR27" s="379">
        <f>(BR25*BR24)/4</f>
        <v>0</v>
      </c>
      <c r="BS27" s="379">
        <f>(BS25*BS24)/4</f>
        <v>0</v>
      </c>
      <c r="BT27" s="379">
        <f>(BT25*BT24)/4</f>
        <v>0</v>
      </c>
      <c r="BU27" s="157">
        <f>SUM(BQ27:BT27)</f>
        <v>0</v>
      </c>
      <c r="BW27" s="22">
        <f>(BW25*BW24)/4</f>
        <v>0</v>
      </c>
      <c r="BX27" s="379">
        <f>(BX25*BX24)/4</f>
        <v>0</v>
      </c>
      <c r="BY27" s="379">
        <f>(BY25*BY24)/4</f>
        <v>0</v>
      </c>
      <c r="BZ27" s="379">
        <f>(BZ25*BZ24)/4</f>
        <v>0</v>
      </c>
      <c r="CA27" s="157">
        <f>SUM(BW27:BZ27)</f>
        <v>0</v>
      </c>
      <c r="CC27" s="22">
        <f>(CC25*CC24)/4</f>
        <v>0</v>
      </c>
      <c r="CD27" s="379">
        <f>(CD25*CD24)/4</f>
        <v>0</v>
      </c>
      <c r="CE27" s="379">
        <f>(CE25*CE24)/4</f>
        <v>0</v>
      </c>
      <c r="CF27" s="379">
        <f>(CF25*CF24)/4</f>
        <v>0</v>
      </c>
      <c r="CG27" s="157">
        <f>SUM(CC27:CF27)</f>
        <v>0</v>
      </c>
      <c r="CI27" s="22">
        <f>(CI25*CI24)/4</f>
        <v>0</v>
      </c>
      <c r="CJ27" s="379">
        <f>(CJ25*CJ24)/4</f>
        <v>0</v>
      </c>
      <c r="CK27" s="379">
        <f>(CK25*CK24)/4</f>
        <v>0</v>
      </c>
      <c r="CL27" s="379">
        <f>(CL25*CL24)/4</f>
        <v>0</v>
      </c>
      <c r="CM27" s="157">
        <f>SUM(CI27:CL27)</f>
        <v>0</v>
      </c>
      <c r="CO27" s="22">
        <f>(CO25*CO24)/4</f>
        <v>0</v>
      </c>
      <c r="CP27" s="379">
        <f>(CP25*CP24)/4</f>
        <v>0</v>
      </c>
      <c r="CQ27" s="379">
        <f>(CQ25*CQ24)/4</f>
        <v>0</v>
      </c>
      <c r="CR27" s="379">
        <f>(CR25*CR24)/4</f>
        <v>0</v>
      </c>
      <c r="CS27" s="157">
        <f>SUM(CO27:CR27)</f>
        <v>0</v>
      </c>
      <c r="CU27" s="22">
        <f>(CU25*CU24)/4</f>
        <v>0</v>
      </c>
      <c r="CV27" s="379">
        <f>(CV25*CV24)/4</f>
        <v>0</v>
      </c>
      <c r="CW27" s="379">
        <f>(CW25*CW24)/4</f>
        <v>0</v>
      </c>
      <c r="CX27" s="379">
        <f>(CX25*CX24)/4</f>
        <v>0</v>
      </c>
      <c r="CY27" s="157">
        <f>SUM(CU27:CX27)</f>
        <v>0</v>
      </c>
    </row>
    <row r="28" spans="1:103" ht="11.25" customHeight="1" x14ac:dyDescent="0.2">
      <c r="A28" s="812" t="s">
        <v>109</v>
      </c>
      <c r="B28" s="40"/>
      <c r="C28" s="797">
        <v>0</v>
      </c>
      <c r="D28" s="798">
        <v>0</v>
      </c>
      <c r="E28" s="798">
        <v>150</v>
      </c>
      <c r="F28" s="281">
        <f>E28</f>
        <v>150</v>
      </c>
      <c r="G28" s="420">
        <v>150</v>
      </c>
      <c r="H28" s="40"/>
      <c r="I28" s="797">
        <v>150</v>
      </c>
      <c r="J28" s="798">
        <v>150</v>
      </c>
      <c r="K28" s="798">
        <v>150</v>
      </c>
      <c r="L28" s="281">
        <f>M28</f>
        <v>150</v>
      </c>
      <c r="M28" s="420">
        <v>150</v>
      </c>
      <c r="N28" s="40"/>
      <c r="O28" s="797">
        <v>150</v>
      </c>
      <c r="P28" s="798">
        <v>150</v>
      </c>
      <c r="Q28" s="798">
        <v>150</v>
      </c>
      <c r="R28" s="281">
        <f>S28</f>
        <v>150</v>
      </c>
      <c r="S28" s="420">
        <v>150</v>
      </c>
      <c r="T28" s="40"/>
      <c r="U28" s="797">
        <v>150</v>
      </c>
      <c r="V28" s="798">
        <v>150</v>
      </c>
      <c r="W28" s="798">
        <f>Y28</f>
        <v>150</v>
      </c>
      <c r="X28" s="798">
        <v>150</v>
      </c>
      <c r="Y28" s="420">
        <v>150</v>
      </c>
      <c r="Z28" s="40"/>
      <c r="AA28" s="797">
        <v>150</v>
      </c>
      <c r="AB28" s="798">
        <v>150</v>
      </c>
      <c r="AC28" s="798">
        <v>150</v>
      </c>
      <c r="AD28" s="798">
        <v>145</v>
      </c>
      <c r="AE28" s="327">
        <f>AD28</f>
        <v>145</v>
      </c>
      <c r="AF28" s="40"/>
      <c r="AG28" s="797">
        <v>145</v>
      </c>
      <c r="AH28" s="798">
        <v>145</v>
      </c>
      <c r="AI28" s="798">
        <v>145</v>
      </c>
      <c r="AJ28" s="798">
        <v>145</v>
      </c>
      <c r="AK28" s="6">
        <f>AJ28</f>
        <v>145</v>
      </c>
      <c r="AL28" s="40"/>
      <c r="AM28" s="797">
        <v>145</v>
      </c>
      <c r="AN28" s="798">
        <v>145</v>
      </c>
      <c r="AO28" s="798">
        <v>145</v>
      </c>
      <c r="AP28" s="798">
        <v>145</v>
      </c>
      <c r="AQ28" s="327">
        <f>AP28</f>
        <v>145</v>
      </c>
      <c r="AR28" s="40"/>
      <c r="AS28" s="797">
        <v>145</v>
      </c>
      <c r="AT28" s="798">
        <v>145</v>
      </c>
      <c r="AU28" s="798">
        <v>145</v>
      </c>
      <c r="AV28" s="798">
        <v>145</v>
      </c>
      <c r="AW28" s="327">
        <f>AV28</f>
        <v>145</v>
      </c>
      <c r="AX28" s="40"/>
      <c r="AY28" s="797">
        <v>145</v>
      </c>
      <c r="AZ28" s="798">
        <v>145</v>
      </c>
      <c r="BA28" s="798">
        <v>145</v>
      </c>
      <c r="BB28" s="798">
        <v>145</v>
      </c>
      <c r="BC28" s="327">
        <f>BB28</f>
        <v>145</v>
      </c>
      <c r="BD28" s="40"/>
      <c r="BE28" s="797">
        <v>145</v>
      </c>
      <c r="BF28" s="798">
        <v>145</v>
      </c>
      <c r="BG28" s="798">
        <v>145</v>
      </c>
      <c r="BH28" s="798">
        <v>145</v>
      </c>
      <c r="BI28" s="327">
        <f>BH28</f>
        <v>145</v>
      </c>
      <c r="BJ28" s="40"/>
      <c r="BK28" s="797">
        <v>145</v>
      </c>
      <c r="BL28" s="798">
        <v>145</v>
      </c>
      <c r="BM28" s="798">
        <v>130.45099999999999</v>
      </c>
      <c r="BN28" s="798">
        <v>130.45099999999999</v>
      </c>
      <c r="BO28" s="327">
        <f>BN28</f>
        <v>130.45099999999999</v>
      </c>
      <c r="BP28" s="20"/>
      <c r="BQ28" s="797">
        <v>0</v>
      </c>
      <c r="BR28" s="798">
        <v>0</v>
      </c>
      <c r="BS28" s="798">
        <v>0</v>
      </c>
      <c r="BT28" s="798">
        <v>0</v>
      </c>
      <c r="BU28" s="327">
        <f>BT28</f>
        <v>0</v>
      </c>
      <c r="BW28" s="797">
        <v>0</v>
      </c>
      <c r="BX28" s="798">
        <v>0</v>
      </c>
      <c r="BY28" s="798">
        <v>0</v>
      </c>
      <c r="BZ28" s="798">
        <v>0</v>
      </c>
      <c r="CA28" s="327">
        <f>BZ28</f>
        <v>0</v>
      </c>
      <c r="CC28" s="797">
        <v>0</v>
      </c>
      <c r="CD28" s="1068">
        <v>0</v>
      </c>
      <c r="CE28" s="1068">
        <v>0</v>
      </c>
      <c r="CF28" s="1068">
        <v>0</v>
      </c>
      <c r="CG28" s="327">
        <f>CF28</f>
        <v>0</v>
      </c>
      <c r="CI28" s="412">
        <f>CG28-CI30</f>
        <v>0</v>
      </c>
      <c r="CJ28" s="281">
        <f>CI28-CJ30</f>
        <v>0</v>
      </c>
      <c r="CK28" s="281">
        <f>CJ28-CK30</f>
        <v>0</v>
      </c>
      <c r="CL28" s="281">
        <f>CK28-CL30</f>
        <v>0</v>
      </c>
      <c r="CM28" s="327">
        <f>CL28</f>
        <v>0</v>
      </c>
      <c r="CO28" s="412">
        <f>CM28-CO30</f>
        <v>0</v>
      </c>
      <c r="CP28" s="281">
        <f>CO28-CP30</f>
        <v>0</v>
      </c>
      <c r="CQ28" s="281">
        <f>CP28-CQ30</f>
        <v>0</v>
      </c>
      <c r="CR28" s="281">
        <f>CQ28-CR30</f>
        <v>0</v>
      </c>
      <c r="CS28" s="327">
        <f>CR28</f>
        <v>0</v>
      </c>
      <c r="CU28" s="412">
        <f>CS28-CU30</f>
        <v>0</v>
      </c>
      <c r="CV28" s="281">
        <f>CU28-CV30</f>
        <v>0</v>
      </c>
      <c r="CW28" s="281">
        <f>CV28-CW30</f>
        <v>0</v>
      </c>
      <c r="CX28" s="281">
        <f>CW28-CX30</f>
        <v>0</v>
      </c>
      <c r="CY28" s="327">
        <f>CX28</f>
        <v>0</v>
      </c>
    </row>
    <row r="29" spans="1:103" ht="11.25" customHeight="1" x14ac:dyDescent="0.2">
      <c r="A29" s="813" t="s">
        <v>106</v>
      </c>
      <c r="B29" s="211"/>
      <c r="C29" s="814"/>
      <c r="D29" s="801"/>
      <c r="E29" s="801">
        <v>1.95E-2</v>
      </c>
      <c r="F29" s="211">
        <f>G29</f>
        <v>1.95E-2</v>
      </c>
      <c r="G29" s="383">
        <v>1.95E-2</v>
      </c>
      <c r="H29" s="211"/>
      <c r="I29" s="814">
        <v>1.95E-2</v>
      </c>
      <c r="J29" s="801">
        <v>1.95E-2</v>
      </c>
      <c r="K29" s="801">
        <v>1.95E-2</v>
      </c>
      <c r="L29" s="211">
        <f>M29</f>
        <v>1.95E-2</v>
      </c>
      <c r="M29" s="383">
        <v>1.95E-2</v>
      </c>
      <c r="N29" s="211"/>
      <c r="O29" s="814">
        <v>1.95E-2</v>
      </c>
      <c r="P29" s="801">
        <v>1.95E-2</v>
      </c>
      <c r="Q29" s="801">
        <v>1.95E-2</v>
      </c>
      <c r="R29" s="211">
        <f>S29</f>
        <v>1.95E-2</v>
      </c>
      <c r="S29" s="383">
        <v>1.95E-2</v>
      </c>
      <c r="T29" s="211"/>
      <c r="U29" s="814">
        <v>1.95E-2</v>
      </c>
      <c r="V29" s="801">
        <v>1.95E-2</v>
      </c>
      <c r="W29" s="801">
        <v>1.95E-2</v>
      </c>
      <c r="X29" s="801">
        <v>1.95E-2</v>
      </c>
      <c r="Y29" s="383">
        <v>1.95E-2</v>
      </c>
      <c r="Z29" s="211"/>
      <c r="AA29" s="814">
        <v>1.95E-2</v>
      </c>
      <c r="AB29" s="801">
        <v>1.95E-2</v>
      </c>
      <c r="AC29" s="801">
        <v>1.95E-2</v>
      </c>
      <c r="AD29" s="801">
        <v>1.95E-2</v>
      </c>
      <c r="AE29" s="204">
        <f>AD29</f>
        <v>1.95E-2</v>
      </c>
      <c r="AF29" s="211"/>
      <c r="AG29" s="814">
        <v>2.1399999999999999E-2</v>
      </c>
      <c r="AH29" s="801">
        <v>2.1399999999999999E-2</v>
      </c>
      <c r="AI29" s="815">
        <v>2.1399999999999999E-2</v>
      </c>
      <c r="AJ29" s="815">
        <v>2.1399999999999999E-2</v>
      </c>
      <c r="AK29" s="802">
        <v>2.1399999999999999E-2</v>
      </c>
      <c r="AL29" s="211"/>
      <c r="AM29" s="816">
        <v>2.1600000000000001E-2</v>
      </c>
      <c r="AN29" s="815">
        <v>2.1600000000000001E-2</v>
      </c>
      <c r="AO29" s="815">
        <v>2.1600000000000001E-2</v>
      </c>
      <c r="AP29" s="815">
        <v>2.1600000000000001E-2</v>
      </c>
      <c r="AQ29" s="315">
        <f>AP29</f>
        <v>2.1600000000000001E-2</v>
      </c>
      <c r="AR29" s="211"/>
      <c r="AS29" s="816">
        <v>2.1899999999999999E-2</v>
      </c>
      <c r="AT29" s="815">
        <v>2.1899999999999999E-2</v>
      </c>
      <c r="AU29" s="815">
        <v>1.84E-2</v>
      </c>
      <c r="AV29" s="815">
        <v>1.84E-2</v>
      </c>
      <c r="AW29" s="315">
        <f>AV29</f>
        <v>1.84E-2</v>
      </c>
      <c r="AX29" s="211"/>
      <c r="AY29" s="816">
        <v>1.84E-2</v>
      </c>
      <c r="AZ29" s="815">
        <v>2.1899999999999999E-2</v>
      </c>
      <c r="BA29" s="815">
        <v>1.84E-2</v>
      </c>
      <c r="BB29" s="815">
        <v>1.7999999999999999E-2</v>
      </c>
      <c r="BC29" s="315">
        <f>BB29</f>
        <v>1.7999999999999999E-2</v>
      </c>
      <c r="BD29" s="211"/>
      <c r="BE29" s="816">
        <v>1.7999999999999999E-2</v>
      </c>
      <c r="BF29" s="815">
        <v>1.7999999999999999E-2</v>
      </c>
      <c r="BG29" s="815">
        <v>1.7999999999999999E-2</v>
      </c>
      <c r="BH29" s="815">
        <v>1.7999999999999999E-2</v>
      </c>
      <c r="BI29" s="315">
        <f>BC29</f>
        <v>1.7999999999999999E-2</v>
      </c>
      <c r="BJ29" s="211"/>
      <c r="BK29" s="816">
        <v>1.7999999999999999E-2</v>
      </c>
      <c r="BL29" s="815">
        <v>1.7999999999999999E-2</v>
      </c>
      <c r="BM29" s="815">
        <v>1.7999999999999999E-2</v>
      </c>
      <c r="BN29" s="815">
        <v>1.7999999999999999E-2</v>
      </c>
      <c r="BO29" s="315">
        <f>BI29</f>
        <v>1.7999999999999999E-2</v>
      </c>
      <c r="BP29" s="807"/>
      <c r="BQ29" s="816">
        <v>1.7999999999999999E-2</v>
      </c>
      <c r="BR29" s="815">
        <f>BU29</f>
        <v>1.7999999999999999E-2</v>
      </c>
      <c r="BS29" s="815">
        <f>BU29</f>
        <v>1.7999999999999999E-2</v>
      </c>
      <c r="BT29" s="815">
        <f>BU29</f>
        <v>1.7999999999999999E-2</v>
      </c>
      <c r="BU29" s="315">
        <f>BO29</f>
        <v>1.7999999999999999E-2</v>
      </c>
      <c r="BW29" s="816">
        <f>CA29</f>
        <v>1.7999999999999999E-2</v>
      </c>
      <c r="BX29" s="815">
        <f>CA29</f>
        <v>1.7999999999999999E-2</v>
      </c>
      <c r="BY29" s="815">
        <f>CA29</f>
        <v>1.7999999999999999E-2</v>
      </c>
      <c r="BZ29" s="815">
        <f>CA29</f>
        <v>1.7999999999999999E-2</v>
      </c>
      <c r="CA29" s="315">
        <f>BU29</f>
        <v>1.7999999999999999E-2</v>
      </c>
      <c r="CC29" s="313">
        <f>CG29</f>
        <v>1.7999999999999999E-2</v>
      </c>
      <c r="CD29" s="314">
        <f>CG29</f>
        <v>1.7999999999999999E-2</v>
      </c>
      <c r="CE29" s="314">
        <f>CG29</f>
        <v>1.7999999999999999E-2</v>
      </c>
      <c r="CF29" s="314">
        <f>CG29</f>
        <v>1.7999999999999999E-2</v>
      </c>
      <c r="CG29" s="315">
        <f>CA29</f>
        <v>1.7999999999999999E-2</v>
      </c>
      <c r="CI29" s="313">
        <f>CM29</f>
        <v>1.7999999999999999E-2</v>
      </c>
      <c r="CJ29" s="314">
        <f>CM29</f>
        <v>1.7999999999999999E-2</v>
      </c>
      <c r="CK29" s="314">
        <f>CM29</f>
        <v>1.7999999999999999E-2</v>
      </c>
      <c r="CL29" s="314">
        <f>CM29</f>
        <v>1.7999999999999999E-2</v>
      </c>
      <c r="CM29" s="315">
        <f>CG29</f>
        <v>1.7999999999999999E-2</v>
      </c>
      <c r="CO29" s="313">
        <f>CS29</f>
        <v>1.7999999999999999E-2</v>
      </c>
      <c r="CP29" s="314">
        <f>CS29</f>
        <v>1.7999999999999999E-2</v>
      </c>
      <c r="CQ29" s="314">
        <f>CS29</f>
        <v>1.7999999999999999E-2</v>
      </c>
      <c r="CR29" s="314">
        <f>CS29</f>
        <v>1.7999999999999999E-2</v>
      </c>
      <c r="CS29" s="315">
        <f>CM29</f>
        <v>1.7999999999999999E-2</v>
      </c>
      <c r="CU29" s="313">
        <f>CY29</f>
        <v>1.7999999999999999E-2</v>
      </c>
      <c r="CV29" s="314">
        <f>CY29</f>
        <v>1.7999999999999999E-2</v>
      </c>
      <c r="CW29" s="314">
        <f>CY29</f>
        <v>1.7999999999999999E-2</v>
      </c>
      <c r="CX29" s="314">
        <f>CY29</f>
        <v>1.7999999999999999E-2</v>
      </c>
      <c r="CY29" s="315">
        <f>CS29</f>
        <v>1.7999999999999999E-2</v>
      </c>
    </row>
    <row r="30" spans="1:103" ht="11.25" customHeight="1" x14ac:dyDescent="0.2">
      <c r="A30" s="808" t="s">
        <v>107</v>
      </c>
      <c r="B30" s="39"/>
      <c r="C30" s="19"/>
      <c r="D30" s="20"/>
      <c r="E30" s="20"/>
      <c r="F30" s="20">
        <f>E28-F28</f>
        <v>0</v>
      </c>
      <c r="G30" s="6">
        <f>SUM(C30:F30)</f>
        <v>0</v>
      </c>
      <c r="H30" s="39"/>
      <c r="I30" s="19">
        <f>F28-I28</f>
        <v>0</v>
      </c>
      <c r="J30" s="20">
        <f>I28-J28</f>
        <v>0</v>
      </c>
      <c r="K30" s="20">
        <f>J28-K28</f>
        <v>0</v>
      </c>
      <c r="L30" s="20">
        <f>K28-L28</f>
        <v>0</v>
      </c>
      <c r="M30" s="6">
        <f>SUM(I30:L30)</f>
        <v>0</v>
      </c>
      <c r="N30" s="39"/>
      <c r="O30" s="19">
        <f>L28-O28</f>
        <v>0</v>
      </c>
      <c r="P30" s="20">
        <f>O28-P28</f>
        <v>0</v>
      </c>
      <c r="Q30" s="20">
        <f>P28-Q28</f>
        <v>0</v>
      </c>
      <c r="R30" s="20">
        <f>Q28-R28</f>
        <v>0</v>
      </c>
      <c r="S30" s="6">
        <f>SUM(O30:R30)</f>
        <v>0</v>
      </c>
      <c r="T30" s="39"/>
      <c r="U30" s="19">
        <f>R28-U28</f>
        <v>0</v>
      </c>
      <c r="V30" s="20">
        <f>U28-V28</f>
        <v>0</v>
      </c>
      <c r="W30" s="20">
        <f>V28-W28</f>
        <v>0</v>
      </c>
      <c r="X30" s="20">
        <f>W28-X28</f>
        <v>0</v>
      </c>
      <c r="Y30" s="6">
        <f>SUM(U30:X30)</f>
        <v>0</v>
      </c>
      <c r="Z30" s="39"/>
      <c r="AA30" s="19">
        <f>X28-AA28</f>
        <v>0</v>
      </c>
      <c r="AB30" s="20">
        <f>AA28-AB28</f>
        <v>0</v>
      </c>
      <c r="AC30" s="20">
        <f>AB28-AC28</f>
        <v>0</v>
      </c>
      <c r="AD30" s="20">
        <f>AC28-AD28</f>
        <v>5</v>
      </c>
      <c r="AE30" s="6">
        <f>SUM(AA30:AD30)</f>
        <v>5</v>
      </c>
      <c r="AF30" s="39"/>
      <c r="AG30" s="19">
        <f>AD28-AG28</f>
        <v>0</v>
      </c>
      <c r="AH30" s="20">
        <f>AG28-AH28</f>
        <v>0</v>
      </c>
      <c r="AI30" s="20">
        <f>AH28-AI28</f>
        <v>0</v>
      </c>
      <c r="AJ30" s="20">
        <f>AI28-AJ28</f>
        <v>0</v>
      </c>
      <c r="AK30" s="6">
        <f>SUM(AG30:AJ30)</f>
        <v>0</v>
      </c>
      <c r="AL30" s="39"/>
      <c r="AM30" s="19">
        <f>AJ28-AM28</f>
        <v>0</v>
      </c>
      <c r="AN30" s="20">
        <f>AM28-AN28</f>
        <v>0</v>
      </c>
      <c r="AO30" s="20">
        <f>AN28-AO28</f>
        <v>0</v>
      </c>
      <c r="AP30" s="20">
        <f>AO28-AP28</f>
        <v>0</v>
      </c>
      <c r="AQ30" s="6">
        <f>SUM(AM30:AP30)</f>
        <v>0</v>
      </c>
      <c r="AR30" s="39"/>
      <c r="AS30" s="19">
        <f>AP28-AS28</f>
        <v>0</v>
      </c>
      <c r="AT30" s="20">
        <f>AS28-AT28</f>
        <v>0</v>
      </c>
      <c r="AU30" s="20">
        <f>AT28-AU28</f>
        <v>0</v>
      </c>
      <c r="AV30" s="20">
        <f>AU28-AV28</f>
        <v>0</v>
      </c>
      <c r="AW30" s="6">
        <f>SUM(AS30:AV30)</f>
        <v>0</v>
      </c>
      <c r="AX30" s="39"/>
      <c r="AY30" s="19">
        <f>AV28-AY28</f>
        <v>0</v>
      </c>
      <c r="AZ30" s="20">
        <f>AY28-AZ28</f>
        <v>0</v>
      </c>
      <c r="BA30" s="20">
        <f>AZ28-BA28</f>
        <v>0</v>
      </c>
      <c r="BB30" s="20">
        <f>BA28-BB28</f>
        <v>0</v>
      </c>
      <c r="BC30" s="6">
        <f>SUM(AY30:BB30)</f>
        <v>0</v>
      </c>
      <c r="BD30" s="39"/>
      <c r="BE30" s="19">
        <f>BB28-BE28</f>
        <v>0</v>
      </c>
      <c r="BF30" s="20">
        <f>BE28-BF28</f>
        <v>0</v>
      </c>
      <c r="BG30" s="20">
        <f>BF28-BG28</f>
        <v>0</v>
      </c>
      <c r="BH30" s="20">
        <f>BG28-BH28</f>
        <v>0</v>
      </c>
      <c r="BI30" s="6">
        <f>SUM(BE30:BH30)</f>
        <v>0</v>
      </c>
      <c r="BJ30" s="39"/>
      <c r="BK30" s="19">
        <f>BH28-BK28</f>
        <v>0</v>
      </c>
      <c r="BL30" s="20">
        <f>BL28-BK28</f>
        <v>0</v>
      </c>
      <c r="BM30" s="20">
        <f>BM28-BL28</f>
        <v>-14.549000000000007</v>
      </c>
      <c r="BN30" s="20">
        <f>BM28-BN28</f>
        <v>0</v>
      </c>
      <c r="BO30" s="6">
        <f>SUM(BK30:BN30)</f>
        <v>-14.549000000000007</v>
      </c>
      <c r="BP30" s="20"/>
      <c r="BQ30" s="19">
        <f>+BQ28-BN28</f>
        <v>-130.45099999999999</v>
      </c>
      <c r="BR30" s="20">
        <f>BR28-BQ28</f>
        <v>0</v>
      </c>
      <c r="BS30" s="20">
        <f>BS28-BR28</f>
        <v>0</v>
      </c>
      <c r="BT30" s="20">
        <f>BT28-BS28</f>
        <v>0</v>
      </c>
      <c r="BU30" s="6">
        <f>SUM(BQ30:BT30)</f>
        <v>-130.45099999999999</v>
      </c>
      <c r="BW30" s="19">
        <f>+BW28-BT28</f>
        <v>0</v>
      </c>
      <c r="BX30" s="20">
        <f>BX28-BW28</f>
        <v>0</v>
      </c>
      <c r="BY30" s="20">
        <f>BY28-BX28</f>
        <v>0</v>
      </c>
      <c r="BZ30" s="20">
        <f>BZ28-BY28</f>
        <v>0</v>
      </c>
      <c r="CA30" s="6">
        <f>SUM(BW30:BZ30)</f>
        <v>0</v>
      </c>
      <c r="CC30" s="19">
        <f>+CC28-BZ28</f>
        <v>0</v>
      </c>
      <c r="CD30" s="20">
        <f>CD28-CC28</f>
        <v>0</v>
      </c>
      <c r="CE30" s="20">
        <f>CE28-CD28</f>
        <v>0</v>
      </c>
      <c r="CF30" s="20">
        <f>CF28-CE28</f>
        <v>0</v>
      </c>
      <c r="CG30" s="6">
        <f>SUM(CC30:CF30)</f>
        <v>0</v>
      </c>
      <c r="CI30" s="53">
        <v>0</v>
      </c>
      <c r="CJ30" s="51">
        <v>0</v>
      </c>
      <c r="CK30" s="51">
        <v>0</v>
      </c>
      <c r="CL30" s="51">
        <v>0</v>
      </c>
      <c r="CM30" s="6">
        <f>SUM(CI30:CL30)</f>
        <v>0</v>
      </c>
      <c r="CO30" s="53">
        <v>0</v>
      </c>
      <c r="CP30" s="51">
        <v>0</v>
      </c>
      <c r="CQ30" s="51">
        <v>0</v>
      </c>
      <c r="CR30" s="51">
        <v>0</v>
      </c>
      <c r="CS30" s="6">
        <f>SUM(CO30:CR30)</f>
        <v>0</v>
      </c>
      <c r="CU30" s="53">
        <v>0</v>
      </c>
      <c r="CV30" s="51">
        <v>0</v>
      </c>
      <c r="CW30" s="51">
        <v>0</v>
      </c>
      <c r="CX30" s="51">
        <v>0</v>
      </c>
      <c r="CY30" s="6">
        <f>SUM(CU30:CX30)</f>
        <v>0</v>
      </c>
    </row>
    <row r="31" spans="1:103" ht="11.25" customHeight="1" x14ac:dyDescent="0.2">
      <c r="A31" s="809" t="s">
        <v>15</v>
      </c>
      <c r="B31" s="240"/>
      <c r="C31" s="22"/>
      <c r="D31" s="379"/>
      <c r="E31" s="379"/>
      <c r="F31" s="379"/>
      <c r="G31" s="157"/>
      <c r="H31" s="240"/>
      <c r="I31" s="22"/>
      <c r="J31" s="379"/>
      <c r="K31" s="379"/>
      <c r="L31" s="379"/>
      <c r="M31" s="157"/>
      <c r="N31" s="240"/>
      <c r="O31" s="22"/>
      <c r="P31" s="379"/>
      <c r="Q31" s="379"/>
      <c r="R31" s="379"/>
      <c r="S31" s="157"/>
      <c r="T31" s="240"/>
      <c r="U31" s="22"/>
      <c r="V31" s="379"/>
      <c r="W31" s="379"/>
      <c r="X31" s="379"/>
      <c r="Y31" s="157"/>
      <c r="Z31" s="240"/>
      <c r="AA31" s="22"/>
      <c r="AB31" s="379"/>
      <c r="AC31" s="379"/>
      <c r="AD31" s="379"/>
      <c r="AE31" s="157">
        <f>SUM(AA31:AD31)</f>
        <v>0</v>
      </c>
      <c r="AF31" s="240"/>
      <c r="AG31" s="22"/>
      <c r="AH31" s="379"/>
      <c r="AI31" s="379"/>
      <c r="AJ31" s="379"/>
      <c r="AK31" s="157"/>
      <c r="AL31" s="240"/>
      <c r="AM31" s="22"/>
      <c r="AN31" s="379"/>
      <c r="AO31" s="379"/>
      <c r="AP31" s="379"/>
      <c r="AQ31" s="157"/>
      <c r="AR31" s="240"/>
      <c r="AS31" s="22"/>
      <c r="AT31" s="379"/>
      <c r="AU31" s="379"/>
      <c r="AV31" s="379"/>
      <c r="AW31" s="157"/>
      <c r="AX31" s="240"/>
      <c r="AY31" s="22">
        <f>(AY29*AY28)/4</f>
        <v>0.66700000000000004</v>
      </c>
      <c r="AZ31" s="379">
        <f>(AZ29*AZ28)/4</f>
        <v>0.793875</v>
      </c>
      <c r="BA31" s="379">
        <f>(BA29*BA28)/4</f>
        <v>0.66700000000000004</v>
      </c>
      <c r="BB31" s="379">
        <f>(BB29*BB28)/4</f>
        <v>0.65249999999999997</v>
      </c>
      <c r="BC31" s="157">
        <f>SUM(AY31:BB31)</f>
        <v>2.7803750000000003</v>
      </c>
      <c r="BD31" s="240"/>
      <c r="BE31" s="22">
        <f>(BE29*BE28)/4</f>
        <v>0.65249999999999997</v>
      </c>
      <c r="BF31" s="379">
        <f>(BF29*BF28)/4</f>
        <v>0.65249999999999997</v>
      </c>
      <c r="BG31" s="379">
        <f>(BG29*BG28)/4</f>
        <v>0.65249999999999997</v>
      </c>
      <c r="BH31" s="379">
        <f>(BH29*BH28)/4</f>
        <v>0.65249999999999997</v>
      </c>
      <c r="BI31" s="157">
        <f>SUM(BE31:BH31)</f>
        <v>2.61</v>
      </c>
      <c r="BJ31" s="240"/>
      <c r="BK31" s="22">
        <f>(BK29*BK28)/4</f>
        <v>0.65249999999999997</v>
      </c>
      <c r="BL31" s="379">
        <f>(BL29*BL28)/4</f>
        <v>0.65249999999999997</v>
      </c>
      <c r="BM31" s="379">
        <f>(BM29*BM28)/4</f>
        <v>0.58702949999999987</v>
      </c>
      <c r="BN31" s="379">
        <f>(BN29*BN28)/4</f>
        <v>0.58702949999999987</v>
      </c>
      <c r="BO31" s="157">
        <f>SUM(BK31:BN31)</f>
        <v>2.4790589999999995</v>
      </c>
      <c r="BP31" s="20"/>
      <c r="BQ31" s="22">
        <f>(BQ29*BQ28)/4</f>
        <v>0</v>
      </c>
      <c r="BR31" s="379">
        <f>(BR29*BR28)/4</f>
        <v>0</v>
      </c>
      <c r="BS31" s="379">
        <f>(BS29*BS28)/4</f>
        <v>0</v>
      </c>
      <c r="BT31" s="379">
        <f>(BT29*BT28)/4</f>
        <v>0</v>
      </c>
      <c r="BU31" s="157">
        <f>SUM(BQ31:BT31)</f>
        <v>0</v>
      </c>
      <c r="BW31" s="22">
        <f>(BW29*BW28)/4</f>
        <v>0</v>
      </c>
      <c r="BX31" s="379">
        <f>(BX29*BX28)/4</f>
        <v>0</v>
      </c>
      <c r="BY31" s="379">
        <f>(BY29*BY28)/4</f>
        <v>0</v>
      </c>
      <c r="BZ31" s="379">
        <f>(BZ29*BZ28)/4</f>
        <v>0</v>
      </c>
      <c r="CA31" s="157">
        <f>SUM(BW31:BZ31)</f>
        <v>0</v>
      </c>
      <c r="CC31" s="22">
        <f>(CC29*CC28)/4</f>
        <v>0</v>
      </c>
      <c r="CD31" s="379">
        <f>(CD29*CD28)/4</f>
        <v>0</v>
      </c>
      <c r="CE31" s="379">
        <f>(CE29*CE28)/4</f>
        <v>0</v>
      </c>
      <c r="CF31" s="379">
        <f>(CF29*CF28)/4</f>
        <v>0</v>
      </c>
      <c r="CG31" s="157">
        <f>SUM(CC31:CF31)</f>
        <v>0</v>
      </c>
      <c r="CI31" s="22">
        <f>(CI29*CI28)/4</f>
        <v>0</v>
      </c>
      <c r="CJ31" s="379">
        <f>(CJ29*CJ28)/4</f>
        <v>0</v>
      </c>
      <c r="CK31" s="379">
        <f>(CK29*CK28)/4</f>
        <v>0</v>
      </c>
      <c r="CL31" s="379">
        <f>(CL29*CL28)/4</f>
        <v>0</v>
      </c>
      <c r="CM31" s="157">
        <f>SUM(CI31:CL31)</f>
        <v>0</v>
      </c>
      <c r="CO31" s="22">
        <f>(CO29*CO28)/4</f>
        <v>0</v>
      </c>
      <c r="CP31" s="379">
        <f>(CP29*CP28)/4</f>
        <v>0</v>
      </c>
      <c r="CQ31" s="379">
        <f>(CQ29*CQ28)/4</f>
        <v>0</v>
      </c>
      <c r="CR31" s="379">
        <f>(CR29*CR28)/4</f>
        <v>0</v>
      </c>
      <c r="CS31" s="157">
        <f>SUM(CO31:CR31)</f>
        <v>0</v>
      </c>
      <c r="CU31" s="22">
        <f>(CU29*CU28)/4</f>
        <v>0</v>
      </c>
      <c r="CV31" s="379">
        <f>(CV29*CV28)/4</f>
        <v>0</v>
      </c>
      <c r="CW31" s="379">
        <f>(CW29*CW28)/4</f>
        <v>0</v>
      </c>
      <c r="CX31" s="379">
        <f>(CX29*CX28)/4</f>
        <v>0</v>
      </c>
      <c r="CY31" s="157">
        <f>SUM(CU31:CX31)</f>
        <v>0</v>
      </c>
    </row>
    <row r="32" spans="1:103" ht="11.25" customHeight="1" x14ac:dyDescent="0.2">
      <c r="A32" s="812" t="s">
        <v>645</v>
      </c>
      <c r="B32" s="40"/>
      <c r="C32" s="797"/>
      <c r="D32" s="798"/>
      <c r="E32" s="798"/>
      <c r="F32" s="281"/>
      <c r="G32" s="420"/>
      <c r="H32" s="40"/>
      <c r="I32" s="797"/>
      <c r="J32" s="798"/>
      <c r="K32" s="798"/>
      <c r="L32" s="281"/>
      <c r="M32" s="420"/>
      <c r="N32" s="40"/>
      <c r="O32" s="797"/>
      <c r="P32" s="798"/>
      <c r="Q32" s="798"/>
      <c r="R32" s="281"/>
      <c r="S32" s="420"/>
      <c r="T32" s="40"/>
      <c r="U32" s="797"/>
      <c r="V32" s="798"/>
      <c r="W32" s="798"/>
      <c r="X32" s="798"/>
      <c r="Y32" s="420"/>
      <c r="Z32" s="40"/>
      <c r="AA32" s="797"/>
      <c r="AB32" s="798"/>
      <c r="AC32" s="798"/>
      <c r="AD32" s="798"/>
      <c r="AE32" s="327"/>
      <c r="AF32" s="40"/>
      <c r="AG32" s="797"/>
      <c r="AH32" s="798"/>
      <c r="AI32" s="798"/>
      <c r="AJ32" s="798"/>
      <c r="AK32" s="6"/>
      <c r="AL32" s="40"/>
      <c r="AM32" s="797"/>
      <c r="AN32" s="798"/>
      <c r="AO32" s="798"/>
      <c r="AP32" s="798"/>
      <c r="AQ32" s="327"/>
      <c r="AR32" s="40"/>
      <c r="AS32" s="797"/>
      <c r="AT32" s="798"/>
      <c r="AU32" s="798"/>
      <c r="AV32" s="798"/>
      <c r="AW32" s="327"/>
      <c r="AX32" s="40"/>
      <c r="AY32" s="797"/>
      <c r="AZ32" s="798"/>
      <c r="BA32" s="798"/>
      <c r="BB32" s="798">
        <v>73</v>
      </c>
      <c r="BC32" s="327">
        <f>BB32</f>
        <v>73</v>
      </c>
      <c r="BD32" s="40"/>
      <c r="BE32" s="797">
        <v>73</v>
      </c>
      <c r="BF32" s="798">
        <v>73</v>
      </c>
      <c r="BG32" s="798">
        <v>73</v>
      </c>
      <c r="BH32" s="798">
        <v>73</v>
      </c>
      <c r="BI32" s="327">
        <f>BH32</f>
        <v>73</v>
      </c>
      <c r="BJ32" s="40"/>
      <c r="BK32" s="797">
        <v>73</v>
      </c>
      <c r="BL32" s="798">
        <v>73</v>
      </c>
      <c r="BM32" s="798">
        <v>72.896000000000001</v>
      </c>
      <c r="BN32" s="798">
        <v>73.644999999999996</v>
      </c>
      <c r="BO32" s="327">
        <f>BN32</f>
        <v>73.644999999999996</v>
      </c>
      <c r="BP32" s="20"/>
      <c r="BQ32" s="797">
        <v>74.486999999999995</v>
      </c>
      <c r="BR32" s="798">
        <v>73.906999999999996</v>
      </c>
      <c r="BS32" s="798">
        <v>75.055999999999997</v>
      </c>
      <c r="BT32" s="798">
        <v>73.994</v>
      </c>
      <c r="BU32" s="327">
        <f>BT32</f>
        <v>73.994</v>
      </c>
      <c r="BW32" s="797">
        <v>75.081000000000003</v>
      </c>
      <c r="BX32" s="798">
        <v>75.382000000000005</v>
      </c>
      <c r="BY32" s="798">
        <v>74.679000000000002</v>
      </c>
      <c r="BZ32" s="798">
        <v>73.408000000000001</v>
      </c>
      <c r="CA32" s="327">
        <f>BZ32</f>
        <v>73.408000000000001</v>
      </c>
      <c r="CC32" s="797">
        <v>73.218999999999994</v>
      </c>
      <c r="CD32" s="798">
        <v>73.3</v>
      </c>
      <c r="CE32" s="798">
        <v>73.134</v>
      </c>
      <c r="CF32" s="798">
        <v>72.742000000000004</v>
      </c>
      <c r="CG32" s="327">
        <f>CF32</f>
        <v>72.742000000000004</v>
      </c>
      <c r="CI32" s="412">
        <f>CG32-CI34</f>
        <v>72.742000000000004</v>
      </c>
      <c r="CJ32" s="281">
        <f>CI32-CJ34</f>
        <v>72.742000000000004</v>
      </c>
      <c r="CK32" s="281">
        <f>CJ32-CK34</f>
        <v>72.742000000000004</v>
      </c>
      <c r="CL32" s="281">
        <f>CK32-CL34</f>
        <v>72.742000000000004</v>
      </c>
      <c r="CM32" s="327">
        <f>CL32</f>
        <v>72.742000000000004</v>
      </c>
      <c r="CO32" s="412">
        <f>CM32-CO34</f>
        <v>72.742000000000004</v>
      </c>
      <c r="CP32" s="281">
        <f>CO32-CP34</f>
        <v>72.742000000000004</v>
      </c>
      <c r="CQ32" s="281">
        <f>CP32-CQ34</f>
        <v>72.742000000000004</v>
      </c>
      <c r="CR32" s="281">
        <f>CQ32-CR34</f>
        <v>72.742000000000004</v>
      </c>
      <c r="CS32" s="327">
        <f>CR32</f>
        <v>72.742000000000004</v>
      </c>
      <c r="CU32" s="412">
        <f>CS32-CU34</f>
        <v>72.742000000000004</v>
      </c>
      <c r="CV32" s="281">
        <f>CU32-CV34</f>
        <v>72.742000000000004</v>
      </c>
      <c r="CW32" s="281">
        <f>CV32-CW34</f>
        <v>72.742000000000004</v>
      </c>
      <c r="CX32" s="281">
        <f>CW32-CX34</f>
        <v>72.742000000000004</v>
      </c>
      <c r="CY32" s="327">
        <f>CX32</f>
        <v>72.742000000000004</v>
      </c>
    </row>
    <row r="33" spans="1:103" ht="11.25" customHeight="1" x14ac:dyDescent="0.2">
      <c r="A33" s="813" t="s">
        <v>106</v>
      </c>
      <c r="B33" s="211"/>
      <c r="C33" s="814"/>
      <c r="D33" s="801"/>
      <c r="E33" s="801"/>
      <c r="F33" s="211"/>
      <c r="G33" s="383"/>
      <c r="H33" s="211"/>
      <c r="I33" s="814"/>
      <c r="J33" s="801"/>
      <c r="K33" s="801"/>
      <c r="L33" s="211"/>
      <c r="M33" s="383"/>
      <c r="N33" s="211"/>
      <c r="O33" s="814"/>
      <c r="P33" s="801"/>
      <c r="Q33" s="801"/>
      <c r="R33" s="211"/>
      <c r="S33" s="383"/>
      <c r="T33" s="211"/>
      <c r="U33" s="814"/>
      <c r="V33" s="801"/>
      <c r="W33" s="801"/>
      <c r="X33" s="801"/>
      <c r="Y33" s="383"/>
      <c r="Z33" s="211"/>
      <c r="AA33" s="814"/>
      <c r="AB33" s="801"/>
      <c r="AC33" s="801"/>
      <c r="AD33" s="801"/>
      <c r="AE33" s="204"/>
      <c r="AF33" s="211"/>
      <c r="AG33" s="814"/>
      <c r="AH33" s="801"/>
      <c r="AI33" s="815"/>
      <c r="AJ33" s="815"/>
      <c r="AK33" s="802"/>
      <c r="AL33" s="211"/>
      <c r="AM33" s="816"/>
      <c r="AN33" s="815"/>
      <c r="AO33" s="815"/>
      <c r="AP33" s="815"/>
      <c r="AQ33" s="315"/>
      <c r="AR33" s="211"/>
      <c r="AS33" s="816"/>
      <c r="AT33" s="815"/>
      <c r="AU33" s="815"/>
      <c r="AV33" s="815"/>
      <c r="AW33" s="315"/>
      <c r="AX33" s="211"/>
      <c r="AY33" s="816"/>
      <c r="AZ33" s="815"/>
      <c r="BA33" s="815"/>
      <c r="BB33" s="815">
        <v>3.1899999999999998E-2</v>
      </c>
      <c r="BC33" s="315">
        <f>BB33</f>
        <v>3.1899999999999998E-2</v>
      </c>
      <c r="BD33" s="211"/>
      <c r="BE33" s="816">
        <v>3.1899999999999998E-2</v>
      </c>
      <c r="BF33" s="815">
        <v>3.1899999999999998E-2</v>
      </c>
      <c r="BG33" s="815">
        <v>3.1899999999999998E-2</v>
      </c>
      <c r="BH33" s="815">
        <v>3.1899999999999998E-2</v>
      </c>
      <c r="BI33" s="315">
        <f>BC33</f>
        <v>3.1899999999999998E-2</v>
      </c>
      <c r="BJ33" s="211"/>
      <c r="BK33" s="816">
        <v>3.1899999999999998E-2</v>
      </c>
      <c r="BL33" s="815">
        <v>3.1899999999999998E-2</v>
      </c>
      <c r="BM33" s="815">
        <v>3.1899999999999998E-2</v>
      </c>
      <c r="BN33" s="815">
        <v>3.1899999999999998E-2</v>
      </c>
      <c r="BO33" s="315">
        <f>BI33</f>
        <v>3.1899999999999998E-2</v>
      </c>
      <c r="BP33" s="807"/>
      <c r="BQ33" s="816">
        <v>3.1899999999999998E-2</v>
      </c>
      <c r="BR33" s="815">
        <f>BU33</f>
        <v>3.1899999999999998E-2</v>
      </c>
      <c r="BS33" s="815">
        <f>BU33</f>
        <v>3.1899999999999998E-2</v>
      </c>
      <c r="BT33" s="1069">
        <f>BU33</f>
        <v>3.1899999999999998E-2</v>
      </c>
      <c r="BU33" s="315">
        <f>BO33</f>
        <v>3.1899999999999998E-2</v>
      </c>
      <c r="BW33" s="816">
        <f>CA33</f>
        <v>3.1899999999999998E-2</v>
      </c>
      <c r="BX33" s="815">
        <f>CA33</f>
        <v>3.1899999999999998E-2</v>
      </c>
      <c r="BY33" s="815">
        <f>CA33</f>
        <v>3.1899999999999998E-2</v>
      </c>
      <c r="BZ33" s="1069">
        <f>CA33</f>
        <v>3.1899999999999998E-2</v>
      </c>
      <c r="CA33" s="315">
        <f>BU33</f>
        <v>3.1899999999999998E-2</v>
      </c>
      <c r="CC33" s="313">
        <f>CG33</f>
        <v>3.1899999999999998E-2</v>
      </c>
      <c r="CD33" s="314">
        <f>CG33</f>
        <v>3.1899999999999998E-2</v>
      </c>
      <c r="CE33" s="314">
        <f>CG33</f>
        <v>3.1899999999999998E-2</v>
      </c>
      <c r="CF33" s="314">
        <f>CG33</f>
        <v>3.1899999999999998E-2</v>
      </c>
      <c r="CG33" s="315">
        <f>CA33</f>
        <v>3.1899999999999998E-2</v>
      </c>
      <c r="CI33" s="313">
        <f>CM33</f>
        <v>3.1899999999999998E-2</v>
      </c>
      <c r="CJ33" s="314">
        <f>CM33</f>
        <v>3.1899999999999998E-2</v>
      </c>
      <c r="CK33" s="314">
        <f>CM33</f>
        <v>3.1899999999999998E-2</v>
      </c>
      <c r="CL33" s="314">
        <f>CM33</f>
        <v>3.1899999999999998E-2</v>
      </c>
      <c r="CM33" s="315">
        <f>CG33</f>
        <v>3.1899999999999998E-2</v>
      </c>
      <c r="CO33" s="313">
        <f>CS33</f>
        <v>3.1899999999999998E-2</v>
      </c>
      <c r="CP33" s="314">
        <f>CS33</f>
        <v>3.1899999999999998E-2</v>
      </c>
      <c r="CQ33" s="314">
        <f>CS33</f>
        <v>3.1899999999999998E-2</v>
      </c>
      <c r="CR33" s="314">
        <f>CS33</f>
        <v>3.1899999999999998E-2</v>
      </c>
      <c r="CS33" s="315">
        <f>CM33</f>
        <v>3.1899999999999998E-2</v>
      </c>
      <c r="CU33" s="313">
        <f>CY33</f>
        <v>3.1899999999999998E-2</v>
      </c>
      <c r="CV33" s="314">
        <f>CY33</f>
        <v>3.1899999999999998E-2</v>
      </c>
      <c r="CW33" s="314">
        <f>CY33</f>
        <v>3.1899999999999998E-2</v>
      </c>
      <c r="CX33" s="314">
        <f>CY33</f>
        <v>3.1899999999999998E-2</v>
      </c>
      <c r="CY33" s="315">
        <f>CS33</f>
        <v>3.1899999999999998E-2</v>
      </c>
    </row>
    <row r="34" spans="1:103" ht="11.25" customHeight="1" x14ac:dyDescent="0.2">
      <c r="A34" s="808" t="s">
        <v>107</v>
      </c>
      <c r="B34" s="39"/>
      <c r="C34" s="19"/>
      <c r="D34" s="20"/>
      <c r="E34" s="20"/>
      <c r="F34" s="20"/>
      <c r="G34" s="6"/>
      <c r="H34" s="39"/>
      <c r="I34" s="19"/>
      <c r="J34" s="20"/>
      <c r="K34" s="20"/>
      <c r="L34" s="20"/>
      <c r="M34" s="6"/>
      <c r="N34" s="39"/>
      <c r="O34" s="19"/>
      <c r="P34" s="20"/>
      <c r="Q34" s="20"/>
      <c r="R34" s="20"/>
      <c r="S34" s="6"/>
      <c r="T34" s="39"/>
      <c r="U34" s="19"/>
      <c r="V34" s="20"/>
      <c r="W34" s="20"/>
      <c r="X34" s="20"/>
      <c r="Y34" s="6"/>
      <c r="Z34" s="39"/>
      <c r="AA34" s="19"/>
      <c r="AB34" s="20"/>
      <c r="AC34" s="20"/>
      <c r="AD34" s="20"/>
      <c r="AE34" s="6"/>
      <c r="AF34" s="39"/>
      <c r="AG34" s="19"/>
      <c r="AH34" s="20"/>
      <c r="AI34" s="20"/>
      <c r="AJ34" s="20"/>
      <c r="AK34" s="6"/>
      <c r="AL34" s="39"/>
      <c r="AM34" s="19"/>
      <c r="AN34" s="20"/>
      <c r="AO34" s="20"/>
      <c r="AP34" s="20"/>
      <c r="AQ34" s="6"/>
      <c r="AR34" s="39"/>
      <c r="AS34" s="19"/>
      <c r="AT34" s="20"/>
      <c r="AU34" s="20"/>
      <c r="AV34" s="20"/>
      <c r="AW34" s="6"/>
      <c r="AX34" s="39"/>
      <c r="AY34" s="19"/>
      <c r="AZ34" s="20"/>
      <c r="BA34" s="20"/>
      <c r="BB34" s="51">
        <v>0</v>
      </c>
      <c r="BC34" s="6">
        <f>SUM(AY34:BB34)</f>
        <v>0</v>
      </c>
      <c r="BD34" s="39"/>
      <c r="BE34" s="19">
        <f>BB32-BE32</f>
        <v>0</v>
      </c>
      <c r="BF34" s="20">
        <f>BF32-BE32</f>
        <v>0</v>
      </c>
      <c r="BG34" s="20">
        <f>BG32-BF32</f>
        <v>0</v>
      </c>
      <c r="BH34" s="20">
        <f>BH32-BG32</f>
        <v>0</v>
      </c>
      <c r="BI34" s="6">
        <f>SUM(BE34:BH34)</f>
        <v>0</v>
      </c>
      <c r="BJ34" s="39"/>
      <c r="BK34" s="19">
        <f>BH32-BK32</f>
        <v>0</v>
      </c>
      <c r="BL34" s="20">
        <f>BL32-BK32</f>
        <v>0</v>
      </c>
      <c r="BM34" s="20">
        <f>BM32-BL32</f>
        <v>-0.1039999999999992</v>
      </c>
      <c r="BN34" s="20">
        <f>BN32-BM32</f>
        <v>0.74899999999999523</v>
      </c>
      <c r="BO34" s="6">
        <f>SUM(BK34:BN34)</f>
        <v>0.64499999999999602</v>
      </c>
      <c r="BP34" s="20"/>
      <c r="BQ34" s="19">
        <f>+BQ32-BN32</f>
        <v>0.84199999999999875</v>
      </c>
      <c r="BR34" s="20">
        <f>BR32-BQ32</f>
        <v>-0.57999999999999829</v>
      </c>
      <c r="BS34" s="20">
        <f>BS32-BR32</f>
        <v>1.1490000000000009</v>
      </c>
      <c r="BT34" s="20">
        <f>BT32-BS32</f>
        <v>-1.0619999999999976</v>
      </c>
      <c r="BU34" s="6">
        <f>SUM(BQ34:BT34)</f>
        <v>0.34900000000000375</v>
      </c>
      <c r="BW34" s="19">
        <f>+BW32-BT32</f>
        <v>1.0870000000000033</v>
      </c>
      <c r="BX34" s="20">
        <f>BX32-BW32</f>
        <v>0.30100000000000193</v>
      </c>
      <c r="BY34" s="20">
        <f>BY32-BX32</f>
        <v>-0.70300000000000296</v>
      </c>
      <c r="BZ34" s="20">
        <f>BZ32-BY32</f>
        <v>-1.2710000000000008</v>
      </c>
      <c r="CA34" s="6">
        <f>SUM(BW34:BZ34)</f>
        <v>-0.58599999999999852</v>
      </c>
      <c r="CC34" s="19">
        <f>+CC32-BZ32</f>
        <v>-0.18900000000000716</v>
      </c>
      <c r="CD34" s="20">
        <f>CD32-CC32</f>
        <v>8.100000000000307E-2</v>
      </c>
      <c r="CE34" s="20">
        <f>CE32-CD32</f>
        <v>-0.16599999999999682</v>
      </c>
      <c r="CF34" s="20">
        <f>CF32-CE32</f>
        <v>-0.39199999999999591</v>
      </c>
      <c r="CG34" s="6">
        <f>SUM(CC34:CF34)</f>
        <v>-0.66599999999999682</v>
      </c>
      <c r="CI34" s="53">
        <v>0</v>
      </c>
      <c r="CJ34" s="51">
        <v>0</v>
      </c>
      <c r="CK34" s="51">
        <v>0</v>
      </c>
      <c r="CL34" s="51">
        <v>0</v>
      </c>
      <c r="CM34" s="6">
        <f>SUM(CI34:CL34)</f>
        <v>0</v>
      </c>
      <c r="CO34" s="53">
        <v>0</v>
      </c>
      <c r="CP34" s="51">
        <v>0</v>
      </c>
      <c r="CQ34" s="51">
        <v>0</v>
      </c>
      <c r="CR34" s="51">
        <v>0</v>
      </c>
      <c r="CS34" s="6">
        <f>SUM(CO34:CR34)</f>
        <v>0</v>
      </c>
      <c r="CU34" s="53">
        <v>0</v>
      </c>
      <c r="CV34" s="51">
        <v>0</v>
      </c>
      <c r="CW34" s="51">
        <v>0</v>
      </c>
      <c r="CX34" s="51">
        <v>0</v>
      </c>
      <c r="CY34" s="6">
        <f>SUM(CU34:CX34)</f>
        <v>0</v>
      </c>
    </row>
    <row r="35" spans="1:103" ht="11.25" customHeight="1" x14ac:dyDescent="0.2">
      <c r="A35" s="809" t="s">
        <v>15</v>
      </c>
      <c r="B35" s="240"/>
      <c r="C35" s="22"/>
      <c r="D35" s="379"/>
      <c r="E35" s="379"/>
      <c r="F35" s="379"/>
      <c r="G35" s="157"/>
      <c r="H35" s="240"/>
      <c r="I35" s="22"/>
      <c r="J35" s="379"/>
      <c r="K35" s="379"/>
      <c r="L35" s="379"/>
      <c r="M35" s="157"/>
      <c r="N35" s="240"/>
      <c r="O35" s="22"/>
      <c r="P35" s="379"/>
      <c r="Q35" s="379"/>
      <c r="R35" s="379"/>
      <c r="S35" s="157"/>
      <c r="T35" s="240"/>
      <c r="U35" s="22"/>
      <c r="V35" s="379"/>
      <c r="W35" s="379"/>
      <c r="X35" s="379"/>
      <c r="Y35" s="157"/>
      <c r="Z35" s="240"/>
      <c r="AA35" s="22"/>
      <c r="AB35" s="379"/>
      <c r="AC35" s="379"/>
      <c r="AD35" s="379"/>
      <c r="AE35" s="157"/>
      <c r="AF35" s="240"/>
      <c r="AG35" s="22"/>
      <c r="AH35" s="379"/>
      <c r="AI35" s="379"/>
      <c r="AJ35" s="379"/>
      <c r="AK35" s="157"/>
      <c r="AL35" s="240"/>
      <c r="AM35" s="22"/>
      <c r="AN35" s="379"/>
      <c r="AO35" s="379"/>
      <c r="AP35" s="379"/>
      <c r="AQ35" s="157"/>
      <c r="AR35" s="240"/>
      <c r="AS35" s="22"/>
      <c r="AT35" s="379"/>
      <c r="AU35" s="379"/>
      <c r="AV35" s="379"/>
      <c r="AW35" s="157"/>
      <c r="AX35" s="240"/>
      <c r="AY35" s="22"/>
      <c r="AZ35" s="379"/>
      <c r="BA35" s="379"/>
      <c r="BB35" s="379">
        <f>(BB33*BB32)/4</f>
        <v>0.582175</v>
      </c>
      <c r="BC35" s="157">
        <f>SUM(AY35:BB35)</f>
        <v>0.582175</v>
      </c>
      <c r="BD35" s="240"/>
      <c r="BE35" s="22">
        <f>(BE33*BE32)/4</f>
        <v>0.582175</v>
      </c>
      <c r="BF35" s="379">
        <f>(BF33*BF32)/4</f>
        <v>0.582175</v>
      </c>
      <c r="BG35" s="379">
        <f>(BG33*BG32)/4</f>
        <v>0.582175</v>
      </c>
      <c r="BH35" s="379">
        <f>(BH33*BH32)/4</f>
        <v>0.582175</v>
      </c>
      <c r="BI35" s="157">
        <f>SUM(BE35:BH35)</f>
        <v>2.3287</v>
      </c>
      <c r="BJ35" s="240"/>
      <c r="BK35" s="22">
        <f>(BK33*BK32)/4</f>
        <v>0.582175</v>
      </c>
      <c r="BL35" s="379">
        <f>(BL33*BL32)/4</f>
        <v>0.582175</v>
      </c>
      <c r="BM35" s="379">
        <f>(BM33*BM32)/4</f>
        <v>0.58134560000000002</v>
      </c>
      <c r="BN35" s="379">
        <f>(BN33*BN32)/4</f>
        <v>0.58731887499999991</v>
      </c>
      <c r="BO35" s="157">
        <f>SUM(BK35:BN35)</f>
        <v>2.3330144749999997</v>
      </c>
      <c r="BP35" s="20"/>
      <c r="BQ35" s="22">
        <f>(BQ33*BQ32)/4</f>
        <v>0.5940338249999999</v>
      </c>
      <c r="BR35" s="379">
        <f>(BR33*BR32)/4</f>
        <v>0.58940832499999996</v>
      </c>
      <c r="BS35" s="379">
        <f>(BS33*BS32)/4</f>
        <v>0.59857159999999998</v>
      </c>
      <c r="BT35" s="379">
        <f>(BT33*BT32)/4</f>
        <v>0.59010214999999999</v>
      </c>
      <c r="BU35" s="157">
        <f>SUM(BQ35:BT35)</f>
        <v>2.3721158999999998</v>
      </c>
      <c r="BW35" s="22">
        <f>(BW33*BW32)/4</f>
        <v>0.59877097499999998</v>
      </c>
      <c r="BX35" s="379">
        <f>(BX33*BX32)/4</f>
        <v>0.60117145000000005</v>
      </c>
      <c r="BY35" s="379">
        <f>(BY33*BY32)/4</f>
        <v>0.59556502499999997</v>
      </c>
      <c r="BZ35" s="379">
        <f>(BZ33*BZ32)/4</f>
        <v>0.58542879999999997</v>
      </c>
      <c r="CA35" s="157">
        <f>SUM(BW35:BZ35)</f>
        <v>2.38093625</v>
      </c>
      <c r="CC35" s="22">
        <f>(CC33*CC32)/4</f>
        <v>0.58392152499999994</v>
      </c>
      <c r="CD35" s="379">
        <f>(CD33*CD32)/4</f>
        <v>0.58456749999999991</v>
      </c>
      <c r="CE35" s="379">
        <f>(CE33*CE32)/4</f>
        <v>0.58324365</v>
      </c>
      <c r="CF35" s="379">
        <f>(CF33*CF32)/4</f>
        <v>0.58011745000000003</v>
      </c>
      <c r="CG35" s="157">
        <f>SUM(CC35:CF35)</f>
        <v>2.3318501249999999</v>
      </c>
      <c r="CI35" s="22">
        <f>(CI33*CI32)/4</f>
        <v>0.58011745000000003</v>
      </c>
      <c r="CJ35" s="379">
        <f>(CJ33*CJ32)/4</f>
        <v>0.58011745000000003</v>
      </c>
      <c r="CK35" s="379">
        <f>(CK33*CK32)/4</f>
        <v>0.58011745000000003</v>
      </c>
      <c r="CL35" s="379">
        <f>(CL33*CL32)/4</f>
        <v>0.58011745000000003</v>
      </c>
      <c r="CM35" s="157">
        <f>SUM(CI35:CL35)</f>
        <v>2.3204698000000001</v>
      </c>
      <c r="CO35" s="22">
        <f>(CO33*CO32)/4</f>
        <v>0.58011745000000003</v>
      </c>
      <c r="CP35" s="379">
        <f>(CP33*CP32)/4</f>
        <v>0.58011745000000003</v>
      </c>
      <c r="CQ35" s="379">
        <f>(CQ33*CQ32)/4</f>
        <v>0.58011745000000003</v>
      </c>
      <c r="CR35" s="379">
        <f>(CR33*CR32)/4</f>
        <v>0.58011745000000003</v>
      </c>
      <c r="CS35" s="157">
        <f>SUM(CO35:CR35)</f>
        <v>2.3204698000000001</v>
      </c>
      <c r="CU35" s="22">
        <f>(CU33*CU32)/4</f>
        <v>0.58011745000000003</v>
      </c>
      <c r="CV35" s="379">
        <f>(CV33*CV32)/4</f>
        <v>0.58011745000000003</v>
      </c>
      <c r="CW35" s="379">
        <f>(CW33*CW32)/4</f>
        <v>0.58011745000000003</v>
      </c>
      <c r="CX35" s="379">
        <f>(CX33*CX32)/4</f>
        <v>0.58011745000000003</v>
      </c>
      <c r="CY35" s="157">
        <f>SUM(CU35:CX35)</f>
        <v>2.3204698000000001</v>
      </c>
    </row>
    <row r="36" spans="1:103" ht="11.25" customHeight="1" x14ac:dyDescent="0.2">
      <c r="A36" s="812" t="s">
        <v>643</v>
      </c>
      <c r="B36" s="40"/>
      <c r="C36" s="797"/>
      <c r="D36" s="798"/>
      <c r="E36" s="798"/>
      <c r="F36" s="281"/>
      <c r="G36" s="420"/>
      <c r="H36" s="40"/>
      <c r="I36" s="797"/>
      <c r="J36" s="798"/>
      <c r="K36" s="798"/>
      <c r="L36" s="281"/>
      <c r="M36" s="420"/>
      <c r="N36" s="40"/>
      <c r="O36" s="797"/>
      <c r="P36" s="798"/>
      <c r="Q36" s="798"/>
      <c r="R36" s="281"/>
      <c r="S36" s="420"/>
      <c r="T36" s="40"/>
      <c r="U36" s="797"/>
      <c r="V36" s="798"/>
      <c r="W36" s="798"/>
      <c r="X36" s="798"/>
      <c r="Y36" s="420"/>
      <c r="Z36" s="40"/>
      <c r="AA36" s="797"/>
      <c r="AB36" s="798"/>
      <c r="AC36" s="798"/>
      <c r="AD36" s="798"/>
      <c r="AE36" s="327"/>
      <c r="AF36" s="40"/>
      <c r="AG36" s="797"/>
      <c r="AH36" s="798"/>
      <c r="AI36" s="798"/>
      <c r="AJ36" s="798"/>
      <c r="AK36" s="6"/>
      <c r="AL36" s="40"/>
      <c r="AM36" s="797"/>
      <c r="AN36" s="798"/>
      <c r="AO36" s="798"/>
      <c r="AP36" s="798"/>
      <c r="AQ36" s="327"/>
      <c r="AR36" s="40"/>
      <c r="AS36" s="797"/>
      <c r="AT36" s="798"/>
      <c r="AU36" s="798"/>
      <c r="AV36" s="798"/>
      <c r="AW36" s="327"/>
      <c r="AX36" s="40"/>
      <c r="AY36" s="797"/>
      <c r="AZ36" s="798"/>
      <c r="BA36" s="798"/>
      <c r="BB36" s="798">
        <v>300</v>
      </c>
      <c r="BC36" s="327">
        <f>BB36</f>
        <v>300</v>
      </c>
      <c r="BD36" s="40"/>
      <c r="BE36" s="797">
        <v>300</v>
      </c>
      <c r="BF36" s="798">
        <v>300</v>
      </c>
      <c r="BG36" s="798">
        <v>300</v>
      </c>
      <c r="BH36" s="798">
        <v>300</v>
      </c>
      <c r="BI36" s="327">
        <f>BH36</f>
        <v>300</v>
      </c>
      <c r="BJ36" s="40"/>
      <c r="BK36" s="797">
        <v>300</v>
      </c>
      <c r="BL36" s="1068">
        <v>300</v>
      </c>
      <c r="BM36" s="1068">
        <v>299.62799999999999</v>
      </c>
      <c r="BN36" s="798">
        <v>302.64800000000002</v>
      </c>
      <c r="BO36" s="327">
        <f>BN36</f>
        <v>302.64800000000002</v>
      </c>
      <c r="BP36" s="20"/>
      <c r="BQ36" s="797">
        <v>305.04300000000001</v>
      </c>
      <c r="BR36" s="1068">
        <v>301.99900000000002</v>
      </c>
      <c r="BS36" s="1068">
        <v>306.04399999999998</v>
      </c>
      <c r="BT36" s="798">
        <v>303.99099999999999</v>
      </c>
      <c r="BU36" s="327">
        <f>BT36</f>
        <v>303.99099999999999</v>
      </c>
      <c r="BW36" s="797">
        <v>307.524</v>
      </c>
      <c r="BX36" s="1068">
        <v>309.19299999999998</v>
      </c>
      <c r="BY36" s="1068">
        <v>307.68299999999999</v>
      </c>
      <c r="BZ36" s="798">
        <v>301.601</v>
      </c>
      <c r="CA36" s="327">
        <f>BZ36</f>
        <v>301.601</v>
      </c>
      <c r="CC36" s="797">
        <v>301.209</v>
      </c>
      <c r="CD36" s="1068">
        <v>301.92200000000003</v>
      </c>
      <c r="CE36" s="1068">
        <v>301.61200000000002</v>
      </c>
      <c r="CF36" s="1068">
        <v>300.27600000000001</v>
      </c>
      <c r="CG36" s="327">
        <f>CF36</f>
        <v>300.27600000000001</v>
      </c>
      <c r="CI36" s="412">
        <f>CG36-CI38</f>
        <v>300.27600000000001</v>
      </c>
      <c r="CJ36" s="281">
        <f>CI36-CJ38</f>
        <v>300.27600000000001</v>
      </c>
      <c r="CK36" s="281">
        <f>CJ36-CK38</f>
        <v>300.27600000000001</v>
      </c>
      <c r="CL36" s="281">
        <f>CK36-CL38</f>
        <v>300.27600000000001</v>
      </c>
      <c r="CM36" s="327">
        <f>CL36</f>
        <v>300.27600000000001</v>
      </c>
      <c r="CO36" s="412">
        <f>CM36-CO38</f>
        <v>300.27600000000001</v>
      </c>
      <c r="CP36" s="281">
        <f>CO36-CP38</f>
        <v>300.27600000000001</v>
      </c>
      <c r="CQ36" s="281">
        <f>CP36-CQ38</f>
        <v>300.27600000000001</v>
      </c>
      <c r="CR36" s="281">
        <f>CQ36-CR38</f>
        <v>300.27600000000001</v>
      </c>
      <c r="CS36" s="327">
        <f>CR36</f>
        <v>300.27600000000001</v>
      </c>
      <c r="CU36" s="412">
        <f>CS36-CU38</f>
        <v>300.27600000000001</v>
      </c>
      <c r="CV36" s="281">
        <f>CU36-CV38</f>
        <v>300.27600000000001</v>
      </c>
      <c r="CW36" s="281">
        <f>CV36-CW38</f>
        <v>300.27600000000001</v>
      </c>
      <c r="CX36" s="281">
        <f>CW36-CX38</f>
        <v>300.27600000000001</v>
      </c>
      <c r="CY36" s="327">
        <f>CX36</f>
        <v>300.27600000000001</v>
      </c>
    </row>
    <row r="37" spans="1:103" ht="11.25" customHeight="1" x14ac:dyDescent="0.2">
      <c r="A37" s="813" t="s">
        <v>106</v>
      </c>
      <c r="B37" s="211"/>
      <c r="C37" s="814"/>
      <c r="D37" s="801"/>
      <c r="E37" s="801"/>
      <c r="F37" s="211"/>
      <c r="G37" s="383"/>
      <c r="H37" s="211"/>
      <c r="I37" s="814"/>
      <c r="J37" s="801"/>
      <c r="K37" s="801"/>
      <c r="L37" s="211"/>
      <c r="M37" s="383"/>
      <c r="N37" s="211"/>
      <c r="O37" s="814"/>
      <c r="P37" s="801"/>
      <c r="Q37" s="801"/>
      <c r="R37" s="211"/>
      <c r="S37" s="383"/>
      <c r="T37" s="211"/>
      <c r="U37" s="814"/>
      <c r="V37" s="801"/>
      <c r="W37" s="801"/>
      <c r="X37" s="801"/>
      <c r="Y37" s="383"/>
      <c r="Z37" s="211"/>
      <c r="AA37" s="814"/>
      <c r="AB37" s="801"/>
      <c r="AC37" s="801"/>
      <c r="AD37" s="801"/>
      <c r="AE37" s="204"/>
      <c r="AF37" s="211"/>
      <c r="AG37" s="814"/>
      <c r="AH37" s="801"/>
      <c r="AI37" s="815"/>
      <c r="AJ37" s="815"/>
      <c r="AK37" s="802"/>
      <c r="AL37" s="211"/>
      <c r="AM37" s="816"/>
      <c r="AN37" s="815"/>
      <c r="AO37" s="815"/>
      <c r="AP37" s="815"/>
      <c r="AQ37" s="315"/>
      <c r="AR37" s="211"/>
      <c r="AS37" s="816"/>
      <c r="AT37" s="815"/>
      <c r="AU37" s="815"/>
      <c r="AV37" s="815"/>
      <c r="AW37" s="315"/>
      <c r="AX37" s="211"/>
      <c r="AY37" s="816"/>
      <c r="AZ37" s="815"/>
      <c r="BA37" s="815"/>
      <c r="BB37" s="815">
        <v>3.7499999999999999E-2</v>
      </c>
      <c r="BC37" s="315">
        <f>BB37</f>
        <v>3.7499999999999999E-2</v>
      </c>
      <c r="BD37" s="211"/>
      <c r="BE37" s="816">
        <v>3.7499999999999999E-2</v>
      </c>
      <c r="BF37" s="815">
        <v>3.7499999999999999E-2</v>
      </c>
      <c r="BG37" s="815">
        <v>3.7499999999999999E-2</v>
      </c>
      <c r="BH37" s="815">
        <v>3.7499999999999999E-2</v>
      </c>
      <c r="BI37" s="315">
        <f>BC37</f>
        <v>3.7499999999999999E-2</v>
      </c>
      <c r="BJ37" s="211"/>
      <c r="BK37" s="816">
        <v>3.7499999999999999E-2</v>
      </c>
      <c r="BL37" s="1069">
        <v>3.7499999999999999E-2</v>
      </c>
      <c r="BM37" s="1069">
        <v>3.7499999999999999E-2</v>
      </c>
      <c r="BN37" s="815">
        <v>3.7499999999999999E-2</v>
      </c>
      <c r="BO37" s="315">
        <f>BI37</f>
        <v>3.7499999999999999E-2</v>
      </c>
      <c r="BP37" s="807"/>
      <c r="BQ37" s="816">
        <v>3.7499999999999999E-2</v>
      </c>
      <c r="BR37" s="1069">
        <f>BU37</f>
        <v>3.7499999999999999E-2</v>
      </c>
      <c r="BS37" s="1069">
        <f>BU37</f>
        <v>3.7499999999999999E-2</v>
      </c>
      <c r="BT37" s="1069">
        <f>BU37</f>
        <v>3.7499999999999999E-2</v>
      </c>
      <c r="BU37" s="315">
        <f>BO37</f>
        <v>3.7499999999999999E-2</v>
      </c>
      <c r="BW37" s="816">
        <f>CA37</f>
        <v>3.7499999999999999E-2</v>
      </c>
      <c r="BX37" s="1069">
        <f>CA37</f>
        <v>3.7499999999999999E-2</v>
      </c>
      <c r="BY37" s="1069">
        <f>CA37</f>
        <v>3.7499999999999999E-2</v>
      </c>
      <c r="BZ37" s="1069">
        <f>CA37</f>
        <v>3.7499999999999999E-2</v>
      </c>
      <c r="CA37" s="315">
        <f>BU37</f>
        <v>3.7499999999999999E-2</v>
      </c>
      <c r="CC37" s="313">
        <f>CG37</f>
        <v>3.7499999999999999E-2</v>
      </c>
      <c r="CD37" s="314">
        <f>CG37</f>
        <v>3.7499999999999999E-2</v>
      </c>
      <c r="CE37" s="314">
        <f>CG37</f>
        <v>3.7499999999999999E-2</v>
      </c>
      <c r="CF37" s="314">
        <f>CG37</f>
        <v>3.7499999999999999E-2</v>
      </c>
      <c r="CG37" s="315">
        <f>CA37</f>
        <v>3.7499999999999999E-2</v>
      </c>
      <c r="CI37" s="313">
        <f>CM37</f>
        <v>3.7499999999999999E-2</v>
      </c>
      <c r="CJ37" s="314">
        <f>CM37</f>
        <v>3.7499999999999999E-2</v>
      </c>
      <c r="CK37" s="314">
        <f>CM37</f>
        <v>3.7499999999999999E-2</v>
      </c>
      <c r="CL37" s="314">
        <f>CM37</f>
        <v>3.7499999999999999E-2</v>
      </c>
      <c r="CM37" s="315">
        <f>CG37</f>
        <v>3.7499999999999999E-2</v>
      </c>
      <c r="CO37" s="313">
        <f>CS37</f>
        <v>3.7499999999999999E-2</v>
      </c>
      <c r="CP37" s="314">
        <f>CS37</f>
        <v>3.7499999999999999E-2</v>
      </c>
      <c r="CQ37" s="314">
        <f>CS37</f>
        <v>3.7499999999999999E-2</v>
      </c>
      <c r="CR37" s="314">
        <f>CS37</f>
        <v>3.7499999999999999E-2</v>
      </c>
      <c r="CS37" s="315">
        <f>CM37</f>
        <v>3.7499999999999999E-2</v>
      </c>
      <c r="CU37" s="313">
        <f>CY37</f>
        <v>3.7499999999999999E-2</v>
      </c>
      <c r="CV37" s="314">
        <f>CY37</f>
        <v>3.7499999999999999E-2</v>
      </c>
      <c r="CW37" s="314">
        <f>CY37</f>
        <v>3.7499999999999999E-2</v>
      </c>
      <c r="CX37" s="314">
        <f>CY37</f>
        <v>3.7499999999999999E-2</v>
      </c>
      <c r="CY37" s="315">
        <f>CS37</f>
        <v>3.7499999999999999E-2</v>
      </c>
    </row>
    <row r="38" spans="1:103" ht="11.25" customHeight="1" x14ac:dyDescent="0.2">
      <c r="A38" s="808" t="s">
        <v>107</v>
      </c>
      <c r="B38" s="39"/>
      <c r="C38" s="19"/>
      <c r="D38" s="20"/>
      <c r="E38" s="20"/>
      <c r="F38" s="20"/>
      <c r="G38" s="6"/>
      <c r="H38" s="39"/>
      <c r="I38" s="19"/>
      <c r="J38" s="20"/>
      <c r="K38" s="20"/>
      <c r="L38" s="20"/>
      <c r="M38" s="6"/>
      <c r="N38" s="39"/>
      <c r="O38" s="19"/>
      <c r="P38" s="20"/>
      <c r="Q38" s="20"/>
      <c r="R38" s="20"/>
      <c r="S38" s="6"/>
      <c r="T38" s="39"/>
      <c r="U38" s="19"/>
      <c r="V38" s="20"/>
      <c r="W38" s="20"/>
      <c r="X38" s="20"/>
      <c r="Y38" s="6"/>
      <c r="Z38" s="39"/>
      <c r="AA38" s="19"/>
      <c r="AB38" s="20"/>
      <c r="AC38" s="20"/>
      <c r="AD38" s="20"/>
      <c r="AE38" s="6"/>
      <c r="AF38" s="39"/>
      <c r="AG38" s="19"/>
      <c r="AH38" s="20"/>
      <c r="AI38" s="20"/>
      <c r="AJ38" s="20"/>
      <c r="AK38" s="6"/>
      <c r="AL38" s="39"/>
      <c r="AM38" s="19"/>
      <c r="AN38" s="20"/>
      <c r="AO38" s="20"/>
      <c r="AP38" s="20"/>
      <c r="AQ38" s="6"/>
      <c r="AR38" s="39"/>
      <c r="AS38" s="19"/>
      <c r="AT38" s="20"/>
      <c r="AU38" s="20"/>
      <c r="AV38" s="20"/>
      <c r="AW38" s="6"/>
      <c r="AX38" s="39"/>
      <c r="AY38" s="19"/>
      <c r="AZ38" s="20"/>
      <c r="BA38" s="20"/>
      <c r="BB38" s="51">
        <v>0</v>
      </c>
      <c r="BC38" s="6">
        <f>SUM(AY38:BB38)</f>
        <v>0</v>
      </c>
      <c r="BD38" s="39"/>
      <c r="BE38" s="19">
        <f>BB36-BE36</f>
        <v>0</v>
      </c>
      <c r="BF38" s="20">
        <f>BF36-BE36</f>
        <v>0</v>
      </c>
      <c r="BG38" s="20">
        <f>BG36-BF36</f>
        <v>0</v>
      </c>
      <c r="BH38" s="20">
        <f>BH36-BG36</f>
        <v>0</v>
      </c>
      <c r="BI38" s="6">
        <f>SUM(BE38:BH38)</f>
        <v>0</v>
      </c>
      <c r="BJ38" s="39"/>
      <c r="BK38" s="19">
        <v>0</v>
      </c>
      <c r="BL38" s="20">
        <f>BL36-BK36</f>
        <v>0</v>
      </c>
      <c r="BM38" s="20">
        <f>BM36-BL36</f>
        <v>-0.3720000000000141</v>
      </c>
      <c r="BN38" s="20">
        <f>BN36-BM36</f>
        <v>3.0200000000000387</v>
      </c>
      <c r="BO38" s="6">
        <f>SUM(BK38:BN38)</f>
        <v>2.6480000000000246</v>
      </c>
      <c r="BP38" s="20"/>
      <c r="BQ38" s="19">
        <f>+BQ36-BN36</f>
        <v>2.3949999999999818</v>
      </c>
      <c r="BR38" s="20">
        <f>BR36-BQ36</f>
        <v>-3.0439999999999827</v>
      </c>
      <c r="BS38" s="20">
        <f>BS36-BR36</f>
        <v>4.0449999999999591</v>
      </c>
      <c r="BT38" s="20">
        <f>BT36-BS36</f>
        <v>-2.0529999999999973</v>
      </c>
      <c r="BU38" s="6">
        <f>SUM(BQ38:BT38)</f>
        <v>1.3429999999999609</v>
      </c>
      <c r="BW38" s="19">
        <f>+BW36-BT36</f>
        <v>3.5330000000000155</v>
      </c>
      <c r="BX38" s="20">
        <f>BX36-BW36</f>
        <v>1.6689999999999827</v>
      </c>
      <c r="BY38" s="20">
        <f>BY36-BX36</f>
        <v>-1.5099999999999909</v>
      </c>
      <c r="BZ38" s="20">
        <f>BZ36-BY36</f>
        <v>-6.0819999999999936</v>
      </c>
      <c r="CA38" s="6">
        <f>SUM(BW38:BZ38)</f>
        <v>-2.3899999999999864</v>
      </c>
      <c r="CC38" s="19">
        <f>+CC36-BZ36</f>
        <v>-0.39199999999999591</v>
      </c>
      <c r="CD38" s="20">
        <f>CD36-CC36</f>
        <v>0.71300000000002228</v>
      </c>
      <c r="CE38" s="20">
        <f>CE36-CD36</f>
        <v>-0.31000000000000227</v>
      </c>
      <c r="CF38" s="20">
        <f>CF36-CE36</f>
        <v>-1.3360000000000127</v>
      </c>
      <c r="CG38" s="6">
        <f>SUM(CC38:CF38)</f>
        <v>-1.3249999999999886</v>
      </c>
      <c r="CI38" s="53">
        <v>0</v>
      </c>
      <c r="CJ38" s="51">
        <v>0</v>
      </c>
      <c r="CK38" s="51">
        <v>0</v>
      </c>
      <c r="CL38" s="51">
        <v>0</v>
      </c>
      <c r="CM38" s="6">
        <f>SUM(CI38:CL38)</f>
        <v>0</v>
      </c>
      <c r="CO38" s="53">
        <v>0</v>
      </c>
      <c r="CP38" s="51">
        <v>0</v>
      </c>
      <c r="CQ38" s="51">
        <v>0</v>
      </c>
      <c r="CR38" s="51">
        <v>0</v>
      </c>
      <c r="CS38" s="6">
        <f>SUM(CO38:CR38)</f>
        <v>0</v>
      </c>
      <c r="CU38" s="53">
        <v>0</v>
      </c>
      <c r="CV38" s="51">
        <v>0</v>
      </c>
      <c r="CW38" s="51">
        <v>0</v>
      </c>
      <c r="CX38" s="51">
        <v>0</v>
      </c>
      <c r="CY38" s="6">
        <f>SUM(CU38:CX38)</f>
        <v>0</v>
      </c>
    </row>
    <row r="39" spans="1:103" ht="11.25" customHeight="1" x14ac:dyDescent="0.2">
      <c r="A39" s="809" t="s">
        <v>15</v>
      </c>
      <c r="B39" s="240"/>
      <c r="C39" s="22"/>
      <c r="D39" s="379"/>
      <c r="E39" s="379"/>
      <c r="F39" s="379"/>
      <c r="G39" s="157"/>
      <c r="H39" s="240"/>
      <c r="I39" s="22"/>
      <c r="J39" s="379"/>
      <c r="K39" s="379"/>
      <c r="L39" s="379"/>
      <c r="M39" s="157"/>
      <c r="N39" s="240"/>
      <c r="O39" s="22"/>
      <c r="P39" s="379"/>
      <c r="Q39" s="379"/>
      <c r="R39" s="379"/>
      <c r="S39" s="157"/>
      <c r="T39" s="240"/>
      <c r="U39" s="22"/>
      <c r="V39" s="379"/>
      <c r="W39" s="379"/>
      <c r="X39" s="379"/>
      <c r="Y39" s="157"/>
      <c r="Z39" s="240"/>
      <c r="AA39" s="22"/>
      <c r="AB39" s="379"/>
      <c r="AC39" s="379"/>
      <c r="AD39" s="379"/>
      <c r="AE39" s="157"/>
      <c r="AF39" s="240"/>
      <c r="AG39" s="22"/>
      <c r="AH39" s="379"/>
      <c r="AI39" s="379"/>
      <c r="AJ39" s="379"/>
      <c r="AK39" s="157"/>
      <c r="AL39" s="240"/>
      <c r="AM39" s="22"/>
      <c r="AN39" s="379"/>
      <c r="AO39" s="379"/>
      <c r="AP39" s="379"/>
      <c r="AQ39" s="157"/>
      <c r="AR39" s="240"/>
      <c r="AS39" s="22"/>
      <c r="AT39" s="379"/>
      <c r="AU39" s="379"/>
      <c r="AV39" s="379"/>
      <c r="AW39" s="157"/>
      <c r="AX39" s="240"/>
      <c r="AY39" s="22"/>
      <c r="AZ39" s="379"/>
      <c r="BA39" s="379"/>
      <c r="BB39" s="379">
        <f>(BB37*BB36)/4</f>
        <v>2.8125</v>
      </c>
      <c r="BC39" s="157">
        <f>SUM(AY39:BB39)</f>
        <v>2.8125</v>
      </c>
      <c r="BD39" s="240"/>
      <c r="BE39" s="22">
        <f>(BE37*BE36)/4</f>
        <v>2.8125</v>
      </c>
      <c r="BF39" s="379">
        <f>(BF37*BF36)/4</f>
        <v>2.8125</v>
      </c>
      <c r="BG39" s="379">
        <f>(BG37*BG36)/4</f>
        <v>2.8125</v>
      </c>
      <c r="BH39" s="379">
        <f>(BH37*BH36)/4</f>
        <v>2.8125</v>
      </c>
      <c r="BI39" s="157">
        <f>SUM(BE39:BH39)</f>
        <v>11.25</v>
      </c>
      <c r="BJ39" s="240"/>
      <c r="BK39" s="22">
        <f>(BK37*BK36)/4</f>
        <v>2.8125</v>
      </c>
      <c r="BL39" s="379">
        <f>(BL37*BL36)/4</f>
        <v>2.8125</v>
      </c>
      <c r="BM39" s="379">
        <f>(BM37*BM36)/4</f>
        <v>2.8090124999999997</v>
      </c>
      <c r="BN39" s="379">
        <f>(BN37*BN36)/4</f>
        <v>2.8373250000000003</v>
      </c>
      <c r="BO39" s="157">
        <f>SUM(BK39:BN39)</f>
        <v>11.2713375</v>
      </c>
      <c r="BP39" s="20"/>
      <c r="BQ39" s="22">
        <f>(BQ37*BQ36)/4</f>
        <v>2.8597781250000001</v>
      </c>
      <c r="BR39" s="379">
        <f>(BR37*BR36)/4</f>
        <v>2.831240625</v>
      </c>
      <c r="BS39" s="379">
        <f>(BS37*BS36)/4</f>
        <v>2.8691624999999998</v>
      </c>
      <c r="BT39" s="379">
        <f>(BT37*BT36)/4</f>
        <v>2.849915625</v>
      </c>
      <c r="BU39" s="157">
        <f>SUM(BQ39:BT39)</f>
        <v>11.410096874999999</v>
      </c>
      <c r="BW39" s="22">
        <f>(BW37*BW36)/4</f>
        <v>2.8830374999999999</v>
      </c>
      <c r="BX39" s="379">
        <f>(BX37*BX36)/4</f>
        <v>2.8986843749999998</v>
      </c>
      <c r="BY39" s="379">
        <f>(BY37*BY36)/4</f>
        <v>2.8845281249999997</v>
      </c>
      <c r="BZ39" s="379">
        <f>(BZ37*BZ36)/4</f>
        <v>2.827509375</v>
      </c>
      <c r="CA39" s="157">
        <f>SUM(BW39:BZ39)</f>
        <v>11.493759375</v>
      </c>
      <c r="CC39" s="22">
        <f>(CC37*CC36)/4</f>
        <v>2.8238343750000001</v>
      </c>
      <c r="CD39" s="379">
        <f>(CD37*CD36)/4</f>
        <v>2.83051875</v>
      </c>
      <c r="CE39" s="379">
        <f>(CE37*CE36)/4</f>
        <v>2.8276125000000003</v>
      </c>
      <c r="CF39" s="379">
        <f>(CF37*CF36)/4</f>
        <v>2.8150875000000002</v>
      </c>
      <c r="CG39" s="157">
        <f>SUM(CC39:CF39)</f>
        <v>11.297053125000001</v>
      </c>
      <c r="CI39" s="22">
        <f>(CI37*CI36)/4</f>
        <v>2.8150875000000002</v>
      </c>
      <c r="CJ39" s="379">
        <f>(CJ37*CJ36)/4</f>
        <v>2.8150875000000002</v>
      </c>
      <c r="CK39" s="379">
        <f>(CK37*CK36)/4</f>
        <v>2.8150875000000002</v>
      </c>
      <c r="CL39" s="379">
        <f>(CL37*CL36)/4</f>
        <v>2.8150875000000002</v>
      </c>
      <c r="CM39" s="157">
        <f>SUM(CI39:CL39)</f>
        <v>11.260350000000001</v>
      </c>
      <c r="CO39" s="22">
        <f>(CO37*CO36)/4</f>
        <v>2.8150875000000002</v>
      </c>
      <c r="CP39" s="379">
        <f>(CP37*CP36)/4</f>
        <v>2.8150875000000002</v>
      </c>
      <c r="CQ39" s="379">
        <f>(CQ37*CQ36)/4</f>
        <v>2.8150875000000002</v>
      </c>
      <c r="CR39" s="379">
        <f>(CR37*CR36)/4</f>
        <v>2.8150875000000002</v>
      </c>
      <c r="CS39" s="157">
        <f>SUM(CO39:CR39)</f>
        <v>11.260350000000001</v>
      </c>
      <c r="CU39" s="22">
        <f>(CU37*CU36)/4</f>
        <v>2.8150875000000002</v>
      </c>
      <c r="CV39" s="379">
        <f>(CV37*CV36)/4</f>
        <v>2.8150875000000002</v>
      </c>
      <c r="CW39" s="379">
        <f>(CW37*CW36)/4</f>
        <v>2.8150875000000002</v>
      </c>
      <c r="CX39" s="379">
        <f>(CX37*CX36)/4</f>
        <v>2.8150875000000002</v>
      </c>
      <c r="CY39" s="157">
        <f>SUM(CU39:CX39)</f>
        <v>11.260350000000001</v>
      </c>
    </row>
    <row r="40" spans="1:103" ht="11.25" customHeight="1" x14ac:dyDescent="0.2">
      <c r="A40" s="812" t="s">
        <v>644</v>
      </c>
      <c r="B40" s="40"/>
      <c r="C40" s="797"/>
      <c r="D40" s="798"/>
      <c r="E40" s="798"/>
      <c r="F40" s="281"/>
      <c r="G40" s="420"/>
      <c r="H40" s="40"/>
      <c r="I40" s="797"/>
      <c r="J40" s="798"/>
      <c r="K40" s="798"/>
      <c r="L40" s="281"/>
      <c r="M40" s="420"/>
      <c r="N40" s="40"/>
      <c r="O40" s="797"/>
      <c r="P40" s="798"/>
      <c r="Q40" s="798"/>
      <c r="R40" s="281"/>
      <c r="S40" s="420"/>
      <c r="T40" s="40"/>
      <c r="U40" s="797"/>
      <c r="V40" s="798"/>
      <c r="W40" s="798"/>
      <c r="X40" s="798"/>
      <c r="Y40" s="420"/>
      <c r="Z40" s="40"/>
      <c r="AA40" s="797"/>
      <c r="AB40" s="798"/>
      <c r="AC40" s="798"/>
      <c r="AD40" s="798"/>
      <c r="AE40" s="327"/>
      <c r="AF40" s="40"/>
      <c r="AG40" s="797"/>
      <c r="AH40" s="798"/>
      <c r="AI40" s="798"/>
      <c r="AJ40" s="798"/>
      <c r="AK40" s="6"/>
      <c r="AL40" s="40"/>
      <c r="AM40" s="797"/>
      <c r="AN40" s="798"/>
      <c r="AO40" s="798"/>
      <c r="AP40" s="798"/>
      <c r="AQ40" s="327"/>
      <c r="AR40" s="40"/>
      <c r="AS40" s="797"/>
      <c r="AT40" s="798"/>
      <c r="AU40" s="798"/>
      <c r="AV40" s="798"/>
      <c r="AW40" s="327"/>
      <c r="AX40" s="40"/>
      <c r="AY40" s="797"/>
      <c r="AZ40" s="798"/>
      <c r="BA40" s="798"/>
      <c r="BB40" s="798">
        <v>27</v>
      </c>
      <c r="BC40" s="327">
        <f>BB40</f>
        <v>27</v>
      </c>
      <c r="BD40" s="40"/>
      <c r="BE40" s="797">
        <v>27</v>
      </c>
      <c r="BF40" s="798">
        <v>27</v>
      </c>
      <c r="BG40" s="798">
        <v>27</v>
      </c>
      <c r="BH40" s="798">
        <v>27</v>
      </c>
      <c r="BI40" s="327">
        <f>BH40</f>
        <v>27</v>
      </c>
      <c r="BJ40" s="40"/>
      <c r="BK40" s="797">
        <v>27</v>
      </c>
      <c r="BL40" s="798">
        <v>27</v>
      </c>
      <c r="BM40" s="798">
        <v>27</v>
      </c>
      <c r="BN40" s="798">
        <v>27</v>
      </c>
      <c r="BO40" s="327">
        <f>BN40</f>
        <v>27</v>
      </c>
      <c r="BP40" s="20"/>
      <c r="BQ40" s="797">
        <v>27</v>
      </c>
      <c r="BR40" s="798">
        <v>27</v>
      </c>
      <c r="BS40" s="798">
        <v>27</v>
      </c>
      <c r="BT40" s="798">
        <v>27</v>
      </c>
      <c r="BU40" s="327">
        <f>BT40</f>
        <v>27</v>
      </c>
      <c r="BW40" s="797">
        <v>26.901</v>
      </c>
      <c r="BX40" s="798">
        <v>26.904</v>
      </c>
      <c r="BY40" s="798">
        <v>26.907</v>
      </c>
      <c r="BZ40" s="798">
        <v>26.91</v>
      </c>
      <c r="CA40" s="327">
        <f>BZ40</f>
        <v>26.91</v>
      </c>
      <c r="CC40" s="797">
        <v>26.913</v>
      </c>
      <c r="CD40" s="798">
        <v>26.916</v>
      </c>
      <c r="CE40" s="798">
        <v>26.919</v>
      </c>
      <c r="CF40" s="798">
        <v>26.920999999999999</v>
      </c>
      <c r="CG40" s="327">
        <f>CF40</f>
        <v>26.920999999999999</v>
      </c>
      <c r="CI40" s="412">
        <f>CG40-CI42</f>
        <v>26.920999999999999</v>
      </c>
      <c r="CJ40" s="281">
        <f>CI40-CJ42</f>
        <v>26.920999999999999</v>
      </c>
      <c r="CK40" s="281">
        <f>CJ40-CK42</f>
        <v>26.920999999999999</v>
      </c>
      <c r="CL40" s="281">
        <f>CK40-CL42</f>
        <v>26.920999999999999</v>
      </c>
      <c r="CM40" s="327">
        <f>CL40</f>
        <v>26.920999999999999</v>
      </c>
      <c r="CO40" s="412">
        <f>CM40-CO42</f>
        <v>26.920999999999999</v>
      </c>
      <c r="CP40" s="281">
        <f>CO40-CP42</f>
        <v>26.920999999999999</v>
      </c>
      <c r="CQ40" s="281">
        <f>CP40-CQ42</f>
        <v>26.920999999999999</v>
      </c>
      <c r="CR40" s="281">
        <f>CQ40-CR42</f>
        <v>26.920999999999999</v>
      </c>
      <c r="CS40" s="327">
        <f>CR40</f>
        <v>26.920999999999999</v>
      </c>
      <c r="CU40" s="412">
        <f>CS40-CU42</f>
        <v>26.920999999999999</v>
      </c>
      <c r="CV40" s="281">
        <f>CU40-CV42</f>
        <v>26.920999999999999</v>
      </c>
      <c r="CW40" s="281">
        <f>CV40-CW42</f>
        <v>26.920999999999999</v>
      </c>
      <c r="CX40" s="281">
        <f>CW40-CX42</f>
        <v>26.920999999999999</v>
      </c>
      <c r="CY40" s="327">
        <f>CX40</f>
        <v>26.920999999999999</v>
      </c>
    </row>
    <row r="41" spans="1:103" ht="11.25" customHeight="1" x14ac:dyDescent="0.2">
      <c r="A41" s="813" t="s">
        <v>106</v>
      </c>
      <c r="B41" s="211"/>
      <c r="C41" s="814"/>
      <c r="D41" s="801"/>
      <c r="E41" s="801"/>
      <c r="F41" s="211"/>
      <c r="G41" s="383"/>
      <c r="H41" s="211"/>
      <c r="I41" s="814"/>
      <c r="J41" s="801"/>
      <c r="K41" s="801"/>
      <c r="L41" s="211"/>
      <c r="M41" s="383"/>
      <c r="N41" s="211"/>
      <c r="O41" s="814"/>
      <c r="P41" s="801"/>
      <c r="Q41" s="801"/>
      <c r="R41" s="211"/>
      <c r="S41" s="383"/>
      <c r="T41" s="211"/>
      <c r="U41" s="814"/>
      <c r="V41" s="801"/>
      <c r="W41" s="801"/>
      <c r="X41" s="801"/>
      <c r="Y41" s="383"/>
      <c r="Z41" s="211"/>
      <c r="AA41" s="814"/>
      <c r="AB41" s="801"/>
      <c r="AC41" s="801"/>
      <c r="AD41" s="801"/>
      <c r="AE41" s="204"/>
      <c r="AF41" s="211"/>
      <c r="AG41" s="814"/>
      <c r="AH41" s="801"/>
      <c r="AI41" s="815"/>
      <c r="AJ41" s="815"/>
      <c r="AK41" s="802"/>
      <c r="AL41" s="211"/>
      <c r="AM41" s="816"/>
      <c r="AN41" s="815"/>
      <c r="AO41" s="815"/>
      <c r="AP41" s="815"/>
      <c r="AQ41" s="315"/>
      <c r="AR41" s="211"/>
      <c r="AS41" s="816"/>
      <c r="AT41" s="815"/>
      <c r="AU41" s="815"/>
      <c r="AV41" s="815"/>
      <c r="AW41" s="315"/>
      <c r="AX41" s="211"/>
      <c r="AY41" s="816"/>
      <c r="AZ41" s="815"/>
      <c r="BA41" s="815"/>
      <c r="BB41" s="815">
        <v>3.9E-2</v>
      </c>
      <c r="BC41" s="315">
        <f>BB41</f>
        <v>3.9E-2</v>
      </c>
      <c r="BD41" s="211"/>
      <c r="BE41" s="816">
        <v>3.9E-2</v>
      </c>
      <c r="BF41" s="815">
        <v>3.9E-2</v>
      </c>
      <c r="BG41" s="815">
        <v>3.9E-2</v>
      </c>
      <c r="BH41" s="815">
        <v>3.9E-2</v>
      </c>
      <c r="BI41" s="315">
        <f>BC41</f>
        <v>3.9E-2</v>
      </c>
      <c r="BJ41" s="211"/>
      <c r="BK41" s="816">
        <v>3.9E-2</v>
      </c>
      <c r="BL41" s="815">
        <v>3.9E-2</v>
      </c>
      <c r="BM41" s="815">
        <v>3.9E-2</v>
      </c>
      <c r="BN41" s="815">
        <v>3.9E-2</v>
      </c>
      <c r="BO41" s="315">
        <f>BI41</f>
        <v>3.9E-2</v>
      </c>
      <c r="BP41" s="807"/>
      <c r="BQ41" s="816">
        <v>3.9E-2</v>
      </c>
      <c r="BR41" s="815">
        <f>BU41</f>
        <v>3.9E-2</v>
      </c>
      <c r="BS41" s="815">
        <f>BU41</f>
        <v>3.9E-2</v>
      </c>
      <c r="BT41" s="1069">
        <f>BU41</f>
        <v>3.9E-2</v>
      </c>
      <c r="BU41" s="315">
        <f>BO41</f>
        <v>3.9E-2</v>
      </c>
      <c r="BW41" s="816">
        <f>CA41</f>
        <v>3.9E-2</v>
      </c>
      <c r="BX41" s="815">
        <f>CA41</f>
        <v>3.9E-2</v>
      </c>
      <c r="BY41" s="815">
        <f>CA41</f>
        <v>3.9E-2</v>
      </c>
      <c r="BZ41" s="1069">
        <f>CA41</f>
        <v>3.9E-2</v>
      </c>
      <c r="CA41" s="315">
        <f>BU41</f>
        <v>3.9E-2</v>
      </c>
      <c r="CC41" s="313">
        <f>CG41</f>
        <v>3.9E-2</v>
      </c>
      <c r="CD41" s="314">
        <f>CG41</f>
        <v>3.9E-2</v>
      </c>
      <c r="CE41" s="314">
        <f>CG41</f>
        <v>3.9E-2</v>
      </c>
      <c r="CF41" s="314">
        <f>CG41</f>
        <v>3.9E-2</v>
      </c>
      <c r="CG41" s="315">
        <f>CA41</f>
        <v>3.9E-2</v>
      </c>
      <c r="CI41" s="313">
        <f>CM41</f>
        <v>3.9E-2</v>
      </c>
      <c r="CJ41" s="314">
        <f>CM41</f>
        <v>3.9E-2</v>
      </c>
      <c r="CK41" s="314">
        <f>CM41</f>
        <v>3.9E-2</v>
      </c>
      <c r="CL41" s="314">
        <f>CM41</f>
        <v>3.9E-2</v>
      </c>
      <c r="CM41" s="315">
        <f>CG41</f>
        <v>3.9E-2</v>
      </c>
      <c r="CO41" s="313">
        <f>CS41</f>
        <v>3.9E-2</v>
      </c>
      <c r="CP41" s="314">
        <f>CS41</f>
        <v>3.9E-2</v>
      </c>
      <c r="CQ41" s="314">
        <f>CS41</f>
        <v>3.9E-2</v>
      </c>
      <c r="CR41" s="314">
        <f>CS41</f>
        <v>3.9E-2</v>
      </c>
      <c r="CS41" s="315">
        <f>CM41</f>
        <v>3.9E-2</v>
      </c>
      <c r="CU41" s="313">
        <f>CY41</f>
        <v>3.9E-2</v>
      </c>
      <c r="CV41" s="314">
        <f>CY41</f>
        <v>3.9E-2</v>
      </c>
      <c r="CW41" s="314">
        <f>CY41</f>
        <v>3.9E-2</v>
      </c>
      <c r="CX41" s="314">
        <f>CY41</f>
        <v>3.9E-2</v>
      </c>
      <c r="CY41" s="315">
        <f>CS41</f>
        <v>3.9E-2</v>
      </c>
    </row>
    <row r="42" spans="1:103" ht="11.25" customHeight="1" x14ac:dyDescent="0.2">
      <c r="A42" s="808" t="s">
        <v>107</v>
      </c>
      <c r="B42" s="39"/>
      <c r="C42" s="19"/>
      <c r="D42" s="20"/>
      <c r="E42" s="20"/>
      <c r="F42" s="20"/>
      <c r="G42" s="6"/>
      <c r="H42" s="39"/>
      <c r="I42" s="19"/>
      <c r="J42" s="20"/>
      <c r="K42" s="20"/>
      <c r="L42" s="20"/>
      <c r="M42" s="6"/>
      <c r="N42" s="39"/>
      <c r="O42" s="19"/>
      <c r="P42" s="20"/>
      <c r="Q42" s="20"/>
      <c r="R42" s="20"/>
      <c r="S42" s="6"/>
      <c r="T42" s="39"/>
      <c r="U42" s="19"/>
      <c r="V42" s="20"/>
      <c r="W42" s="20"/>
      <c r="X42" s="20"/>
      <c r="Y42" s="6"/>
      <c r="Z42" s="39"/>
      <c r="AA42" s="19"/>
      <c r="AB42" s="20"/>
      <c r="AC42" s="20"/>
      <c r="AD42" s="20"/>
      <c r="AE42" s="6"/>
      <c r="AF42" s="39"/>
      <c r="AG42" s="19"/>
      <c r="AH42" s="20"/>
      <c r="AI42" s="20"/>
      <c r="AJ42" s="20"/>
      <c r="AK42" s="6"/>
      <c r="AL42" s="39"/>
      <c r="AM42" s="19"/>
      <c r="AN42" s="20"/>
      <c r="AO42" s="20"/>
      <c r="AP42" s="20"/>
      <c r="AQ42" s="6"/>
      <c r="AR42" s="39"/>
      <c r="AS42" s="19"/>
      <c r="AT42" s="20"/>
      <c r="AU42" s="20"/>
      <c r="AV42" s="20"/>
      <c r="AW42" s="6"/>
      <c r="AX42" s="39"/>
      <c r="AY42" s="19"/>
      <c r="AZ42" s="20"/>
      <c r="BA42" s="20"/>
      <c r="BB42" s="51">
        <v>0</v>
      </c>
      <c r="BC42" s="6">
        <f>SUM(AY42:BB42)</f>
        <v>0</v>
      </c>
      <c r="BD42" s="39"/>
      <c r="BE42" s="19">
        <f>BB40-BE40</f>
        <v>0</v>
      </c>
      <c r="BF42" s="20">
        <f>BF40-BE40</f>
        <v>0</v>
      </c>
      <c r="BG42" s="20">
        <f>BG40-BF40</f>
        <v>0</v>
      </c>
      <c r="BH42" s="20">
        <f>BH40-BG40</f>
        <v>0</v>
      </c>
      <c r="BI42" s="6">
        <f>SUM(BE42:BH42)</f>
        <v>0</v>
      </c>
      <c r="BJ42" s="39"/>
      <c r="BK42" s="19">
        <f>BH40-BK40</f>
        <v>0</v>
      </c>
      <c r="BL42" s="20">
        <f>BL40-BK40</f>
        <v>0</v>
      </c>
      <c r="BM42" s="20">
        <f>BM40-BL40</f>
        <v>0</v>
      </c>
      <c r="BN42" s="20">
        <f>BN40-BM40</f>
        <v>0</v>
      </c>
      <c r="BO42" s="6">
        <f>SUM(BK42:BN42)</f>
        <v>0</v>
      </c>
      <c r="BP42" s="20"/>
      <c r="BQ42" s="19">
        <f>+BQ40-BN40</f>
        <v>0</v>
      </c>
      <c r="BR42" s="20">
        <f>BR40-BQ40</f>
        <v>0</v>
      </c>
      <c r="BS42" s="20">
        <f>BS40-BR40</f>
        <v>0</v>
      </c>
      <c r="BT42" s="20">
        <f>BT40-BS40</f>
        <v>0</v>
      </c>
      <c r="BU42" s="6">
        <f>SUM(BQ42:BT42)</f>
        <v>0</v>
      </c>
      <c r="BW42" s="19">
        <f>+BW40-BT40</f>
        <v>-9.9000000000000199E-2</v>
      </c>
      <c r="BX42" s="20">
        <f>BX40-BW40</f>
        <v>3.0000000000001137E-3</v>
      </c>
      <c r="BY42" s="20">
        <f>BY40-BX40</f>
        <v>3.0000000000001137E-3</v>
      </c>
      <c r="BZ42" s="20">
        <f>BZ40-BY40</f>
        <v>3.0000000000001137E-3</v>
      </c>
      <c r="CA42" s="6">
        <f>SUM(BW42:BZ42)</f>
        <v>-8.9999999999999858E-2</v>
      </c>
      <c r="CC42" s="19">
        <f>+CC40-BZ40</f>
        <v>3.0000000000001137E-3</v>
      </c>
      <c r="CD42" s="20">
        <f>CD40-CC40</f>
        <v>3.0000000000001137E-3</v>
      </c>
      <c r="CE42" s="20">
        <f>CE40-CD40</f>
        <v>3.0000000000001137E-3</v>
      </c>
      <c r="CF42" s="20">
        <f>CF40-CE40</f>
        <v>1.9999999999988916E-3</v>
      </c>
      <c r="CG42" s="6">
        <f>SUM(CC42:CF42)</f>
        <v>1.0999999999999233E-2</v>
      </c>
      <c r="CI42" s="53">
        <v>0</v>
      </c>
      <c r="CJ42" s="51">
        <v>0</v>
      </c>
      <c r="CK42" s="51">
        <v>0</v>
      </c>
      <c r="CL42" s="51">
        <v>0</v>
      </c>
      <c r="CM42" s="6">
        <f>SUM(CI42:CL42)</f>
        <v>0</v>
      </c>
      <c r="CO42" s="53">
        <v>0</v>
      </c>
      <c r="CP42" s="51">
        <v>0</v>
      </c>
      <c r="CQ42" s="51">
        <v>0</v>
      </c>
      <c r="CR42" s="51">
        <v>0</v>
      </c>
      <c r="CS42" s="6">
        <f>SUM(CO42:CR42)</f>
        <v>0</v>
      </c>
      <c r="CU42" s="53">
        <v>0</v>
      </c>
      <c r="CV42" s="51">
        <v>0</v>
      </c>
      <c r="CW42" s="51">
        <v>0</v>
      </c>
      <c r="CX42" s="51">
        <v>0</v>
      </c>
      <c r="CY42" s="6">
        <f>SUM(CU42:CX42)</f>
        <v>0</v>
      </c>
    </row>
    <row r="43" spans="1:103" ht="11.25" customHeight="1" x14ac:dyDescent="0.2">
      <c r="A43" s="809" t="s">
        <v>15</v>
      </c>
      <c r="B43" s="240"/>
      <c r="C43" s="22"/>
      <c r="D43" s="379"/>
      <c r="E43" s="379"/>
      <c r="F43" s="379"/>
      <c r="G43" s="157"/>
      <c r="H43" s="240"/>
      <c r="I43" s="22"/>
      <c r="J43" s="379"/>
      <c r="K43" s="379"/>
      <c r="L43" s="379"/>
      <c r="M43" s="157"/>
      <c r="N43" s="240"/>
      <c r="O43" s="22"/>
      <c r="P43" s="379"/>
      <c r="Q43" s="379"/>
      <c r="R43" s="379"/>
      <c r="S43" s="157"/>
      <c r="T43" s="240"/>
      <c r="U43" s="22"/>
      <c r="V43" s="379"/>
      <c r="W43" s="379"/>
      <c r="X43" s="379"/>
      <c r="Y43" s="157"/>
      <c r="Z43" s="240"/>
      <c r="AA43" s="22"/>
      <c r="AB43" s="379"/>
      <c r="AC43" s="379"/>
      <c r="AD43" s="379"/>
      <c r="AE43" s="157"/>
      <c r="AF43" s="240"/>
      <c r="AG43" s="22"/>
      <c r="AH43" s="379"/>
      <c r="AI43" s="379"/>
      <c r="AJ43" s="379"/>
      <c r="AK43" s="157"/>
      <c r="AL43" s="240"/>
      <c r="AM43" s="22"/>
      <c r="AN43" s="379"/>
      <c r="AO43" s="379"/>
      <c r="AP43" s="379"/>
      <c r="AQ43" s="157"/>
      <c r="AR43" s="240"/>
      <c r="AS43" s="22"/>
      <c r="AT43" s="379"/>
      <c r="AU43" s="379"/>
      <c r="AV43" s="379"/>
      <c r="AW43" s="157"/>
      <c r="AX43" s="240"/>
      <c r="AY43" s="22"/>
      <c r="AZ43" s="379"/>
      <c r="BA43" s="379"/>
      <c r="BB43" s="379">
        <f>(BB41*BB40)/4</f>
        <v>0.26324999999999998</v>
      </c>
      <c r="BC43" s="157">
        <f>SUM(AY43:BB43)</f>
        <v>0.26324999999999998</v>
      </c>
      <c r="BD43" s="240"/>
      <c r="BE43" s="22">
        <f>(BE41*BE40)/4</f>
        <v>0.26324999999999998</v>
      </c>
      <c r="BF43" s="379">
        <f>(BF41*BF40)/4</f>
        <v>0.26324999999999998</v>
      </c>
      <c r="BG43" s="379">
        <f>(BG41*BG40)/4</f>
        <v>0.26324999999999998</v>
      </c>
      <c r="BH43" s="379">
        <f>(BH41*BH40)/4</f>
        <v>0.26324999999999998</v>
      </c>
      <c r="BI43" s="157">
        <f>SUM(BE43:BH43)</f>
        <v>1.0529999999999999</v>
      </c>
      <c r="BJ43" s="240"/>
      <c r="BK43" s="22">
        <f>(BK41*BK40)/4</f>
        <v>0.26324999999999998</v>
      </c>
      <c r="BL43" s="379">
        <f>(BL41*BL40)/4</f>
        <v>0.26324999999999998</v>
      </c>
      <c r="BM43" s="379">
        <f>(BM41*BM40)/4</f>
        <v>0.26324999999999998</v>
      </c>
      <c r="BN43" s="379">
        <f>(BN41*BN40)/4</f>
        <v>0.26324999999999998</v>
      </c>
      <c r="BO43" s="157">
        <f>SUM(BK43:BN43)</f>
        <v>1.0529999999999999</v>
      </c>
      <c r="BP43" s="20"/>
      <c r="BQ43" s="22">
        <f>(BQ41*BQ40)/4</f>
        <v>0.26324999999999998</v>
      </c>
      <c r="BR43" s="379">
        <f>(BR41*BR40)/4</f>
        <v>0.26324999999999998</v>
      </c>
      <c r="BS43" s="379">
        <f>(BS41*BS40)/4</f>
        <v>0.26324999999999998</v>
      </c>
      <c r="BT43" s="379">
        <f>(BT41*BT40)/4</f>
        <v>0.26324999999999998</v>
      </c>
      <c r="BU43" s="157">
        <f>SUM(BQ43:BT43)</f>
        <v>1.0529999999999999</v>
      </c>
      <c r="BW43" s="22">
        <f>(BW41*BW40)/4</f>
        <v>0.26228475000000001</v>
      </c>
      <c r="BX43" s="379">
        <f>(BX41*BX40)/4</f>
        <v>0.26231399999999999</v>
      </c>
      <c r="BY43" s="379">
        <f>(BY41*BY40)/4</f>
        <v>0.26234324999999997</v>
      </c>
      <c r="BZ43" s="379">
        <f>(BZ41*BZ40)/4</f>
        <v>0.26237250000000001</v>
      </c>
      <c r="CA43" s="157">
        <f>SUM(BW43:BZ43)</f>
        <v>1.0493144999999999</v>
      </c>
      <c r="CC43" s="22">
        <f>(CC41*CC40)/4</f>
        <v>0.26240174999999999</v>
      </c>
      <c r="CD43" s="379">
        <f>(CD41*CD40)/4</f>
        <v>0.26243100000000003</v>
      </c>
      <c r="CE43" s="379">
        <f>(CE41*CE40)/4</f>
        <v>0.26246025000000001</v>
      </c>
      <c r="CF43" s="379">
        <f>(CF41*CF40)/4</f>
        <v>0.26247975000000001</v>
      </c>
      <c r="CG43" s="157">
        <f>SUM(CC43:CF43)</f>
        <v>1.04977275</v>
      </c>
      <c r="CI43" s="22">
        <f>(CI41*CI40)/4</f>
        <v>0.26247975000000001</v>
      </c>
      <c r="CJ43" s="379">
        <f>(CJ41*CJ40)/4</f>
        <v>0.26247975000000001</v>
      </c>
      <c r="CK43" s="379">
        <f>(CK41*CK40)/4</f>
        <v>0.26247975000000001</v>
      </c>
      <c r="CL43" s="379">
        <f>(CL41*CL40)/4</f>
        <v>0.26247975000000001</v>
      </c>
      <c r="CM43" s="157">
        <f>SUM(CI43:CL43)</f>
        <v>1.049919</v>
      </c>
      <c r="CO43" s="22">
        <f>(CO41*CO40)/4</f>
        <v>0.26247975000000001</v>
      </c>
      <c r="CP43" s="379">
        <f>(CP41*CP40)/4</f>
        <v>0.26247975000000001</v>
      </c>
      <c r="CQ43" s="379">
        <f>(CQ41*CQ40)/4</f>
        <v>0.26247975000000001</v>
      </c>
      <c r="CR43" s="379">
        <f>(CR41*CR40)/4</f>
        <v>0.26247975000000001</v>
      </c>
      <c r="CS43" s="157">
        <f>SUM(CO43:CR43)</f>
        <v>1.049919</v>
      </c>
      <c r="CU43" s="22">
        <f>(CU41*CU40)/4</f>
        <v>0.26247975000000001</v>
      </c>
      <c r="CV43" s="379">
        <f>(CV41*CV40)/4</f>
        <v>0.26247975000000001</v>
      </c>
      <c r="CW43" s="379">
        <f>(CW41*CW40)/4</f>
        <v>0.26247975000000001</v>
      </c>
      <c r="CX43" s="379">
        <f>(CX41*CX40)/4</f>
        <v>0.26247975000000001</v>
      </c>
      <c r="CY43" s="157">
        <f>SUM(CU43:CX43)</f>
        <v>1.049919</v>
      </c>
    </row>
    <row r="44" spans="1:103" ht="11.25" customHeight="1" x14ac:dyDescent="0.2">
      <c r="A44" s="812" t="s">
        <v>181</v>
      </c>
      <c r="B44" s="40"/>
      <c r="C44" s="797"/>
      <c r="D44" s="798"/>
      <c r="E44" s="798"/>
      <c r="F44" s="281"/>
      <c r="G44" s="420"/>
      <c r="H44" s="40"/>
      <c r="I44" s="797"/>
      <c r="J44" s="798"/>
      <c r="K44" s="798"/>
      <c r="L44" s="281"/>
      <c r="M44" s="420"/>
      <c r="N44" s="40"/>
      <c r="O44" s="797"/>
      <c r="P44" s="798"/>
      <c r="Q44" s="798"/>
      <c r="R44" s="281"/>
      <c r="S44" s="420"/>
      <c r="T44" s="40"/>
      <c r="U44" s="797"/>
      <c r="V44" s="798"/>
      <c r="W44" s="798"/>
      <c r="X44" s="798"/>
      <c r="Y44" s="420"/>
      <c r="Z44" s="40"/>
      <c r="AA44" s="797"/>
      <c r="AB44" s="798"/>
      <c r="AC44" s="798"/>
      <c r="AD44" s="798"/>
      <c r="AE44" s="327"/>
      <c r="AF44" s="40"/>
      <c r="AG44" s="797"/>
      <c r="AH44" s="798"/>
      <c r="AI44" s="798"/>
      <c r="AJ44" s="798"/>
      <c r="AK44" s="6"/>
      <c r="AL44" s="40"/>
      <c r="AM44" s="797"/>
      <c r="AN44" s="798"/>
      <c r="AO44" s="798"/>
      <c r="AP44" s="798"/>
      <c r="AQ44" s="327"/>
      <c r="AR44" s="40"/>
      <c r="AS44" s="797"/>
      <c r="AT44" s="798"/>
      <c r="AU44" s="798"/>
      <c r="AV44" s="798"/>
      <c r="AW44" s="327"/>
      <c r="AX44" s="40"/>
      <c r="AY44" s="797"/>
      <c r="AZ44" s="798"/>
      <c r="BA44" s="798"/>
      <c r="BB44" s="798"/>
      <c r="BC44" s="327"/>
      <c r="BD44" s="40"/>
      <c r="BE44" s="797"/>
      <c r="BF44" s="798"/>
      <c r="BG44" s="798"/>
      <c r="BH44" s="798"/>
      <c r="BI44" s="327"/>
      <c r="BJ44" s="40"/>
      <c r="BK44" s="797">
        <v>379.12200000000001</v>
      </c>
      <c r="BL44" s="1068">
        <v>381.50700000000001</v>
      </c>
      <c r="BM44" s="1068">
        <v>383.911</v>
      </c>
      <c r="BN44" s="1068">
        <v>386.33199999999999</v>
      </c>
      <c r="BO44" s="327">
        <f>BN44</f>
        <v>386.33199999999999</v>
      </c>
      <c r="BP44" s="20"/>
      <c r="BQ44" s="797">
        <v>388.77199999999999</v>
      </c>
      <c r="BR44" s="1068">
        <v>391.22899999999998</v>
      </c>
      <c r="BS44" s="1068">
        <v>393.70499999999998</v>
      </c>
      <c r="BT44" s="1068">
        <v>396.19799999999998</v>
      </c>
      <c r="BU44" s="327">
        <f>BT44</f>
        <v>396.19799999999998</v>
      </c>
      <c r="BW44" s="797">
        <v>394.00299999999999</v>
      </c>
      <c r="BX44" s="1068">
        <v>396.916</v>
      </c>
      <c r="BY44" s="1068">
        <v>399.85</v>
      </c>
      <c r="BZ44" s="1068">
        <v>402.80599999999998</v>
      </c>
      <c r="CA44" s="327">
        <f>BZ44</f>
        <v>402.80599999999998</v>
      </c>
      <c r="CC44" s="797">
        <v>405.78300000000002</v>
      </c>
      <c r="CD44" s="1068">
        <v>408.78100000000001</v>
      </c>
      <c r="CE44" s="1068">
        <v>411.80099999999999</v>
      </c>
      <c r="CF44" s="1068">
        <v>414.84300000000002</v>
      </c>
      <c r="CG44" s="327">
        <f>CF44</f>
        <v>414.84300000000002</v>
      </c>
      <c r="CI44" s="412">
        <f>+CF44+CI46</f>
        <v>414.84300000000002</v>
      </c>
      <c r="CJ44" s="281">
        <f>+CI44+CJ46</f>
        <v>414.84300000000002</v>
      </c>
      <c r="CK44" s="281">
        <f>+CJ44+CK46</f>
        <v>414.84300000000002</v>
      </c>
      <c r="CL44" s="281">
        <f>+CK44+CL46</f>
        <v>414.84300000000002</v>
      </c>
      <c r="CM44" s="327">
        <f>CL44</f>
        <v>414.84300000000002</v>
      </c>
      <c r="CO44" s="412">
        <f>+CL44+CO46</f>
        <v>414.84300000000002</v>
      </c>
      <c r="CP44" s="281">
        <f>+CO44+CP46</f>
        <v>414.84300000000002</v>
      </c>
      <c r="CQ44" s="281">
        <f>+CP44+CQ46</f>
        <v>414.84300000000002</v>
      </c>
      <c r="CR44" s="281">
        <f>+CQ44+CR46</f>
        <v>414.84300000000002</v>
      </c>
      <c r="CS44" s="327">
        <f>CR44</f>
        <v>414.84300000000002</v>
      </c>
      <c r="CU44" s="412">
        <f>+CR44+CU46</f>
        <v>414.84300000000002</v>
      </c>
      <c r="CV44" s="281">
        <f>+CU44+CV46</f>
        <v>414.84300000000002</v>
      </c>
      <c r="CW44" s="281">
        <f>+CV44+CW46</f>
        <v>414.84300000000002</v>
      </c>
      <c r="CX44" s="281">
        <f>+CW44+CX46</f>
        <v>414.84300000000002</v>
      </c>
      <c r="CY44" s="327">
        <f>CX44</f>
        <v>414.84300000000002</v>
      </c>
    </row>
    <row r="45" spans="1:103" ht="11.25" customHeight="1" x14ac:dyDescent="0.2">
      <c r="A45" s="813" t="s">
        <v>106</v>
      </c>
      <c r="B45" s="211"/>
      <c r="C45" s="814"/>
      <c r="D45" s="801"/>
      <c r="E45" s="801"/>
      <c r="F45" s="211"/>
      <c r="G45" s="383"/>
      <c r="H45" s="211"/>
      <c r="I45" s="814"/>
      <c r="J45" s="801"/>
      <c r="K45" s="801"/>
      <c r="L45" s="211"/>
      <c r="M45" s="383"/>
      <c r="N45" s="211"/>
      <c r="O45" s="814"/>
      <c r="P45" s="801"/>
      <c r="Q45" s="801"/>
      <c r="R45" s="211"/>
      <c r="S45" s="383"/>
      <c r="T45" s="211"/>
      <c r="U45" s="814"/>
      <c r="V45" s="801"/>
      <c r="W45" s="801"/>
      <c r="X45" s="801"/>
      <c r="Y45" s="383"/>
      <c r="Z45" s="211"/>
      <c r="AA45" s="814"/>
      <c r="AB45" s="801"/>
      <c r="AC45" s="801"/>
      <c r="AD45" s="801"/>
      <c r="AE45" s="204"/>
      <c r="AF45" s="211"/>
      <c r="AG45" s="814"/>
      <c r="AH45" s="801"/>
      <c r="AI45" s="815"/>
      <c r="AJ45" s="815"/>
      <c r="AK45" s="802"/>
      <c r="AL45" s="211"/>
      <c r="AM45" s="816"/>
      <c r="AN45" s="815"/>
      <c r="AO45" s="815"/>
      <c r="AP45" s="815"/>
      <c r="AQ45" s="315"/>
      <c r="AR45" s="211"/>
      <c r="AS45" s="816"/>
      <c r="AT45" s="815"/>
      <c r="AU45" s="815"/>
      <c r="AV45" s="815"/>
      <c r="AW45" s="315"/>
      <c r="AX45" s="211"/>
      <c r="AY45" s="816"/>
      <c r="AZ45" s="815"/>
      <c r="BA45" s="815"/>
      <c r="BB45" s="815"/>
      <c r="BC45" s="315"/>
      <c r="BD45" s="211"/>
      <c r="BE45" s="816"/>
      <c r="BF45" s="815"/>
      <c r="BG45" s="815"/>
      <c r="BH45" s="815"/>
      <c r="BI45" s="315"/>
      <c r="BJ45" s="211"/>
      <c r="BK45" s="816">
        <v>3.7499999999999999E-3</v>
      </c>
      <c r="BL45" s="1069">
        <v>3.7499999999999999E-3</v>
      </c>
      <c r="BM45" s="1069">
        <v>3.7499999999999999E-3</v>
      </c>
      <c r="BN45" s="1069">
        <v>3.7499999999999999E-3</v>
      </c>
      <c r="BO45" s="315">
        <f>BK45</f>
        <v>3.7499999999999999E-3</v>
      </c>
      <c r="BP45" s="807"/>
      <c r="BQ45" s="816">
        <v>3.7499999999999999E-3</v>
      </c>
      <c r="BR45" s="1069">
        <f>BU45</f>
        <v>3.7499999999999999E-3</v>
      </c>
      <c r="BS45" s="1069">
        <f>BU45</f>
        <v>3.7499999999999999E-3</v>
      </c>
      <c r="BT45" s="1069">
        <f>BU45</f>
        <v>3.7499999999999999E-3</v>
      </c>
      <c r="BU45" s="315">
        <f>BO45</f>
        <v>3.7499999999999999E-3</v>
      </c>
      <c r="BW45" s="816">
        <f>CA45</f>
        <v>3.7499999999999999E-3</v>
      </c>
      <c r="BX45" s="1069">
        <f>CA45</f>
        <v>3.7499999999999999E-3</v>
      </c>
      <c r="BY45" s="1069">
        <f>CA45</f>
        <v>3.7499999999999999E-3</v>
      </c>
      <c r="BZ45" s="1069">
        <f>CA45</f>
        <v>3.7499999999999999E-3</v>
      </c>
      <c r="CA45" s="315">
        <f>BU45</f>
        <v>3.7499999999999999E-3</v>
      </c>
      <c r="CC45" s="313">
        <f>CG45</f>
        <v>3.7499999999999999E-3</v>
      </c>
      <c r="CD45" s="314">
        <f>CG45</f>
        <v>3.7499999999999999E-3</v>
      </c>
      <c r="CE45" s="314">
        <f>CG45</f>
        <v>3.7499999999999999E-3</v>
      </c>
      <c r="CF45" s="314">
        <f>CG45</f>
        <v>3.7499999999999999E-3</v>
      </c>
      <c r="CG45" s="315">
        <f>CA45</f>
        <v>3.7499999999999999E-3</v>
      </c>
      <c r="CI45" s="313">
        <f>CM45</f>
        <v>3.7499999999999999E-3</v>
      </c>
      <c r="CJ45" s="314">
        <f>CM45</f>
        <v>3.7499999999999999E-3</v>
      </c>
      <c r="CK45" s="314">
        <f>CM45</f>
        <v>3.7499999999999999E-3</v>
      </c>
      <c r="CL45" s="314">
        <f>CM45</f>
        <v>3.7499999999999999E-3</v>
      </c>
      <c r="CM45" s="315">
        <f>CG45</f>
        <v>3.7499999999999999E-3</v>
      </c>
      <c r="CO45" s="313">
        <f>CS45</f>
        <v>3.7499999999999999E-3</v>
      </c>
      <c r="CP45" s="314">
        <f>CS45</f>
        <v>3.7499999999999999E-3</v>
      </c>
      <c r="CQ45" s="314">
        <f>CS45</f>
        <v>3.7499999999999999E-3</v>
      </c>
      <c r="CR45" s="314">
        <f>CS45</f>
        <v>3.7499999999999999E-3</v>
      </c>
      <c r="CS45" s="315">
        <f>CM45</f>
        <v>3.7499999999999999E-3</v>
      </c>
      <c r="CU45" s="313">
        <f>CY45</f>
        <v>3.7499999999999999E-3</v>
      </c>
      <c r="CV45" s="314">
        <f>CY45</f>
        <v>3.7499999999999999E-3</v>
      </c>
      <c r="CW45" s="314">
        <f>CY45</f>
        <v>3.7499999999999999E-3</v>
      </c>
      <c r="CX45" s="314">
        <f>CY45</f>
        <v>3.7499999999999999E-3</v>
      </c>
      <c r="CY45" s="315">
        <f>CS45</f>
        <v>3.7499999999999999E-3</v>
      </c>
    </row>
    <row r="46" spans="1:103" ht="11.25" customHeight="1" x14ac:dyDescent="0.2">
      <c r="A46" s="808" t="s">
        <v>107</v>
      </c>
      <c r="B46" s="39"/>
      <c r="C46" s="19"/>
      <c r="D46" s="20"/>
      <c r="E46" s="20"/>
      <c r="F46" s="20"/>
      <c r="G46" s="6"/>
      <c r="H46" s="39"/>
      <c r="I46" s="19"/>
      <c r="J46" s="20"/>
      <c r="K46" s="20"/>
      <c r="L46" s="20"/>
      <c r="M46" s="6"/>
      <c r="N46" s="39"/>
      <c r="O46" s="19"/>
      <c r="P46" s="20"/>
      <c r="Q46" s="20"/>
      <c r="R46" s="20"/>
      <c r="S46" s="6"/>
      <c r="T46" s="39"/>
      <c r="U46" s="19"/>
      <c r="V46" s="20"/>
      <c r="W46" s="20"/>
      <c r="X46" s="20"/>
      <c r="Y46" s="6"/>
      <c r="Z46" s="39"/>
      <c r="AA46" s="19"/>
      <c r="AB46" s="20"/>
      <c r="AC46" s="20"/>
      <c r="AD46" s="20"/>
      <c r="AE46" s="6"/>
      <c r="AF46" s="39"/>
      <c r="AG46" s="19"/>
      <c r="AH46" s="20"/>
      <c r="AI46" s="20"/>
      <c r="AJ46" s="20"/>
      <c r="AK46" s="6"/>
      <c r="AL46" s="39"/>
      <c r="AM46" s="19"/>
      <c r="AN46" s="20"/>
      <c r="AO46" s="20"/>
      <c r="AP46" s="20"/>
      <c r="AQ46" s="6"/>
      <c r="AR46" s="39"/>
      <c r="AS46" s="19"/>
      <c r="AT46" s="20"/>
      <c r="AU46" s="20"/>
      <c r="AV46" s="20"/>
      <c r="AW46" s="6"/>
      <c r="AX46" s="39"/>
      <c r="AY46" s="19"/>
      <c r="AZ46" s="20"/>
      <c r="BA46" s="20"/>
      <c r="BB46" s="20"/>
      <c r="BC46" s="6"/>
      <c r="BD46" s="39"/>
      <c r="BE46" s="19"/>
      <c r="BF46" s="20"/>
      <c r="BG46" s="20"/>
      <c r="BH46" s="20"/>
      <c r="BI46" s="6"/>
      <c r="BJ46" s="39"/>
      <c r="BK46" s="19">
        <v>0</v>
      </c>
      <c r="BL46" s="20">
        <f>BL44-BK44</f>
        <v>2.3849999999999909</v>
      </c>
      <c r="BM46" s="20">
        <f>BM44-BL44</f>
        <v>2.4039999999999964</v>
      </c>
      <c r="BN46" s="20">
        <f>BN44-BM44</f>
        <v>2.4209999999999923</v>
      </c>
      <c r="BO46" s="6">
        <f>SUM(BK46:BN46)</f>
        <v>7.2099999999999795</v>
      </c>
      <c r="BP46" s="20"/>
      <c r="BQ46" s="19">
        <f>+BQ44-BN44</f>
        <v>2.4399999999999977</v>
      </c>
      <c r="BR46" s="20">
        <f>BR44-BQ44</f>
        <v>2.4569999999999936</v>
      </c>
      <c r="BS46" s="20">
        <f>BS44-BR44</f>
        <v>2.4759999999999991</v>
      </c>
      <c r="BT46" s="20">
        <f>BT44-BS44</f>
        <v>2.492999999999995</v>
      </c>
      <c r="BU46" s="6">
        <f>SUM(BQ46:BT46)</f>
        <v>9.8659999999999854</v>
      </c>
      <c r="BW46" s="19">
        <f>+BW44-BT44</f>
        <v>-2.1949999999999932</v>
      </c>
      <c r="BX46" s="20">
        <f>BX44-BW44</f>
        <v>2.9130000000000109</v>
      </c>
      <c r="BY46" s="20">
        <f>BY44-BX44</f>
        <v>2.9340000000000259</v>
      </c>
      <c r="BZ46" s="20">
        <f>BZ44-BY44</f>
        <v>2.9559999999999604</v>
      </c>
      <c r="CA46" s="6">
        <f>SUM(BW46:BZ46)</f>
        <v>6.6080000000000041</v>
      </c>
      <c r="CC46" s="19">
        <f>+CC44-BZ44</f>
        <v>2.9770000000000323</v>
      </c>
      <c r="CD46" s="20">
        <f>CD44-CC44</f>
        <v>2.9979999999999905</v>
      </c>
      <c r="CE46" s="20">
        <f>CE44-CD44</f>
        <v>3.0199999999999818</v>
      </c>
      <c r="CF46" s="20">
        <f>CF44-CE44</f>
        <v>3.04200000000003</v>
      </c>
      <c r="CG46" s="6">
        <f>SUM(CC46:CF46)</f>
        <v>12.037000000000035</v>
      </c>
      <c r="CI46" s="53">
        <v>0</v>
      </c>
      <c r="CJ46" s="51">
        <v>0</v>
      </c>
      <c r="CK46" s="51">
        <v>0</v>
      </c>
      <c r="CL46" s="51">
        <v>0</v>
      </c>
      <c r="CM46" s="6">
        <f>SUM(CI46:CL46)</f>
        <v>0</v>
      </c>
      <c r="CO46" s="53">
        <v>0</v>
      </c>
      <c r="CP46" s="51">
        <v>0</v>
      </c>
      <c r="CQ46" s="51">
        <v>0</v>
      </c>
      <c r="CR46" s="51">
        <v>0</v>
      </c>
      <c r="CS46" s="6">
        <f>SUM(CO46:CR46)</f>
        <v>0</v>
      </c>
      <c r="CU46" s="53">
        <v>0</v>
      </c>
      <c r="CV46" s="51">
        <v>0</v>
      </c>
      <c r="CW46" s="51">
        <v>0</v>
      </c>
      <c r="CX46" s="51">
        <v>0</v>
      </c>
      <c r="CY46" s="6">
        <f>SUM(CU46:CX46)</f>
        <v>0</v>
      </c>
    </row>
    <row r="47" spans="1:103" ht="11.25" customHeight="1" x14ac:dyDescent="0.2">
      <c r="A47" s="809" t="s">
        <v>15</v>
      </c>
      <c r="B47" s="240"/>
      <c r="C47" s="22"/>
      <c r="D47" s="379"/>
      <c r="E47" s="379"/>
      <c r="F47" s="379"/>
      <c r="G47" s="157"/>
      <c r="H47" s="240"/>
      <c r="I47" s="22"/>
      <c r="J47" s="379"/>
      <c r="K47" s="379"/>
      <c r="L47" s="379"/>
      <c r="M47" s="157"/>
      <c r="N47" s="240"/>
      <c r="O47" s="22"/>
      <c r="P47" s="379"/>
      <c r="Q47" s="379"/>
      <c r="R47" s="379"/>
      <c r="S47" s="157"/>
      <c r="T47" s="240"/>
      <c r="U47" s="22"/>
      <c r="V47" s="379"/>
      <c r="W47" s="379"/>
      <c r="X47" s="379"/>
      <c r="Y47" s="157"/>
      <c r="Z47" s="240"/>
      <c r="AA47" s="22"/>
      <c r="AB47" s="379"/>
      <c r="AC47" s="379"/>
      <c r="AD47" s="379"/>
      <c r="AE47" s="157"/>
      <c r="AF47" s="240"/>
      <c r="AG47" s="22"/>
      <c r="AH47" s="379"/>
      <c r="AI47" s="379"/>
      <c r="AJ47" s="379"/>
      <c r="AK47" s="157"/>
      <c r="AL47" s="240"/>
      <c r="AM47" s="22"/>
      <c r="AN47" s="379"/>
      <c r="AO47" s="379"/>
      <c r="AP47" s="379"/>
      <c r="AQ47" s="157"/>
      <c r="AR47" s="240"/>
      <c r="AS47" s="22"/>
      <c r="AT47" s="379"/>
      <c r="AU47" s="379"/>
      <c r="AV47" s="379"/>
      <c r="AW47" s="157"/>
      <c r="AX47" s="240"/>
      <c r="AY47" s="22"/>
      <c r="AZ47" s="379"/>
      <c r="BA47" s="379"/>
      <c r="BB47" s="379"/>
      <c r="BC47" s="157"/>
      <c r="BD47" s="240"/>
      <c r="BE47" s="22"/>
      <c r="BF47" s="379"/>
      <c r="BG47" s="379"/>
      <c r="BH47" s="379"/>
      <c r="BI47" s="157"/>
      <c r="BJ47" s="240"/>
      <c r="BK47" s="22">
        <f>(BK45*BK44)/4</f>
        <v>0.35542687499999998</v>
      </c>
      <c r="BL47" s="379">
        <f>(BL45*BL44)/4</f>
        <v>0.35766281249999998</v>
      </c>
      <c r="BM47" s="379">
        <f>(BM45*BM44)/4</f>
        <v>0.35991656249999998</v>
      </c>
      <c r="BN47" s="379">
        <f>(BN45*BN44)/4</f>
        <v>0.36218624999999999</v>
      </c>
      <c r="BO47" s="157">
        <f>SUM(BK47:BN47)</f>
        <v>1.4351924999999999</v>
      </c>
      <c r="BP47" s="20"/>
      <c r="BQ47" s="22">
        <f>(BQ45*BQ44)/4</f>
        <v>0.36447374999999999</v>
      </c>
      <c r="BR47" s="379">
        <f>(BR45*BR44)/4</f>
        <v>0.36677718749999999</v>
      </c>
      <c r="BS47" s="379">
        <f>(BS45*BS44)/4</f>
        <v>0.36909843749999999</v>
      </c>
      <c r="BT47" s="379">
        <f>(BT45*BT44)/4</f>
        <v>0.37143562499999999</v>
      </c>
      <c r="BU47" s="157">
        <f>SUM(BQ47:BT47)</f>
        <v>1.4717849999999999</v>
      </c>
      <c r="BW47" s="22">
        <f>(BW45*BW44)/4</f>
        <v>0.36937781249999996</v>
      </c>
      <c r="BX47" s="379">
        <f>(BX45*BX44)/4</f>
        <v>0.37210874999999999</v>
      </c>
      <c r="BY47" s="379">
        <f>(BY45*BY44)/4</f>
        <v>0.37485937499999999</v>
      </c>
      <c r="BZ47" s="379">
        <f>(BZ45*BZ44)/4</f>
        <v>0.377630625</v>
      </c>
      <c r="CA47" s="157">
        <f>SUM(BW47:BZ47)</f>
        <v>1.4939765624999999</v>
      </c>
      <c r="CC47" s="22">
        <f>(CC45*CC44)/4</f>
        <v>0.38042156249999998</v>
      </c>
      <c r="CD47" s="379">
        <f>(CD45*CD44)/4</f>
        <v>0.38323218749999999</v>
      </c>
      <c r="CE47" s="379">
        <f>(CE45*CE44)/4</f>
        <v>0.3860634375</v>
      </c>
      <c r="CF47" s="379">
        <f>(CF45*CF44)/4</f>
        <v>0.3889153125</v>
      </c>
      <c r="CG47" s="157">
        <f>SUM(CC47:CF47)</f>
        <v>1.5386325000000001</v>
      </c>
      <c r="CI47" s="22">
        <f>(CI45*CI44)/4</f>
        <v>0.3889153125</v>
      </c>
      <c r="CJ47" s="379">
        <f>(CJ45*CJ44)/4</f>
        <v>0.3889153125</v>
      </c>
      <c r="CK47" s="379">
        <f>(CK45*CK44)/4</f>
        <v>0.3889153125</v>
      </c>
      <c r="CL47" s="379">
        <f>(CL45*CL44)/4</f>
        <v>0.3889153125</v>
      </c>
      <c r="CM47" s="157">
        <f>SUM(CI47:CL47)</f>
        <v>1.55566125</v>
      </c>
      <c r="CO47" s="22">
        <f>(CO45*CO44)/4</f>
        <v>0.3889153125</v>
      </c>
      <c r="CP47" s="379">
        <f>(CP45*CP44)/4</f>
        <v>0.3889153125</v>
      </c>
      <c r="CQ47" s="379">
        <f>(CQ45*CQ44)/4</f>
        <v>0.3889153125</v>
      </c>
      <c r="CR47" s="379">
        <f>(CR45*CR44)/4</f>
        <v>0.3889153125</v>
      </c>
      <c r="CS47" s="157">
        <f>SUM(CO47:CR47)</f>
        <v>1.55566125</v>
      </c>
      <c r="CU47" s="22">
        <f>(CU45*CU44)/4</f>
        <v>0.3889153125</v>
      </c>
      <c r="CV47" s="379">
        <f>(CV45*CV44)/4</f>
        <v>0.3889153125</v>
      </c>
      <c r="CW47" s="379">
        <f>(CW45*CW44)/4</f>
        <v>0.3889153125</v>
      </c>
      <c r="CX47" s="379">
        <f>(CX45*CX44)/4</f>
        <v>0.3889153125</v>
      </c>
      <c r="CY47" s="157">
        <f>SUM(CU47:CX47)</f>
        <v>1.55566125</v>
      </c>
    </row>
    <row r="48" spans="1:103" ht="11.25" customHeight="1" x14ac:dyDescent="0.2">
      <c r="A48" s="812" t="s">
        <v>182</v>
      </c>
      <c r="B48" s="40"/>
      <c r="C48" s="797"/>
      <c r="D48" s="798"/>
      <c r="E48" s="798"/>
      <c r="F48" s="281"/>
      <c r="G48" s="420"/>
      <c r="H48" s="40"/>
      <c r="I48" s="797"/>
      <c r="J48" s="798"/>
      <c r="K48" s="798"/>
      <c r="L48" s="281"/>
      <c r="M48" s="420"/>
      <c r="N48" s="40"/>
      <c r="O48" s="797"/>
      <c r="P48" s="798"/>
      <c r="Q48" s="798"/>
      <c r="R48" s="281"/>
      <c r="S48" s="420"/>
      <c r="T48" s="40"/>
      <c r="U48" s="797"/>
      <c r="V48" s="798"/>
      <c r="W48" s="798"/>
      <c r="X48" s="798"/>
      <c r="Y48" s="420"/>
      <c r="Z48" s="40"/>
      <c r="AA48" s="797"/>
      <c r="AB48" s="798"/>
      <c r="AC48" s="798"/>
      <c r="AD48" s="798"/>
      <c r="AE48" s="327"/>
      <c r="AF48" s="40"/>
      <c r="AG48" s="797"/>
      <c r="AH48" s="798"/>
      <c r="AI48" s="798"/>
      <c r="AJ48" s="798"/>
      <c r="AK48" s="6"/>
      <c r="AL48" s="40"/>
      <c r="AM48" s="797"/>
      <c r="AN48" s="798"/>
      <c r="AO48" s="798"/>
      <c r="AP48" s="798"/>
      <c r="AQ48" s="327"/>
      <c r="AR48" s="40"/>
      <c r="AS48" s="797"/>
      <c r="AT48" s="798"/>
      <c r="AU48" s="798"/>
      <c r="AV48" s="798"/>
      <c r="AW48" s="327"/>
      <c r="AX48" s="40"/>
      <c r="AY48" s="797"/>
      <c r="AZ48" s="798"/>
      <c r="BA48" s="798"/>
      <c r="BB48" s="798"/>
      <c r="BC48" s="327"/>
      <c r="BD48" s="40"/>
      <c r="BE48" s="797"/>
      <c r="BF48" s="798"/>
      <c r="BG48" s="798"/>
      <c r="BH48" s="798"/>
      <c r="BI48" s="327"/>
      <c r="BJ48" s="40"/>
      <c r="BK48" s="797">
        <v>246.208</v>
      </c>
      <c r="BL48" s="1068">
        <v>247.899</v>
      </c>
      <c r="BM48" s="1068">
        <v>249.60900000000001</v>
      </c>
      <c r="BN48" s="1068">
        <v>251.33500000000001</v>
      </c>
      <c r="BO48" s="327">
        <f>BN48</f>
        <v>251.33500000000001</v>
      </c>
      <c r="BP48" s="20"/>
      <c r="BQ48" s="797">
        <v>253.077</v>
      </c>
      <c r="BR48" s="1068">
        <v>254.83600000000001</v>
      </c>
      <c r="BS48" s="1068">
        <v>256.61099999999999</v>
      </c>
      <c r="BT48" s="1068">
        <v>258.404</v>
      </c>
      <c r="BU48" s="327">
        <f>BT48</f>
        <v>258.404</v>
      </c>
      <c r="BW48" s="797">
        <v>256.27800000000002</v>
      </c>
      <c r="BX48" s="1068">
        <v>258.29000000000002</v>
      </c>
      <c r="BY48" s="1068">
        <v>260.32100000000003</v>
      </c>
      <c r="BZ48" s="1068">
        <v>262.37099999999998</v>
      </c>
      <c r="CA48" s="327">
        <f>BZ48</f>
        <v>262.37099999999998</v>
      </c>
      <c r="CC48" s="797">
        <v>264.43900000000002</v>
      </c>
      <c r="CD48" s="1068">
        <v>266.52699999999999</v>
      </c>
      <c r="CE48" s="1068">
        <v>268.63499999999999</v>
      </c>
      <c r="CF48" s="1068">
        <v>270.762</v>
      </c>
      <c r="CG48" s="327">
        <f>CF48</f>
        <v>270.762</v>
      </c>
      <c r="CI48" s="412">
        <f>+CF48+CI50</f>
        <v>270.762</v>
      </c>
      <c r="CJ48" s="281">
        <f>+CI48+CJ50</f>
        <v>270.762</v>
      </c>
      <c r="CK48" s="281">
        <f>+CJ48+CK50</f>
        <v>270.762</v>
      </c>
      <c r="CL48" s="281">
        <f>+CK48+CL50</f>
        <v>270.762</v>
      </c>
      <c r="CM48" s="327">
        <f>CL48</f>
        <v>270.762</v>
      </c>
      <c r="CO48" s="412">
        <f>+CL48+CO50</f>
        <v>270.762</v>
      </c>
      <c r="CP48" s="281">
        <f>+CO48+CP50</f>
        <v>270.762</v>
      </c>
      <c r="CQ48" s="281">
        <f>+CP48+CQ50</f>
        <v>270.762</v>
      </c>
      <c r="CR48" s="281">
        <f>+CQ48+CR50</f>
        <v>270.762</v>
      </c>
      <c r="CS48" s="327">
        <f>CR48</f>
        <v>270.762</v>
      </c>
      <c r="CU48" s="412">
        <f>+CR48+CU50</f>
        <v>270.762</v>
      </c>
      <c r="CV48" s="281">
        <f>+CU48+CV50</f>
        <v>270.762</v>
      </c>
      <c r="CW48" s="281">
        <f>+CV48+CW50</f>
        <v>270.762</v>
      </c>
      <c r="CX48" s="281">
        <f>+CW48+CX50</f>
        <v>270.762</v>
      </c>
      <c r="CY48" s="327">
        <f>CX48</f>
        <v>270.762</v>
      </c>
    </row>
    <row r="49" spans="1:106" ht="11.25" customHeight="1" x14ac:dyDescent="0.2">
      <c r="A49" s="813" t="s">
        <v>106</v>
      </c>
      <c r="B49" s="211"/>
      <c r="C49" s="814"/>
      <c r="D49" s="801"/>
      <c r="E49" s="801"/>
      <c r="F49" s="211"/>
      <c r="G49" s="383"/>
      <c r="H49" s="211"/>
      <c r="I49" s="814"/>
      <c r="J49" s="801"/>
      <c r="K49" s="801"/>
      <c r="L49" s="211"/>
      <c r="M49" s="383"/>
      <c r="N49" s="211"/>
      <c r="O49" s="814"/>
      <c r="P49" s="801"/>
      <c r="Q49" s="801"/>
      <c r="R49" s="211"/>
      <c r="S49" s="383"/>
      <c r="T49" s="211"/>
      <c r="U49" s="814"/>
      <c r="V49" s="801"/>
      <c r="W49" s="801"/>
      <c r="X49" s="801"/>
      <c r="Y49" s="383"/>
      <c r="Z49" s="211"/>
      <c r="AA49" s="814"/>
      <c r="AB49" s="801"/>
      <c r="AC49" s="801"/>
      <c r="AD49" s="801"/>
      <c r="AE49" s="204"/>
      <c r="AF49" s="211"/>
      <c r="AG49" s="814"/>
      <c r="AH49" s="801"/>
      <c r="AI49" s="815"/>
      <c r="AJ49" s="815"/>
      <c r="AK49" s="802"/>
      <c r="AL49" s="211"/>
      <c r="AM49" s="816"/>
      <c r="AN49" s="815"/>
      <c r="AO49" s="815"/>
      <c r="AP49" s="815"/>
      <c r="AQ49" s="315"/>
      <c r="AR49" s="211"/>
      <c r="AS49" s="816"/>
      <c r="AT49" s="815"/>
      <c r="AU49" s="815"/>
      <c r="AV49" s="815"/>
      <c r="AW49" s="315"/>
      <c r="AX49" s="211"/>
      <c r="AY49" s="816"/>
      <c r="AZ49" s="815"/>
      <c r="BA49" s="815"/>
      <c r="BB49" s="815"/>
      <c r="BC49" s="315"/>
      <c r="BD49" s="211"/>
      <c r="BE49" s="816"/>
      <c r="BF49" s="815"/>
      <c r="BG49" s="815"/>
      <c r="BH49" s="815"/>
      <c r="BI49" s="315"/>
      <c r="BJ49" s="211"/>
      <c r="BK49" s="816">
        <v>8.7500000000000008E-3</v>
      </c>
      <c r="BL49" s="1069">
        <v>8.7500000000000008E-3</v>
      </c>
      <c r="BM49" s="1069">
        <v>8.7500000000000008E-3</v>
      </c>
      <c r="BN49" s="1069">
        <v>8.7500000000000008E-3</v>
      </c>
      <c r="BO49" s="315">
        <f>BK49</f>
        <v>8.7500000000000008E-3</v>
      </c>
      <c r="BP49" s="807"/>
      <c r="BQ49" s="816">
        <v>8.7500000000000008E-3</v>
      </c>
      <c r="BR49" s="1069">
        <f>BU49</f>
        <v>8.7500000000000008E-3</v>
      </c>
      <c r="BS49" s="1069">
        <f>BU49</f>
        <v>8.7500000000000008E-3</v>
      </c>
      <c r="BT49" s="1069">
        <f>BU49</f>
        <v>8.7500000000000008E-3</v>
      </c>
      <c r="BU49" s="315">
        <f>BO49</f>
        <v>8.7500000000000008E-3</v>
      </c>
      <c r="BW49" s="816">
        <f>CA49</f>
        <v>8.7500000000000008E-3</v>
      </c>
      <c r="BX49" s="1069">
        <f>CA49</f>
        <v>8.7500000000000008E-3</v>
      </c>
      <c r="BY49" s="1069">
        <f>CA49</f>
        <v>8.7500000000000008E-3</v>
      </c>
      <c r="BZ49" s="1069">
        <f>CA49</f>
        <v>8.7500000000000008E-3</v>
      </c>
      <c r="CA49" s="315">
        <f>BU49</f>
        <v>8.7500000000000008E-3</v>
      </c>
      <c r="CC49" s="313">
        <f>CG49</f>
        <v>8.7500000000000008E-3</v>
      </c>
      <c r="CD49" s="314">
        <f>CG49</f>
        <v>8.7500000000000008E-3</v>
      </c>
      <c r="CE49" s="314">
        <f>CG49</f>
        <v>8.7500000000000008E-3</v>
      </c>
      <c r="CF49" s="314">
        <f>CG49</f>
        <v>8.7500000000000008E-3</v>
      </c>
      <c r="CG49" s="315">
        <f>CA49</f>
        <v>8.7500000000000008E-3</v>
      </c>
      <c r="CI49" s="313">
        <f>CM49</f>
        <v>3.6999999999999998E-2</v>
      </c>
      <c r="CJ49" s="314">
        <f>CM49</f>
        <v>3.6999999999999998E-2</v>
      </c>
      <c r="CK49" s="314">
        <f>CM49</f>
        <v>3.6999999999999998E-2</v>
      </c>
      <c r="CL49" s="314">
        <f>CM49</f>
        <v>3.6999999999999998E-2</v>
      </c>
      <c r="CM49" s="2167">
        <v>3.6999999999999998E-2</v>
      </c>
      <c r="CO49" s="313">
        <f>CS49</f>
        <v>3.6999999999999998E-2</v>
      </c>
      <c r="CP49" s="314">
        <f>CS49</f>
        <v>3.6999999999999998E-2</v>
      </c>
      <c r="CQ49" s="314">
        <f>CS49</f>
        <v>3.6999999999999998E-2</v>
      </c>
      <c r="CR49" s="314">
        <f>CS49</f>
        <v>3.6999999999999998E-2</v>
      </c>
      <c r="CS49" s="315">
        <f>CM49</f>
        <v>3.6999999999999998E-2</v>
      </c>
      <c r="CU49" s="313">
        <f>CY49</f>
        <v>3.6999999999999998E-2</v>
      </c>
      <c r="CV49" s="314">
        <f>CY49</f>
        <v>3.6999999999999998E-2</v>
      </c>
      <c r="CW49" s="314">
        <f>CY49</f>
        <v>3.6999999999999998E-2</v>
      </c>
      <c r="CX49" s="314">
        <f>CY49</f>
        <v>3.6999999999999998E-2</v>
      </c>
      <c r="CY49" s="315">
        <f>CS49</f>
        <v>3.6999999999999998E-2</v>
      </c>
    </row>
    <row r="50" spans="1:106" ht="11.25" customHeight="1" x14ac:dyDescent="0.2">
      <c r="A50" s="808" t="s">
        <v>107</v>
      </c>
      <c r="B50" s="39"/>
      <c r="C50" s="19"/>
      <c r="D50" s="20"/>
      <c r="E50" s="20"/>
      <c r="F50" s="20"/>
      <c r="G50" s="6"/>
      <c r="H50" s="39"/>
      <c r="I50" s="19"/>
      <c r="J50" s="20"/>
      <c r="K50" s="20"/>
      <c r="L50" s="20"/>
      <c r="M50" s="6"/>
      <c r="N50" s="39"/>
      <c r="O50" s="19"/>
      <c r="P50" s="20"/>
      <c r="Q50" s="20"/>
      <c r="R50" s="20"/>
      <c r="S50" s="6"/>
      <c r="T50" s="39"/>
      <c r="U50" s="19"/>
      <c r="V50" s="20"/>
      <c r="W50" s="20"/>
      <c r="X50" s="20"/>
      <c r="Y50" s="6"/>
      <c r="Z50" s="39"/>
      <c r="AA50" s="19"/>
      <c r="AB50" s="20"/>
      <c r="AC50" s="20"/>
      <c r="AD50" s="20"/>
      <c r="AE50" s="6"/>
      <c r="AF50" s="39"/>
      <c r="AG50" s="19"/>
      <c r="AH50" s="20"/>
      <c r="AI50" s="20"/>
      <c r="AJ50" s="20"/>
      <c r="AK50" s="6"/>
      <c r="AL50" s="39"/>
      <c r="AM50" s="19"/>
      <c r="AN50" s="20"/>
      <c r="AO50" s="20"/>
      <c r="AP50" s="20"/>
      <c r="AQ50" s="6"/>
      <c r="AR50" s="39"/>
      <c r="AS50" s="19"/>
      <c r="AT50" s="20"/>
      <c r="AU50" s="20"/>
      <c r="AV50" s="20"/>
      <c r="AW50" s="6"/>
      <c r="AX50" s="39"/>
      <c r="AY50" s="19"/>
      <c r="AZ50" s="20"/>
      <c r="BA50" s="20"/>
      <c r="BB50" s="20"/>
      <c r="BC50" s="6"/>
      <c r="BD50" s="39"/>
      <c r="BE50" s="19"/>
      <c r="BF50" s="20"/>
      <c r="BG50" s="20"/>
      <c r="BH50" s="20"/>
      <c r="BI50" s="6"/>
      <c r="BJ50" s="39"/>
      <c r="BK50" s="19">
        <v>0</v>
      </c>
      <c r="BL50" s="20">
        <f>BL48-BK48</f>
        <v>1.6910000000000025</v>
      </c>
      <c r="BM50" s="20">
        <f>BM48-BL48</f>
        <v>1.710000000000008</v>
      </c>
      <c r="BN50" s="20">
        <f>BN48-BM48</f>
        <v>1.7259999999999991</v>
      </c>
      <c r="BO50" s="6">
        <f>SUM(BK50:BN50)</f>
        <v>5.1270000000000095</v>
      </c>
      <c r="BP50" s="20"/>
      <c r="BQ50" s="19">
        <f>+BQ48-BN48</f>
        <v>1.7419999999999902</v>
      </c>
      <c r="BR50" s="20">
        <f>BR48-BQ48</f>
        <v>1.7590000000000146</v>
      </c>
      <c r="BS50" s="20">
        <f>BS48-BR48</f>
        <v>1.7749999999999773</v>
      </c>
      <c r="BT50" s="20">
        <f>BT48-BS48</f>
        <v>1.7930000000000064</v>
      </c>
      <c r="BU50" s="6">
        <f>SUM(BQ50:BT50)</f>
        <v>7.0689999999999884</v>
      </c>
      <c r="BW50" s="19">
        <f>+BW48-BT48</f>
        <v>-2.1259999999999764</v>
      </c>
      <c r="BX50" s="20">
        <f>BX48-BW48</f>
        <v>2.0120000000000005</v>
      </c>
      <c r="BY50" s="20">
        <f>BY48-BX48</f>
        <v>2.0310000000000059</v>
      </c>
      <c r="BZ50" s="20">
        <f>BZ48-BY48</f>
        <v>2.0499999999999545</v>
      </c>
      <c r="CA50" s="6">
        <f>SUM(BW50:BZ50)</f>
        <v>3.9669999999999845</v>
      </c>
      <c r="CC50" s="19">
        <f>+CC48-BZ48</f>
        <v>2.0680000000000405</v>
      </c>
      <c r="CD50" s="20">
        <f>CD48-CC48</f>
        <v>2.0879999999999654</v>
      </c>
      <c r="CE50" s="20">
        <f>CE48-CD48</f>
        <v>2.1080000000000041</v>
      </c>
      <c r="CF50" s="20">
        <f>CF48-CE48</f>
        <v>2.1270000000000095</v>
      </c>
      <c r="CG50" s="6">
        <f>SUM(CC50:CF50)</f>
        <v>8.3910000000000196</v>
      </c>
      <c r="CI50" s="53">
        <v>0</v>
      </c>
      <c r="CJ50" s="51">
        <v>0</v>
      </c>
      <c r="CK50" s="51">
        <v>0</v>
      </c>
      <c r="CL50" s="51">
        <v>0</v>
      </c>
      <c r="CM50" s="6">
        <f>SUM(CI50:CL50)</f>
        <v>0</v>
      </c>
      <c r="CO50" s="53">
        <v>0</v>
      </c>
      <c r="CP50" s="51">
        <v>0</v>
      </c>
      <c r="CQ50" s="51">
        <v>0</v>
      </c>
      <c r="CR50" s="51">
        <v>0</v>
      </c>
      <c r="CS50" s="6">
        <f>SUM(CO50:CR50)</f>
        <v>0</v>
      </c>
      <c r="CU50" s="53">
        <v>0</v>
      </c>
      <c r="CV50" s="51">
        <v>0</v>
      </c>
      <c r="CW50" s="51">
        <v>0</v>
      </c>
      <c r="CX50" s="51">
        <v>0</v>
      </c>
      <c r="CY50" s="6">
        <f>SUM(CU50:CX50)</f>
        <v>0</v>
      </c>
      <c r="CZ50" s="51"/>
      <c r="DA50" s="51"/>
      <c r="DB50" s="51"/>
    </row>
    <row r="51" spans="1:106" ht="11.25" customHeight="1" x14ac:dyDescent="0.2">
      <c r="A51" s="809" t="s">
        <v>15</v>
      </c>
      <c r="B51" s="240"/>
      <c r="C51" s="22"/>
      <c r="D51" s="379"/>
      <c r="E51" s="379"/>
      <c r="F51" s="379"/>
      <c r="G51" s="157"/>
      <c r="H51" s="240"/>
      <c r="I51" s="22"/>
      <c r="J51" s="379"/>
      <c r="K51" s="379"/>
      <c r="L51" s="379"/>
      <c r="M51" s="157"/>
      <c r="N51" s="240"/>
      <c r="O51" s="22"/>
      <c r="P51" s="379"/>
      <c r="Q51" s="379"/>
      <c r="R51" s="379"/>
      <c r="S51" s="157"/>
      <c r="T51" s="240"/>
      <c r="U51" s="22"/>
      <c r="V51" s="379"/>
      <c r="W51" s="379"/>
      <c r="X51" s="379"/>
      <c r="Y51" s="157"/>
      <c r="Z51" s="240"/>
      <c r="AA51" s="22"/>
      <c r="AB51" s="379"/>
      <c r="AC51" s="379"/>
      <c r="AD51" s="379"/>
      <c r="AE51" s="157"/>
      <c r="AF51" s="240"/>
      <c r="AG51" s="22"/>
      <c r="AH51" s="379"/>
      <c r="AI51" s="379"/>
      <c r="AJ51" s="379"/>
      <c r="AK51" s="157"/>
      <c r="AL51" s="240"/>
      <c r="AM51" s="22"/>
      <c r="AN51" s="379"/>
      <c r="AO51" s="379"/>
      <c r="AP51" s="379"/>
      <c r="AQ51" s="157"/>
      <c r="AR51" s="240"/>
      <c r="AS51" s="22"/>
      <c r="AT51" s="379"/>
      <c r="AU51" s="379"/>
      <c r="AV51" s="379"/>
      <c r="AW51" s="157"/>
      <c r="AX51" s="240"/>
      <c r="AY51" s="22"/>
      <c r="AZ51" s="379"/>
      <c r="BA51" s="379"/>
      <c r="BB51" s="379"/>
      <c r="BC51" s="157"/>
      <c r="BD51" s="240"/>
      <c r="BE51" s="22"/>
      <c r="BF51" s="379"/>
      <c r="BG51" s="379"/>
      <c r="BH51" s="379"/>
      <c r="BI51" s="157"/>
      <c r="BJ51" s="240"/>
      <c r="BK51" s="22">
        <f>(BK49*BK48)/4</f>
        <v>0.53858000000000006</v>
      </c>
      <c r="BL51" s="379">
        <f>(BL49*BL48)/4</f>
        <v>0.54227906250000002</v>
      </c>
      <c r="BM51" s="379">
        <f>(BM49*BM48)/4</f>
        <v>0.54601968750000007</v>
      </c>
      <c r="BN51" s="379">
        <f>(BN49*BN48)/4</f>
        <v>0.54979531250000002</v>
      </c>
      <c r="BO51" s="157">
        <f>SUM(BK51:BN51)</f>
        <v>2.1766740625000001</v>
      </c>
      <c r="BP51" s="20"/>
      <c r="BQ51" s="22">
        <f>(BQ49*BQ48)/4</f>
        <v>0.55360593750000009</v>
      </c>
      <c r="BR51" s="379">
        <f>(BR49*BR48)/4</f>
        <v>0.55745375000000008</v>
      </c>
      <c r="BS51" s="379">
        <f>(BS49*BS48)/4</f>
        <v>0.56133656250000008</v>
      </c>
      <c r="BT51" s="379">
        <f>(BT49*BT48)/4</f>
        <v>0.56525875000000003</v>
      </c>
      <c r="BU51" s="157">
        <f>SUM(BQ51:BT51)</f>
        <v>2.2376550000000002</v>
      </c>
      <c r="BW51" s="22">
        <f>(BW49*BW48)/4</f>
        <v>0.56060812500000012</v>
      </c>
      <c r="BX51" s="379">
        <f>(BX49*BX48)/4</f>
        <v>0.56500937500000015</v>
      </c>
      <c r="BY51" s="379">
        <f>(BY49*BY48)/4</f>
        <v>0.56945218750000015</v>
      </c>
      <c r="BZ51" s="379">
        <f>(BZ49*BZ48)/4</f>
        <v>0.57393656250000002</v>
      </c>
      <c r="CA51" s="157">
        <f>SUM(BW51:BZ51)</f>
        <v>2.2690062500000003</v>
      </c>
      <c r="CC51" s="22">
        <f>(CC49*CC48)/4</f>
        <v>0.57846031250000007</v>
      </c>
      <c r="CD51" s="379">
        <f>(CD49*CD48)/4</f>
        <v>0.58302781250000002</v>
      </c>
      <c r="CE51" s="379">
        <f>(CE49*CE48)/4</f>
        <v>0.58763906250000009</v>
      </c>
      <c r="CF51" s="379">
        <f>(CF49*CF48)/4</f>
        <v>0.59229187500000002</v>
      </c>
      <c r="CG51" s="157">
        <f>SUM(CC51:CF51)</f>
        <v>2.3414190625</v>
      </c>
      <c r="CI51" s="22">
        <f>(CI49*CI48)/4</f>
        <v>2.5045484999999998</v>
      </c>
      <c r="CJ51" s="379">
        <f>(CJ49*CJ48)/4</f>
        <v>2.5045484999999998</v>
      </c>
      <c r="CK51" s="379">
        <f>(CK49*CK48)/4</f>
        <v>2.5045484999999998</v>
      </c>
      <c r="CL51" s="379">
        <f>(CL49*CL48)/4</f>
        <v>2.5045484999999998</v>
      </c>
      <c r="CM51" s="157">
        <f>SUM(CI51:CL51)</f>
        <v>10.018193999999999</v>
      </c>
      <c r="CO51" s="22">
        <f>(CO49*CO48)/4</f>
        <v>2.5045484999999998</v>
      </c>
      <c r="CP51" s="379">
        <f>(CP49*CP48)/4</f>
        <v>2.5045484999999998</v>
      </c>
      <c r="CQ51" s="379">
        <f>(CQ49*CQ48)/4</f>
        <v>2.5045484999999998</v>
      </c>
      <c r="CR51" s="379">
        <f>(CR49*CR48)/4</f>
        <v>2.5045484999999998</v>
      </c>
      <c r="CS51" s="157">
        <f>SUM(CO51:CR51)</f>
        <v>10.018193999999999</v>
      </c>
      <c r="CU51" s="22">
        <f>(CU49*CU48)/4</f>
        <v>2.5045484999999998</v>
      </c>
      <c r="CV51" s="379">
        <f>(CV49*CV48)/4</f>
        <v>2.5045484999999998</v>
      </c>
      <c r="CW51" s="379">
        <f>(CW49*CW48)/4</f>
        <v>2.5045484999999998</v>
      </c>
      <c r="CX51" s="379">
        <f>(CX49*CX48)/4</f>
        <v>2.5045484999999998</v>
      </c>
      <c r="CY51" s="157">
        <f>SUM(CU51:CX51)</f>
        <v>10.018193999999999</v>
      </c>
    </row>
    <row r="52" spans="1:106" ht="11.25" customHeight="1" x14ac:dyDescent="0.2">
      <c r="A52" s="2126" t="s">
        <v>703</v>
      </c>
      <c r="B52" s="40"/>
      <c r="C52" s="797"/>
      <c r="D52" s="798"/>
      <c r="E52" s="798"/>
      <c r="F52" s="281"/>
      <c r="G52" s="420"/>
      <c r="H52" s="40"/>
      <c r="I52" s="797"/>
      <c r="J52" s="798"/>
      <c r="K52" s="798"/>
      <c r="L52" s="281"/>
      <c r="M52" s="420"/>
      <c r="N52" s="40"/>
      <c r="O52" s="797"/>
      <c r="P52" s="798"/>
      <c r="Q52" s="798"/>
      <c r="R52" s="281"/>
      <c r="S52" s="420"/>
      <c r="T52" s="40"/>
      <c r="U52" s="797"/>
      <c r="V52" s="798"/>
      <c r="W52" s="798"/>
      <c r="X52" s="798"/>
      <c r="Y52" s="420"/>
      <c r="Z52" s="40"/>
      <c r="AA52" s="797"/>
      <c r="AB52" s="798"/>
      <c r="AC52" s="798"/>
      <c r="AD52" s="798"/>
      <c r="AE52" s="327"/>
      <c r="AF52" s="40"/>
      <c r="AG52" s="797"/>
      <c r="AH52" s="798"/>
      <c r="AI52" s="798"/>
      <c r="AJ52" s="798"/>
      <c r="AK52" s="6"/>
      <c r="AL52" s="40"/>
      <c r="AM52" s="797"/>
      <c r="AN52" s="798"/>
      <c r="AO52" s="798"/>
      <c r="AP52" s="798"/>
      <c r="AQ52" s="327"/>
      <c r="AR52" s="40"/>
      <c r="AS52" s="797"/>
      <c r="AT52" s="798"/>
      <c r="AU52" s="798"/>
      <c r="AV52" s="798"/>
      <c r="AW52" s="327"/>
      <c r="AX52" s="40"/>
      <c r="AY52" s="797"/>
      <c r="AZ52" s="798"/>
      <c r="BA52" s="798"/>
      <c r="BB52" s="798"/>
      <c r="BC52" s="327"/>
      <c r="BD52" s="40"/>
      <c r="BE52" s="797"/>
      <c r="BF52" s="798"/>
      <c r="BG52" s="798"/>
      <c r="BH52" s="798"/>
      <c r="BI52" s="327"/>
      <c r="BJ52" s="40"/>
      <c r="BK52" s="797"/>
      <c r="BL52" s="1068"/>
      <c r="BM52" s="1068"/>
      <c r="BN52" s="1068"/>
      <c r="BO52" s="327"/>
      <c r="BP52" s="20"/>
      <c r="BQ52" s="797"/>
      <c r="BR52" s="1068"/>
      <c r="BS52" s="1068"/>
      <c r="BT52" s="1068"/>
      <c r="BU52" s="327"/>
      <c r="BW52" s="797"/>
      <c r="BX52" s="1068"/>
      <c r="BY52" s="1068"/>
      <c r="BZ52" s="1068"/>
      <c r="CA52" s="327"/>
      <c r="CC52" s="797"/>
      <c r="CD52" s="1068"/>
      <c r="CE52" s="1068">
        <v>319.90199999999999</v>
      </c>
      <c r="CF52" s="1068">
        <v>322.90199999999999</v>
      </c>
      <c r="CG52" s="327">
        <f>CF52</f>
        <v>322.90199999999999</v>
      </c>
      <c r="CI52" s="412">
        <f>+CF52+CI54</f>
        <v>322.90199999999999</v>
      </c>
      <c r="CJ52" s="281">
        <f>+CI52+CJ54</f>
        <v>322.90199999999999</v>
      </c>
      <c r="CK52" s="281">
        <f>+CJ52+CK54</f>
        <v>322.90199999999999</v>
      </c>
      <c r="CL52" s="281">
        <f>+CK52+CL54</f>
        <v>322.90199999999999</v>
      </c>
      <c r="CM52" s="327">
        <f>CL52</f>
        <v>322.90199999999999</v>
      </c>
      <c r="CO52" s="412">
        <f>+CL52+CO54</f>
        <v>322.90199999999999</v>
      </c>
      <c r="CP52" s="281">
        <f>+CO52+CP54</f>
        <v>322.90199999999999</v>
      </c>
      <c r="CQ52" s="281">
        <f>+CP52+CQ54</f>
        <v>322.90199999999999</v>
      </c>
      <c r="CR52" s="281">
        <f>+CQ52+CR54</f>
        <v>322.90199999999999</v>
      </c>
      <c r="CS52" s="327">
        <f>CR52</f>
        <v>322.90199999999999</v>
      </c>
      <c r="CU52" s="412">
        <f>+CR52+CU54</f>
        <v>322.90199999999999</v>
      </c>
      <c r="CV52" s="281">
        <f>+CU52+CV54</f>
        <v>322.90199999999999</v>
      </c>
      <c r="CW52" s="281">
        <f>+CV52+CW54</f>
        <v>322.90199999999999</v>
      </c>
      <c r="CX52" s="281">
        <f>+CW52+CX54</f>
        <v>322.90199999999999</v>
      </c>
      <c r="CY52" s="327">
        <f>CX52</f>
        <v>322.90199999999999</v>
      </c>
    </row>
    <row r="53" spans="1:106" ht="11.25" customHeight="1" x14ac:dyDescent="0.2">
      <c r="A53" s="813" t="s">
        <v>106</v>
      </c>
      <c r="B53" s="211"/>
      <c r="C53" s="814"/>
      <c r="D53" s="801"/>
      <c r="E53" s="801"/>
      <c r="F53" s="211"/>
      <c r="G53" s="383"/>
      <c r="H53" s="211"/>
      <c r="I53" s="814"/>
      <c r="J53" s="801"/>
      <c r="K53" s="801"/>
      <c r="L53" s="211"/>
      <c r="M53" s="383"/>
      <c r="N53" s="211"/>
      <c r="O53" s="814"/>
      <c r="P53" s="801"/>
      <c r="Q53" s="801"/>
      <c r="R53" s="211"/>
      <c r="S53" s="383"/>
      <c r="T53" s="211"/>
      <c r="U53" s="814"/>
      <c r="V53" s="801"/>
      <c r="W53" s="801"/>
      <c r="X53" s="801"/>
      <c r="Y53" s="383"/>
      <c r="Z53" s="211"/>
      <c r="AA53" s="814"/>
      <c r="AB53" s="801"/>
      <c r="AC53" s="801"/>
      <c r="AD53" s="801"/>
      <c r="AE53" s="204"/>
      <c r="AF53" s="211"/>
      <c r="AG53" s="814"/>
      <c r="AH53" s="801"/>
      <c r="AI53" s="815"/>
      <c r="AJ53" s="815"/>
      <c r="AK53" s="802"/>
      <c r="AL53" s="211"/>
      <c r="AM53" s="816"/>
      <c r="AN53" s="815"/>
      <c r="AO53" s="815"/>
      <c r="AP53" s="815"/>
      <c r="AQ53" s="315"/>
      <c r="AR53" s="211"/>
      <c r="AS53" s="816"/>
      <c r="AT53" s="815"/>
      <c r="AU53" s="815"/>
      <c r="AV53" s="815"/>
      <c r="AW53" s="315"/>
      <c r="AX53" s="211"/>
      <c r="AY53" s="816"/>
      <c r="AZ53" s="815"/>
      <c r="BA53" s="815"/>
      <c r="BB53" s="815"/>
      <c r="BC53" s="315"/>
      <c r="BD53" s="211"/>
      <c r="BE53" s="816"/>
      <c r="BF53" s="815"/>
      <c r="BG53" s="815"/>
      <c r="BH53" s="815"/>
      <c r="BI53" s="315"/>
      <c r="BJ53" s="211"/>
      <c r="BK53" s="816"/>
      <c r="BL53" s="1069"/>
      <c r="BM53" s="1069"/>
      <c r="BN53" s="1069"/>
      <c r="BO53" s="315"/>
      <c r="BP53" s="807"/>
      <c r="BQ53" s="816"/>
      <c r="BR53" s="1069"/>
      <c r="BS53" s="1069"/>
      <c r="BT53" s="1069"/>
      <c r="BU53" s="315"/>
      <c r="BW53" s="816"/>
      <c r="BX53" s="1069"/>
      <c r="BY53" s="1069"/>
      <c r="BZ53" s="1069"/>
      <c r="CA53" s="315"/>
      <c r="CC53" s="313"/>
      <c r="CD53" s="314"/>
      <c r="CE53" s="2173">
        <v>5.0000000000000001E-3</v>
      </c>
      <c r="CF53" s="2173">
        <v>5.0000000000000001E-3</v>
      </c>
      <c r="CG53" s="2174">
        <f>CF53</f>
        <v>5.0000000000000001E-3</v>
      </c>
      <c r="CI53" s="313">
        <f>CM53</f>
        <v>5.0000000000000001E-3</v>
      </c>
      <c r="CJ53" s="314">
        <f>CM53</f>
        <v>5.0000000000000001E-3</v>
      </c>
      <c r="CK53" s="314">
        <f>CM53</f>
        <v>5.0000000000000001E-3</v>
      </c>
      <c r="CL53" s="314">
        <f>CM53</f>
        <v>5.0000000000000001E-3</v>
      </c>
      <c r="CM53" s="315">
        <f>CG53</f>
        <v>5.0000000000000001E-3</v>
      </c>
      <c r="CO53" s="313">
        <f>CS53</f>
        <v>5.0000000000000001E-3</v>
      </c>
      <c r="CP53" s="314">
        <f>CS53</f>
        <v>5.0000000000000001E-3</v>
      </c>
      <c r="CQ53" s="314">
        <f>CS53</f>
        <v>5.0000000000000001E-3</v>
      </c>
      <c r="CR53" s="314">
        <f>CS53</f>
        <v>5.0000000000000001E-3</v>
      </c>
      <c r="CS53" s="315">
        <f>CM53</f>
        <v>5.0000000000000001E-3</v>
      </c>
      <c r="CU53" s="313">
        <f>CY53</f>
        <v>5.0000000000000001E-3</v>
      </c>
      <c r="CV53" s="314">
        <f>CY53</f>
        <v>5.0000000000000001E-3</v>
      </c>
      <c r="CW53" s="314">
        <f>CY53</f>
        <v>5.0000000000000001E-3</v>
      </c>
      <c r="CX53" s="314">
        <f>CY53</f>
        <v>5.0000000000000001E-3</v>
      </c>
      <c r="CY53" s="315">
        <f>CS53</f>
        <v>5.0000000000000001E-3</v>
      </c>
    </row>
    <row r="54" spans="1:106" ht="11.25" customHeight="1" x14ac:dyDescent="0.2">
      <c r="A54" s="808" t="s">
        <v>107</v>
      </c>
      <c r="B54" s="39"/>
      <c r="C54" s="19"/>
      <c r="D54" s="20"/>
      <c r="E54" s="20"/>
      <c r="F54" s="20"/>
      <c r="G54" s="6"/>
      <c r="H54" s="39"/>
      <c r="I54" s="19"/>
      <c r="J54" s="20"/>
      <c r="K54" s="20"/>
      <c r="L54" s="20"/>
      <c r="M54" s="6"/>
      <c r="N54" s="39"/>
      <c r="O54" s="19"/>
      <c r="P54" s="20"/>
      <c r="Q54" s="20"/>
      <c r="R54" s="20"/>
      <c r="S54" s="6"/>
      <c r="T54" s="39"/>
      <c r="U54" s="19"/>
      <c r="V54" s="20"/>
      <c r="W54" s="20"/>
      <c r="X54" s="20"/>
      <c r="Y54" s="6"/>
      <c r="Z54" s="39"/>
      <c r="AA54" s="19"/>
      <c r="AB54" s="20"/>
      <c r="AC54" s="20"/>
      <c r="AD54" s="20"/>
      <c r="AE54" s="6"/>
      <c r="AF54" s="39"/>
      <c r="AG54" s="19"/>
      <c r="AH54" s="20"/>
      <c r="AI54" s="20"/>
      <c r="AJ54" s="20"/>
      <c r="AK54" s="6"/>
      <c r="AL54" s="39"/>
      <c r="AM54" s="19"/>
      <c r="AN54" s="20"/>
      <c r="AO54" s="20"/>
      <c r="AP54" s="20"/>
      <c r="AQ54" s="6"/>
      <c r="AR54" s="39"/>
      <c r="AS54" s="19"/>
      <c r="AT54" s="20"/>
      <c r="AU54" s="20"/>
      <c r="AV54" s="20"/>
      <c r="AW54" s="6"/>
      <c r="AX54" s="39"/>
      <c r="AY54" s="19"/>
      <c r="AZ54" s="20"/>
      <c r="BA54" s="20"/>
      <c r="BB54" s="20"/>
      <c r="BC54" s="6"/>
      <c r="BD54" s="39"/>
      <c r="BE54" s="19"/>
      <c r="BF54" s="20"/>
      <c r="BG54" s="20"/>
      <c r="BH54" s="20"/>
      <c r="BI54" s="6"/>
      <c r="BJ54" s="39"/>
      <c r="BK54" s="19"/>
      <c r="BL54" s="20"/>
      <c r="BM54" s="20"/>
      <c r="BN54" s="20"/>
      <c r="BO54" s="6"/>
      <c r="BP54" s="20"/>
      <c r="BQ54" s="19"/>
      <c r="BR54" s="20"/>
      <c r="BS54" s="20"/>
      <c r="BT54" s="20"/>
      <c r="BU54" s="6"/>
      <c r="BW54" s="19"/>
      <c r="BX54" s="20"/>
      <c r="BY54" s="20"/>
      <c r="BZ54" s="20"/>
      <c r="CA54" s="6"/>
      <c r="CC54" s="19"/>
      <c r="CD54" s="20"/>
      <c r="CE54" s="20">
        <f>CE52-CD52</f>
        <v>319.90199999999999</v>
      </c>
      <c r="CF54" s="20">
        <f>CF52-CE52</f>
        <v>3</v>
      </c>
      <c r="CG54" s="6">
        <f>SUM(CC54:CF54)</f>
        <v>322.90199999999999</v>
      </c>
      <c r="CI54" s="53">
        <v>0</v>
      </c>
      <c r="CJ54" s="51">
        <v>0</v>
      </c>
      <c r="CK54" s="51">
        <v>0</v>
      </c>
      <c r="CL54" s="51">
        <v>0</v>
      </c>
      <c r="CM54" s="6">
        <f>SUM(CI54:CL54)</f>
        <v>0</v>
      </c>
      <c r="CO54" s="53">
        <v>0</v>
      </c>
      <c r="CP54" s="51">
        <v>0</v>
      </c>
      <c r="CQ54" s="51">
        <v>0</v>
      </c>
      <c r="CR54" s="51">
        <v>0</v>
      </c>
      <c r="CS54" s="6">
        <f>SUM(CO54:CR54)</f>
        <v>0</v>
      </c>
      <c r="CU54" s="53">
        <v>0</v>
      </c>
      <c r="CV54" s="51">
        <v>0</v>
      </c>
      <c r="CW54" s="51">
        <v>0</v>
      </c>
      <c r="CX54" s="51">
        <v>0</v>
      </c>
      <c r="CY54" s="6">
        <f>SUM(CU54:CX54)</f>
        <v>0</v>
      </c>
      <c r="CZ54" s="51"/>
      <c r="DA54" s="51"/>
      <c r="DB54" s="51"/>
    </row>
    <row r="55" spans="1:106" ht="11.25" customHeight="1" x14ac:dyDescent="0.2">
      <c r="A55" s="809" t="s">
        <v>15</v>
      </c>
      <c r="B55" s="240"/>
      <c r="C55" s="22"/>
      <c r="D55" s="379"/>
      <c r="E55" s="379"/>
      <c r="F55" s="379"/>
      <c r="G55" s="157"/>
      <c r="H55" s="240"/>
      <c r="I55" s="22"/>
      <c r="J55" s="379"/>
      <c r="K55" s="379"/>
      <c r="L55" s="379"/>
      <c r="M55" s="157"/>
      <c r="N55" s="240"/>
      <c r="O55" s="22"/>
      <c r="P55" s="379"/>
      <c r="Q55" s="379"/>
      <c r="R55" s="379"/>
      <c r="S55" s="157"/>
      <c r="T55" s="240"/>
      <c r="U55" s="22"/>
      <c r="V55" s="379"/>
      <c r="W55" s="379"/>
      <c r="X55" s="379"/>
      <c r="Y55" s="157"/>
      <c r="Z55" s="240"/>
      <c r="AA55" s="22"/>
      <c r="AB55" s="379"/>
      <c r="AC55" s="379"/>
      <c r="AD55" s="379"/>
      <c r="AE55" s="157"/>
      <c r="AF55" s="240"/>
      <c r="AG55" s="22"/>
      <c r="AH55" s="379"/>
      <c r="AI55" s="379"/>
      <c r="AJ55" s="379"/>
      <c r="AK55" s="157"/>
      <c r="AL55" s="240"/>
      <c r="AM55" s="22"/>
      <c r="AN55" s="379"/>
      <c r="AO55" s="379"/>
      <c r="AP55" s="379"/>
      <c r="AQ55" s="157"/>
      <c r="AR55" s="240"/>
      <c r="AS55" s="22"/>
      <c r="AT55" s="379"/>
      <c r="AU55" s="379"/>
      <c r="AV55" s="379"/>
      <c r="AW55" s="157"/>
      <c r="AX55" s="240"/>
      <c r="AY55" s="22"/>
      <c r="AZ55" s="379"/>
      <c r="BA55" s="379"/>
      <c r="BB55" s="379"/>
      <c r="BC55" s="157"/>
      <c r="BD55" s="240"/>
      <c r="BE55" s="22"/>
      <c r="BF55" s="379"/>
      <c r="BG55" s="379"/>
      <c r="BH55" s="379"/>
      <c r="BI55" s="157"/>
      <c r="BJ55" s="240"/>
      <c r="BK55" s="22"/>
      <c r="BL55" s="379"/>
      <c r="BM55" s="379"/>
      <c r="BN55" s="379"/>
      <c r="BO55" s="157"/>
      <c r="BP55" s="20"/>
      <c r="BQ55" s="22"/>
      <c r="BR55" s="379"/>
      <c r="BS55" s="379"/>
      <c r="BT55" s="379"/>
      <c r="BU55" s="157"/>
      <c r="BW55" s="22"/>
      <c r="BX55" s="379"/>
      <c r="BY55" s="379"/>
      <c r="BZ55" s="379"/>
      <c r="CA55" s="157"/>
      <c r="CC55" s="22"/>
      <c r="CD55" s="379"/>
      <c r="CE55" s="379">
        <f>(CE53*CE52)/4</f>
        <v>0.3998775</v>
      </c>
      <c r="CF55" s="379">
        <f>(CF53*CF52)/4</f>
        <v>0.40362749999999997</v>
      </c>
      <c r="CG55" s="157">
        <f>SUM(CC55:CF55)</f>
        <v>0.80350499999999991</v>
      </c>
      <c r="CI55" s="22">
        <f>(CI53*CI52)/4</f>
        <v>0.40362749999999997</v>
      </c>
      <c r="CJ55" s="379">
        <f>(CJ53*CJ52)/4</f>
        <v>0.40362749999999997</v>
      </c>
      <c r="CK55" s="379">
        <f>(CK53*CK52)/4</f>
        <v>0.40362749999999997</v>
      </c>
      <c r="CL55" s="379">
        <f>(CL53*CL52)/4</f>
        <v>0.40362749999999997</v>
      </c>
      <c r="CM55" s="157">
        <f>SUM(CI55:CL55)</f>
        <v>1.6145099999999999</v>
      </c>
      <c r="CO55" s="22">
        <f>(CO53*CO52)/4</f>
        <v>0.40362749999999997</v>
      </c>
      <c r="CP55" s="379">
        <f>(CP53*CP52)/4</f>
        <v>0.40362749999999997</v>
      </c>
      <c r="CQ55" s="379">
        <f>(CQ53*CQ52)/4</f>
        <v>0.40362749999999997</v>
      </c>
      <c r="CR55" s="379">
        <f>(CR53*CR52)/4</f>
        <v>0.40362749999999997</v>
      </c>
      <c r="CS55" s="157">
        <f>SUM(CO55:CR55)</f>
        <v>1.6145099999999999</v>
      </c>
      <c r="CU55" s="22">
        <f>(CU53*CU52)/4</f>
        <v>0.40362749999999997</v>
      </c>
      <c r="CV55" s="379">
        <f>(CV53*CV52)/4</f>
        <v>0.40362749999999997</v>
      </c>
      <c r="CW55" s="379">
        <f>(CW53*CW52)/4</f>
        <v>0.40362749999999997</v>
      </c>
      <c r="CX55" s="379">
        <f>(CX53*CX52)/4</f>
        <v>0.40362749999999997</v>
      </c>
      <c r="CY55" s="157">
        <f>SUM(CU55:CX55)</f>
        <v>1.6145099999999999</v>
      </c>
    </row>
    <row r="56" spans="1:106" ht="11.25" customHeight="1" x14ac:dyDescent="0.2">
      <c r="A56" s="817" t="s">
        <v>241</v>
      </c>
      <c r="B56" s="39"/>
      <c r="C56" s="19"/>
      <c r="D56" s="20"/>
      <c r="E56" s="20"/>
      <c r="F56" s="20"/>
      <c r="G56" s="6"/>
      <c r="H56" s="39"/>
      <c r="I56" s="19"/>
      <c r="J56" s="20"/>
      <c r="K56" s="20"/>
      <c r="L56" s="20"/>
      <c r="M56" s="6"/>
      <c r="N56" s="39"/>
      <c r="O56" s="19"/>
      <c r="P56" s="20"/>
      <c r="Q56" s="20"/>
      <c r="R56" s="20"/>
      <c r="S56" s="6"/>
      <c r="T56" s="39"/>
      <c r="U56" s="19"/>
      <c r="V56" s="20"/>
      <c r="W56" s="20"/>
      <c r="X56" s="20"/>
      <c r="Y56" s="6"/>
      <c r="Z56" s="39"/>
      <c r="AA56" s="19"/>
      <c r="AB56" s="20"/>
      <c r="AC56" s="20"/>
      <c r="AD56" s="20"/>
      <c r="AE56" s="6"/>
      <c r="AF56" s="39"/>
      <c r="AG56" s="19"/>
      <c r="AH56" s="20"/>
      <c r="AI56" s="20"/>
      <c r="AJ56" s="20"/>
      <c r="AK56" s="327"/>
      <c r="AL56" s="39"/>
      <c r="AM56" s="818"/>
      <c r="AN56" s="798">
        <v>2.76</v>
      </c>
      <c r="AO56" s="798">
        <v>3.0720000000000001</v>
      </c>
      <c r="AP56" s="799">
        <v>3.0059999999999998</v>
      </c>
      <c r="AQ56" s="327">
        <f>AP56</f>
        <v>3.0059999999999998</v>
      </c>
      <c r="AR56" s="39"/>
      <c r="AS56" s="53">
        <v>3.1970000000000001</v>
      </c>
      <c r="AT56" s="51">
        <v>3.2530000000000001</v>
      </c>
      <c r="AU56" s="51">
        <f>2.59+0.293+0.283</f>
        <v>3.1659999999999999</v>
      </c>
      <c r="AV56" s="51">
        <f>2.103+0.519</f>
        <v>2.6220000000000003</v>
      </c>
      <c r="AW56" s="6">
        <f>AV56</f>
        <v>2.6220000000000003</v>
      </c>
      <c r="AX56" s="39"/>
      <c r="AY56" s="53">
        <f>2.171+0.502</f>
        <v>2.673</v>
      </c>
      <c r="AZ56" s="51">
        <f>1.652+0.441</f>
        <v>2.093</v>
      </c>
      <c r="BA56" s="51">
        <f>1.293+0.421</f>
        <v>1.714</v>
      </c>
      <c r="BB56" s="51">
        <v>1.992</v>
      </c>
      <c r="BC56" s="6">
        <f>BB56</f>
        <v>1.992</v>
      </c>
      <c r="BD56" s="39"/>
      <c r="BE56" s="53">
        <f>BC56</f>
        <v>1.992</v>
      </c>
      <c r="BF56" s="798">
        <v>1.3560000000000001</v>
      </c>
      <c r="BG56" s="798">
        <v>1.661</v>
      </c>
      <c r="BH56" s="798">
        <v>0.48299999999999998</v>
      </c>
      <c r="BI56" s="6">
        <f>BH56</f>
        <v>0.48299999999999998</v>
      </c>
      <c r="BJ56" s="39"/>
      <c r="BK56" s="53">
        <v>0.96599999999999997</v>
      </c>
      <c r="BL56" s="1062">
        <v>0.95699999999999996</v>
      </c>
      <c r="BM56" s="1062">
        <v>0.88100000000000001</v>
      </c>
      <c r="BN56" s="1062">
        <v>0.66800000000000004</v>
      </c>
      <c r="BO56" s="6">
        <f>BN56</f>
        <v>0.66800000000000004</v>
      </c>
      <c r="BP56" s="20"/>
      <c r="BQ56" s="53">
        <v>0.59099999999999997</v>
      </c>
      <c r="BR56" s="1062">
        <v>0.61499999999999999</v>
      </c>
      <c r="BS56" s="1062">
        <v>0.49</v>
      </c>
      <c r="BT56" s="1062">
        <v>0</v>
      </c>
      <c r="BU56" s="6">
        <f>BT56</f>
        <v>0</v>
      </c>
      <c r="BW56" s="53">
        <v>0</v>
      </c>
      <c r="BX56" s="1062">
        <v>5.7270000000000003</v>
      </c>
      <c r="BY56" s="1062">
        <v>0</v>
      </c>
      <c r="BZ56" s="1062">
        <v>0</v>
      </c>
      <c r="CA56" s="6">
        <f>BZ56</f>
        <v>0</v>
      </c>
      <c r="CC56" s="53">
        <v>0</v>
      </c>
      <c r="CD56" s="1062">
        <v>306.38400000000001</v>
      </c>
      <c r="CE56" s="1062">
        <v>344.99099999999999</v>
      </c>
      <c r="CF56" s="1062">
        <v>349.81200000000001</v>
      </c>
      <c r="CG56" s="6">
        <f>CF56</f>
        <v>349.81200000000001</v>
      </c>
      <c r="CI56" s="19">
        <f>CG56</f>
        <v>349.81200000000001</v>
      </c>
      <c r="CJ56" s="20">
        <f>CI56-CI58</f>
        <v>349.81200000000001</v>
      </c>
      <c r="CK56" s="20">
        <f>CJ56</f>
        <v>349.81200000000001</v>
      </c>
      <c r="CL56" s="20">
        <f>CK56</f>
        <v>349.81200000000001</v>
      </c>
      <c r="CM56" s="6">
        <f>CL56</f>
        <v>349.81200000000001</v>
      </c>
      <c r="CO56" s="19">
        <f>CM56</f>
        <v>349.81200000000001</v>
      </c>
      <c r="CP56" s="20">
        <f>CO56-CO58</f>
        <v>349.81200000000001</v>
      </c>
      <c r="CQ56" s="20">
        <f>CP56</f>
        <v>349.81200000000001</v>
      </c>
      <c r="CR56" s="20">
        <f>CQ56</f>
        <v>349.81200000000001</v>
      </c>
      <c r="CS56" s="6">
        <f>CR56</f>
        <v>349.81200000000001</v>
      </c>
      <c r="CU56" s="19">
        <f>CS56</f>
        <v>349.81200000000001</v>
      </c>
      <c r="CV56" s="20">
        <f>CU56-CU58</f>
        <v>349.81200000000001</v>
      </c>
      <c r="CW56" s="20">
        <f>CV56</f>
        <v>349.81200000000001</v>
      </c>
      <c r="CX56" s="20">
        <f>CW56</f>
        <v>349.81200000000001</v>
      </c>
      <c r="CY56" s="6">
        <f>CX56</f>
        <v>349.81200000000001</v>
      </c>
    </row>
    <row r="57" spans="1:106" ht="11.25" customHeight="1" x14ac:dyDescent="0.2">
      <c r="A57" s="305" t="s">
        <v>106</v>
      </c>
      <c r="B57" s="39"/>
      <c r="C57" s="19"/>
      <c r="D57" s="20"/>
      <c r="E57" s="20"/>
      <c r="F57" s="20"/>
      <c r="G57" s="6"/>
      <c r="H57" s="39"/>
      <c r="I57" s="19"/>
      <c r="J57" s="20"/>
      <c r="K57" s="20"/>
      <c r="L57" s="20"/>
      <c r="M57" s="6"/>
      <c r="N57" s="39"/>
      <c r="O57" s="19"/>
      <c r="P57" s="20"/>
      <c r="Q57" s="20"/>
      <c r="R57" s="20"/>
      <c r="S57" s="6"/>
      <c r="T57" s="39"/>
      <c r="U57" s="19"/>
      <c r="V57" s="20"/>
      <c r="W57" s="20"/>
      <c r="X57" s="20"/>
      <c r="Y57" s="6"/>
      <c r="Z57" s="39"/>
      <c r="AA57" s="19"/>
      <c r="AB57" s="20"/>
      <c r="AC57" s="20"/>
      <c r="AD57" s="20"/>
      <c r="AE57" s="6"/>
      <c r="AF57" s="39"/>
      <c r="AG57" s="19"/>
      <c r="AH57" s="20"/>
      <c r="AI57" s="20"/>
      <c r="AJ57" s="20"/>
      <c r="AK57" s="6"/>
      <c r="AL57" s="39"/>
      <c r="AM57" s="819"/>
      <c r="AN57" s="820">
        <v>3.5000000000000003E-2</v>
      </c>
      <c r="AO57" s="820">
        <v>3.5000000000000003E-2</v>
      </c>
      <c r="AP57" s="821">
        <v>3.5000000000000003E-2</v>
      </c>
      <c r="AQ57" s="822">
        <f>AP57</f>
        <v>3.5000000000000003E-2</v>
      </c>
      <c r="AR57" s="39"/>
      <c r="AS57" s="819">
        <v>3.5000000000000003E-2</v>
      </c>
      <c r="AT57" s="820">
        <v>3.5000000000000003E-2</v>
      </c>
      <c r="AU57" s="820">
        <v>3.5000000000000003E-2</v>
      </c>
      <c r="AV57" s="821">
        <v>3.5000000000000003E-2</v>
      </c>
      <c r="AW57" s="822">
        <f>AV57</f>
        <v>3.5000000000000003E-2</v>
      </c>
      <c r="AX57" s="39"/>
      <c r="AY57" s="819">
        <v>3.5000000000000003E-2</v>
      </c>
      <c r="AZ57" s="820">
        <v>3.5000000000000003E-2</v>
      </c>
      <c r="BA57" s="820">
        <v>3.5000000000000003E-2</v>
      </c>
      <c r="BB57" s="821">
        <v>6.2799999999999995E-2</v>
      </c>
      <c r="BC57" s="822">
        <f>BB57</f>
        <v>6.2799999999999995E-2</v>
      </c>
      <c r="BD57" s="39"/>
      <c r="BE57" s="819">
        <v>3.5000000000000003E-2</v>
      </c>
      <c r="BF57" s="815">
        <v>3.5000000000000003E-2</v>
      </c>
      <c r="BG57" s="815">
        <v>6.2799999999999995E-2</v>
      </c>
      <c r="BH57" s="815">
        <v>6.2799999999999995E-2</v>
      </c>
      <c r="BI57" s="822">
        <f>BH57</f>
        <v>6.2799999999999995E-2</v>
      </c>
      <c r="BJ57" s="39"/>
      <c r="BK57" s="819">
        <v>6.2799999999999995E-2</v>
      </c>
      <c r="BL57" s="883">
        <v>6.2799999999999995E-2</v>
      </c>
      <c r="BM57" s="883">
        <v>6.2799999999999995E-2</v>
      </c>
      <c r="BN57" s="884">
        <v>6.2799999999999995E-2</v>
      </c>
      <c r="BO57" s="822">
        <f>BN57</f>
        <v>6.2799999999999995E-2</v>
      </c>
      <c r="BP57" s="20"/>
      <c r="BQ57" s="882">
        <v>6.2799999999999995E-2</v>
      </c>
      <c r="BR57" s="883">
        <f>+BQ57</f>
        <v>6.2799999999999995E-2</v>
      </c>
      <c r="BS57" s="883">
        <f>+BR57</f>
        <v>6.2799999999999995E-2</v>
      </c>
      <c r="BT57" s="884">
        <f>+BS57</f>
        <v>6.2799999999999995E-2</v>
      </c>
      <c r="BU57" s="822">
        <f>BT57</f>
        <v>6.2799999999999995E-2</v>
      </c>
      <c r="BW57" s="882">
        <v>0</v>
      </c>
      <c r="BX57" s="883">
        <v>9.2499999999999999E-2</v>
      </c>
      <c r="BY57" s="883">
        <v>9.2999999999999999E-2</v>
      </c>
      <c r="BZ57" s="884">
        <f>+BY57</f>
        <v>9.2999999999999999E-2</v>
      </c>
      <c r="CA57" s="822">
        <f>BZ57</f>
        <v>9.2999999999999999E-2</v>
      </c>
      <c r="CC57" s="882">
        <v>0</v>
      </c>
      <c r="CD57" s="883">
        <f>AVERAGE(0.4%, 0.68%, 1.09%, 1.61%,(-0.372%+0.4%),(-0.372%+0.7%), (1.42%+1.2%),(-0.37857%+0.5%))</f>
        <v>8.5967875000000013E-3</v>
      </c>
      <c r="CE57" s="883">
        <f>AVERAGE(0.4%, 0.68%, 1.09%, 1.61%,(-0.372%+0.4%),(-0.372%+0.7%), (1.42%+1.2%),(-0.37857%+0.5%))</f>
        <v>8.5967875000000013E-3</v>
      </c>
      <c r="CF57" s="2179">
        <f>AVERAGE(0.4%, 0.68%, 1.09%, 1.61%,(-0.327%+0.4%),(-0.327%+0.7%), (2.0349%+1.2%),(-0.327%+0.5%),(-0.327%+0.5%))</f>
        <v>8.6743333333333325E-3</v>
      </c>
      <c r="CG57" s="2178">
        <f>CF57</f>
        <v>8.6743333333333325E-3</v>
      </c>
      <c r="CI57" s="2175">
        <f>CM57</f>
        <v>8.6743333333333325E-3</v>
      </c>
      <c r="CJ57" s="2176">
        <f>CM57</f>
        <v>8.6743333333333325E-3</v>
      </c>
      <c r="CK57" s="2176">
        <f>CM57</f>
        <v>8.6743333333333325E-3</v>
      </c>
      <c r="CL57" s="2176">
        <f>CM57</f>
        <v>8.6743333333333325E-3</v>
      </c>
      <c r="CM57" s="2174">
        <f>CG57</f>
        <v>8.6743333333333325E-3</v>
      </c>
      <c r="CN57" s="2177"/>
      <c r="CO57" s="2175">
        <f>CS57</f>
        <v>8.6743333333333325E-3</v>
      </c>
      <c r="CP57" s="2176">
        <f>CS57</f>
        <v>8.6743333333333325E-3</v>
      </c>
      <c r="CQ57" s="2176">
        <f>CS57</f>
        <v>8.6743333333333325E-3</v>
      </c>
      <c r="CR57" s="2176">
        <f>CS57</f>
        <v>8.6743333333333325E-3</v>
      </c>
      <c r="CS57" s="2174">
        <f>CM57</f>
        <v>8.6743333333333325E-3</v>
      </c>
      <c r="CT57" s="2177"/>
      <c r="CU57" s="2175">
        <f>CY57</f>
        <v>8.6743333333333325E-3</v>
      </c>
      <c r="CV57" s="2176">
        <f>CY57</f>
        <v>8.6743333333333325E-3</v>
      </c>
      <c r="CW57" s="2176">
        <f>CY57</f>
        <v>8.6743333333333325E-3</v>
      </c>
      <c r="CX57" s="2176">
        <f>CY57</f>
        <v>8.6743333333333325E-3</v>
      </c>
      <c r="CY57" s="2174">
        <f>CS57</f>
        <v>8.6743333333333325E-3</v>
      </c>
    </row>
    <row r="58" spans="1:106" ht="11.25" customHeight="1" x14ac:dyDescent="0.2">
      <c r="A58" s="808" t="s">
        <v>107</v>
      </c>
      <c r="B58" s="39"/>
      <c r="C58" s="19"/>
      <c r="D58" s="20"/>
      <c r="E58" s="20"/>
      <c r="F58" s="20"/>
      <c r="G58" s="6"/>
      <c r="H58" s="39"/>
      <c r="I58" s="19"/>
      <c r="J58" s="20"/>
      <c r="K58" s="20"/>
      <c r="L58" s="20"/>
      <c r="M58" s="6"/>
      <c r="N58" s="39"/>
      <c r="O58" s="19"/>
      <c r="P58" s="20"/>
      <c r="Q58" s="20"/>
      <c r="R58" s="20"/>
      <c r="S58" s="6"/>
      <c r="T58" s="39"/>
      <c r="U58" s="19"/>
      <c r="V58" s="20"/>
      <c r="W58" s="20"/>
      <c r="X58" s="20"/>
      <c r="Y58" s="6"/>
      <c r="Z58" s="39"/>
      <c r="AA58" s="19"/>
      <c r="AB58" s="20"/>
      <c r="AC58" s="20"/>
      <c r="AD58" s="20"/>
      <c r="AE58" s="6"/>
      <c r="AF58" s="39"/>
      <c r="AG58" s="19"/>
      <c r="AH58" s="20"/>
      <c r="AI58" s="20"/>
      <c r="AJ58" s="20"/>
      <c r="AK58" s="6"/>
      <c r="AL58" s="39"/>
      <c r="AM58" s="201"/>
      <c r="AN58" s="202"/>
      <c r="AO58" s="202"/>
      <c r="AP58" s="823"/>
      <c r="AQ58" s="6"/>
      <c r="AR58" s="39"/>
      <c r="AS58" s="19"/>
      <c r="AT58" s="20"/>
      <c r="AU58" s="20"/>
      <c r="AV58" s="20"/>
      <c r="AW58" s="6"/>
      <c r="AX58" s="39"/>
      <c r="AY58" s="19">
        <f>AV56-AY56</f>
        <v>-5.0999999999999712E-2</v>
      </c>
      <c r="AZ58" s="20">
        <f>AY56-AZ56</f>
        <v>0.58000000000000007</v>
      </c>
      <c r="BA58" s="20">
        <f>AZ56-BA56</f>
        <v>0.379</v>
      </c>
      <c r="BB58" s="20">
        <v>0</v>
      </c>
      <c r="BC58" s="6">
        <f>SUM(AY58:BB58)</f>
        <v>0.90800000000000036</v>
      </c>
      <c r="BD58" s="39"/>
      <c r="BE58" s="19">
        <f>BB56-BE56</f>
        <v>0</v>
      </c>
      <c r="BF58" s="20">
        <f>BF56-BE56</f>
        <v>-0.6359999999999999</v>
      </c>
      <c r="BG58" s="20">
        <f>BG56-BF56</f>
        <v>0.30499999999999994</v>
      </c>
      <c r="BH58" s="20">
        <f>BH56-BG56</f>
        <v>-1.1779999999999999</v>
      </c>
      <c r="BI58" s="6"/>
      <c r="BJ58" s="39"/>
      <c r="BK58" s="19"/>
      <c r="BL58" s="20"/>
      <c r="BM58" s="20"/>
      <c r="BN58" s="20"/>
      <c r="BO58" s="6"/>
      <c r="BP58" s="20"/>
      <c r="BQ58" s="19">
        <f>+BQ56-BN56</f>
        <v>-7.7000000000000068E-2</v>
      </c>
      <c r="BR58" s="20">
        <f>BR56-BQ56</f>
        <v>2.4000000000000021E-2</v>
      </c>
      <c r="BS58" s="20">
        <f>BS56-BR56</f>
        <v>-0.125</v>
      </c>
      <c r="BT58" s="20">
        <f>BT56-BS56</f>
        <v>-0.49</v>
      </c>
      <c r="BU58" s="6"/>
      <c r="BW58" s="19">
        <f>+BW56-BT56</f>
        <v>0</v>
      </c>
      <c r="BX58" s="20">
        <f>BX56-BW56</f>
        <v>5.7270000000000003</v>
      </c>
      <c r="BY58" s="20">
        <f>BY56-BX56</f>
        <v>-5.7270000000000003</v>
      </c>
      <c r="BZ58" s="20">
        <f>BZ56-BY56</f>
        <v>0</v>
      </c>
      <c r="CA58" s="6"/>
      <c r="CC58" s="19">
        <f>+CC56-BZ56</f>
        <v>0</v>
      </c>
      <c r="CD58" s="20">
        <f>CD56-CC56</f>
        <v>306.38400000000001</v>
      </c>
      <c r="CE58" s="20">
        <f>CE56-CD56</f>
        <v>38.606999999999971</v>
      </c>
      <c r="CF58" s="20">
        <f>CF56-CE56</f>
        <v>4.8210000000000264</v>
      </c>
      <c r="CG58" s="6">
        <f>SUM(CC58:CF58)</f>
        <v>349.81200000000001</v>
      </c>
      <c r="CI58" s="19"/>
      <c r="CJ58" s="20"/>
      <c r="CK58" s="20"/>
      <c r="CL58" s="20"/>
      <c r="CM58" s="6"/>
      <c r="CO58" s="19"/>
      <c r="CP58" s="20"/>
      <c r="CQ58" s="20"/>
      <c r="CR58" s="20"/>
      <c r="CS58" s="6"/>
      <c r="CU58" s="19"/>
      <c r="CV58" s="20"/>
      <c r="CW58" s="20"/>
      <c r="CX58" s="20"/>
      <c r="CY58" s="6"/>
    </row>
    <row r="59" spans="1:106" ht="11.25" customHeight="1" x14ac:dyDescent="0.2">
      <c r="A59" s="809" t="s">
        <v>15</v>
      </c>
      <c r="B59" s="39"/>
      <c r="C59" s="19"/>
      <c r="D59" s="20"/>
      <c r="E59" s="20"/>
      <c r="F59" s="20"/>
      <c r="G59" s="6"/>
      <c r="H59" s="39"/>
      <c r="I59" s="19"/>
      <c r="J59" s="20"/>
      <c r="K59" s="20"/>
      <c r="L59" s="20"/>
      <c r="M59" s="6"/>
      <c r="N59" s="39"/>
      <c r="O59" s="19"/>
      <c r="P59" s="20"/>
      <c r="Q59" s="20"/>
      <c r="R59" s="20"/>
      <c r="S59" s="6"/>
      <c r="T59" s="39"/>
      <c r="U59" s="19"/>
      <c r="V59" s="20"/>
      <c r="W59" s="20"/>
      <c r="X59" s="20"/>
      <c r="Y59" s="6"/>
      <c r="Z59" s="39"/>
      <c r="AA59" s="19"/>
      <c r="AB59" s="20"/>
      <c r="AC59" s="20"/>
      <c r="AD59" s="20"/>
      <c r="AE59" s="6"/>
      <c r="AF59" s="39"/>
      <c r="AG59" s="19"/>
      <c r="AH59" s="20"/>
      <c r="AI59" s="20"/>
      <c r="AJ59" s="20"/>
      <c r="AK59" s="157"/>
      <c r="AL59" s="39"/>
      <c r="AM59" s="824"/>
      <c r="AN59" s="825"/>
      <c r="AO59" s="825"/>
      <c r="AP59" s="825"/>
      <c r="AQ59" s="157"/>
      <c r="AR59" s="39"/>
      <c r="AS59" s="826"/>
      <c r="AT59" s="825"/>
      <c r="AU59" s="825"/>
      <c r="AV59" s="825"/>
      <c r="AW59" s="157"/>
      <c r="AX59" s="39"/>
      <c r="AY59" s="826">
        <f>(AY57*AY56)/4</f>
        <v>2.3388750000000003E-2</v>
      </c>
      <c r="AZ59" s="825">
        <f>(AZ57*AZ56)/4</f>
        <v>1.831375E-2</v>
      </c>
      <c r="BA59" s="825">
        <f>(BA57*BA56)/4</f>
        <v>1.49975E-2</v>
      </c>
      <c r="BB59" s="825">
        <f>(BB57*BB56)/4</f>
        <v>3.1274399999999994E-2</v>
      </c>
      <c r="BC59" s="157">
        <f>SUM(AY59:BB59)</f>
        <v>8.7974399999999994E-2</v>
      </c>
      <c r="BD59" s="39"/>
      <c r="BE59" s="826">
        <f>(BE57*BE56)/4</f>
        <v>1.7430000000000001E-2</v>
      </c>
      <c r="BF59" s="379">
        <f>(BF57*BF56)/4</f>
        <v>1.1865000000000002E-2</v>
      </c>
      <c r="BG59" s="379">
        <f>(BG57*BG56)/4</f>
        <v>2.6077699999999999E-2</v>
      </c>
      <c r="BH59" s="825">
        <f>(BH57*BH56)/4</f>
        <v>7.5830999999999989E-3</v>
      </c>
      <c r="BI59" s="157">
        <f>SUM(BE59:BH59)</f>
        <v>6.2955799999999992E-2</v>
      </c>
      <c r="BJ59" s="39"/>
      <c r="BK59" s="826">
        <f>(BK57*BK56)/4</f>
        <v>1.5166199999999998E-2</v>
      </c>
      <c r="BL59" s="825">
        <f>(BL57*BL56)/4</f>
        <v>1.5024899999999997E-2</v>
      </c>
      <c r="BM59" s="825">
        <f>(BM57*BM56)/4</f>
        <v>1.3831699999999999E-2</v>
      </c>
      <c r="BN59" s="825">
        <f>(BN57*BN56)/4</f>
        <v>1.04876E-2</v>
      </c>
      <c r="BO59" s="157">
        <f>SUM(BK59:BN59)</f>
        <v>5.4510399999999994E-2</v>
      </c>
      <c r="BP59" s="20"/>
      <c r="BQ59" s="826">
        <f>(BQ57*BQ56)/4</f>
        <v>9.2786999999999991E-3</v>
      </c>
      <c r="BR59" s="825">
        <f>(BR57*BR56)/4</f>
        <v>9.6554999999999992E-3</v>
      </c>
      <c r="BS59" s="825">
        <f>(BS57*BS56)/4</f>
        <v>7.6929999999999993E-3</v>
      </c>
      <c r="BT59" s="825">
        <f>(BT57*BT56)/4</f>
        <v>0</v>
      </c>
      <c r="BU59" s="157">
        <f>SUM(BQ59:BT59)</f>
        <v>2.6627199999999997E-2</v>
      </c>
      <c r="BW59" s="826">
        <f>(BW57*BW56)/4</f>
        <v>0</v>
      </c>
      <c r="BX59" s="825">
        <f>(BX57*BX56)/4</f>
        <v>0.13243687500000001</v>
      </c>
      <c r="BY59" s="825">
        <f>(BY57*BY56)/4</f>
        <v>0</v>
      </c>
      <c r="BZ59" s="825">
        <f>(BZ57*BZ56)/4</f>
        <v>0</v>
      </c>
      <c r="CA59" s="157">
        <f>SUM(BW59:BZ59)</f>
        <v>0.13243687500000001</v>
      </c>
      <c r="CC59" s="826">
        <f>(CC57*CC56)/4</f>
        <v>0</v>
      </c>
      <c r="CD59" s="825">
        <f>(CD57*CD56)/4</f>
        <v>0.65847953535000014</v>
      </c>
      <c r="CE59" s="825">
        <f>(CE57*CE56)/4</f>
        <v>0.74145357910312504</v>
      </c>
      <c r="CF59" s="825">
        <f>(CF57*CF56)/4</f>
        <v>0.75859647299999999</v>
      </c>
      <c r="CG59" s="157">
        <f>SUM(CC59:CF59)</f>
        <v>2.158529587453125</v>
      </c>
      <c r="CI59" s="826">
        <f>(CI57*CI56)/4</f>
        <v>0.75859647299999999</v>
      </c>
      <c r="CJ59" s="825">
        <f>(CJ57*CJ56)/4</f>
        <v>0.75859647299999999</v>
      </c>
      <c r="CK59" s="825">
        <f>(CK57*CK56)/4</f>
        <v>0.75859647299999999</v>
      </c>
      <c r="CL59" s="825">
        <f>(CL57*CL56)/4</f>
        <v>0.75859647299999999</v>
      </c>
      <c r="CM59" s="157">
        <f>SUM(CI59:CL59)</f>
        <v>3.034385892</v>
      </c>
      <c r="CO59" s="826">
        <f>(CO57*CO56)/4</f>
        <v>0.75859647299999999</v>
      </c>
      <c r="CP59" s="825">
        <f>(CP57*CP56)/4</f>
        <v>0.75859647299999999</v>
      </c>
      <c r="CQ59" s="825">
        <f>(CQ57*CQ56)/4</f>
        <v>0.75859647299999999</v>
      </c>
      <c r="CR59" s="825">
        <f>(CR57*CR56)/4</f>
        <v>0.75859647299999999</v>
      </c>
      <c r="CS59" s="157">
        <f>SUM(CO59:CR59)</f>
        <v>3.034385892</v>
      </c>
      <c r="CU59" s="826">
        <f>(CU57*CU56)/4</f>
        <v>0.75859647299999999</v>
      </c>
      <c r="CV59" s="825">
        <f>(CV57*CV56)/4</f>
        <v>0.75859647299999999</v>
      </c>
      <c r="CW59" s="825">
        <f>(CW57*CW56)/4</f>
        <v>0.75859647299999999</v>
      </c>
      <c r="CX59" s="825">
        <f>(CX57*CX56)/4</f>
        <v>0.75859647299999999</v>
      </c>
      <c r="CY59" s="157">
        <f>SUM(CU59:CX59)</f>
        <v>3.034385892</v>
      </c>
    </row>
    <row r="60" spans="1:106" ht="11.25" customHeight="1" outlineLevel="1" x14ac:dyDescent="0.2">
      <c r="A60" s="812" t="s">
        <v>171</v>
      </c>
      <c r="B60" s="40"/>
      <c r="C60" s="797">
        <v>54.6</v>
      </c>
      <c r="D60" s="798">
        <v>48.6</v>
      </c>
      <c r="E60" s="798">
        <v>49.7</v>
      </c>
      <c r="F60" s="281">
        <f>G60</f>
        <v>0</v>
      </c>
      <c r="G60" s="420">
        <v>0</v>
      </c>
      <c r="H60" s="40"/>
      <c r="I60" s="797">
        <v>0</v>
      </c>
      <c r="J60" s="798">
        <v>0</v>
      </c>
      <c r="K60" s="798">
        <v>0</v>
      </c>
      <c r="L60" s="281">
        <f>M60</f>
        <v>0</v>
      </c>
      <c r="M60" s="420">
        <v>0</v>
      </c>
      <c r="N60" s="40"/>
      <c r="O60" s="797">
        <v>0</v>
      </c>
      <c r="P60" s="798">
        <v>0</v>
      </c>
      <c r="Q60" s="798">
        <v>0</v>
      </c>
      <c r="R60" s="281">
        <f>S60</f>
        <v>0</v>
      </c>
      <c r="S60" s="420">
        <v>0</v>
      </c>
      <c r="T60" s="40"/>
      <c r="U60" s="797">
        <v>0</v>
      </c>
      <c r="V60" s="798">
        <v>0</v>
      </c>
      <c r="W60" s="798">
        <v>0</v>
      </c>
      <c r="X60" s="281">
        <f>Y60</f>
        <v>0</v>
      </c>
      <c r="Y60" s="420">
        <v>0</v>
      </c>
      <c r="Z60" s="40"/>
      <c r="AA60" s="797">
        <v>0</v>
      </c>
      <c r="AB60" s="798">
        <v>0</v>
      </c>
      <c r="AC60" s="798">
        <v>0</v>
      </c>
      <c r="AD60" s="798"/>
      <c r="AE60" s="327"/>
      <c r="AF60" s="40"/>
      <c r="AG60" s="412"/>
      <c r="AH60" s="281"/>
      <c r="AI60" s="281"/>
      <c r="AJ60" s="281"/>
      <c r="AK60" s="6"/>
      <c r="AL60" s="40"/>
      <c r="AM60" s="412"/>
      <c r="AN60" s="20"/>
      <c r="AO60" s="281"/>
      <c r="AP60" s="281"/>
      <c r="AQ60" s="327"/>
      <c r="AR60" s="40"/>
      <c r="AS60" s="412"/>
      <c r="AT60" s="281"/>
      <c r="AU60" s="281"/>
      <c r="AV60" s="281"/>
      <c r="AW60" s="327"/>
      <c r="AX60" s="40"/>
      <c r="AY60" s="412"/>
      <c r="AZ60" s="281"/>
      <c r="BA60" s="281"/>
      <c r="BB60" s="281"/>
      <c r="BC60" s="327"/>
      <c r="BD60" s="40"/>
      <c r="BE60" s="412"/>
      <c r="BF60" s="281"/>
      <c r="BG60" s="281"/>
      <c r="BH60" s="281"/>
      <c r="BI60" s="327"/>
      <c r="BJ60" s="40"/>
      <c r="BK60" s="412"/>
      <c r="BL60" s="281"/>
      <c r="BM60" s="281"/>
      <c r="BN60" s="281"/>
      <c r="BO60" s="327"/>
      <c r="BP60" s="20"/>
      <c r="BQ60" s="412"/>
      <c r="BR60" s="281"/>
      <c r="BS60" s="281"/>
      <c r="BT60" s="281"/>
      <c r="BU60" s="327"/>
      <c r="BW60" s="412"/>
      <c r="BX60" s="281"/>
      <c r="BY60" s="281"/>
      <c r="BZ60" s="281"/>
      <c r="CA60" s="327"/>
      <c r="CC60" s="412"/>
      <c r="CD60" s="281"/>
      <c r="CE60" s="281"/>
      <c r="CF60" s="281"/>
      <c r="CG60" s="327"/>
      <c r="CI60" s="412"/>
      <c r="CJ60" s="281"/>
      <c r="CK60" s="281"/>
      <c r="CL60" s="281"/>
      <c r="CM60" s="327"/>
      <c r="CO60" s="412"/>
      <c r="CP60" s="281"/>
      <c r="CQ60" s="281"/>
      <c r="CR60" s="281"/>
      <c r="CS60" s="327"/>
      <c r="CU60" s="412"/>
      <c r="CV60" s="281"/>
      <c r="CW60" s="281"/>
      <c r="CX60" s="281"/>
      <c r="CY60" s="327"/>
    </row>
    <row r="61" spans="1:106" ht="11.25" customHeight="1" outlineLevel="1" x14ac:dyDescent="0.2">
      <c r="A61" s="813" t="s">
        <v>106</v>
      </c>
      <c r="B61" s="39"/>
      <c r="C61" s="210">
        <f>$AD$10+0.75%</f>
        <v>2.6380000000000001E-2</v>
      </c>
      <c r="D61" s="211">
        <f>$AD$10+0.75%</f>
        <v>2.6380000000000001E-2</v>
      </c>
      <c r="E61" s="211">
        <f>$AD$10+0.75%</f>
        <v>2.6380000000000001E-2</v>
      </c>
      <c r="F61" s="20"/>
      <c r="G61" s="6"/>
      <c r="H61" s="39"/>
      <c r="I61" s="53"/>
      <c r="J61" s="51"/>
      <c r="K61" s="51"/>
      <c r="L61" s="20"/>
      <c r="M61" s="331"/>
      <c r="N61" s="39"/>
      <c r="O61" s="53"/>
      <c r="P61" s="51"/>
      <c r="Q61" s="51"/>
      <c r="R61" s="20"/>
      <c r="S61" s="331"/>
      <c r="T61" s="39"/>
      <c r="U61" s="53"/>
      <c r="V61" s="51"/>
      <c r="W61" s="51"/>
      <c r="X61" s="20"/>
      <c r="Y61" s="331"/>
      <c r="Z61" s="39"/>
      <c r="AA61" s="53"/>
      <c r="AB61" s="51"/>
      <c r="AC61" s="51"/>
      <c r="AD61" s="51"/>
      <c r="AE61" s="6"/>
      <c r="AF61" s="39"/>
      <c r="AG61" s="19"/>
      <c r="AH61" s="20"/>
      <c r="AI61" s="20"/>
      <c r="AJ61" s="20"/>
      <c r="AK61" s="6"/>
      <c r="AL61" s="39"/>
      <c r="AM61" s="19"/>
      <c r="AN61" s="20"/>
      <c r="AO61" s="20"/>
      <c r="AP61" s="20"/>
      <c r="AQ61" s="6"/>
      <c r="AR61" s="39"/>
      <c r="AS61" s="19"/>
      <c r="AT61" s="20"/>
      <c r="AU61" s="20"/>
      <c r="AV61" s="20"/>
      <c r="AW61" s="6"/>
      <c r="AX61" s="39"/>
      <c r="AY61" s="19"/>
      <c r="AZ61" s="20"/>
      <c r="BA61" s="20"/>
      <c r="BB61" s="20"/>
      <c r="BC61" s="6"/>
      <c r="BD61" s="39"/>
      <c r="BE61" s="19"/>
      <c r="BF61" s="20"/>
      <c r="BG61" s="20"/>
      <c r="BH61" s="20"/>
      <c r="BI61" s="6"/>
      <c r="BJ61" s="39"/>
      <c r="BK61" s="19"/>
      <c r="BL61" s="20"/>
      <c r="BM61" s="20"/>
      <c r="BN61" s="20"/>
      <c r="BO61" s="6"/>
      <c r="BP61" s="20"/>
      <c r="BQ61" s="19"/>
      <c r="BR61" s="20"/>
      <c r="BS61" s="20"/>
      <c r="BT61" s="20"/>
      <c r="BU61" s="6"/>
      <c r="BW61" s="19"/>
      <c r="BX61" s="20"/>
      <c r="BY61" s="20"/>
      <c r="BZ61" s="20"/>
      <c r="CA61" s="6"/>
      <c r="CC61" s="19"/>
      <c r="CD61" s="20"/>
      <c r="CE61" s="20"/>
      <c r="CF61" s="20"/>
      <c r="CG61" s="6"/>
      <c r="CI61" s="19"/>
      <c r="CJ61" s="20"/>
      <c r="CK61" s="20"/>
      <c r="CL61" s="20"/>
      <c r="CM61" s="6"/>
      <c r="CO61" s="19"/>
      <c r="CP61" s="20"/>
      <c r="CQ61" s="20"/>
      <c r="CR61" s="20"/>
      <c r="CS61" s="6"/>
      <c r="CU61" s="19"/>
      <c r="CV61" s="20"/>
      <c r="CW61" s="20"/>
      <c r="CX61" s="20"/>
      <c r="CY61" s="6"/>
    </row>
    <row r="62" spans="1:106" ht="11.25" customHeight="1" outlineLevel="1" x14ac:dyDescent="0.2">
      <c r="A62" s="808" t="s">
        <v>107</v>
      </c>
      <c r="B62" s="39"/>
      <c r="C62" s="19"/>
      <c r="D62" s="20">
        <f>C60-D60</f>
        <v>6</v>
      </c>
      <c r="E62" s="20">
        <f>D60-E60</f>
        <v>-1.1000000000000014</v>
      </c>
      <c r="F62" s="20">
        <f>E60-F60</f>
        <v>49.7</v>
      </c>
      <c r="G62" s="6">
        <f>SUM(C62:F62)</f>
        <v>54.6</v>
      </c>
      <c r="H62" s="39"/>
      <c r="I62" s="53"/>
      <c r="J62" s="51"/>
      <c r="K62" s="51"/>
      <c r="L62" s="20"/>
      <c r="M62" s="331"/>
      <c r="N62" s="39"/>
      <c r="O62" s="53"/>
      <c r="P62" s="51"/>
      <c r="Q62" s="51"/>
      <c r="R62" s="20"/>
      <c r="S62" s="331"/>
      <c r="T62" s="39"/>
      <c r="U62" s="53"/>
      <c r="V62" s="51"/>
      <c r="W62" s="51"/>
      <c r="X62" s="20"/>
      <c r="Y62" s="331"/>
      <c r="Z62" s="39"/>
      <c r="AA62" s="53"/>
      <c r="AB62" s="51"/>
      <c r="AC62" s="51"/>
      <c r="AD62" s="51"/>
      <c r="AE62" s="6"/>
      <c r="AF62" s="39"/>
      <c r="AG62" s="19"/>
      <c r="AH62" s="20"/>
      <c r="AI62" s="20"/>
      <c r="AJ62" s="20"/>
      <c r="AK62" s="6"/>
      <c r="AL62" s="39"/>
      <c r="AM62" s="19"/>
      <c r="AN62" s="20"/>
      <c r="AO62" s="20"/>
      <c r="AP62" s="20"/>
      <c r="AQ62" s="6"/>
      <c r="AR62" s="39"/>
      <c r="AS62" s="19"/>
      <c r="AT62" s="20"/>
      <c r="AU62" s="20"/>
      <c r="AV62" s="20"/>
      <c r="AW62" s="6"/>
      <c r="AX62" s="39"/>
      <c r="AY62" s="19"/>
      <c r="AZ62" s="20"/>
      <c r="BA62" s="20"/>
      <c r="BB62" s="20"/>
      <c r="BC62" s="6"/>
      <c r="BD62" s="39"/>
      <c r="BE62" s="19"/>
      <c r="BF62" s="20"/>
      <c r="BG62" s="20"/>
      <c r="BH62" s="20"/>
      <c r="BI62" s="6"/>
      <c r="BJ62" s="39"/>
      <c r="BK62" s="19"/>
      <c r="BL62" s="20"/>
      <c r="BM62" s="20"/>
      <c r="BN62" s="20"/>
      <c r="BO62" s="6"/>
      <c r="BP62" s="20"/>
      <c r="BQ62" s="19"/>
      <c r="BR62" s="20"/>
      <c r="BS62" s="20"/>
      <c r="BT62" s="20"/>
      <c r="BU62" s="6"/>
      <c r="BW62" s="19"/>
      <c r="BX62" s="20"/>
      <c r="BY62" s="20"/>
      <c r="BZ62" s="20"/>
      <c r="CA62" s="6"/>
      <c r="CC62" s="19"/>
      <c r="CD62" s="20"/>
      <c r="CE62" s="20"/>
      <c r="CF62" s="20"/>
      <c r="CG62" s="6"/>
      <c r="CI62" s="19"/>
      <c r="CJ62" s="20"/>
      <c r="CK62" s="20"/>
      <c r="CL62" s="20"/>
      <c r="CM62" s="6"/>
      <c r="CO62" s="19"/>
      <c r="CP62" s="20"/>
      <c r="CQ62" s="20"/>
      <c r="CR62" s="20"/>
      <c r="CS62" s="6"/>
      <c r="CU62" s="19"/>
      <c r="CV62" s="20"/>
      <c r="CW62" s="20"/>
      <c r="CX62" s="20"/>
      <c r="CY62" s="6"/>
    </row>
    <row r="63" spans="1:106" ht="11.25" customHeight="1" outlineLevel="1" x14ac:dyDescent="0.2">
      <c r="A63" s="809" t="s">
        <v>15</v>
      </c>
      <c r="B63" s="240"/>
      <c r="C63" s="22"/>
      <c r="D63" s="379"/>
      <c r="E63" s="379"/>
      <c r="F63" s="379"/>
      <c r="G63" s="157"/>
      <c r="H63" s="240"/>
      <c r="I63" s="827"/>
      <c r="J63" s="828"/>
      <c r="K63" s="828"/>
      <c r="L63" s="379"/>
      <c r="M63" s="829"/>
      <c r="N63" s="240"/>
      <c r="O63" s="827"/>
      <c r="P63" s="828"/>
      <c r="Q63" s="828"/>
      <c r="R63" s="379"/>
      <c r="S63" s="829"/>
      <c r="T63" s="240"/>
      <c r="U63" s="827"/>
      <c r="V63" s="828"/>
      <c r="W63" s="828"/>
      <c r="X63" s="379"/>
      <c r="Y63" s="829"/>
      <c r="Z63" s="240"/>
      <c r="AA63" s="827"/>
      <c r="AB63" s="828"/>
      <c r="AC63" s="828"/>
      <c r="AD63" s="828"/>
      <c r="AE63" s="157"/>
      <c r="AF63" s="240"/>
      <c r="AG63" s="22"/>
      <c r="AH63" s="379"/>
      <c r="AI63" s="379"/>
      <c r="AJ63" s="379"/>
      <c r="AK63" s="6"/>
      <c r="AL63" s="240"/>
      <c r="AM63" s="22"/>
      <c r="AN63" s="379"/>
      <c r="AO63" s="379"/>
      <c r="AP63" s="379"/>
      <c r="AQ63" s="157"/>
      <c r="AR63" s="240"/>
      <c r="AS63" s="22"/>
      <c r="AT63" s="379"/>
      <c r="AU63" s="379"/>
      <c r="AV63" s="379"/>
      <c r="AW63" s="157"/>
      <c r="AX63" s="240"/>
      <c r="AY63" s="22"/>
      <c r="AZ63" s="379"/>
      <c r="BA63" s="379"/>
      <c r="BB63" s="379"/>
      <c r="BC63" s="157"/>
      <c r="BD63" s="240"/>
      <c r="BE63" s="22"/>
      <c r="BF63" s="379"/>
      <c r="BG63" s="379"/>
      <c r="BH63" s="379"/>
      <c r="BI63" s="157"/>
      <c r="BJ63" s="240"/>
      <c r="BK63" s="22"/>
      <c r="BL63" s="379"/>
      <c r="BM63" s="379"/>
      <c r="BN63" s="379"/>
      <c r="BO63" s="157"/>
      <c r="BP63" s="20"/>
      <c r="BQ63" s="22"/>
      <c r="BR63" s="379"/>
      <c r="BS63" s="379"/>
      <c r="BT63" s="379"/>
      <c r="BU63" s="157"/>
      <c r="BW63" s="22"/>
      <c r="BX63" s="379"/>
      <c r="BY63" s="379"/>
      <c r="BZ63" s="379"/>
      <c r="CA63" s="157"/>
      <c r="CC63" s="22"/>
      <c r="CD63" s="379"/>
      <c r="CE63" s="379"/>
      <c r="CF63" s="379"/>
      <c r="CG63" s="157"/>
      <c r="CI63" s="22"/>
      <c r="CJ63" s="379"/>
      <c r="CK63" s="379"/>
      <c r="CL63" s="379"/>
      <c r="CM63" s="157"/>
      <c r="CO63" s="22"/>
      <c r="CP63" s="379"/>
      <c r="CQ63" s="379"/>
      <c r="CR63" s="379"/>
      <c r="CS63" s="157"/>
      <c r="CU63" s="22"/>
      <c r="CV63" s="379"/>
      <c r="CW63" s="379"/>
      <c r="CX63" s="379"/>
      <c r="CY63" s="157"/>
    </row>
    <row r="64" spans="1:106" ht="11.25" customHeight="1" outlineLevel="1" x14ac:dyDescent="0.2">
      <c r="A64" s="381" t="s">
        <v>172</v>
      </c>
      <c r="B64" s="39"/>
      <c r="C64" s="53">
        <v>7.9</v>
      </c>
      <c r="D64" s="51">
        <v>7.8</v>
      </c>
      <c r="E64" s="51">
        <v>0</v>
      </c>
      <c r="F64" s="20">
        <f>G64</f>
        <v>0</v>
      </c>
      <c r="G64" s="331">
        <v>0</v>
      </c>
      <c r="H64" s="39"/>
      <c r="I64" s="53">
        <v>0</v>
      </c>
      <c r="J64" s="51">
        <v>0</v>
      </c>
      <c r="K64" s="51">
        <v>0</v>
      </c>
      <c r="L64" s="20">
        <f>M64</f>
        <v>0</v>
      </c>
      <c r="M64" s="331">
        <v>0</v>
      </c>
      <c r="N64" s="39"/>
      <c r="O64" s="53">
        <v>0</v>
      </c>
      <c r="P64" s="51">
        <v>0</v>
      </c>
      <c r="Q64" s="51">
        <v>0</v>
      </c>
      <c r="R64" s="20">
        <f>S64</f>
        <v>0</v>
      </c>
      <c r="S64" s="331">
        <v>0</v>
      </c>
      <c r="T64" s="39"/>
      <c r="U64" s="53">
        <v>0</v>
      </c>
      <c r="V64" s="51">
        <v>0</v>
      </c>
      <c r="W64" s="51">
        <v>0</v>
      </c>
      <c r="X64" s="20">
        <f>Y64</f>
        <v>0</v>
      </c>
      <c r="Y64" s="331">
        <v>0</v>
      </c>
      <c r="Z64" s="39"/>
      <c r="AA64" s="53">
        <v>0</v>
      </c>
      <c r="AB64" s="51">
        <v>0</v>
      </c>
      <c r="AC64" s="51">
        <v>0</v>
      </c>
      <c r="AD64" s="51"/>
      <c r="AE64" s="6"/>
      <c r="AF64" s="39"/>
      <c r="AG64" s="19"/>
      <c r="AH64" s="20"/>
      <c r="AI64" s="20"/>
      <c r="AJ64" s="20"/>
      <c r="AK64" s="327"/>
      <c r="AL64" s="39"/>
      <c r="AM64" s="19"/>
      <c r="AN64" s="20"/>
      <c r="AO64" s="20"/>
      <c r="AP64" s="20"/>
      <c r="AQ64" s="6"/>
      <c r="AR64" s="39"/>
      <c r="AS64" s="19"/>
      <c r="AT64" s="20"/>
      <c r="AU64" s="20"/>
      <c r="AV64" s="20"/>
      <c r="AW64" s="6"/>
      <c r="AX64" s="39"/>
      <c r="AY64" s="19"/>
      <c r="AZ64" s="20"/>
      <c r="BA64" s="20"/>
      <c r="BB64" s="20"/>
      <c r="BC64" s="6"/>
      <c r="BD64" s="39"/>
      <c r="BE64" s="19"/>
      <c r="BF64" s="20"/>
      <c r="BG64" s="20"/>
      <c r="BH64" s="20"/>
      <c r="BI64" s="6"/>
      <c r="BJ64" s="39"/>
      <c r="BK64" s="19"/>
      <c r="BL64" s="20"/>
      <c r="BM64" s="20"/>
      <c r="BN64" s="20"/>
      <c r="BO64" s="6"/>
      <c r="BP64" s="20"/>
      <c r="BQ64" s="19"/>
      <c r="BR64" s="20"/>
      <c r="BS64" s="20"/>
      <c r="BT64" s="20"/>
      <c r="BU64" s="6"/>
      <c r="BW64" s="19"/>
      <c r="BX64" s="20"/>
      <c r="BY64" s="20"/>
      <c r="BZ64" s="20"/>
      <c r="CA64" s="6"/>
      <c r="CC64" s="19"/>
      <c r="CD64" s="20"/>
      <c r="CE64" s="20"/>
      <c r="CF64" s="20"/>
      <c r="CG64" s="6"/>
      <c r="CI64" s="19"/>
      <c r="CJ64" s="20"/>
      <c r="CK64" s="20"/>
      <c r="CL64" s="20"/>
      <c r="CM64" s="6"/>
      <c r="CO64" s="19"/>
      <c r="CP64" s="20"/>
      <c r="CQ64" s="20"/>
      <c r="CR64" s="20"/>
      <c r="CS64" s="6"/>
      <c r="CU64" s="19"/>
      <c r="CV64" s="20"/>
      <c r="CW64" s="20"/>
      <c r="CX64" s="20"/>
      <c r="CY64" s="6"/>
    </row>
    <row r="65" spans="1:103" ht="11.25" customHeight="1" outlineLevel="1" x14ac:dyDescent="0.2">
      <c r="A65" s="810" t="s">
        <v>106</v>
      </c>
      <c r="B65" s="39"/>
      <c r="C65" s="19"/>
      <c r="D65" s="20"/>
      <c r="E65" s="20"/>
      <c r="F65" s="20"/>
      <c r="G65" s="6"/>
      <c r="H65" s="39"/>
      <c r="I65" s="53"/>
      <c r="J65" s="51"/>
      <c r="K65" s="51"/>
      <c r="L65" s="20"/>
      <c r="M65" s="331"/>
      <c r="N65" s="39"/>
      <c r="O65" s="53"/>
      <c r="P65" s="51"/>
      <c r="Q65" s="51"/>
      <c r="R65" s="20"/>
      <c r="S65" s="331"/>
      <c r="T65" s="39"/>
      <c r="U65" s="53"/>
      <c r="V65" s="51"/>
      <c r="W65" s="51"/>
      <c r="X65" s="20"/>
      <c r="Y65" s="331"/>
      <c r="Z65" s="39"/>
      <c r="AA65" s="53"/>
      <c r="AB65" s="51"/>
      <c r="AC65" s="51"/>
      <c r="AD65" s="51"/>
      <c r="AE65" s="6"/>
      <c r="AF65" s="39"/>
      <c r="AG65" s="19"/>
      <c r="AH65" s="20"/>
      <c r="AI65" s="20"/>
      <c r="AJ65" s="20"/>
      <c r="AK65" s="6"/>
      <c r="AL65" s="39"/>
      <c r="AM65" s="19"/>
      <c r="AN65" s="20"/>
      <c r="AO65" s="20"/>
      <c r="AP65" s="20"/>
      <c r="AQ65" s="6"/>
      <c r="AR65" s="39"/>
      <c r="AS65" s="19"/>
      <c r="AT65" s="20"/>
      <c r="AU65" s="20"/>
      <c r="AV65" s="20"/>
      <c r="AW65" s="6"/>
      <c r="AX65" s="39"/>
      <c r="AY65" s="19"/>
      <c r="AZ65" s="20"/>
      <c r="BA65" s="20"/>
      <c r="BB65" s="20"/>
      <c r="BC65" s="6"/>
      <c r="BD65" s="39"/>
      <c r="BE65" s="19"/>
      <c r="BF65" s="20"/>
      <c r="BG65" s="20"/>
      <c r="BH65" s="20"/>
      <c r="BI65" s="6"/>
      <c r="BJ65" s="39"/>
      <c r="BK65" s="19"/>
      <c r="BL65" s="20"/>
      <c r="BM65" s="20"/>
      <c r="BN65" s="20"/>
      <c r="BO65" s="6"/>
      <c r="BP65" s="20"/>
      <c r="BQ65" s="19"/>
      <c r="BR65" s="20"/>
      <c r="BS65" s="20"/>
      <c r="BT65" s="20"/>
      <c r="BU65" s="6"/>
      <c r="BW65" s="19"/>
      <c r="BX65" s="20"/>
      <c r="BY65" s="20"/>
      <c r="BZ65" s="20"/>
      <c r="CA65" s="6"/>
      <c r="CC65" s="19"/>
      <c r="CD65" s="20"/>
      <c r="CE65" s="20"/>
      <c r="CF65" s="20"/>
      <c r="CG65" s="6"/>
      <c r="CI65" s="19"/>
      <c r="CJ65" s="20"/>
      <c r="CK65" s="20"/>
      <c r="CL65" s="20"/>
      <c r="CM65" s="6"/>
      <c r="CO65" s="19"/>
      <c r="CP65" s="20"/>
      <c r="CQ65" s="20"/>
      <c r="CR65" s="20"/>
      <c r="CS65" s="6"/>
      <c r="CU65" s="19"/>
      <c r="CV65" s="20"/>
      <c r="CW65" s="20"/>
      <c r="CX65" s="20"/>
      <c r="CY65" s="6"/>
    </row>
    <row r="66" spans="1:103" ht="11.25" customHeight="1" outlineLevel="1" x14ac:dyDescent="0.2">
      <c r="A66" s="59" t="s">
        <v>107</v>
      </c>
      <c r="B66" s="39"/>
      <c r="C66" s="19"/>
      <c r="D66" s="20"/>
      <c r="E66" s="20"/>
      <c r="F66" s="20"/>
      <c r="G66" s="6"/>
      <c r="H66" s="39"/>
      <c r="I66" s="53"/>
      <c r="J66" s="51"/>
      <c r="K66" s="51"/>
      <c r="L66" s="20"/>
      <c r="M66" s="331"/>
      <c r="N66" s="39"/>
      <c r="O66" s="53"/>
      <c r="P66" s="51"/>
      <c r="Q66" s="51"/>
      <c r="R66" s="20"/>
      <c r="S66" s="331"/>
      <c r="T66" s="39"/>
      <c r="U66" s="53"/>
      <c r="V66" s="51"/>
      <c r="W66" s="51"/>
      <c r="X66" s="20"/>
      <c r="Y66" s="331"/>
      <c r="Z66" s="39"/>
      <c r="AA66" s="53"/>
      <c r="AB66" s="51"/>
      <c r="AC66" s="51"/>
      <c r="AD66" s="51"/>
      <c r="AE66" s="6"/>
      <c r="AF66" s="39"/>
      <c r="AG66" s="19"/>
      <c r="AH66" s="20"/>
      <c r="AI66" s="20"/>
      <c r="AJ66" s="20"/>
      <c r="AK66" s="6"/>
      <c r="AL66" s="39"/>
      <c r="AM66" s="19"/>
      <c r="AN66" s="20"/>
      <c r="AO66" s="20"/>
      <c r="AP66" s="20"/>
      <c r="AQ66" s="6"/>
      <c r="AR66" s="39"/>
      <c r="AS66" s="19"/>
      <c r="AT66" s="20"/>
      <c r="AU66" s="20"/>
      <c r="AV66" s="20"/>
      <c r="AW66" s="6"/>
      <c r="AX66" s="39"/>
      <c r="AY66" s="19"/>
      <c r="AZ66" s="20"/>
      <c r="BA66" s="20"/>
      <c r="BB66" s="20"/>
      <c r="BC66" s="6"/>
      <c r="BD66" s="39"/>
      <c r="BE66" s="19"/>
      <c r="BF66" s="20"/>
      <c r="BG66" s="20"/>
      <c r="BH66" s="20"/>
      <c r="BI66" s="6"/>
      <c r="BJ66" s="39"/>
      <c r="BK66" s="19"/>
      <c r="BL66" s="20"/>
      <c r="BM66" s="20"/>
      <c r="BN66" s="20"/>
      <c r="BO66" s="6"/>
      <c r="BP66" s="20"/>
      <c r="BQ66" s="19"/>
      <c r="BR66" s="20"/>
      <c r="BS66" s="20"/>
      <c r="BT66" s="20"/>
      <c r="BU66" s="6"/>
      <c r="BW66" s="19"/>
      <c r="BX66" s="20"/>
      <c r="BY66" s="20"/>
      <c r="BZ66" s="20"/>
      <c r="CA66" s="6"/>
      <c r="CC66" s="19"/>
      <c r="CD66" s="20"/>
      <c r="CE66" s="20"/>
      <c r="CF66" s="20"/>
      <c r="CG66" s="6"/>
      <c r="CI66" s="19"/>
      <c r="CJ66" s="20"/>
      <c r="CK66" s="20"/>
      <c r="CL66" s="20"/>
      <c r="CM66" s="6"/>
      <c r="CO66" s="19"/>
      <c r="CP66" s="20"/>
      <c r="CQ66" s="20"/>
      <c r="CR66" s="20"/>
      <c r="CS66" s="6"/>
      <c r="CU66" s="19"/>
      <c r="CV66" s="20"/>
      <c r="CW66" s="20"/>
      <c r="CX66" s="20"/>
      <c r="CY66" s="6"/>
    </row>
    <row r="67" spans="1:103" ht="11.25" customHeight="1" outlineLevel="1" x14ac:dyDescent="0.2">
      <c r="A67" s="59" t="s">
        <v>15</v>
      </c>
      <c r="B67" s="39"/>
      <c r="C67" s="19"/>
      <c r="D67" s="20"/>
      <c r="E67" s="20"/>
      <c r="F67" s="20"/>
      <c r="G67" s="6"/>
      <c r="H67" s="39"/>
      <c r="I67" s="53"/>
      <c r="J67" s="51"/>
      <c r="K67" s="51"/>
      <c r="L67" s="20"/>
      <c r="M67" s="331"/>
      <c r="N67" s="39"/>
      <c r="O67" s="53"/>
      <c r="P67" s="51"/>
      <c r="Q67" s="51"/>
      <c r="R67" s="20"/>
      <c r="S67" s="331"/>
      <c r="T67" s="39"/>
      <c r="U67" s="53"/>
      <c r="V67" s="51"/>
      <c r="W67" s="51"/>
      <c r="X67" s="20"/>
      <c r="Y67" s="331"/>
      <c r="Z67" s="39"/>
      <c r="AA67" s="53"/>
      <c r="AB67" s="51"/>
      <c r="AC67" s="51"/>
      <c r="AD67" s="51"/>
      <c r="AE67" s="6"/>
      <c r="AF67" s="39"/>
      <c r="AG67" s="19"/>
      <c r="AH67" s="20"/>
      <c r="AI67" s="20"/>
      <c r="AJ67" s="20"/>
      <c r="AK67" s="6"/>
      <c r="AL67" s="39"/>
      <c r="AM67" s="19"/>
      <c r="AN67" s="20"/>
      <c r="AO67" s="20"/>
      <c r="AP67" s="20"/>
      <c r="AQ67" s="6"/>
      <c r="AR67" s="39"/>
      <c r="AS67" s="19"/>
      <c r="AT67" s="20"/>
      <c r="AU67" s="20"/>
      <c r="AV67" s="20"/>
      <c r="AW67" s="6"/>
      <c r="AX67" s="39"/>
      <c r="AY67" s="19"/>
      <c r="AZ67" s="20"/>
      <c r="BA67" s="20"/>
      <c r="BB67" s="20"/>
      <c r="BC67" s="6"/>
      <c r="BD67" s="39"/>
      <c r="BE67" s="19"/>
      <c r="BF67" s="20"/>
      <c r="BG67" s="20"/>
      <c r="BH67" s="20"/>
      <c r="BI67" s="6"/>
      <c r="BJ67" s="39"/>
      <c r="BK67" s="19"/>
      <c r="BL67" s="20"/>
      <c r="BM67" s="20"/>
      <c r="BN67" s="20"/>
      <c r="BO67" s="6"/>
      <c r="BP67" s="20"/>
      <c r="BQ67" s="19"/>
      <c r="BR67" s="20"/>
      <c r="BS67" s="20"/>
      <c r="BT67" s="20"/>
      <c r="BU67" s="6"/>
      <c r="BW67" s="19"/>
      <c r="BX67" s="20"/>
      <c r="BY67" s="20"/>
      <c r="BZ67" s="20"/>
      <c r="CA67" s="6"/>
      <c r="CC67" s="19"/>
      <c r="CD67" s="20"/>
      <c r="CE67" s="20"/>
      <c r="CF67" s="20"/>
      <c r="CG67" s="6"/>
      <c r="CI67" s="19"/>
      <c r="CJ67" s="20"/>
      <c r="CK67" s="20"/>
      <c r="CL67" s="20"/>
      <c r="CM67" s="6"/>
      <c r="CO67" s="19"/>
      <c r="CP67" s="20"/>
      <c r="CQ67" s="20"/>
      <c r="CR67" s="20"/>
      <c r="CS67" s="6"/>
      <c r="CU67" s="19"/>
      <c r="CV67" s="20"/>
      <c r="CW67" s="20"/>
      <c r="CX67" s="20"/>
      <c r="CY67" s="6"/>
    </row>
    <row r="68" spans="1:103" ht="11.25" customHeight="1" outlineLevel="1" x14ac:dyDescent="0.2">
      <c r="A68" s="59"/>
      <c r="B68" s="39"/>
      <c r="C68" s="19"/>
      <c r="D68" s="20"/>
      <c r="E68" s="20"/>
      <c r="F68" s="20"/>
      <c r="G68" s="6"/>
      <c r="H68" s="39"/>
      <c r="I68" s="53"/>
      <c r="J68" s="51"/>
      <c r="K68" s="51"/>
      <c r="L68" s="20"/>
      <c r="M68" s="331"/>
      <c r="N68" s="39"/>
      <c r="O68" s="53"/>
      <c r="P68" s="51"/>
      <c r="Q68" s="51"/>
      <c r="R68" s="20"/>
      <c r="S68" s="331"/>
      <c r="T68" s="39"/>
      <c r="U68" s="53"/>
      <c r="V68" s="51"/>
      <c r="W68" s="51"/>
      <c r="X68" s="20"/>
      <c r="Y68" s="331"/>
      <c r="Z68" s="39"/>
      <c r="AA68" s="53"/>
      <c r="AB68" s="51"/>
      <c r="AC68" s="51"/>
      <c r="AD68" s="51"/>
      <c r="AE68" s="6"/>
      <c r="AF68" s="39"/>
      <c r="AG68" s="19"/>
      <c r="AH68" s="20"/>
      <c r="AI68" s="20"/>
      <c r="AJ68" s="20"/>
      <c r="AK68" s="6"/>
      <c r="AL68" s="39"/>
      <c r="AM68" s="19"/>
      <c r="AN68" s="20"/>
      <c r="AO68" s="20"/>
      <c r="AP68" s="20"/>
      <c r="AQ68" s="6"/>
      <c r="AR68" s="39"/>
      <c r="AS68" s="19"/>
      <c r="AT68" s="20"/>
      <c r="AU68" s="20"/>
      <c r="AV68" s="20"/>
      <c r="AW68" s="6"/>
      <c r="AX68" s="39"/>
      <c r="AY68" s="19"/>
      <c r="AZ68" s="20"/>
      <c r="BA68" s="20"/>
      <c r="BB68" s="20"/>
      <c r="BC68" s="6"/>
      <c r="BD68" s="39"/>
      <c r="BE68" s="19"/>
      <c r="BF68" s="20"/>
      <c r="BG68" s="20"/>
      <c r="BH68" s="20"/>
      <c r="BI68" s="6"/>
      <c r="BJ68" s="39"/>
      <c r="BK68" s="19"/>
      <c r="BL68" s="20"/>
      <c r="BM68" s="20"/>
      <c r="BN68" s="20"/>
      <c r="BO68" s="6"/>
      <c r="BP68" s="20"/>
      <c r="BQ68" s="19"/>
      <c r="BR68" s="20"/>
      <c r="BS68" s="20"/>
      <c r="BT68" s="20"/>
      <c r="BU68" s="6"/>
      <c r="BW68" s="19"/>
      <c r="BX68" s="20"/>
      <c r="BY68" s="20"/>
      <c r="BZ68" s="20"/>
      <c r="CA68" s="6"/>
      <c r="CC68" s="19"/>
      <c r="CD68" s="20"/>
      <c r="CE68" s="20"/>
      <c r="CF68" s="20"/>
      <c r="CG68" s="6"/>
      <c r="CI68" s="19"/>
      <c r="CJ68" s="20"/>
      <c r="CK68" s="20"/>
      <c r="CL68" s="20"/>
      <c r="CM68" s="6"/>
      <c r="CO68" s="19"/>
      <c r="CP68" s="20"/>
      <c r="CQ68" s="20"/>
      <c r="CR68" s="20"/>
      <c r="CS68" s="6"/>
      <c r="CU68" s="19"/>
      <c r="CV68" s="20"/>
      <c r="CW68" s="20"/>
      <c r="CX68" s="20"/>
      <c r="CY68" s="6"/>
    </row>
    <row r="69" spans="1:103" ht="11.25" customHeight="1" outlineLevel="1" x14ac:dyDescent="0.2">
      <c r="A69" s="59" t="s">
        <v>173</v>
      </c>
      <c r="B69" s="39"/>
      <c r="C69" s="53">
        <v>43.5</v>
      </c>
      <c r="D69" s="51">
        <v>43.5</v>
      </c>
      <c r="E69" s="51">
        <v>0</v>
      </c>
      <c r="F69" s="20">
        <f>G69</f>
        <v>0</v>
      </c>
      <c r="G69" s="331">
        <v>0</v>
      </c>
      <c r="H69" s="39"/>
      <c r="I69" s="53">
        <v>0</v>
      </c>
      <c r="J69" s="51">
        <v>0</v>
      </c>
      <c r="K69" s="51">
        <v>0</v>
      </c>
      <c r="L69" s="20">
        <f>M69</f>
        <v>0</v>
      </c>
      <c r="M69" s="331">
        <v>0</v>
      </c>
      <c r="N69" s="39"/>
      <c r="O69" s="53">
        <v>0</v>
      </c>
      <c r="P69" s="51">
        <v>0</v>
      </c>
      <c r="Q69" s="51">
        <v>0</v>
      </c>
      <c r="R69" s="20">
        <f>S69</f>
        <v>0</v>
      </c>
      <c r="S69" s="331">
        <v>0</v>
      </c>
      <c r="T69" s="39"/>
      <c r="U69" s="53">
        <v>0</v>
      </c>
      <c r="V69" s="51">
        <v>0</v>
      </c>
      <c r="W69" s="51">
        <v>0</v>
      </c>
      <c r="X69" s="20">
        <f>Y69</f>
        <v>0</v>
      </c>
      <c r="Y69" s="331">
        <v>0</v>
      </c>
      <c r="Z69" s="39"/>
      <c r="AA69" s="53">
        <v>0</v>
      </c>
      <c r="AB69" s="51">
        <v>0</v>
      </c>
      <c r="AC69" s="51">
        <v>0</v>
      </c>
      <c r="AD69" s="51"/>
      <c r="AE69" s="6"/>
      <c r="AF69" s="39"/>
      <c r="AG69" s="19"/>
      <c r="AH69" s="20"/>
      <c r="AI69" s="20"/>
      <c r="AJ69" s="20"/>
      <c r="AK69" s="6"/>
      <c r="AL69" s="39"/>
      <c r="AM69" s="19"/>
      <c r="AN69" s="20"/>
      <c r="AO69" s="20"/>
      <c r="AP69" s="20"/>
      <c r="AQ69" s="6"/>
      <c r="AR69" s="39"/>
      <c r="AS69" s="19"/>
      <c r="AT69" s="20"/>
      <c r="AU69" s="20"/>
      <c r="AV69" s="20"/>
      <c r="AW69" s="6"/>
      <c r="AX69" s="39"/>
      <c r="AY69" s="19"/>
      <c r="AZ69" s="20"/>
      <c r="BA69" s="20"/>
      <c r="BB69" s="20"/>
      <c r="BC69" s="6"/>
      <c r="BD69" s="39"/>
      <c r="BE69" s="19"/>
      <c r="BF69" s="20"/>
      <c r="BG69" s="20"/>
      <c r="BH69" s="20"/>
      <c r="BI69" s="6"/>
      <c r="BJ69" s="39"/>
      <c r="BK69" s="19"/>
      <c r="BL69" s="20"/>
      <c r="BM69" s="20"/>
      <c r="BN69" s="20"/>
      <c r="BO69" s="6"/>
      <c r="BP69" s="20"/>
      <c r="BQ69" s="19"/>
      <c r="BR69" s="20"/>
      <c r="BS69" s="20"/>
      <c r="BT69" s="20"/>
      <c r="BU69" s="6"/>
      <c r="BW69" s="19"/>
      <c r="BX69" s="20"/>
      <c r="BY69" s="20"/>
      <c r="BZ69" s="20"/>
      <c r="CA69" s="6"/>
      <c r="CC69" s="19"/>
      <c r="CD69" s="20"/>
      <c r="CE69" s="20"/>
      <c r="CF69" s="20"/>
      <c r="CG69" s="6"/>
      <c r="CI69" s="19"/>
      <c r="CJ69" s="20"/>
      <c r="CK69" s="20"/>
      <c r="CL69" s="20"/>
      <c r="CM69" s="6"/>
      <c r="CO69" s="19"/>
      <c r="CP69" s="20"/>
      <c r="CQ69" s="20"/>
      <c r="CR69" s="20"/>
      <c r="CS69" s="6"/>
      <c r="CU69" s="19"/>
      <c r="CV69" s="20"/>
      <c r="CW69" s="20"/>
      <c r="CX69" s="20"/>
      <c r="CY69" s="6"/>
    </row>
    <row r="70" spans="1:103" ht="11.25" customHeight="1" outlineLevel="1" x14ac:dyDescent="0.2">
      <c r="A70" s="830" t="s">
        <v>106</v>
      </c>
      <c r="B70" s="39"/>
      <c r="C70" s="210">
        <f>1.28%+$AD$9</f>
        <v>2.5300000000000003E-2</v>
      </c>
      <c r="D70" s="211">
        <f>1.28%+$AD$9</f>
        <v>2.5300000000000003E-2</v>
      </c>
      <c r="E70" s="20"/>
      <c r="F70" s="20"/>
      <c r="G70" s="6"/>
      <c r="H70" s="39"/>
      <c r="I70" s="53"/>
      <c r="J70" s="51"/>
      <c r="K70" s="51"/>
      <c r="L70" s="20"/>
      <c r="M70" s="331"/>
      <c r="N70" s="39"/>
      <c r="O70" s="53"/>
      <c r="P70" s="51"/>
      <c r="Q70" s="51"/>
      <c r="R70" s="20"/>
      <c r="S70" s="331"/>
      <c r="T70" s="39"/>
      <c r="U70" s="53"/>
      <c r="V70" s="51"/>
      <c r="W70" s="51"/>
      <c r="X70" s="20"/>
      <c r="Y70" s="331"/>
      <c r="Z70" s="39"/>
      <c r="AA70" s="53"/>
      <c r="AB70" s="51"/>
      <c r="AC70" s="51"/>
      <c r="AD70" s="51"/>
      <c r="AE70" s="6"/>
      <c r="AF70" s="39"/>
      <c r="AG70" s="19"/>
      <c r="AH70" s="20"/>
      <c r="AI70" s="20"/>
      <c r="AJ70" s="20"/>
      <c r="AK70" s="157"/>
      <c r="AL70" s="39"/>
      <c r="AM70" s="19"/>
      <c r="AN70" s="20"/>
      <c r="AO70" s="20"/>
      <c r="AP70" s="20"/>
      <c r="AQ70" s="6"/>
      <c r="AR70" s="39"/>
      <c r="AS70" s="19"/>
      <c r="AT70" s="20"/>
      <c r="AU70" s="20"/>
      <c r="AV70" s="20"/>
      <c r="AW70" s="6"/>
      <c r="AX70" s="39"/>
      <c r="AY70" s="19"/>
      <c r="AZ70" s="20"/>
      <c r="BA70" s="20"/>
      <c r="BB70" s="20"/>
      <c r="BC70" s="6"/>
      <c r="BD70" s="39"/>
      <c r="BE70" s="19"/>
      <c r="BF70" s="20"/>
      <c r="BG70" s="20"/>
      <c r="BH70" s="20"/>
      <c r="BI70" s="6"/>
      <c r="BJ70" s="39"/>
      <c r="BK70" s="19"/>
      <c r="BL70" s="20"/>
      <c r="BM70" s="20"/>
      <c r="BN70" s="20"/>
      <c r="BO70" s="6"/>
      <c r="BP70" s="20"/>
      <c r="BQ70" s="19"/>
      <c r="BR70" s="20"/>
      <c r="BS70" s="20"/>
      <c r="BT70" s="20"/>
      <c r="BU70" s="6"/>
      <c r="BW70" s="19"/>
      <c r="BX70" s="20"/>
      <c r="BY70" s="20"/>
      <c r="BZ70" s="20"/>
      <c r="CA70" s="6"/>
      <c r="CC70" s="19"/>
      <c r="CD70" s="20"/>
      <c r="CE70" s="20"/>
      <c r="CF70" s="20"/>
      <c r="CG70" s="6"/>
      <c r="CI70" s="19"/>
      <c r="CJ70" s="20"/>
      <c r="CK70" s="20"/>
      <c r="CL70" s="20"/>
      <c r="CM70" s="6"/>
      <c r="CO70" s="19"/>
      <c r="CP70" s="20"/>
      <c r="CQ70" s="20"/>
      <c r="CR70" s="20"/>
      <c r="CS70" s="6"/>
      <c r="CU70" s="19"/>
      <c r="CV70" s="20"/>
      <c r="CW70" s="20"/>
      <c r="CX70" s="20"/>
      <c r="CY70" s="6"/>
    </row>
    <row r="71" spans="1:103" ht="11.25" customHeight="1" outlineLevel="1" x14ac:dyDescent="0.2">
      <c r="A71" s="381" t="s">
        <v>107</v>
      </c>
      <c r="B71" s="40"/>
      <c r="C71" s="412"/>
      <c r="D71" s="281">
        <f>C69-D69</f>
        <v>0</v>
      </c>
      <c r="E71" s="281">
        <f>D69-E69</f>
        <v>43.5</v>
      </c>
      <c r="F71" s="281"/>
      <c r="G71" s="327">
        <f>SUM(C71:F71)</f>
        <v>43.5</v>
      </c>
      <c r="H71" s="40"/>
      <c r="I71" s="797"/>
      <c r="J71" s="798"/>
      <c r="K71" s="798"/>
      <c r="L71" s="281"/>
      <c r="M71" s="420"/>
      <c r="N71" s="40"/>
      <c r="O71" s="797"/>
      <c r="P71" s="798"/>
      <c r="Q71" s="798"/>
      <c r="R71" s="281"/>
      <c r="S71" s="327"/>
      <c r="T71" s="40"/>
      <c r="U71" s="797"/>
      <c r="V71" s="798"/>
      <c r="W71" s="798"/>
      <c r="X71" s="281"/>
      <c r="Y71" s="420"/>
      <c r="Z71" s="40"/>
      <c r="AA71" s="797"/>
      <c r="AB71" s="798"/>
      <c r="AC71" s="798"/>
      <c r="AD71" s="798"/>
      <c r="AE71" s="327"/>
      <c r="AF71" s="40"/>
      <c r="AG71" s="412"/>
      <c r="AH71" s="281"/>
      <c r="AI71" s="281"/>
      <c r="AJ71" s="281"/>
      <c r="AK71" s="6"/>
      <c r="AL71" s="40"/>
      <c r="AM71" s="412"/>
      <c r="AN71" s="281"/>
      <c r="AO71" s="281"/>
      <c r="AP71" s="281"/>
      <c r="AQ71" s="327"/>
      <c r="AR71" s="40"/>
      <c r="AS71" s="412"/>
      <c r="AT71" s="281"/>
      <c r="AU71" s="281"/>
      <c r="AV71" s="281"/>
      <c r="AW71" s="327"/>
      <c r="AX71" s="40"/>
      <c r="AY71" s="412"/>
      <c r="AZ71" s="281"/>
      <c r="BA71" s="281"/>
      <c r="BB71" s="281"/>
      <c r="BC71" s="327"/>
      <c r="BD71" s="40"/>
      <c r="BE71" s="412"/>
      <c r="BF71" s="281"/>
      <c r="BG71" s="281"/>
      <c r="BH71" s="281"/>
      <c r="BI71" s="327"/>
      <c r="BJ71" s="40"/>
      <c r="BK71" s="412"/>
      <c r="BL71" s="281"/>
      <c r="BM71" s="281"/>
      <c r="BN71" s="281"/>
      <c r="BO71" s="327"/>
      <c r="BP71" s="20"/>
      <c r="BQ71" s="412"/>
      <c r="BR71" s="281"/>
      <c r="BS71" s="281"/>
      <c r="BT71" s="281"/>
      <c r="BU71" s="327"/>
      <c r="BW71" s="412"/>
      <c r="BX71" s="281"/>
      <c r="BY71" s="281"/>
      <c r="BZ71" s="281"/>
      <c r="CA71" s="327"/>
      <c r="CC71" s="412"/>
      <c r="CD71" s="281"/>
      <c r="CE71" s="281"/>
      <c r="CF71" s="281"/>
      <c r="CG71" s="327"/>
      <c r="CI71" s="412"/>
      <c r="CJ71" s="281"/>
      <c r="CK71" s="281"/>
      <c r="CL71" s="281"/>
      <c r="CM71" s="327"/>
      <c r="CO71" s="412"/>
      <c r="CP71" s="281"/>
      <c r="CQ71" s="281"/>
      <c r="CR71" s="281"/>
      <c r="CS71" s="327"/>
      <c r="CU71" s="412"/>
      <c r="CV71" s="281"/>
      <c r="CW71" s="281"/>
      <c r="CX71" s="281"/>
      <c r="CY71" s="327"/>
    </row>
    <row r="72" spans="1:103" ht="11.25" customHeight="1" outlineLevel="1" x14ac:dyDescent="0.2">
      <c r="A72" s="59" t="s">
        <v>15</v>
      </c>
      <c r="B72" s="39"/>
      <c r="C72" s="19"/>
      <c r="D72" s="20"/>
      <c r="E72" s="20"/>
      <c r="F72" s="20"/>
      <c r="G72" s="6"/>
      <c r="H72" s="39"/>
      <c r="I72" s="53"/>
      <c r="J72" s="51"/>
      <c r="K72" s="51"/>
      <c r="L72" s="20"/>
      <c r="M72" s="331"/>
      <c r="N72" s="39"/>
      <c r="O72" s="53"/>
      <c r="P72" s="51"/>
      <c r="Q72" s="51"/>
      <c r="R72" s="20"/>
      <c r="S72" s="6"/>
      <c r="T72" s="39"/>
      <c r="U72" s="53"/>
      <c r="V72" s="51"/>
      <c r="W72" s="51"/>
      <c r="X72" s="20"/>
      <c r="Y72" s="331"/>
      <c r="Z72" s="39"/>
      <c r="AA72" s="53"/>
      <c r="AB72" s="51"/>
      <c r="AC72" s="51"/>
      <c r="AD72" s="51"/>
      <c r="AE72" s="6"/>
      <c r="AF72" s="39"/>
      <c r="AG72" s="19"/>
      <c r="AH72" s="20"/>
      <c r="AI72" s="20"/>
      <c r="AJ72" s="20"/>
      <c r="AK72" s="6"/>
      <c r="AL72" s="39"/>
      <c r="AM72" s="19"/>
      <c r="AN72" s="20"/>
      <c r="AO72" s="20"/>
      <c r="AP72" s="20"/>
      <c r="AQ72" s="6"/>
      <c r="AR72" s="39"/>
      <c r="AS72" s="19"/>
      <c r="AT72" s="20"/>
      <c r="AU72" s="20"/>
      <c r="AV72" s="20"/>
      <c r="AW72" s="6"/>
      <c r="AX72" s="39"/>
      <c r="AY72" s="19"/>
      <c r="AZ72" s="20"/>
      <c r="BA72" s="20"/>
      <c r="BB72" s="20"/>
      <c r="BC72" s="6"/>
      <c r="BD72" s="39"/>
      <c r="BE72" s="19"/>
      <c r="BF72" s="20"/>
      <c r="BG72" s="20"/>
      <c r="BH72" s="20"/>
      <c r="BI72" s="6"/>
      <c r="BJ72" s="39"/>
      <c r="BK72" s="19"/>
      <c r="BL72" s="20"/>
      <c r="BM72" s="20"/>
      <c r="BN72" s="20"/>
      <c r="BO72" s="6"/>
      <c r="BP72" s="20"/>
      <c r="BQ72" s="19"/>
      <c r="BR72" s="20"/>
      <c r="BS72" s="20"/>
      <c r="BT72" s="20"/>
      <c r="BU72" s="6"/>
      <c r="BW72" s="19"/>
      <c r="BX72" s="20"/>
      <c r="BY72" s="20"/>
      <c r="BZ72" s="20"/>
      <c r="CA72" s="6"/>
      <c r="CC72" s="19"/>
      <c r="CD72" s="20"/>
      <c r="CE72" s="20"/>
      <c r="CF72" s="20"/>
      <c r="CG72" s="6"/>
      <c r="CI72" s="19"/>
      <c r="CJ72" s="20"/>
      <c r="CK72" s="20"/>
      <c r="CL72" s="20"/>
      <c r="CM72" s="6"/>
      <c r="CO72" s="19"/>
      <c r="CP72" s="20"/>
      <c r="CQ72" s="20"/>
      <c r="CR72" s="20"/>
      <c r="CS72" s="6"/>
      <c r="CU72" s="19"/>
      <c r="CV72" s="20"/>
      <c r="CW72" s="20"/>
      <c r="CX72" s="20"/>
      <c r="CY72" s="6"/>
    </row>
    <row r="73" spans="1:103" ht="11.25" customHeight="1" outlineLevel="1" x14ac:dyDescent="0.2">
      <c r="A73" s="59" t="s">
        <v>110</v>
      </c>
      <c r="B73" s="39"/>
      <c r="C73" s="53">
        <v>7.7</v>
      </c>
      <c r="D73" s="51">
        <v>1.6</v>
      </c>
      <c r="E73" s="51">
        <v>0</v>
      </c>
      <c r="F73" s="20">
        <f>G73</f>
        <v>6.7960000000000003</v>
      </c>
      <c r="G73" s="331">
        <v>6.7960000000000003</v>
      </c>
      <c r="H73" s="39"/>
      <c r="I73" s="53">
        <v>0</v>
      </c>
      <c r="J73" s="51">
        <v>0</v>
      </c>
      <c r="K73" s="51">
        <v>0</v>
      </c>
      <c r="L73" s="20">
        <f>M73</f>
        <v>5.9210000000000003</v>
      </c>
      <c r="M73" s="331">
        <v>5.9210000000000003</v>
      </c>
      <c r="N73" s="39"/>
      <c r="O73" s="53">
        <v>0</v>
      </c>
      <c r="P73" s="51">
        <v>0</v>
      </c>
      <c r="Q73" s="51">
        <v>0</v>
      </c>
      <c r="R73" s="20">
        <f>S73</f>
        <v>6.5990000000000002</v>
      </c>
      <c r="S73" s="331">
        <v>6.5990000000000002</v>
      </c>
      <c r="T73" s="39"/>
      <c r="U73" s="53">
        <v>0</v>
      </c>
      <c r="V73" s="51">
        <v>0</v>
      </c>
      <c r="W73" s="51">
        <v>0</v>
      </c>
      <c r="X73" s="20">
        <f>Y73</f>
        <v>0</v>
      </c>
      <c r="Y73" s="331">
        <v>0</v>
      </c>
      <c r="Z73" s="39"/>
      <c r="AA73" s="53">
        <v>0</v>
      </c>
      <c r="AB73" s="51">
        <v>0</v>
      </c>
      <c r="AC73" s="51">
        <v>0</v>
      </c>
      <c r="AD73" s="51">
        <v>25</v>
      </c>
      <c r="AE73" s="6">
        <f>AD73</f>
        <v>25</v>
      </c>
      <c r="AF73" s="39"/>
      <c r="AG73" s="827">
        <v>25</v>
      </c>
      <c r="AH73" s="51">
        <v>25</v>
      </c>
      <c r="AI73" s="51">
        <v>50</v>
      </c>
      <c r="AJ73" s="51">
        <v>50</v>
      </c>
      <c r="AK73" s="6">
        <f>AJ73</f>
        <v>50</v>
      </c>
      <c r="AL73" s="39"/>
      <c r="AM73" s="827">
        <v>50</v>
      </c>
      <c r="AN73" s="51">
        <v>50.976999999999997</v>
      </c>
      <c r="AO73" s="51">
        <v>75.427000000000007</v>
      </c>
      <c r="AP73" s="51">
        <v>75.834999999999994</v>
      </c>
      <c r="AQ73" s="6">
        <f>AP73</f>
        <v>75.834999999999994</v>
      </c>
      <c r="AR73" s="39"/>
      <c r="AS73" s="827">
        <v>76.331999999999994</v>
      </c>
      <c r="AT73" s="51">
        <v>76.807000000000002</v>
      </c>
      <c r="AU73" s="51">
        <v>351.661</v>
      </c>
      <c r="AV73" s="51">
        <v>1.617</v>
      </c>
      <c r="AW73" s="6">
        <f>AV73</f>
        <v>1.617</v>
      </c>
      <c r="AX73" s="39"/>
      <c r="AY73" s="53">
        <v>2.0870000000000002</v>
      </c>
      <c r="AZ73" s="122">
        <v>1.6519999999999999</v>
      </c>
      <c r="BA73" s="122">
        <v>1.2929999999999999</v>
      </c>
      <c r="BB73" s="122">
        <v>0.94799999999999995</v>
      </c>
      <c r="BC73" s="6">
        <f>BB73</f>
        <v>0.94799999999999995</v>
      </c>
      <c r="BD73" s="28"/>
      <c r="BE73" s="53">
        <v>0.91200000000000003</v>
      </c>
      <c r="BF73" s="51">
        <v>0.72699999999999998</v>
      </c>
      <c r="BG73" s="51">
        <v>0.32600000000000001</v>
      </c>
      <c r="BH73" s="51">
        <v>0.20699999999999999</v>
      </c>
      <c r="BI73" s="6">
        <f>BH73</f>
        <v>0.20699999999999999</v>
      </c>
      <c r="BJ73" s="590"/>
      <c r="BK73" s="53">
        <v>0.41399999999999998</v>
      </c>
      <c r="BL73" s="51">
        <v>0.41</v>
      </c>
      <c r="BM73" s="51">
        <v>130.828</v>
      </c>
      <c r="BN73" s="51">
        <v>131.119</v>
      </c>
      <c r="BO73" s="331">
        <f>BN73</f>
        <v>131.119</v>
      </c>
      <c r="BP73" s="259"/>
      <c r="BQ73" s="53">
        <v>0.64700000000000002</v>
      </c>
      <c r="BR73" s="51">
        <v>0.61499999999999999</v>
      </c>
      <c r="BS73" s="51">
        <v>0.49</v>
      </c>
      <c r="BT73" s="51">
        <v>0</v>
      </c>
      <c r="BU73" s="331">
        <f>BT73</f>
        <v>0</v>
      </c>
      <c r="BW73" s="53">
        <v>0</v>
      </c>
      <c r="BX73" s="51">
        <v>0</v>
      </c>
      <c r="BY73" s="51">
        <v>0</v>
      </c>
      <c r="BZ73" s="51">
        <f>BY73</f>
        <v>0</v>
      </c>
      <c r="CA73" s="331">
        <f>BZ73</f>
        <v>0</v>
      </c>
      <c r="CC73" s="53">
        <v>0</v>
      </c>
      <c r="CD73" s="51">
        <v>0</v>
      </c>
      <c r="CE73" s="51">
        <f>CD73</f>
        <v>0</v>
      </c>
      <c r="CF73" s="51">
        <f>CE73</f>
        <v>0</v>
      </c>
      <c r="CG73" s="331">
        <f>CF73</f>
        <v>0</v>
      </c>
      <c r="CI73" s="53">
        <f>CF73</f>
        <v>0</v>
      </c>
      <c r="CJ73" s="51">
        <f>CI73</f>
        <v>0</v>
      </c>
      <c r="CK73" s="51">
        <f>CJ73</f>
        <v>0</v>
      </c>
      <c r="CL73" s="51">
        <f>CK73</f>
        <v>0</v>
      </c>
      <c r="CM73" s="331">
        <f>CL73</f>
        <v>0</v>
      </c>
      <c r="CO73" s="53">
        <f>CL73</f>
        <v>0</v>
      </c>
      <c r="CP73" s="51">
        <f>CO73</f>
        <v>0</v>
      </c>
      <c r="CQ73" s="51">
        <f>CP73</f>
        <v>0</v>
      </c>
      <c r="CR73" s="51">
        <f>CQ73</f>
        <v>0</v>
      </c>
      <c r="CS73" s="331">
        <f>CR73</f>
        <v>0</v>
      </c>
      <c r="CU73" s="53">
        <f>CR73</f>
        <v>0</v>
      </c>
      <c r="CV73" s="51">
        <f>CU73</f>
        <v>0</v>
      </c>
      <c r="CW73" s="51">
        <f>CV73</f>
        <v>0</v>
      </c>
      <c r="CX73" s="51">
        <f>CW73</f>
        <v>0</v>
      </c>
      <c r="CY73" s="331">
        <f>CX73</f>
        <v>0</v>
      </c>
    </row>
    <row r="74" spans="1:103" ht="11.25" customHeight="1" x14ac:dyDescent="0.2">
      <c r="A74" s="380" t="s">
        <v>150</v>
      </c>
      <c r="B74" s="280"/>
      <c r="C74" s="831">
        <f>C14+C18+C22+C26+C30+C62+C66+C71</f>
        <v>0</v>
      </c>
      <c r="D74" s="832">
        <f>D14+D18+D22+D26+D30+D62+D66+D71</f>
        <v>6</v>
      </c>
      <c r="E74" s="832">
        <f>E14+E18+E22+E26+E30+E62+E66+E71</f>
        <v>42.4</v>
      </c>
      <c r="F74" s="832">
        <f>F14+F18+F22+F26+F30+F62+F66+F71</f>
        <v>49.7</v>
      </c>
      <c r="G74" s="833">
        <f>SUM(C74:F74)</f>
        <v>98.1</v>
      </c>
      <c r="H74" s="790"/>
      <c r="I74" s="831">
        <f>I14+I18+I22+I26+I30+I62+I66+I71</f>
        <v>2.2520000000000024</v>
      </c>
      <c r="J74" s="832">
        <f>J14+J18+J22+J26+J30+J62+J66+J71</f>
        <v>9.6000000000000014</v>
      </c>
      <c r="K74" s="832">
        <f>K14+K18+K22+K26+K30+K62+K66+K71</f>
        <v>9.9999999999994316E-2</v>
      </c>
      <c r="L74" s="832">
        <f>L14+L18+L22+L26+L30+L62+L66+L71</f>
        <v>0.83199999999999985</v>
      </c>
      <c r="M74" s="833">
        <f>SUM(I74:L74)</f>
        <v>12.783999999999999</v>
      </c>
      <c r="N74" s="790"/>
      <c r="O74" s="831">
        <f>O14+O18+O22+O26+O30+O62+O66+O71</f>
        <v>-1.2319999999999967</v>
      </c>
      <c r="P74" s="832">
        <f>P14+P18+P22+P26+P30+P62+P66+P71</f>
        <v>3.9000000000000021</v>
      </c>
      <c r="Q74" s="832">
        <f>Q14+Q18+Q22+Q26+Q30+Q62+Q66+Q71</f>
        <v>0.19999999999999574</v>
      </c>
      <c r="R74" s="832">
        <f>R14+R18+R22+R26+R30+R62+R66+R71</f>
        <v>-1.6909999999999972</v>
      </c>
      <c r="S74" s="833">
        <f>SUM(O74:R74)</f>
        <v>1.177000000000004</v>
      </c>
      <c r="T74" s="790"/>
      <c r="U74" s="831">
        <f>U14+U18+U22+U26+U30+U62+U66+U71</f>
        <v>-0.60900000000000265</v>
      </c>
      <c r="V74" s="832">
        <f>V14+V18+V22+V26+V30+V62+V66+V71</f>
        <v>6.2000000000000046</v>
      </c>
      <c r="W74" s="832">
        <f>W14+W18+W22+W26+W30+W62+W66+W71</f>
        <v>40.599999999999994</v>
      </c>
      <c r="X74" s="832">
        <f>X14+X18+X22+X26+X30+X62+X66+X71</f>
        <v>0</v>
      </c>
      <c r="Y74" s="833">
        <f>SUM(U74:X74)</f>
        <v>46.190999999999995</v>
      </c>
      <c r="Z74" s="790"/>
      <c r="AA74" s="791">
        <f>AA14+AA18+AA22+AA26+AA30+AA62+AA66+AA71</f>
        <v>0</v>
      </c>
      <c r="AB74" s="792">
        <f>AB14+AB18+AB22+AB26+AB30+AB62+AB66+AB71</f>
        <v>0</v>
      </c>
      <c r="AC74" s="792">
        <f>AC14+AC18+AC22+AC26+AC30+AC62+AC66+AC71</f>
        <v>0</v>
      </c>
      <c r="AD74" s="792">
        <f>AD14+AD18+AD22+AD26+AD30+AD62+AD66+AD71</f>
        <v>5</v>
      </c>
      <c r="AE74" s="794">
        <f>SUM(AA74:AD74)</f>
        <v>5</v>
      </c>
      <c r="AF74" s="790"/>
      <c r="AG74" s="791">
        <f>AG14+AG18+AG22+AG26+AG30+AG62+AG66+AG71</f>
        <v>0</v>
      </c>
      <c r="AH74" s="792">
        <f>AH14+AH18+AH22+AH26+AH30+AH62+AH66+AH71</f>
        <v>0</v>
      </c>
      <c r="AI74" s="792">
        <f>AI14+AI18+AI22+AI26+AI30+AI62+AI66+AI71</f>
        <v>25</v>
      </c>
      <c r="AJ74" s="792">
        <f>AJ14+AJ18+AJ22+AJ26+AJ30+AJ62+AJ66+AJ71</f>
        <v>0</v>
      </c>
      <c r="AK74" s="794">
        <f>SUM(AG74:AJ74)</f>
        <v>25</v>
      </c>
      <c r="AL74" s="790"/>
      <c r="AM74" s="791">
        <f>AM14+AM18+AM22+AM26+AM30+AM62+AM66+AM71</f>
        <v>0</v>
      </c>
      <c r="AN74" s="792">
        <f>AN14+AN18+AN22+AN26+AN30+AN62+AN66+AN71</f>
        <v>0</v>
      </c>
      <c r="AO74" s="792">
        <f>AO14+AO18+AO22+AO26+AO30+AO62+AO66+AO71</f>
        <v>50</v>
      </c>
      <c r="AP74" s="792">
        <f>AP14+AP18+AP22+AP26+AP30+AP62+AP66+AP71</f>
        <v>0</v>
      </c>
      <c r="AQ74" s="794">
        <f>AQ14+AQ18+AQ22+AQ26+AQ30+AQ62+AQ66+AQ71</f>
        <v>50</v>
      </c>
      <c r="AR74" s="790"/>
      <c r="AS74" s="791">
        <f>AS14+AS18+AS22+AS26+AS30+AS62+AS66+AS71+AS58</f>
        <v>0</v>
      </c>
      <c r="AT74" s="792">
        <f>AT14+AT18+AT22+AT26+AT30+AT62+AT66+AT71+AT58</f>
        <v>0</v>
      </c>
      <c r="AU74" s="792">
        <f>AU14+AU18+AU22+AU26+AU30+AU62+AU66+AU71+AU58</f>
        <v>75</v>
      </c>
      <c r="AV74" s="792">
        <f>AV14+AV18+AV22+AV26+AV30+AV62+AV66+AV71+AV58</f>
        <v>350</v>
      </c>
      <c r="AW74" s="794">
        <f>SUM(AS74:AV74)</f>
        <v>425</v>
      </c>
      <c r="AX74" s="790"/>
      <c r="AY74" s="791">
        <f>AY14+AY18+AY22+AY26+AY30+AY62+AY66+AY71+AY58</f>
        <v>-5.0999999999999712E-2</v>
      </c>
      <c r="AZ74" s="792">
        <f>AZ14+AZ18+AZ22+AZ26+AZ30+AZ62+AZ66+AZ71+AZ58</f>
        <v>0.58000000000000007</v>
      </c>
      <c r="BA74" s="792">
        <f>BA14+BA18+BA22+BA26+BA30+BA62+BA66+BA71+BA58</f>
        <v>0.379</v>
      </c>
      <c r="BB74" s="792">
        <f>BB14+BB18+BB22+BB26+BB30+BB62+BB66+BB71+BB58</f>
        <v>0</v>
      </c>
      <c r="BC74" s="794">
        <f>BC14+BC18+BC22+BC26+BC30+BC62+BC66+BC71</f>
        <v>0</v>
      </c>
      <c r="BD74" s="790"/>
      <c r="BE74" s="791">
        <f>BE14+BE18+BE22+BE26+BE30+BE62+BE66+BE71+BE58</f>
        <v>0</v>
      </c>
      <c r="BF74" s="792">
        <f>BF14+BF18+BF22+BF26+BF30+BF62+BF66+BF71+BF58</f>
        <v>-0.6359999999999999</v>
      </c>
      <c r="BG74" s="792">
        <f>BG14+BG18+BG22+BG26+BG30+BG62+BG66+BG71+BG58</f>
        <v>0.30499999999999994</v>
      </c>
      <c r="BH74" s="792">
        <f>BH14+BH18+BH22+BH26+BH30+BH62+BH66+BH71+BH58</f>
        <v>-1.1779999999999999</v>
      </c>
      <c r="BI74" s="794">
        <f>SUM(BE74:BH74)</f>
        <v>-1.5089999999999999</v>
      </c>
      <c r="BJ74" s="790"/>
      <c r="BK74" s="791">
        <f>BK14+BK18+BK22+BK26+BK30+BK62+BK66+BK71+BK58</f>
        <v>0</v>
      </c>
      <c r="BL74" s="792">
        <f>BL14+BL18+BL22+BL26+BL30+BL62+BL66+BL71+BL58</f>
        <v>0</v>
      </c>
      <c r="BM74" s="792">
        <f>BM14+BM18+BM22+BM26+BM30+BM62+BM66+BM71+BM58</f>
        <v>-14.549000000000007</v>
      </c>
      <c r="BN74" s="792">
        <f>BN14+BN18+BN22+BN26+BN30+BN62+BN66+BN71+BN58</f>
        <v>0</v>
      </c>
      <c r="BO74" s="794">
        <f>SUM(BK74:BN74)</f>
        <v>-14.549000000000007</v>
      </c>
      <c r="BP74" s="20"/>
      <c r="BQ74" s="791">
        <f>BQ26+BQ30+BQ34+BQ38+BQ42+BQ46+BQ50+BQ58</f>
        <v>-123.10900000000001</v>
      </c>
      <c r="BR74" s="792">
        <f>BR26+BR30+BR34+BR38+BR42+BR46+BR50+BR58</f>
        <v>0.61600000000002719</v>
      </c>
      <c r="BS74" s="792">
        <f>BS26+BS30+BS34+BS38+BS42+BS46+BS50+BS58</f>
        <v>9.3199999999999363</v>
      </c>
      <c r="BT74" s="792">
        <f>BT26+BT30+BT34+BT38+BT42+BT46+BT50+BT58</f>
        <v>0.68100000000000649</v>
      </c>
      <c r="BU74" s="794">
        <f>SUM(BQ74:BT74)</f>
        <v>-112.49200000000003</v>
      </c>
      <c r="BW74" s="791">
        <f>BW26+BW30+BW34+BW38+BW42+BW46+BW50+BW58</f>
        <v>0.20000000000004903</v>
      </c>
      <c r="BX74" s="792">
        <f>BX26+BX30+BX34+BX38+BX42+BX46+BX50+BX58</f>
        <v>12.624999999999996</v>
      </c>
      <c r="BY74" s="792">
        <f>BY26+BY30+BY34+BY38+BY42+BY46+BY50+BY58</f>
        <v>-2.9719999999999622</v>
      </c>
      <c r="BZ74" s="792">
        <f>BZ26+BZ30+BZ34+BZ38+BZ42+BZ46+BZ50+BZ58</f>
        <v>-2.3440000000000794</v>
      </c>
      <c r="CA74" s="794">
        <f>SUM(BW74:BZ74)</f>
        <v>7.5090000000000039</v>
      </c>
      <c r="CC74" s="791">
        <f>CC26+CC30+CC34+CC38+CC42+CC46+CC50+CC58</f>
        <v>4.4670000000000698</v>
      </c>
      <c r="CD74" s="792">
        <f>CD26+CD30+CD34+CD38+CD42+CD46+CD50+CD58</f>
        <v>312.267</v>
      </c>
      <c r="CE74" s="792">
        <f>CE26+CE30+CE34+CE38+CE42+CE46+CE50+CE58+CE54</f>
        <v>363.16399999999993</v>
      </c>
      <c r="CF74" s="792">
        <f>CF26+CF30+CF34+CF38+CF42+CF46+CF50+CF58</f>
        <v>8.2640000000000562</v>
      </c>
      <c r="CG74" s="794">
        <f>SUM(CC74:CF74)</f>
        <v>688.16199999999992</v>
      </c>
      <c r="CI74" s="791">
        <f>CI26+CI30+CI34+CI38+CI42+CI46+CI50+CI58</f>
        <v>0</v>
      </c>
      <c r="CJ74" s="792">
        <f>CJ26+CJ30+CJ34+CJ38+CJ42+CJ46+CJ50+CJ58</f>
        <v>0</v>
      </c>
      <c r="CK74" s="792">
        <f>CK26+CK30+CK34+CK38+CK42+CK46+CK50+CK58</f>
        <v>0</v>
      </c>
      <c r="CL74" s="792">
        <f>CL26+CL30+CL34+CL38+CL42+CL46+CL50+CL58</f>
        <v>0</v>
      </c>
      <c r="CM74" s="794">
        <f>SUM(CI74:CL74)</f>
        <v>0</v>
      </c>
      <c r="CO74" s="791">
        <f>CO26+CO30+CO34+CO38+CO42+CO46+CO50+CO58</f>
        <v>0</v>
      </c>
      <c r="CP74" s="792">
        <f>CP26+CP30+CP34+CP38+CP42+CP46+CP50+CP58</f>
        <v>0</v>
      </c>
      <c r="CQ74" s="792">
        <f>CQ26+CQ30+CQ34+CQ38+CQ42+CQ46+CQ50+CQ58</f>
        <v>0</v>
      </c>
      <c r="CR74" s="792">
        <f>CR26+CR30+CR34+CR38+CR42+CR46+CR50+CR58</f>
        <v>0</v>
      </c>
      <c r="CS74" s="794">
        <f>SUM(CO74:CR74)</f>
        <v>0</v>
      </c>
      <c r="CU74" s="791">
        <f>CU26+CU30+CU34+CU38+CU42+CU46+CU50+CU58</f>
        <v>0</v>
      </c>
      <c r="CV74" s="792">
        <f>CV26+CV30+CV34+CV38+CV42+CV46+CV50+CV58</f>
        <v>0</v>
      </c>
      <c r="CW74" s="792">
        <f>CW26+CW30+CW34+CW38+CW42+CW46+CW50+CW58</f>
        <v>0</v>
      </c>
      <c r="CX74" s="792">
        <f>CX26+CX30+CX34+CX38+CX42+CX46+CX50+CX58</f>
        <v>0</v>
      </c>
      <c r="CY74" s="794">
        <f>SUM(CU74:CX74)</f>
        <v>0</v>
      </c>
    </row>
    <row r="75" spans="1:103" ht="11.25" customHeight="1" x14ac:dyDescent="0.2">
      <c r="A75" s="834" t="s">
        <v>151</v>
      </c>
      <c r="B75" s="835"/>
      <c r="C75" s="836">
        <v>-1.022</v>
      </c>
      <c r="D75" s="837">
        <v>-0.97</v>
      </c>
      <c r="E75" s="837">
        <v>-1.653</v>
      </c>
      <c r="F75" s="837">
        <v>-1.456</v>
      </c>
      <c r="G75" s="477">
        <f>SUM(C75:F75)</f>
        <v>-5.101</v>
      </c>
      <c r="H75" s="430"/>
      <c r="I75" s="836">
        <v>-1.4770000000000001</v>
      </c>
      <c r="J75" s="837">
        <v>-1.5329999999999999</v>
      </c>
      <c r="K75" s="837">
        <v>-1.5209999999999999</v>
      </c>
      <c r="L75" s="837">
        <v>-1.4090000000000007</v>
      </c>
      <c r="M75" s="477">
        <f>SUM(I75:L75)</f>
        <v>-5.94</v>
      </c>
      <c r="N75" s="430"/>
      <c r="O75" s="836">
        <v>-1.458</v>
      </c>
      <c r="P75" s="837">
        <v>-1.9339999999999999</v>
      </c>
      <c r="Q75" s="837">
        <v>-4.5460000000000003</v>
      </c>
      <c r="R75" s="837">
        <v>-3.98</v>
      </c>
      <c r="S75" s="477">
        <f>SUM(O75:R75)</f>
        <v>-11.918000000000001</v>
      </c>
      <c r="T75" s="430"/>
      <c r="U75" s="836">
        <v>-4.6909999999999998</v>
      </c>
      <c r="V75" s="837">
        <v>-4.923</v>
      </c>
      <c r="W75" s="837">
        <v>-10.742000000000001</v>
      </c>
      <c r="X75" s="837">
        <v>-11.098999999999997</v>
      </c>
      <c r="Y75" s="477">
        <f>SUM(U75:X75)</f>
        <v>-31.454999999999998</v>
      </c>
      <c r="Z75" s="430"/>
      <c r="AA75" s="838">
        <v>-10.451000000000001</v>
      </c>
      <c r="AB75" s="839">
        <v>-9.1869999999999994</v>
      </c>
      <c r="AC75" s="839">
        <v>-9.1940000000000008</v>
      </c>
      <c r="AD75" s="839">
        <v>-8.6950000000000003</v>
      </c>
      <c r="AE75" s="474">
        <f>SUM(AA75:AD75)</f>
        <v>-37.527000000000001</v>
      </c>
      <c r="AF75" s="430"/>
      <c r="AG75" s="838">
        <v>-7.431</v>
      </c>
      <c r="AH75" s="839">
        <v>-7.3019999999999996</v>
      </c>
      <c r="AI75" s="839">
        <v>-7.4050000000000002</v>
      </c>
      <c r="AJ75" s="839">
        <v>-7.5029999999999966</v>
      </c>
      <c r="AK75" s="840">
        <v>-29.640999999999998</v>
      </c>
      <c r="AL75" s="430"/>
      <c r="AM75" s="838">
        <v>-6.2539999999999996</v>
      </c>
      <c r="AN75" s="839">
        <v>-7.6689999999999996</v>
      </c>
      <c r="AO75" s="839">
        <v>-6.98</v>
      </c>
      <c r="AP75" s="841">
        <v>-6.9120000000000026</v>
      </c>
      <c r="AQ75" s="840">
        <v>-27.815000000000001</v>
      </c>
      <c r="AR75" s="430"/>
      <c r="AS75" s="838">
        <v>-6.3070000000000004</v>
      </c>
      <c r="AT75" s="839">
        <v>-6.6360000000000001</v>
      </c>
      <c r="AU75" s="839">
        <v>-6.5369999999999999</v>
      </c>
      <c r="AV75" s="841">
        <v>-5.8780000000000001</v>
      </c>
      <c r="AW75" s="840">
        <v>-25.358000000000001</v>
      </c>
      <c r="AX75" s="430"/>
      <c r="AY75" s="838">
        <v>-5.0170000000000003</v>
      </c>
      <c r="AZ75" s="839">
        <v>-5.1369999999999996</v>
      </c>
      <c r="BA75" s="839">
        <v>-4.9669999999999996</v>
      </c>
      <c r="BB75" s="841">
        <v>-8.3310000000000031</v>
      </c>
      <c r="BC75" s="840">
        <v>-23.452000000000002</v>
      </c>
      <c r="BD75" s="430"/>
      <c r="BE75" s="838">
        <v>-7.665</v>
      </c>
      <c r="BF75" s="839">
        <v>-7.8070000000000004</v>
      </c>
      <c r="BG75" s="839">
        <v>-7.4930000000000003</v>
      </c>
      <c r="BH75" s="841">
        <v>-7.9160000000000004</v>
      </c>
      <c r="BI75" s="474">
        <f>SUM(BE75:BH75)</f>
        <v>-30.881000000000004</v>
      </c>
      <c r="BJ75" s="430"/>
      <c r="BK75" s="838">
        <v>-7.5019999999999998</v>
      </c>
      <c r="BL75" s="1070">
        <v>-5.8250000000000002</v>
      </c>
      <c r="BM75" s="1070">
        <v>-10.837999999999999</v>
      </c>
      <c r="BN75" s="841">
        <f>-39.33-SUM(BK75:BM75)</f>
        <v>-15.164999999999999</v>
      </c>
      <c r="BO75" s="474">
        <f>SUM(BK75:BN75)</f>
        <v>-39.33</v>
      </c>
      <c r="BP75" s="20"/>
      <c r="BQ75" s="838">
        <v>-9.2110000000000003</v>
      </c>
      <c r="BR75" s="1070">
        <v>-9.3290000000000006</v>
      </c>
      <c r="BS75" s="1070">
        <v>-9.2059999999999995</v>
      </c>
      <c r="BT75" s="841">
        <f>-37.396-SUM(BQ75:BS75)</f>
        <v>-9.6500000000000021</v>
      </c>
      <c r="BU75" s="474">
        <f>SUM(BQ75:BT75)</f>
        <v>-37.396000000000001</v>
      </c>
      <c r="BW75" s="838">
        <v>-9.3360000000000003</v>
      </c>
      <c r="BX75" s="1070">
        <v>-9.4079999999999995</v>
      </c>
      <c r="BY75" s="1070">
        <v>-9.6259999999999994</v>
      </c>
      <c r="BZ75" s="841">
        <f>-39.022-SUM(BW75:BY75)</f>
        <v>-10.652000000000001</v>
      </c>
      <c r="CA75" s="474">
        <f>SUM(BW75:BZ75)</f>
        <v>-39.021999999999998</v>
      </c>
      <c r="CC75" s="838">
        <v>-10.161</v>
      </c>
      <c r="CD75" s="1070">
        <v>-10.581</v>
      </c>
      <c r="CE75" s="1070">
        <v>-12</v>
      </c>
      <c r="CF75" s="841">
        <f>-49.685-SUM(CC75:CE75)</f>
        <v>-16.943000000000005</v>
      </c>
      <c r="CG75" s="474">
        <f>SUM(CC75:CF75)</f>
        <v>-49.685000000000002</v>
      </c>
      <c r="CI75" s="475">
        <f>-CI35-CI43-CI39-CI27-CI31-CI59-CI67-CI51-CI47</f>
        <v>-7.3097449855000001</v>
      </c>
      <c r="CJ75" s="431">
        <f t="shared" ref="CJ75:CL75" si="0">-CJ35-CJ43-CJ39-CJ27-CJ31-CJ59-CJ67-CJ51-CJ47</f>
        <v>-7.3097449855000001</v>
      </c>
      <c r="CK75" s="431">
        <f t="shared" si="0"/>
        <v>-7.3097449855000001</v>
      </c>
      <c r="CL75" s="842">
        <f t="shared" si="0"/>
        <v>-7.3097449855000001</v>
      </c>
      <c r="CM75" s="474">
        <f>SUM(CI75:CL75)</f>
        <v>-29.238979942</v>
      </c>
      <c r="CO75" s="475">
        <f>-CO35-CO43-CO39-CO27-CO31-CO59-CO67-CO51-CO47</f>
        <v>-7.3097449855000001</v>
      </c>
      <c r="CP75" s="431">
        <f t="shared" ref="CP75:CR75" si="1">-CP35-CP43-CP39-CP27-CP31-CP59-CP67-CP51-CP47</f>
        <v>-7.3097449855000001</v>
      </c>
      <c r="CQ75" s="431">
        <f t="shared" si="1"/>
        <v>-7.3097449855000001</v>
      </c>
      <c r="CR75" s="842">
        <f t="shared" si="1"/>
        <v>-7.3097449855000001</v>
      </c>
      <c r="CS75" s="474">
        <f>SUM(CO75:CR75)</f>
        <v>-29.238979942</v>
      </c>
      <c r="CU75" s="475">
        <f>-CU35-CU43-CU39-CU27-CU31-CU59-CU67-CU51-CU47</f>
        <v>-7.3097449855000001</v>
      </c>
      <c r="CV75" s="431">
        <f t="shared" ref="CV75:CX75" si="2">-CV35-CV43-CV39-CV27-CV31-CV59-CV67-CV51-CV47</f>
        <v>-7.3097449855000001</v>
      </c>
      <c r="CW75" s="431">
        <f t="shared" si="2"/>
        <v>-7.3097449855000001</v>
      </c>
      <c r="CX75" s="842">
        <f t="shared" si="2"/>
        <v>-7.3097449855000001</v>
      </c>
      <c r="CY75" s="474">
        <f>SUM(CU75:CX75)</f>
        <v>-29.238979942</v>
      </c>
    </row>
    <row r="76" spans="1:103" s="33" customFormat="1" ht="11.25" customHeight="1" x14ac:dyDescent="0.2">
      <c r="A76" s="162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181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229"/>
      <c r="BR76" s="229"/>
      <c r="BS76" s="190"/>
      <c r="BT76" s="190"/>
      <c r="BU76" s="39"/>
      <c r="BW76" s="39"/>
      <c r="BX76" s="39"/>
      <c r="BY76" s="39"/>
      <c r="BZ76" s="39"/>
      <c r="CA76" s="39"/>
      <c r="CC76" s="39"/>
      <c r="CD76" s="39"/>
      <c r="CE76" s="39"/>
      <c r="CF76" s="39"/>
      <c r="CG76" s="39"/>
      <c r="CI76" s="39"/>
      <c r="CJ76" s="39"/>
      <c r="CK76" s="39"/>
      <c r="CL76" s="39"/>
      <c r="CM76" s="39"/>
      <c r="CO76" s="39"/>
      <c r="CP76" s="39"/>
      <c r="CQ76" s="39"/>
      <c r="CR76" s="39"/>
      <c r="CS76" s="39"/>
      <c r="CU76" s="39"/>
      <c r="CV76" s="39"/>
      <c r="CW76" s="39"/>
      <c r="CX76" s="39"/>
      <c r="CY76" s="39"/>
    </row>
    <row r="77" spans="1:103" customFormat="1" ht="11.25" customHeight="1" x14ac:dyDescent="0.2">
      <c r="A77" s="29" t="s">
        <v>14</v>
      </c>
      <c r="B77" s="16"/>
      <c r="C77" s="17"/>
      <c r="D77" s="16"/>
      <c r="E77" s="16"/>
      <c r="F77" s="16"/>
      <c r="G77" s="18"/>
      <c r="H77" s="16"/>
      <c r="I77" s="17"/>
      <c r="J77" s="16"/>
      <c r="K77" s="16"/>
      <c r="L77" s="16"/>
      <c r="M77" s="18"/>
      <c r="N77" s="16"/>
      <c r="O77" s="17"/>
      <c r="P77" s="16"/>
      <c r="Q77" s="16"/>
      <c r="R77" s="16"/>
      <c r="S77" s="18"/>
      <c r="T77" s="16"/>
      <c r="U77" s="17"/>
      <c r="V77" s="24"/>
      <c r="W77" s="16"/>
      <c r="X77" s="16"/>
      <c r="Y77" s="18"/>
      <c r="Z77" s="16"/>
      <c r="AA77" s="17"/>
      <c r="AB77" s="16"/>
      <c r="AC77" s="16"/>
      <c r="AD77" s="16"/>
      <c r="AE77" s="18"/>
      <c r="AF77" s="16"/>
      <c r="AG77" s="17"/>
      <c r="AH77" s="16"/>
      <c r="AI77" s="16"/>
      <c r="AJ77" s="16"/>
      <c r="AK77" s="18"/>
      <c r="AL77" s="16"/>
      <c r="AM77" s="17"/>
      <c r="AN77" s="16"/>
      <c r="AO77" s="16"/>
      <c r="AP77" s="16"/>
      <c r="AQ77" s="18"/>
      <c r="AR77" s="16"/>
      <c r="AS77" s="17"/>
      <c r="AT77" s="16"/>
      <c r="AU77" s="16"/>
      <c r="AV77" s="16"/>
      <c r="AW77" s="18"/>
      <c r="AX77" s="16"/>
      <c r="AY77" s="17"/>
      <c r="AZ77" s="16"/>
      <c r="BA77" s="16"/>
      <c r="BB77" s="16"/>
      <c r="BC77" s="18"/>
      <c r="BD77" s="16"/>
      <c r="BE77" s="17"/>
      <c r="BF77" s="16"/>
      <c r="BG77" s="16"/>
      <c r="BH77" s="16"/>
      <c r="BI77" s="18"/>
      <c r="BJ77" s="16"/>
      <c r="BK77" s="10"/>
      <c r="BL77" s="10"/>
      <c r="BM77" s="10"/>
      <c r="BN77" s="10"/>
      <c r="BO77" s="11"/>
      <c r="BP77" s="10"/>
      <c r="BQ77" s="10"/>
      <c r="BR77" s="10"/>
      <c r="BS77" s="10"/>
      <c r="BT77" s="10"/>
      <c r="BU77" s="11"/>
      <c r="BV77" s="891"/>
      <c r="BW77" s="10"/>
      <c r="BX77" s="10"/>
      <c r="BY77" s="10"/>
      <c r="BZ77" s="10"/>
      <c r="CA77" s="11"/>
      <c r="CB77" s="891"/>
      <c r="CC77" s="10"/>
      <c r="CD77" s="10"/>
      <c r="CE77" s="10"/>
      <c r="CF77" s="10"/>
      <c r="CG77" s="11"/>
      <c r="CH77" s="891"/>
      <c r="CI77" s="10"/>
      <c r="CJ77" s="10"/>
      <c r="CK77" s="10"/>
      <c r="CL77" s="10"/>
      <c r="CM77" s="11"/>
      <c r="CN77" s="891"/>
      <c r="CO77" s="10"/>
      <c r="CP77" s="10"/>
      <c r="CQ77" s="10"/>
      <c r="CR77" s="10"/>
      <c r="CS77" s="11"/>
      <c r="CT77" s="891"/>
      <c r="CU77" s="10"/>
      <c r="CV77" s="10"/>
      <c r="CW77" s="10"/>
      <c r="CX77" s="10"/>
      <c r="CY77" s="11"/>
    </row>
    <row r="78" spans="1:103" ht="11.25" customHeight="1" x14ac:dyDescent="0.2">
      <c r="A78" s="843" t="s">
        <v>116</v>
      </c>
      <c r="B78" s="40"/>
      <c r="C78" s="1282" t="str">
        <f>BS!A10</f>
        <v>Cash and cash equivalents</v>
      </c>
      <c r="D78" s="1283">
        <f>+BS!C10</f>
        <v>0</v>
      </c>
      <c r="E78" s="1283">
        <f>+BS!D10</f>
        <v>0</v>
      </c>
      <c r="F78" s="1283">
        <f>+BS!E10</f>
        <v>0</v>
      </c>
      <c r="G78" s="1284" t="str">
        <f>C78</f>
        <v>Cash and cash equivalents</v>
      </c>
      <c r="H78" s="40"/>
      <c r="I78" s="885">
        <f>BS!G10</f>
        <v>196.375</v>
      </c>
      <c r="J78" s="281">
        <f>I83</f>
        <v>199.12700000000001</v>
      </c>
      <c r="K78" s="281">
        <f>J83</f>
        <v>194.14100000000002</v>
      </c>
      <c r="L78" s="844">
        <f>K83</f>
        <v>202.79300000000001</v>
      </c>
      <c r="M78" s="327">
        <f>I78</f>
        <v>196.375</v>
      </c>
      <c r="N78" s="40"/>
      <c r="O78" s="885">
        <f>BS!M10</f>
        <v>191.70000000000002</v>
      </c>
      <c r="P78" s="281">
        <f>O83</f>
        <v>199.22900000000004</v>
      </c>
      <c r="Q78" s="281">
        <f>P83</f>
        <v>196.29900000000004</v>
      </c>
      <c r="R78" s="844">
        <f>Q83</f>
        <v>199.88400000000007</v>
      </c>
      <c r="S78" s="327">
        <f>O78</f>
        <v>191.70000000000002</v>
      </c>
      <c r="T78" s="40"/>
      <c r="U78" s="885">
        <f>BS!S10</f>
        <v>430.35699999999997</v>
      </c>
      <c r="V78" s="281">
        <f>U83</f>
        <v>435.25799999999992</v>
      </c>
      <c r="W78" s="281">
        <f>V83</f>
        <v>434.13899999999995</v>
      </c>
      <c r="X78" s="844">
        <f>W83</f>
        <v>357.54299999999989</v>
      </c>
      <c r="Y78" s="327">
        <f>U78</f>
        <v>430.35699999999997</v>
      </c>
      <c r="Z78" s="40"/>
      <c r="AA78" s="885">
        <f>BS!Y10</f>
        <v>347.31999999999994</v>
      </c>
      <c r="AB78" s="281">
        <f>AA83</f>
        <v>349.27899999999988</v>
      </c>
      <c r="AC78" s="281">
        <f>AB83</f>
        <v>358.40599999999989</v>
      </c>
      <c r="AD78" s="844">
        <f>AC83</f>
        <v>361.48499999999984</v>
      </c>
      <c r="AE78" s="327">
        <f>AA78</f>
        <v>347.31999999999994</v>
      </c>
      <c r="AF78" s="40"/>
      <c r="AG78" s="885">
        <f>BS!AE10</f>
        <v>333.31299999999993</v>
      </c>
      <c r="AH78" s="281">
        <f>AG83</f>
        <v>336.39499999999998</v>
      </c>
      <c r="AI78" s="281">
        <f>AH83</f>
        <v>342.92199999999991</v>
      </c>
      <c r="AJ78" s="844">
        <f>AI83</f>
        <v>327.03199999999993</v>
      </c>
      <c r="AK78" s="327">
        <f>AG78</f>
        <v>333.31299999999993</v>
      </c>
      <c r="AL78" s="40"/>
      <c r="AM78" s="885">
        <f>BS!AK10</f>
        <v>825.5569999999999</v>
      </c>
      <c r="AN78" s="281">
        <f>AM83</f>
        <v>823.77999999999986</v>
      </c>
      <c r="AO78" s="281">
        <f>AN83</f>
        <v>823.32599999999979</v>
      </c>
      <c r="AP78" s="844">
        <f>AO83</f>
        <v>774.55899999999974</v>
      </c>
      <c r="AQ78" s="327">
        <f>AM78</f>
        <v>825.5569999999999</v>
      </c>
      <c r="AR78" s="40"/>
      <c r="AS78" s="1282">
        <f>BS!AQ10</f>
        <v>828.40699999999993</v>
      </c>
      <c r="AT78" s="1283">
        <f>+BS!AS10</f>
        <v>776.5809999999999</v>
      </c>
      <c r="AU78" s="1283">
        <f>+BS!AT10</f>
        <v>787.8649999999999</v>
      </c>
      <c r="AV78" s="1283">
        <f>+BS!AU10</f>
        <v>393.8499999999998</v>
      </c>
      <c r="AW78" s="1284">
        <f>AS78</f>
        <v>828.40699999999993</v>
      </c>
      <c r="AX78" s="40"/>
      <c r="AY78" s="1282">
        <f>BS!AW10</f>
        <v>221.13299999999992</v>
      </c>
      <c r="AZ78" s="1283">
        <f>+BS!AY10</f>
        <v>219.85499999999993</v>
      </c>
      <c r="BA78" s="1283">
        <f>+BS!AZ10</f>
        <v>214.00799999999992</v>
      </c>
      <c r="BB78" s="1283">
        <f>+BS!BA10</f>
        <v>258.22899999999993</v>
      </c>
      <c r="BC78" s="1284">
        <f>AY78</f>
        <v>221.13299999999992</v>
      </c>
      <c r="BD78" s="40"/>
      <c r="BE78" s="1282">
        <f>BS!BC10</f>
        <v>394.03699999999992</v>
      </c>
      <c r="BF78" s="1283">
        <f>+BS!BE10</f>
        <v>372.75699999999983</v>
      </c>
      <c r="BG78" s="1283">
        <f>+BS!BF10</f>
        <v>299.81899999999985</v>
      </c>
      <c r="BH78" s="1283">
        <f>+BS!BG10</f>
        <v>279.98799999999983</v>
      </c>
      <c r="BI78" s="1284">
        <f>BE78</f>
        <v>394.03699999999992</v>
      </c>
      <c r="BJ78" s="40"/>
      <c r="BK78" s="1282">
        <f>BS!BI10</f>
        <v>330.30299999999983</v>
      </c>
      <c r="BL78" s="1283">
        <f>+BS!BK10</f>
        <v>564.27199999999993</v>
      </c>
      <c r="BM78" s="1283">
        <f>+BS!BL10</f>
        <v>418.93399999999986</v>
      </c>
      <c r="BN78" s="1283">
        <f>+BS!BM10</f>
        <v>484.20999999999981</v>
      </c>
      <c r="BO78" s="1284">
        <f>BK78</f>
        <v>330.30299999999983</v>
      </c>
      <c r="BP78" s="40"/>
      <c r="BQ78" s="1282">
        <f>BS!BO10</f>
        <v>392.66699999999975</v>
      </c>
      <c r="BR78" s="1283">
        <f>+BS!BQ10</f>
        <v>287.81099999999981</v>
      </c>
      <c r="BS78" s="1283">
        <f>+BS!BR10</f>
        <v>234.32999999999981</v>
      </c>
      <c r="BT78" s="1283">
        <f>+BS!BS10</f>
        <v>330.95099999999979</v>
      </c>
      <c r="BU78" s="1284">
        <f>BQ78</f>
        <v>392.66699999999975</v>
      </c>
      <c r="BV78" s="892"/>
      <c r="BW78" s="1282">
        <f>BS!BU10</f>
        <v>290.01099999999974</v>
      </c>
      <c r="BX78" s="1283">
        <f>+BS!BW10</f>
        <v>355.78499999999974</v>
      </c>
      <c r="BY78" s="1283">
        <f>+BS!BX10</f>
        <v>328.15699999999975</v>
      </c>
      <c r="BZ78" s="1283">
        <f>+BS!BY10</f>
        <v>354.64599999999967</v>
      </c>
      <c r="CA78" s="1284">
        <f>BW78</f>
        <v>290.01099999999974</v>
      </c>
      <c r="CB78" s="892"/>
      <c r="CC78" s="1282">
        <f>BS!CA10</f>
        <v>439.17999999999978</v>
      </c>
      <c r="CD78" s="1283">
        <f>+BS!CC10</f>
        <v>245.44599999999977</v>
      </c>
      <c r="CE78" s="1283">
        <f>+BS!CD10</f>
        <v>542.84099999999978</v>
      </c>
      <c r="CF78" s="1283">
        <f>+BS!CE10</f>
        <v>671.75099999999975</v>
      </c>
      <c r="CG78" s="1284">
        <f>CC78</f>
        <v>439.17999999999978</v>
      </c>
      <c r="CH78" s="892"/>
      <c r="CI78" s="1282">
        <f>BS!CG10</f>
        <v>657.71399999999994</v>
      </c>
      <c r="CJ78" s="1283">
        <f>+BS!CI10</f>
        <v>653.10851546742424</v>
      </c>
      <c r="CK78" s="1283">
        <f>+BS!CJ10</f>
        <v>632.4377082250877</v>
      </c>
      <c r="CL78" s="1283">
        <f>+BS!CK10</f>
        <v>578.40583830112939</v>
      </c>
      <c r="CM78" s="327">
        <f>CI78</f>
        <v>657.71399999999994</v>
      </c>
      <c r="CN78" s="892"/>
      <c r="CO78" s="1282">
        <f>BS!CM10</f>
        <v>615.41544111346411</v>
      </c>
      <c r="CP78" s="1283">
        <f>+BS!CO10</f>
        <v>668.09187402808436</v>
      </c>
      <c r="CQ78" s="1283">
        <f>+BS!CP10</f>
        <v>673.00104294696462</v>
      </c>
      <c r="CR78" s="1283">
        <f>+BS!CQ10</f>
        <v>621.09621669596527</v>
      </c>
      <c r="CS78" s="327">
        <f>CO78</f>
        <v>615.41544111346411</v>
      </c>
      <c r="CT78" s="892"/>
      <c r="CU78" s="1282">
        <f>BS!CS10</f>
        <v>665.71756513920764</v>
      </c>
      <c r="CV78" s="1283">
        <f>+BS!CU10</f>
        <v>753.34752713910893</v>
      </c>
      <c r="CW78" s="1283">
        <f>+BS!CV10</f>
        <v>788.6013188684251</v>
      </c>
      <c r="CX78" s="1283">
        <f>+BS!CW10</f>
        <v>750.20261024725744</v>
      </c>
      <c r="CY78" s="327">
        <f>CU78</f>
        <v>665.71756513920764</v>
      </c>
    </row>
    <row r="79" spans="1:103" ht="11.25" customHeight="1" x14ac:dyDescent="0.2">
      <c r="A79" s="661" t="s">
        <v>117</v>
      </c>
      <c r="B79" s="39"/>
      <c r="C79" s="847">
        <f>'P&amp;L'!C30</f>
        <v>11.420999999999996</v>
      </c>
      <c r="D79" s="848">
        <f>'P&amp;L'!D30</f>
        <v>8.8020000000000067</v>
      </c>
      <c r="E79" s="848">
        <f>'P&amp;L'!E30</f>
        <v>12.639999999999969</v>
      </c>
      <c r="F79" s="848">
        <f>'P&amp;L'!F30</f>
        <v>15.842000000000059</v>
      </c>
      <c r="G79" s="58"/>
      <c r="H79" s="39"/>
      <c r="I79" s="847">
        <f>'P&amp;L'!I30</f>
        <v>13.948</v>
      </c>
      <c r="J79" s="848">
        <f>'P&amp;L'!J30</f>
        <v>13.777000000000008</v>
      </c>
      <c r="K79" s="848">
        <f>'P&amp;L'!K30</f>
        <v>17.639999999999983</v>
      </c>
      <c r="L79" s="848">
        <f>'P&amp;L'!L30</f>
        <v>16.860000000000007</v>
      </c>
      <c r="M79" s="886">
        <f>'P&amp;L'!M28</f>
        <v>67.965620000000001</v>
      </c>
      <c r="N79" s="39"/>
      <c r="O79" s="847">
        <f>'P&amp;L'!O30</f>
        <v>17.580000000000005</v>
      </c>
      <c r="P79" s="848">
        <f>'P&amp;L'!P30</f>
        <v>14.154000000000007</v>
      </c>
      <c r="Q79" s="848">
        <f>'P&amp;L'!Q30</f>
        <v>19.358000000000011</v>
      </c>
      <c r="R79" s="848">
        <f>'P&amp;L'!R30</f>
        <v>19.446999999999999</v>
      </c>
      <c r="S79" s="886">
        <f>'P&amp;L'!S28</f>
        <v>84.295349999999985</v>
      </c>
      <c r="T79" s="39"/>
      <c r="U79" s="847">
        <f>'P&amp;L'!U30</f>
        <v>19.866999999999976</v>
      </c>
      <c r="V79" s="848">
        <f>'P&amp;L'!V30</f>
        <v>22.582999999999991</v>
      </c>
      <c r="W79" s="848">
        <f>'P&amp;L'!W30</f>
        <v>-7.3280000000000136</v>
      </c>
      <c r="X79" s="848">
        <f>'P&amp;L'!X30</f>
        <v>15.000000000000071</v>
      </c>
      <c r="Y79" s="886">
        <f>'P&amp;L'!Y28</f>
        <v>111.52200000000002</v>
      </c>
      <c r="Z79" s="39"/>
      <c r="AA79" s="847">
        <f>'P&amp;L'!AA28</f>
        <v>36.932999999999957</v>
      </c>
      <c r="AB79" s="848">
        <f>'P&amp;L'!AB28</f>
        <v>40.425000000000011</v>
      </c>
      <c r="AC79" s="848">
        <f>'P&amp;L'!AC28</f>
        <v>42.420999999999992</v>
      </c>
      <c r="AD79" s="848">
        <f>'P&amp;L'!AD28</f>
        <v>43.507000000000005</v>
      </c>
      <c r="AE79" s="886">
        <f>'P&amp;L'!AE28</f>
        <v>163.28599999999986</v>
      </c>
      <c r="AF79" s="39"/>
      <c r="AG79" s="847">
        <f>'P&amp;L'!AG28</f>
        <v>40.375000000000028</v>
      </c>
      <c r="AH79" s="848">
        <f>'P&amp;L'!AH28</f>
        <v>48.258999999999979</v>
      </c>
      <c r="AI79" s="848">
        <f>'P&amp;L'!AI28</f>
        <v>53.507000000000005</v>
      </c>
      <c r="AJ79" s="848">
        <f>'P&amp;L'!AJ28</f>
        <v>57.447000000000074</v>
      </c>
      <c r="AK79" s="886">
        <f>'P&amp;L'!AK28</f>
        <v>199.58800000000008</v>
      </c>
      <c r="AL79" s="39"/>
      <c r="AM79" s="847">
        <f>'P&amp;L'!AM28</f>
        <v>49.371999999999957</v>
      </c>
      <c r="AN79" s="848">
        <f>'P&amp;L'!AN28</f>
        <v>52.559999999999995</v>
      </c>
      <c r="AO79" s="848">
        <f>'P&amp;L'!AO28</f>
        <v>58.767999999999986</v>
      </c>
      <c r="AP79" s="848">
        <f>'P&amp;L'!AP28</f>
        <v>62.003000000000021</v>
      </c>
      <c r="AQ79" s="886">
        <f>'P&amp;L'!AQ28</f>
        <v>222.70300000000006</v>
      </c>
      <c r="AR79" s="39"/>
      <c r="AS79" s="847">
        <f>'P&amp;L'!AS28</f>
        <v>49.505999999999965</v>
      </c>
      <c r="AT79" s="848">
        <f>'P&amp;L'!AT28</f>
        <v>54.964000000000027</v>
      </c>
      <c r="AU79" s="848">
        <f>'P&amp;L'!AU28</f>
        <v>56.385999999999996</v>
      </c>
      <c r="AV79" s="848">
        <f>'P&amp;L'!AV28</f>
        <v>73.628000000000128</v>
      </c>
      <c r="AW79" s="886">
        <f>'P&amp;L'!AW28</f>
        <v>234.48400000000004</v>
      </c>
      <c r="AX79" s="39"/>
      <c r="AY79" s="847">
        <f>'P&amp;L'!AY28</f>
        <v>54.755000000000003</v>
      </c>
      <c r="AZ79" s="848">
        <f>'P&amp;L'!AZ28</f>
        <v>60.823000000000029</v>
      </c>
      <c r="BA79" s="848">
        <f>'P&amp;L'!BA28</f>
        <v>62.324999999999982</v>
      </c>
      <c r="BB79" s="848">
        <f>'P&amp;L'!BB28</f>
        <v>82.819999999999979</v>
      </c>
      <c r="BC79" s="886">
        <f>'P&amp;L'!BC28</f>
        <v>260.72299999999984</v>
      </c>
      <c r="BD79" s="39"/>
      <c r="BE79" s="847">
        <f>'P&amp;L'!BE28</f>
        <v>54.686000000000014</v>
      </c>
      <c r="BF79" s="848">
        <f>'P&amp;L'!BF28</f>
        <v>64.247999999999962</v>
      </c>
      <c r="BG79" s="848">
        <f>'P&amp;L'!BG28</f>
        <v>68.395999999999944</v>
      </c>
      <c r="BH79" s="848">
        <f>'P&amp;L'!BH28</f>
        <v>87.410999999999959</v>
      </c>
      <c r="BI79" s="886">
        <f>'P&amp;L'!BI28</f>
        <v>274.74099999999999</v>
      </c>
      <c r="BJ79" s="39"/>
      <c r="BK79" s="847">
        <f>'P&amp;L'!BK28</f>
        <v>53.681999999999981</v>
      </c>
      <c r="BL79" s="848">
        <f>'P&amp;L'!BL28</f>
        <v>60.780999999999985</v>
      </c>
      <c r="BM79" s="848">
        <f>'P&amp;L'!BM28</f>
        <v>66.006999999999991</v>
      </c>
      <c r="BN79" s="848">
        <f>'P&amp;L'!BN28</f>
        <v>60.433999999999941</v>
      </c>
      <c r="BO79" s="886">
        <f>'P&amp;L'!BO28</f>
        <v>240.904</v>
      </c>
      <c r="BP79" s="39"/>
      <c r="BQ79" s="847">
        <f>'P&amp;L'!BQ28</f>
        <v>51.524999999999977</v>
      </c>
      <c r="BR79" s="848">
        <f>'P&amp;L'!BR28</f>
        <v>60.977000000000032</v>
      </c>
      <c r="BS79" s="848">
        <f>'P&amp;L'!BS28</f>
        <v>63.115999999999978</v>
      </c>
      <c r="BT79" s="848">
        <f>'P&amp;L'!BT28</f>
        <v>76.210000000000008</v>
      </c>
      <c r="BU79" s="886">
        <f>'P&amp;L'!BU28</f>
        <v>251.828</v>
      </c>
      <c r="BV79" s="33"/>
      <c r="BW79" s="847">
        <f>'P&amp;L'!BW28</f>
        <v>45.127999999999993</v>
      </c>
      <c r="BX79" s="848">
        <f>'P&amp;L'!BX28</f>
        <v>56.923999999999992</v>
      </c>
      <c r="BY79" s="848">
        <f>'P&amp;L'!BY28</f>
        <v>68.220999999999989</v>
      </c>
      <c r="BZ79" s="848">
        <f>'P&amp;L'!BZ28</f>
        <v>93.513000000000005</v>
      </c>
      <c r="CA79" s="886">
        <f>'P&amp;L'!CA28</f>
        <v>263.786</v>
      </c>
      <c r="CB79" s="33"/>
      <c r="CC79" s="847">
        <f>'P&amp;L'!CC28</f>
        <v>50.761000000000038</v>
      </c>
      <c r="CD79" s="848">
        <f>'P&amp;L'!CD28</f>
        <v>68.652000000000001</v>
      </c>
      <c r="CE79" s="848">
        <f>'P&amp;L'!CE28</f>
        <v>75.521000000000015</v>
      </c>
      <c r="CF79" s="848">
        <f>'P&amp;L'!CF28</f>
        <v>100.14600000000002</v>
      </c>
      <c r="CG79" s="886">
        <f>'P&amp;L'!CG28</f>
        <v>295.07999999999993</v>
      </c>
      <c r="CH79" s="33"/>
      <c r="CI79" s="847">
        <f>'P&amp;L'!CI28</f>
        <v>54.319295958606993</v>
      </c>
      <c r="CJ79" s="848">
        <f>'P&amp;L'!CJ28</f>
        <v>75.010677478567104</v>
      </c>
      <c r="CK79" s="848">
        <f>'P&amp;L'!CK28</f>
        <v>77.362978609062154</v>
      </c>
      <c r="CL79" s="848">
        <f>'P&amp;L'!CL28</f>
        <v>94.640322442308261</v>
      </c>
      <c r="CM79" s="886">
        <f>'P&amp;L'!CM28</f>
        <v>301.33327448854436</v>
      </c>
      <c r="CN79" s="33"/>
      <c r="CO79" s="847">
        <f>'P&amp;L'!CO28</f>
        <v>68.966308579512742</v>
      </c>
      <c r="CP79" s="848">
        <f>'P&amp;L'!CP28</f>
        <v>83.235626797933179</v>
      </c>
      <c r="CQ79" s="848">
        <f>'P&amp;L'!CQ28</f>
        <v>88.604113015487798</v>
      </c>
      <c r="CR79" s="848">
        <f>'P&amp;L'!CR28</f>
        <v>107.26559649866061</v>
      </c>
      <c r="CS79" s="886">
        <f>'P&amp;L'!CS28</f>
        <v>348.07164489159419</v>
      </c>
      <c r="CT79" s="33"/>
      <c r="CU79" s="847">
        <f>'P&amp;L'!CU28</f>
        <v>92.686859930942219</v>
      </c>
      <c r="CV79" s="848">
        <f>'P&amp;L'!CV28</f>
        <v>109.91204514817606</v>
      </c>
      <c r="CW79" s="848">
        <f>'P&amp;L'!CW28</f>
        <v>116.20763360914376</v>
      </c>
      <c r="CX79" s="848">
        <f>'P&amp;L'!CX28</f>
        <v>136.72542350072771</v>
      </c>
      <c r="CY79" s="886">
        <f>'P&amp;L'!CY28</f>
        <v>455.53196218898984</v>
      </c>
    </row>
    <row r="80" spans="1:103" ht="11.25" customHeight="1" x14ac:dyDescent="0.2">
      <c r="A80" s="661" t="s">
        <v>114</v>
      </c>
      <c r="B80" s="39"/>
      <c r="C80" s="53">
        <v>6.8959999999999999</v>
      </c>
      <c r="D80" s="51">
        <f>12.956-C80</f>
        <v>6.06</v>
      </c>
      <c r="E80" s="51">
        <f>18.125-C80-D80</f>
        <v>5.1689999999999996</v>
      </c>
      <c r="F80" s="20">
        <f>G80-C80-D80-E80</f>
        <v>4.8359999999999994</v>
      </c>
      <c r="G80" s="863">
        <f>CFS!G11</f>
        <v>22.960999999999999</v>
      </c>
      <c r="H80" s="39"/>
      <c r="I80" s="847">
        <f>CFS!I11</f>
        <v>6.0179999999999998</v>
      </c>
      <c r="J80" s="848">
        <f>CFS!J11</f>
        <v>6.4820000000000002</v>
      </c>
      <c r="K80" s="848">
        <f>CFS!K11</f>
        <v>6.2860000000000005</v>
      </c>
      <c r="L80" s="848">
        <f>CFS!L11</f>
        <v>6.1689999999999978</v>
      </c>
      <c r="M80" s="863">
        <f>CFS!M11</f>
        <v>24.954999999999998</v>
      </c>
      <c r="N80" s="39"/>
      <c r="O80" s="847">
        <f>CFS!O11</f>
        <v>6.72</v>
      </c>
      <c r="P80" s="848">
        <f>CFS!P11</f>
        <v>7.3430000000000009</v>
      </c>
      <c r="Q80" s="848">
        <f>CFS!Q11</f>
        <v>7.9020000000000001</v>
      </c>
      <c r="R80" s="848">
        <f>CFS!R11</f>
        <v>8.073000000000004</v>
      </c>
      <c r="S80" s="863">
        <f>CFS!S11</f>
        <v>30.038000000000004</v>
      </c>
      <c r="T80" s="39"/>
      <c r="U80" s="847">
        <f>CFS!U11</f>
        <v>8.7360000000000007</v>
      </c>
      <c r="V80" s="848">
        <f>CFS!V11</f>
        <v>9.3880000000000017</v>
      </c>
      <c r="W80" s="848">
        <f>CFS!W11</f>
        <v>19.783999999999999</v>
      </c>
      <c r="X80" s="848">
        <f>CFS!X11</f>
        <v>24.67499999999999</v>
      </c>
      <c r="Y80" s="863">
        <f>CFS!Y11</f>
        <v>62.582999999999991</v>
      </c>
      <c r="Z80" s="39"/>
      <c r="AA80" s="847">
        <f>CFS!AA11</f>
        <v>25.43</v>
      </c>
      <c r="AB80" s="848">
        <f>CFS!AB11</f>
        <v>25.247</v>
      </c>
      <c r="AC80" s="848">
        <f>CFS!AC11</f>
        <v>28.052</v>
      </c>
      <c r="AD80" s="848">
        <f>CFS!AD11</f>
        <v>26.975000000000001</v>
      </c>
      <c r="AE80" s="863">
        <f>CFS!AE11</f>
        <v>105.70400000000001</v>
      </c>
      <c r="AF80" s="39"/>
      <c r="AG80" s="847">
        <f>CFS!AG11</f>
        <v>27.366</v>
      </c>
      <c r="AH80" s="848">
        <f>CFS!AH11</f>
        <v>28.843000000000004</v>
      </c>
      <c r="AI80" s="848">
        <f>CFS!AI11</f>
        <v>30.373999999999995</v>
      </c>
      <c r="AJ80" s="848">
        <f>CFS!AJ11</f>
        <v>33.811000000000007</v>
      </c>
      <c r="AK80" s="863">
        <f>CFS!AK11</f>
        <v>120.39400000000001</v>
      </c>
      <c r="AL80" s="39"/>
      <c r="AM80" s="847">
        <f>CFS!AM11</f>
        <v>33.941000000000003</v>
      </c>
      <c r="AN80" s="848">
        <f>CFS!AN11</f>
        <v>34.840000000000003</v>
      </c>
      <c r="AO80" s="848">
        <f>CFS!AO11</f>
        <v>35.593999999999994</v>
      </c>
      <c r="AP80" s="848">
        <f>CFS!AP11</f>
        <v>38.403999999999996</v>
      </c>
      <c r="AQ80" s="863">
        <f>CFS!AQ11</f>
        <v>142.779</v>
      </c>
      <c r="AR80" s="39"/>
      <c r="AS80" s="847">
        <f>CFS!AS11</f>
        <v>38.691000000000003</v>
      </c>
      <c r="AT80" s="848">
        <f>CFS!AT11</f>
        <v>38.950000000000003</v>
      </c>
      <c r="AU80" s="848">
        <f>CFS!AU11</f>
        <v>42.956999999999994</v>
      </c>
      <c r="AV80" s="848">
        <f>CFS!AV11</f>
        <v>46.779000000000011</v>
      </c>
      <c r="AW80" s="863">
        <f>CFS!AW11</f>
        <v>167.37700000000001</v>
      </c>
      <c r="AX80" s="39"/>
      <c r="AY80" s="847">
        <f>CFS!AY11</f>
        <v>45.233000000000004</v>
      </c>
      <c r="AZ80" s="848">
        <f>CFS!AZ11</f>
        <v>48.201999999999998</v>
      </c>
      <c r="BA80" s="848">
        <f>CFS!BA11</f>
        <v>50.140999999999991</v>
      </c>
      <c r="BB80" s="848">
        <f>CFS!BB11</f>
        <v>54.316000000000003</v>
      </c>
      <c r="BC80" s="863">
        <f>CFS!BC11</f>
        <v>197.892</v>
      </c>
      <c r="BD80" s="39"/>
      <c r="BE80" s="887">
        <f>CFS!BE11</f>
        <v>45.085000000000001</v>
      </c>
      <c r="BF80" s="848">
        <f>CFS!BF11</f>
        <v>92.347999999999985</v>
      </c>
      <c r="BG80" s="888">
        <f>CFS!BG11</f>
        <v>7.6630000000000109</v>
      </c>
      <c r="BH80" s="888">
        <f>CFS!BH11</f>
        <v>54.258999999999986</v>
      </c>
      <c r="BI80" s="863">
        <f>CFS!BI11</f>
        <v>199.35499999999999</v>
      </c>
      <c r="BJ80" s="39"/>
      <c r="BK80" s="887">
        <f>CFS!BK11</f>
        <v>49.122</v>
      </c>
      <c r="BL80" s="848">
        <f>CFS!BL11</f>
        <v>49.244</v>
      </c>
      <c r="BM80" s="848">
        <f>CFS!BM11</f>
        <v>51.316999999999993</v>
      </c>
      <c r="BN80" s="888">
        <f>CFS!BN11</f>
        <v>51.099000000000018</v>
      </c>
      <c r="BO80" s="863">
        <f>CFS!BO11</f>
        <v>200.78200000000001</v>
      </c>
      <c r="BP80" s="20"/>
      <c r="BQ80" s="887">
        <f>CFS!BQ11</f>
        <v>46.125999999999998</v>
      </c>
      <c r="BR80" s="888">
        <f>CFS!BR11</f>
        <v>44.061</v>
      </c>
      <c r="BS80" s="888">
        <f>CFS!BS11</f>
        <v>49.478999999999999</v>
      </c>
      <c r="BT80" s="888">
        <f>CFS!BT11</f>
        <v>51.807000000000016</v>
      </c>
      <c r="BU80" s="863">
        <f>CFS!BU11</f>
        <v>191.47300000000001</v>
      </c>
      <c r="BV80" s="33"/>
      <c r="BW80" s="887">
        <f>CFS!BW11</f>
        <v>50.804000000000002</v>
      </c>
      <c r="BX80" s="888">
        <f>CFS!BX11</f>
        <v>52.484999999999999</v>
      </c>
      <c r="BY80" s="888">
        <f>CFS!BY11</f>
        <v>53.405999999999992</v>
      </c>
      <c r="BZ80" s="888">
        <f>CFS!BZ11</f>
        <v>56.361000000000018</v>
      </c>
      <c r="CA80" s="863">
        <f>CFS!CA11</f>
        <v>213.05600000000001</v>
      </c>
      <c r="CB80" s="33"/>
      <c r="CC80" s="887">
        <f>CFS!CC11</f>
        <v>54.753</v>
      </c>
      <c r="CD80" s="888">
        <f>CFS!CD11</f>
        <v>56.594999999999999</v>
      </c>
      <c r="CE80" s="888">
        <f>CFS!CE11</f>
        <v>52.279999999999987</v>
      </c>
      <c r="CF80" s="888">
        <f>CFS!CF11</f>
        <v>52.820000000000022</v>
      </c>
      <c r="CG80" s="863">
        <f>CFS!CG11</f>
        <v>216.44800000000001</v>
      </c>
      <c r="CH80" s="33"/>
      <c r="CI80" s="887">
        <f>CFS!CI11</f>
        <v>52.354543750000005</v>
      </c>
      <c r="CJ80" s="888">
        <f>CFS!CJ11</f>
        <v>52.771596305279616</v>
      </c>
      <c r="CK80" s="888">
        <f>CFS!CK11</f>
        <v>53.246918254859921</v>
      </c>
      <c r="CL80" s="888">
        <f>CFS!CL11</f>
        <v>53.738048701382482</v>
      </c>
      <c r="CM80" s="863">
        <f>CFS!CM11</f>
        <v>212.11110701152199</v>
      </c>
      <c r="CN80" s="33"/>
      <c r="CO80" s="887">
        <f>CFS!CO11</f>
        <v>54.261574607104464</v>
      </c>
      <c r="CP80" s="888">
        <f>CFS!CP11</f>
        <v>54.724613204225449</v>
      </c>
      <c r="CQ80" s="888">
        <f>CFS!CQ11</f>
        <v>55.235844132565084</v>
      </c>
      <c r="CR80" s="888">
        <f>CFS!CR11</f>
        <v>55.756308487972589</v>
      </c>
      <c r="CS80" s="863">
        <f>CFS!CS11</f>
        <v>219.97834043186759</v>
      </c>
      <c r="CT80" s="33"/>
      <c r="CU80" s="887">
        <f>CFS!CU11</f>
        <v>56.326197749392605</v>
      </c>
      <c r="CV80" s="888">
        <f>CFS!CV11</f>
        <v>56.838856079014491</v>
      </c>
      <c r="CW80" s="888">
        <f>CFS!CW11</f>
        <v>57.401559203311116</v>
      </c>
      <c r="CX80" s="888">
        <f>CFS!CX11</f>
        <v>57.973160566898244</v>
      </c>
      <c r="CY80" s="863">
        <f>CFS!CY11</f>
        <v>228.53977359861648</v>
      </c>
    </row>
    <row r="81" spans="1:103" ht="11.25" customHeight="1" x14ac:dyDescent="0.2">
      <c r="A81" s="661" t="s">
        <v>115</v>
      </c>
      <c r="B81" s="39"/>
      <c r="C81" s="53">
        <v>2.8090000000000002</v>
      </c>
      <c r="D81" s="51">
        <f>6.379-C81</f>
        <v>3.5699999999999994</v>
      </c>
      <c r="E81" s="51">
        <f>9.036-C81-D81</f>
        <v>2.657</v>
      </c>
      <c r="F81" s="20">
        <f>G81-C81-D81-E81</f>
        <v>3.5850000000000017</v>
      </c>
      <c r="G81" s="863">
        <f>-CFS!G32</f>
        <v>12.621</v>
      </c>
      <c r="H81" s="39"/>
      <c r="I81" s="887">
        <f>-CFS!I32</f>
        <v>2.9260000000000002</v>
      </c>
      <c r="J81" s="888">
        <f>-CFS!J32</f>
        <v>2.681</v>
      </c>
      <c r="K81" s="888">
        <f>-CFS!K32</f>
        <v>2.6019999999999994</v>
      </c>
      <c r="L81" s="889">
        <f>-CFS!L32</f>
        <v>5.5189999999999992</v>
      </c>
      <c r="M81" s="863">
        <f>-CFS!M32</f>
        <v>13.727999999999998</v>
      </c>
      <c r="N81" s="39"/>
      <c r="O81" s="887">
        <f>-CFS!O32</f>
        <v>4.5629999999999997</v>
      </c>
      <c r="P81" s="888">
        <f>-CFS!P32</f>
        <v>5.8410000000000002</v>
      </c>
      <c r="Q81" s="888">
        <f>-CFS!Q32</f>
        <v>7.6710000000000003</v>
      </c>
      <c r="R81" s="889">
        <f>-CFS!R32</f>
        <v>10.920000000000002</v>
      </c>
      <c r="S81" s="863">
        <f>-CFS!S32</f>
        <v>28.995000000000001</v>
      </c>
      <c r="T81" s="39"/>
      <c r="U81" s="887">
        <f>-CFS!U32</f>
        <v>6.8390000000000004</v>
      </c>
      <c r="V81" s="888">
        <f>-CFS!V32</f>
        <v>8.113999999999999</v>
      </c>
      <c r="W81" s="888">
        <f>-CFS!W32</f>
        <v>8.8839999999999986</v>
      </c>
      <c r="X81" s="889">
        <f>-CFS!X32</f>
        <v>10.655000000000003</v>
      </c>
      <c r="Y81" s="863">
        <f>-CFS!Y32</f>
        <v>34.491999999999997</v>
      </c>
      <c r="Z81" s="39"/>
      <c r="AA81" s="887">
        <f>-CFS!AA32</f>
        <v>9.5440000000000005</v>
      </c>
      <c r="AB81" s="888">
        <f>-CFS!AB32</f>
        <v>6.0510000000000002</v>
      </c>
      <c r="AC81" s="888">
        <f>-CFS!AC32</f>
        <v>11.290000000000001</v>
      </c>
      <c r="AD81" s="889">
        <f>-CFS!AD32</f>
        <v>12.563000000000001</v>
      </c>
      <c r="AE81" s="863">
        <f>-CFS!AE32</f>
        <v>39.448</v>
      </c>
      <c r="AF81" s="39"/>
      <c r="AG81" s="887">
        <f>-CFS!AG32</f>
        <v>9.9269999999999996</v>
      </c>
      <c r="AH81" s="888">
        <f>-CFS!AH32</f>
        <v>12.888999999999999</v>
      </c>
      <c r="AI81" s="888">
        <f>-CFS!AI32</f>
        <v>14.023</v>
      </c>
      <c r="AJ81" s="889">
        <f>-CFS!AJ32</f>
        <v>15.340000000000003</v>
      </c>
      <c r="AK81" s="863">
        <f>-CFS!AK32</f>
        <v>52.179000000000002</v>
      </c>
      <c r="AL81" s="39"/>
      <c r="AM81" s="887">
        <f>-CFS!AM32</f>
        <v>17.207999999999998</v>
      </c>
      <c r="AN81" s="888">
        <f>-CFS!AN32</f>
        <v>18.173999999999999</v>
      </c>
      <c r="AO81" s="888">
        <f>-CFS!AO32</f>
        <v>21.941000000000003</v>
      </c>
      <c r="AP81" s="889">
        <f>-CFS!AP32</f>
        <v>22.342999999999996</v>
      </c>
      <c r="AQ81" s="863">
        <f>-CFS!AQ32</f>
        <v>79.665999999999997</v>
      </c>
      <c r="AR81" s="39"/>
      <c r="AS81" s="887">
        <f>-CFS!AS32</f>
        <v>21.07</v>
      </c>
      <c r="AT81" s="888">
        <f>-CFS!AT32</f>
        <v>18.249000000000002</v>
      </c>
      <c r="AU81" s="888">
        <f>-CFS!AU32</f>
        <v>17.162999999999997</v>
      </c>
      <c r="AV81" s="889">
        <f>-CFS!AV32</f>
        <v>30.323000000000015</v>
      </c>
      <c r="AW81" s="863">
        <f>-CFS!AW32</f>
        <v>86.805000000000007</v>
      </c>
      <c r="AX81" s="39"/>
      <c r="AY81" s="887">
        <f>-CFS!AY32</f>
        <v>18.853000000000002</v>
      </c>
      <c r="AZ81" s="888">
        <f>-CFS!AZ32</f>
        <v>22.982999999999997</v>
      </c>
      <c r="BA81" s="888">
        <f>-CFS!BA32</f>
        <v>26.094999999999999</v>
      </c>
      <c r="BB81" s="889">
        <f>-CFS!BB32</f>
        <v>34.064999999999998</v>
      </c>
      <c r="BC81" s="863">
        <f>-CFS!BC32</f>
        <v>101.996</v>
      </c>
      <c r="BD81" s="39"/>
      <c r="BE81" s="887">
        <f>-CFS!BE32</f>
        <v>15.773999999999999</v>
      </c>
      <c r="BF81" s="888">
        <f>-CFS!BF32</f>
        <v>17.920999999999999</v>
      </c>
      <c r="BG81" s="888">
        <f>-CFS!BG32</f>
        <v>22.140999999999998</v>
      </c>
      <c r="BH81" s="888">
        <f>-CFS!BH32</f>
        <v>28.632000000000005</v>
      </c>
      <c r="BI81" s="863">
        <f>-CFS!BI32</f>
        <v>84.468000000000004</v>
      </c>
      <c r="BJ81" s="39"/>
      <c r="BK81" s="887">
        <f>-CFS!BK32</f>
        <v>17.344000000000001</v>
      </c>
      <c r="BL81" s="888">
        <f>-CFS!BL32</f>
        <v>25.146999999999998</v>
      </c>
      <c r="BM81" s="888">
        <f>-CFS!BM32</f>
        <v>17.779000000000003</v>
      </c>
      <c r="BN81" s="888">
        <f>-CFS!BN32</f>
        <v>26.320999999999991</v>
      </c>
      <c r="BO81" s="863">
        <f>-CFS!BO32</f>
        <v>86.590999999999994</v>
      </c>
      <c r="BP81" s="20"/>
      <c r="BQ81" s="887">
        <f>-CFS!BQ32</f>
        <v>23.097999999999999</v>
      </c>
      <c r="BR81" s="888">
        <f>-CFS!BR32</f>
        <v>27.484999999999999</v>
      </c>
      <c r="BS81" s="888">
        <f>-CFS!BS32</f>
        <v>17.100000000000009</v>
      </c>
      <c r="BT81" s="888">
        <f>-CFS!BT32</f>
        <v>30.094999999999999</v>
      </c>
      <c r="BU81" s="863">
        <f>-CFS!BU32</f>
        <v>97.778000000000006</v>
      </c>
      <c r="BV81" s="33"/>
      <c r="BW81" s="887">
        <f>-CFS!BW32</f>
        <v>18.363</v>
      </c>
      <c r="BX81" s="888">
        <f>-CFS!BX32</f>
        <v>21.477000000000004</v>
      </c>
      <c r="BY81" s="888">
        <f>-CFS!BY32</f>
        <v>15.005999999999993</v>
      </c>
      <c r="BZ81" s="888">
        <f>-CFS!BZ32</f>
        <v>19.690000000000005</v>
      </c>
      <c r="CA81" s="863">
        <f>-CFS!CA32</f>
        <v>74.536000000000001</v>
      </c>
      <c r="CB81" s="33"/>
      <c r="CC81" s="887">
        <f>-CFS!CC32</f>
        <v>15.977</v>
      </c>
      <c r="CD81" s="888">
        <f>-CFS!CD32</f>
        <v>21.929999999999996</v>
      </c>
      <c r="CE81" s="888">
        <f>-CFS!CE32</f>
        <v>26.698000000000008</v>
      </c>
      <c r="CF81" s="888">
        <f>-CFS!CF32</f>
        <v>25.475999999999999</v>
      </c>
      <c r="CG81" s="863">
        <f>-CFS!CG32</f>
        <v>90.081000000000003</v>
      </c>
      <c r="CH81" s="33"/>
      <c r="CI81" s="887">
        <f>-CFS!CI32</f>
        <v>22.242802948246279</v>
      </c>
      <c r="CJ81" s="888">
        <f>-CFS!CJ32</f>
        <v>25.350503977616494</v>
      </c>
      <c r="CK81" s="888">
        <f>-CFS!CK32</f>
        <v>26.193623814536238</v>
      </c>
      <c r="CL81" s="888">
        <f>-CFS!CL32</f>
        <v>27.921381638505501</v>
      </c>
      <c r="CM81" s="863">
        <f>-CFS!CM32</f>
        <v>101.70831237890451</v>
      </c>
      <c r="CN81" s="33"/>
      <c r="CO81" s="887">
        <f>-CFS!CO32</f>
        <v>24.695391846452839</v>
      </c>
      <c r="CP81" s="888">
        <f>-CFS!CP32</f>
        <v>27.265649511447041</v>
      </c>
      <c r="CQ81" s="888">
        <f>-CFS!CQ32</f>
        <v>27.758098955067162</v>
      </c>
      <c r="CR81" s="888">
        <f>-CFS!CR32</f>
        <v>30.39409394240079</v>
      </c>
      <c r="CS81" s="863">
        <f>-CFS!CS32</f>
        <v>110.11323425536783</v>
      </c>
      <c r="CT81" s="33"/>
      <c r="CU81" s="887">
        <f>-CFS!CU32</f>
        <v>27.341777579833927</v>
      </c>
      <c r="CV81" s="888">
        <f>-CFS!CV32</f>
        <v>30.010833295819737</v>
      </c>
      <c r="CW81" s="888">
        <f>-CFS!CW32</f>
        <v>30.48540605798037</v>
      </c>
      <c r="CX81" s="888">
        <f>-CFS!CX32</f>
        <v>33.35105282734056</v>
      </c>
      <c r="CY81" s="863">
        <f>-CFS!CY32</f>
        <v>121.1890697609746</v>
      </c>
    </row>
    <row r="82" spans="1:103" ht="11.25" customHeight="1" x14ac:dyDescent="0.2">
      <c r="A82" s="661" t="s">
        <v>118</v>
      </c>
      <c r="B82" s="39"/>
      <c r="C82" s="19">
        <f>C74</f>
        <v>0</v>
      </c>
      <c r="D82" s="20">
        <f>D74</f>
        <v>6</v>
      </c>
      <c r="E82" s="20">
        <f>E74</f>
        <v>42.4</v>
      </c>
      <c r="F82" s="20">
        <f>F74</f>
        <v>49.7</v>
      </c>
      <c r="G82" s="6">
        <f>G74</f>
        <v>98.1</v>
      </c>
      <c r="H82" s="39"/>
      <c r="I82" s="19">
        <f>I74</f>
        <v>2.2520000000000024</v>
      </c>
      <c r="J82" s="20">
        <f>J74</f>
        <v>9.6000000000000014</v>
      </c>
      <c r="K82" s="20">
        <f>K74</f>
        <v>9.9999999999994316E-2</v>
      </c>
      <c r="L82" s="20">
        <f>L74</f>
        <v>0.83199999999999985</v>
      </c>
      <c r="M82" s="6">
        <f>M74</f>
        <v>12.783999999999999</v>
      </c>
      <c r="N82" s="39"/>
      <c r="O82" s="19">
        <f>O74</f>
        <v>-1.2319999999999967</v>
      </c>
      <c r="P82" s="20">
        <f>P74</f>
        <v>3.9000000000000021</v>
      </c>
      <c r="Q82" s="20">
        <f>Q74</f>
        <v>0.19999999999999574</v>
      </c>
      <c r="R82" s="20">
        <f>R74</f>
        <v>-1.6909999999999972</v>
      </c>
      <c r="S82" s="6">
        <f>S74</f>
        <v>1.177000000000004</v>
      </c>
      <c r="T82" s="39"/>
      <c r="U82" s="19">
        <f>U74</f>
        <v>-0.60900000000000265</v>
      </c>
      <c r="V82" s="20">
        <f>V74</f>
        <v>6.2000000000000046</v>
      </c>
      <c r="W82" s="20">
        <f>W74</f>
        <v>40.599999999999994</v>
      </c>
      <c r="X82" s="20">
        <f>X74</f>
        <v>0</v>
      </c>
      <c r="Y82" s="6">
        <f>Y74</f>
        <v>46.190999999999995</v>
      </c>
      <c r="Z82" s="39"/>
      <c r="AA82" s="19">
        <f>AA74</f>
        <v>0</v>
      </c>
      <c r="AB82" s="20">
        <f>AB74</f>
        <v>0</v>
      </c>
      <c r="AC82" s="20">
        <f>AC74</f>
        <v>0</v>
      </c>
      <c r="AD82" s="20">
        <f>AD74</f>
        <v>5</v>
      </c>
      <c r="AE82" s="6">
        <f>AE74</f>
        <v>5</v>
      </c>
      <c r="AF82" s="39"/>
      <c r="AG82" s="19">
        <f>AG74</f>
        <v>0</v>
      </c>
      <c r="AH82" s="20">
        <f>AH74</f>
        <v>0</v>
      </c>
      <c r="AI82" s="20">
        <f>AI74</f>
        <v>25</v>
      </c>
      <c r="AJ82" s="20">
        <f>AJ74</f>
        <v>0</v>
      </c>
      <c r="AK82" s="6">
        <f>AK74</f>
        <v>25</v>
      </c>
      <c r="AL82" s="39"/>
      <c r="AM82" s="19">
        <f>AM74</f>
        <v>0</v>
      </c>
      <c r="AN82" s="20">
        <f>AN74</f>
        <v>0</v>
      </c>
      <c r="AO82" s="20">
        <f>AO74</f>
        <v>50</v>
      </c>
      <c r="AP82" s="20">
        <f>AP74</f>
        <v>0</v>
      </c>
      <c r="AQ82" s="6">
        <f>AQ74</f>
        <v>50</v>
      </c>
      <c r="AR82" s="39"/>
      <c r="AS82" s="19">
        <f>AS74</f>
        <v>0</v>
      </c>
      <c r="AT82" s="20">
        <f>AT74</f>
        <v>0</v>
      </c>
      <c r="AU82" s="20">
        <f>AU74</f>
        <v>75</v>
      </c>
      <c r="AV82" s="20">
        <f>AV74</f>
        <v>350</v>
      </c>
      <c r="AW82" s="6">
        <f>AW74</f>
        <v>425</v>
      </c>
      <c r="AX82" s="39"/>
      <c r="AY82" s="19">
        <f>AY74</f>
        <v>-5.0999999999999712E-2</v>
      </c>
      <c r="AZ82" s="20">
        <f>AZ74</f>
        <v>0.58000000000000007</v>
      </c>
      <c r="BA82" s="20">
        <f>BA74</f>
        <v>0.379</v>
      </c>
      <c r="BB82" s="20">
        <f>BB74</f>
        <v>0</v>
      </c>
      <c r="BC82" s="6">
        <f>BC74</f>
        <v>0</v>
      </c>
      <c r="BD82" s="39"/>
      <c r="BE82" s="19">
        <f>BE74</f>
        <v>0</v>
      </c>
      <c r="BF82" s="20">
        <f>BF74</f>
        <v>-0.6359999999999999</v>
      </c>
      <c r="BG82" s="20">
        <f>BG74</f>
        <v>0.30499999999999994</v>
      </c>
      <c r="BH82" s="20">
        <f>BH74</f>
        <v>-1.1779999999999999</v>
      </c>
      <c r="BI82" s="6">
        <f>BI74</f>
        <v>-1.5089999999999999</v>
      </c>
      <c r="BJ82" s="39"/>
      <c r="BK82" s="19">
        <f>BK74</f>
        <v>0</v>
      </c>
      <c r="BL82" s="20">
        <f>BL74</f>
        <v>0</v>
      </c>
      <c r="BM82" s="20">
        <f>BM74</f>
        <v>-14.549000000000007</v>
      </c>
      <c r="BN82" s="20">
        <f>BN74</f>
        <v>0</v>
      </c>
      <c r="BO82" s="6">
        <f>BO74</f>
        <v>-14.549000000000007</v>
      </c>
      <c r="BP82" s="20"/>
      <c r="BQ82" s="19">
        <f>BQ74</f>
        <v>-123.10900000000001</v>
      </c>
      <c r="BR82" s="20">
        <f>BR74</f>
        <v>0.61600000000002719</v>
      </c>
      <c r="BS82" s="20">
        <f>BS74</f>
        <v>9.3199999999999363</v>
      </c>
      <c r="BT82" s="20">
        <f>BT74</f>
        <v>0.68100000000000649</v>
      </c>
      <c r="BU82" s="6">
        <f>BU74</f>
        <v>-112.49200000000003</v>
      </c>
      <c r="BV82" s="33"/>
      <c r="BW82" s="19">
        <f>BW74</f>
        <v>0.20000000000004903</v>
      </c>
      <c r="BX82" s="20">
        <f>BX74</f>
        <v>12.624999999999996</v>
      </c>
      <c r="BY82" s="20">
        <f>BY74</f>
        <v>-2.9719999999999622</v>
      </c>
      <c r="BZ82" s="20">
        <f>BZ74</f>
        <v>-2.3440000000000794</v>
      </c>
      <c r="CA82" s="6">
        <f>CA74</f>
        <v>7.5090000000000039</v>
      </c>
      <c r="CB82" s="33"/>
      <c r="CC82" s="19">
        <f>CC74</f>
        <v>4.4670000000000698</v>
      </c>
      <c r="CD82" s="20">
        <f>CD74</f>
        <v>312.267</v>
      </c>
      <c r="CE82" s="20">
        <f>CE74</f>
        <v>363.16399999999993</v>
      </c>
      <c r="CF82" s="20">
        <f>CF74</f>
        <v>8.2640000000000562</v>
      </c>
      <c r="CG82" s="6">
        <f>CG74</f>
        <v>688.16199999999992</v>
      </c>
      <c r="CH82" s="33"/>
      <c r="CI82" s="19">
        <f>CI74</f>
        <v>0</v>
      </c>
      <c r="CJ82" s="20">
        <f>CJ74</f>
        <v>0</v>
      </c>
      <c r="CK82" s="20">
        <f>CK74</f>
        <v>0</v>
      </c>
      <c r="CL82" s="20">
        <f>CL74</f>
        <v>0</v>
      </c>
      <c r="CM82" s="6">
        <f>CM74</f>
        <v>0</v>
      </c>
      <c r="CN82" s="33"/>
      <c r="CO82" s="19">
        <f>CO74</f>
        <v>0</v>
      </c>
      <c r="CP82" s="20">
        <f>CP74</f>
        <v>0</v>
      </c>
      <c r="CQ82" s="20">
        <f>CQ74</f>
        <v>0</v>
      </c>
      <c r="CR82" s="20">
        <f>CR74</f>
        <v>0</v>
      </c>
      <c r="CS82" s="6">
        <f>CS74</f>
        <v>0</v>
      </c>
      <c r="CT82" s="33"/>
      <c r="CU82" s="19">
        <f>CU74</f>
        <v>0</v>
      </c>
      <c r="CV82" s="20">
        <f>CV74</f>
        <v>0</v>
      </c>
      <c r="CW82" s="20">
        <f>CW74</f>
        <v>0</v>
      </c>
      <c r="CX82" s="20">
        <f>CX74</f>
        <v>0</v>
      </c>
      <c r="CY82" s="6">
        <f>CY74</f>
        <v>0</v>
      </c>
    </row>
    <row r="83" spans="1:103" ht="11.25" customHeight="1" x14ac:dyDescent="0.2">
      <c r="A83" s="661" t="s">
        <v>119</v>
      </c>
      <c r="B83" s="39"/>
      <c r="C83" s="19" t="e">
        <f>C78+C79-C80-C81-C82</f>
        <v>#VALUE!</v>
      </c>
      <c r="D83" s="20">
        <f>D78+D79-D80-D81-D82</f>
        <v>-6.8279999999999923</v>
      </c>
      <c r="E83" s="20">
        <f>E78+E79-E80-E81-E82</f>
        <v>-37.586000000000027</v>
      </c>
      <c r="F83" s="20">
        <f>F78+F79-F80-F81-F82</f>
        <v>-42.278999999999947</v>
      </c>
      <c r="G83" s="6"/>
      <c r="H83" s="39"/>
      <c r="I83" s="19">
        <f>I78+I79-I80-I81-I82</f>
        <v>199.12700000000001</v>
      </c>
      <c r="J83" s="20">
        <f>J78+J79-J80-J81-J82</f>
        <v>194.14100000000002</v>
      </c>
      <c r="K83" s="20">
        <f>K78+K79-K80-K81-K82</f>
        <v>202.79300000000001</v>
      </c>
      <c r="L83" s="20">
        <f>L78+L79-L80-L81-L82</f>
        <v>207.13300000000001</v>
      </c>
      <c r="M83" s="6">
        <f>L83</f>
        <v>207.13300000000001</v>
      </c>
      <c r="N83" s="39"/>
      <c r="O83" s="19">
        <f>O78+O79-O80-O81-O82</f>
        <v>199.22900000000004</v>
      </c>
      <c r="P83" s="20">
        <f>P78+P79-P80-P81-P82</f>
        <v>196.29900000000004</v>
      </c>
      <c r="Q83" s="20">
        <f>Q78+Q79-Q80-Q81-Q82</f>
        <v>199.88400000000007</v>
      </c>
      <c r="R83" s="20">
        <f>R78+R79-R80-R81-R82</f>
        <v>202.02900000000008</v>
      </c>
      <c r="S83" s="6">
        <f>R83</f>
        <v>202.02900000000008</v>
      </c>
      <c r="T83" s="39"/>
      <c r="U83" s="19">
        <f>U78+U79-U80-U81-U82</f>
        <v>435.25799999999992</v>
      </c>
      <c r="V83" s="20">
        <f>V78+V79-V80-V81-V82</f>
        <v>434.13899999999995</v>
      </c>
      <c r="W83" s="20">
        <f>W78+W79-W80-W81-W82</f>
        <v>357.54299999999989</v>
      </c>
      <c r="X83" s="20">
        <f>X78+X79-X80-X81-X82</f>
        <v>337.21299999999991</v>
      </c>
      <c r="Y83" s="6">
        <f>X83</f>
        <v>337.21299999999991</v>
      </c>
      <c r="Z83" s="39"/>
      <c r="AA83" s="19">
        <f>AA78+AA79-AA80-AA81-AA82</f>
        <v>349.27899999999988</v>
      </c>
      <c r="AB83" s="20">
        <f>AB78+AB79-AB80-AB81-AB82</f>
        <v>358.40599999999989</v>
      </c>
      <c r="AC83" s="20">
        <f>AC78+AC79-AC80-AC81-AC82</f>
        <v>361.48499999999984</v>
      </c>
      <c r="AD83" s="20">
        <f>AD78+AD79-AD80-AD81-AD82</f>
        <v>360.45399999999984</v>
      </c>
      <c r="AE83" s="6">
        <f>AD83</f>
        <v>360.45399999999984</v>
      </c>
      <c r="AF83" s="39"/>
      <c r="AG83" s="19">
        <f>AG78+AG79-AG80-AG81-AG82</f>
        <v>336.39499999999998</v>
      </c>
      <c r="AH83" s="20">
        <f>AH78+AH79-AH80-AH81-AH82</f>
        <v>342.92199999999991</v>
      </c>
      <c r="AI83" s="20">
        <f>AI78+AI79-AI80-AI81-AI82</f>
        <v>327.03199999999993</v>
      </c>
      <c r="AJ83" s="20">
        <f>AJ78+AJ79-AJ80-AJ81-AJ82</f>
        <v>335.32799999999997</v>
      </c>
      <c r="AK83" s="6">
        <f>AJ83</f>
        <v>335.32799999999997</v>
      </c>
      <c r="AL83" s="39"/>
      <c r="AM83" s="19">
        <f>AM78+AM79-AM80-AM81-AM82</f>
        <v>823.77999999999986</v>
      </c>
      <c r="AN83" s="20">
        <f>AN78+AN79-AN80-AN81-AN82</f>
        <v>823.32599999999979</v>
      </c>
      <c r="AO83" s="20">
        <f>AO78+AO79-AO80-AO81-AO82</f>
        <v>774.55899999999974</v>
      </c>
      <c r="AP83" s="20">
        <f>AP78+AP79-AP80-AP81-AP82</f>
        <v>775.81499999999983</v>
      </c>
      <c r="AQ83" s="6">
        <f>AP83</f>
        <v>775.81499999999983</v>
      </c>
      <c r="AR83" s="39"/>
      <c r="AS83" s="19">
        <f>AS78+AS79-AS80-AS81-AS82</f>
        <v>818.15199999999982</v>
      </c>
      <c r="AT83" s="20">
        <f>AT78+AT79-AT80-AT81-AT82</f>
        <v>774.34599999999989</v>
      </c>
      <c r="AU83" s="20">
        <f>AU78+AU79-AU80-AU81-AU82</f>
        <v>709.13099999999986</v>
      </c>
      <c r="AV83" s="20">
        <f>AV78+AV79-AV80-AV81-AV82</f>
        <v>40.37599999999992</v>
      </c>
      <c r="AW83" s="6">
        <f>AV83</f>
        <v>40.37599999999992</v>
      </c>
      <c r="AX83" s="39"/>
      <c r="AY83" s="19">
        <f>AY78+AY79-AY80-AY81-AY82</f>
        <v>211.85299999999989</v>
      </c>
      <c r="AZ83" s="20">
        <f>AZ78+AZ79-AZ80-AZ81-AZ82</f>
        <v>208.91299999999993</v>
      </c>
      <c r="BA83" s="20">
        <f>BA78+BA79-BA80-BA81-BA82</f>
        <v>199.71799999999993</v>
      </c>
      <c r="BB83" s="20">
        <f>BB78+BB79-BB80-BB81-BB82</f>
        <v>252.66799999999995</v>
      </c>
      <c r="BC83" s="6">
        <f>BB83</f>
        <v>252.66799999999995</v>
      </c>
      <c r="BD83" s="39"/>
      <c r="BE83" s="19">
        <f>BE78+BE79-BE80-BE81-BE82</f>
        <v>387.86399999999998</v>
      </c>
      <c r="BF83" s="20">
        <f>BF78+BF79-BF80-BF81-BF82</f>
        <v>327.37199999999984</v>
      </c>
      <c r="BG83" s="20">
        <f>BG78+BG79-BG80-BG81-BG82</f>
        <v>338.10599999999977</v>
      </c>
      <c r="BH83" s="20">
        <f>BH78+BH79-BH80-BH81-BH82</f>
        <v>285.68599999999975</v>
      </c>
      <c r="BI83" s="6">
        <f>BI78+BI79-BI80-BI81-BI82</f>
        <v>386.46399999999988</v>
      </c>
      <c r="BJ83" s="39"/>
      <c r="BK83" s="19">
        <f>BK78+BK79-BK80-BK81-BK82</f>
        <v>317.51899999999978</v>
      </c>
      <c r="BL83" s="20">
        <f>BL78+BL79-BL80-BL81-BL82</f>
        <v>550.66199999999981</v>
      </c>
      <c r="BM83" s="20">
        <f>BM78+BM79-BM80-BM81-BM82</f>
        <v>430.39399999999989</v>
      </c>
      <c r="BN83" s="20">
        <f>BN78+BN79-BN80-BN81-BN82</f>
        <v>467.22399999999976</v>
      </c>
      <c r="BO83" s="6">
        <f>BO78+BO79-BO80-BO81-BO82</f>
        <v>298.38299999999981</v>
      </c>
      <c r="BP83" s="39"/>
      <c r="BQ83" s="19">
        <f>BQ78+BQ79-BQ80-BQ81-BQ82</f>
        <v>498.07699999999977</v>
      </c>
      <c r="BR83" s="20">
        <f>BR78+BR79-BR80-BR81-BR82</f>
        <v>276.62599999999981</v>
      </c>
      <c r="BS83" s="20">
        <f>BS78+BS79-BS80-BS81-BS82</f>
        <v>221.54699999999985</v>
      </c>
      <c r="BT83" s="20">
        <f>BT78+BT79-BT80-BT81-BT82</f>
        <v>324.5779999999998</v>
      </c>
      <c r="BU83" s="6">
        <f>BU78+BU79-BU80-BU81-BU82</f>
        <v>467.73599999999976</v>
      </c>
      <c r="BV83" s="33"/>
      <c r="BW83" s="19">
        <f>BW78+BW79-BW80-BW81-BW82</f>
        <v>265.77199999999965</v>
      </c>
      <c r="BX83" s="20">
        <f>BX78+BX79-BX80-BX81-BX82</f>
        <v>326.12199999999973</v>
      </c>
      <c r="BY83" s="20">
        <f>BY78+BY79-BY80-BY81-BY82</f>
        <v>330.93799999999976</v>
      </c>
      <c r="BZ83" s="20">
        <f>BZ78+BZ79-BZ80-BZ81-BZ82</f>
        <v>374.45199999999977</v>
      </c>
      <c r="CA83" s="6">
        <f>CA78+CA79-CA80-CA81-CA82</f>
        <v>258.69599999999974</v>
      </c>
      <c r="CB83" s="33"/>
      <c r="CC83" s="19">
        <f>CC78+CC79-CC80-CC81-CC82</f>
        <v>414.7439999999998</v>
      </c>
      <c r="CD83" s="20">
        <f>CD78+CD79-CD80-CD81-CD82</f>
        <v>-76.694000000000187</v>
      </c>
      <c r="CE83" s="20">
        <f>CE78+CE79-CE80-CE81-CE82</f>
        <v>176.21999999999997</v>
      </c>
      <c r="CF83" s="20">
        <f>CF78+CF79-CF80-CF81-CF82</f>
        <v>685.33699999999965</v>
      </c>
      <c r="CG83" s="6">
        <f>CG78+CG79-CG80-CG81-CG82</f>
        <v>-260.43100000000015</v>
      </c>
      <c r="CH83" s="33"/>
      <c r="CI83" s="19">
        <f>CI78+CI79-CI80-CI81-CI82</f>
        <v>637.43594926036064</v>
      </c>
      <c r="CJ83" s="20">
        <f>CJ78+CJ79-CJ80-CJ81-CJ82</f>
        <v>649.99709266309526</v>
      </c>
      <c r="CK83" s="20">
        <f>CK78+CK79-CK80-CK81-CK82</f>
        <v>630.36014476475361</v>
      </c>
      <c r="CL83" s="20">
        <f>CL78+CL79-CL80-CL81-CL82</f>
        <v>591.38673040354968</v>
      </c>
      <c r="CM83" s="6">
        <f>CM78+CM79-CM80-CM81-CM82</f>
        <v>645.22785509811774</v>
      </c>
      <c r="CN83" s="33"/>
      <c r="CO83" s="19">
        <f>CO78+CO79-CO80-CO81-CO82</f>
        <v>605.42478323941964</v>
      </c>
      <c r="CP83" s="20">
        <f>CP78+CP79-CP80-CP81-CP82</f>
        <v>669.33723811034508</v>
      </c>
      <c r="CQ83" s="20">
        <f>CQ78+CQ79-CQ80-CQ81-CQ82</f>
        <v>678.61121287482024</v>
      </c>
      <c r="CR83" s="20">
        <f>CR78+CR79-CR80-CR81-CR82</f>
        <v>642.21141076425261</v>
      </c>
      <c r="CS83" s="6">
        <f>CS78+CS79-CS80-CS81-CS82</f>
        <v>633.39551131782287</v>
      </c>
      <c r="CT83" s="33"/>
      <c r="CU83" s="19">
        <f>CU78+CU79-CU80-CU81-CU82</f>
        <v>674.73644974092338</v>
      </c>
      <c r="CV83" s="20">
        <f>CV78+CV79-CV80-CV81-CV82</f>
        <v>776.40988291245071</v>
      </c>
      <c r="CW83" s="20">
        <f>CW78+CW79-CW80-CW81-CW82</f>
        <v>816.92198721627733</v>
      </c>
      <c r="CX83" s="20">
        <f>CX78+CX79-CX80-CX81-CX82</f>
        <v>795.6038203537463</v>
      </c>
      <c r="CY83" s="6">
        <f>CY78+CY79-CY80-CY81-CY82</f>
        <v>771.52068396860648</v>
      </c>
    </row>
    <row r="84" spans="1:103" ht="11.25" customHeight="1" x14ac:dyDescent="0.2">
      <c r="A84" s="661" t="s">
        <v>120</v>
      </c>
      <c r="B84" s="39"/>
      <c r="C84" s="19" t="e">
        <f>(C78+C83)/2</f>
        <v>#VALUE!</v>
      </c>
      <c r="D84" s="20">
        <f>(D78+D83)/2</f>
        <v>-3.4139999999999961</v>
      </c>
      <c r="E84" s="20">
        <f>(E78+E83)/2</f>
        <v>-18.793000000000013</v>
      </c>
      <c r="F84" s="20">
        <f>(F78+F83)/2</f>
        <v>-21.139499999999973</v>
      </c>
      <c r="G84" s="58"/>
      <c r="H84" s="39"/>
      <c r="I84" s="19">
        <f>(I78+I83)/2</f>
        <v>197.751</v>
      </c>
      <c r="J84" s="20">
        <f>(J78+J83)/2</f>
        <v>196.63400000000001</v>
      </c>
      <c r="K84" s="20">
        <f>(K78+K83)/2</f>
        <v>198.46700000000001</v>
      </c>
      <c r="L84" s="20">
        <f>(L78+L83)/2</f>
        <v>204.96300000000002</v>
      </c>
      <c r="M84" s="6">
        <f>AVERAGE(I84:L84)</f>
        <v>199.45375000000001</v>
      </c>
      <c r="N84" s="39"/>
      <c r="O84" s="19">
        <f>(O78+O83)/2</f>
        <v>195.46450000000004</v>
      </c>
      <c r="P84" s="20">
        <f>(P78+P83)/2</f>
        <v>197.76400000000004</v>
      </c>
      <c r="Q84" s="20">
        <f>(Q78+Q83)/2</f>
        <v>198.09150000000005</v>
      </c>
      <c r="R84" s="20">
        <f>(R78+R83)/2</f>
        <v>200.95650000000006</v>
      </c>
      <c r="S84" s="6">
        <f>AVERAGE(O84:R84)</f>
        <v>198.06912500000004</v>
      </c>
      <c r="T84" s="39"/>
      <c r="U84" s="19">
        <f>(U78+U83)/2</f>
        <v>432.80749999999995</v>
      </c>
      <c r="V84" s="20">
        <f>(V78+V83)/2</f>
        <v>434.69849999999997</v>
      </c>
      <c r="W84" s="20">
        <f>(W78+W83)/2</f>
        <v>395.84099999999989</v>
      </c>
      <c r="X84" s="20">
        <f>(X78+X83)/2</f>
        <v>347.37799999999993</v>
      </c>
      <c r="Y84" s="6">
        <f>AVERAGE(U84:X84)</f>
        <v>402.68124999999992</v>
      </c>
      <c r="Z84" s="39"/>
      <c r="AA84" s="19">
        <f>(AA78+AA83)/2</f>
        <v>348.29949999999991</v>
      </c>
      <c r="AB84" s="20">
        <f>(AB78+AB83)/2</f>
        <v>353.84249999999986</v>
      </c>
      <c r="AC84" s="20">
        <f>(AC78+AC83)/2</f>
        <v>359.94549999999987</v>
      </c>
      <c r="AD84" s="20">
        <f>(AD78+AD83)/2</f>
        <v>360.96949999999981</v>
      </c>
      <c r="AE84" s="6">
        <f>AVERAGE(AA84:AD84)</f>
        <v>355.76424999999983</v>
      </c>
      <c r="AF84" s="39"/>
      <c r="AG84" s="19">
        <f>(AG78+AG83)/2</f>
        <v>334.85399999999993</v>
      </c>
      <c r="AH84" s="20">
        <f>(AH78+AH83)/2</f>
        <v>339.65849999999995</v>
      </c>
      <c r="AI84" s="20">
        <f>(AI78+AI83)/2</f>
        <v>334.97699999999992</v>
      </c>
      <c r="AJ84" s="20">
        <f>(AJ78+AJ83)/2</f>
        <v>331.17999999999995</v>
      </c>
      <c r="AK84" s="6">
        <f>AVERAGE(AG84:AJ84)</f>
        <v>335.16737499999988</v>
      </c>
      <c r="AL84" s="39"/>
      <c r="AM84" s="19">
        <f>(AM78+AM83)/2</f>
        <v>824.66849999999988</v>
      </c>
      <c r="AN84" s="20">
        <f>(AN78+AN83)/2</f>
        <v>823.55299999999988</v>
      </c>
      <c r="AO84" s="20">
        <f>(AO78+AO83)/2</f>
        <v>798.94249999999977</v>
      </c>
      <c r="AP84" s="20">
        <f>(AP78+AP83)/2</f>
        <v>775.18699999999978</v>
      </c>
      <c r="AQ84" s="6">
        <f>AVERAGE(AM84:AP84)</f>
        <v>805.5877499999998</v>
      </c>
      <c r="AR84" s="39"/>
      <c r="AS84" s="19">
        <f>(AS78+AS83)/2</f>
        <v>823.27949999999987</v>
      </c>
      <c r="AT84" s="20">
        <f>(AT78+AT83)/2</f>
        <v>775.46349999999984</v>
      </c>
      <c r="AU84" s="20">
        <f>(AU78+AU83)/2</f>
        <v>748.49799999999982</v>
      </c>
      <c r="AV84" s="20">
        <f>(AV78+AV83)/2</f>
        <v>217.11299999999986</v>
      </c>
      <c r="AW84" s="6">
        <f>AVERAGE(AS84:AV84)</f>
        <v>641.08849999999984</v>
      </c>
      <c r="AX84" s="39"/>
      <c r="AY84" s="19">
        <f>(AY78+AY83)/2</f>
        <v>216.49299999999991</v>
      </c>
      <c r="AZ84" s="20">
        <f>(AZ78+AZ83)/2</f>
        <v>214.38399999999993</v>
      </c>
      <c r="BA84" s="20">
        <f>(BA78+BA83)/2</f>
        <v>206.86299999999994</v>
      </c>
      <c r="BB84" s="20">
        <f>(BB78+BB83)/2</f>
        <v>255.44849999999994</v>
      </c>
      <c r="BC84" s="6">
        <f>AVERAGE(AY84:BB84)</f>
        <v>223.29712499999994</v>
      </c>
      <c r="BD84" s="39"/>
      <c r="BE84" s="19">
        <f>(BE78+BE83)/2</f>
        <v>390.95049999999992</v>
      </c>
      <c r="BF84" s="20">
        <f>(BF78+BF83)/2</f>
        <v>350.06449999999984</v>
      </c>
      <c r="BG84" s="20">
        <f>(BG78+BG83)/2</f>
        <v>318.96249999999981</v>
      </c>
      <c r="BH84" s="20">
        <f>(BH78+BH83)/2</f>
        <v>282.83699999999976</v>
      </c>
      <c r="BI84" s="6">
        <f>(BI78+BI83)/2</f>
        <v>390.25049999999987</v>
      </c>
      <c r="BJ84" s="39"/>
      <c r="BK84" s="19">
        <f>(BK78+BK83)/2</f>
        <v>323.91099999999983</v>
      </c>
      <c r="BL84" s="20">
        <f>(BL78+BL83)/2</f>
        <v>557.46699999999987</v>
      </c>
      <c r="BM84" s="20">
        <f>(BM78+BM83)/2</f>
        <v>424.66399999999987</v>
      </c>
      <c r="BN84" s="20">
        <f>(BN78+BN83)/2</f>
        <v>475.71699999999976</v>
      </c>
      <c r="BO84" s="6">
        <f>(BO78+BO83)/2</f>
        <v>314.34299999999985</v>
      </c>
      <c r="BP84" s="39"/>
      <c r="BQ84" s="19">
        <f>(BQ78+BQ83)/2</f>
        <v>445.37199999999973</v>
      </c>
      <c r="BR84" s="20">
        <f>(BR78+BR83)/2</f>
        <v>282.21849999999984</v>
      </c>
      <c r="BS84" s="20">
        <f>(BS78+BS83)/2</f>
        <v>227.93849999999983</v>
      </c>
      <c r="BT84" s="20">
        <f>(BT78+BT83)/2</f>
        <v>327.76449999999977</v>
      </c>
      <c r="BU84" s="6">
        <f>(BU78+BU83)/2</f>
        <v>430.20149999999978</v>
      </c>
      <c r="BV84" s="33"/>
      <c r="BW84" s="19">
        <f>(BW78+BW83)/2</f>
        <v>277.89149999999972</v>
      </c>
      <c r="BX84" s="20">
        <f>(BX78+BX83)/2</f>
        <v>340.95349999999974</v>
      </c>
      <c r="BY84" s="20">
        <f>(BY78+BY83)/2</f>
        <v>329.54749999999979</v>
      </c>
      <c r="BZ84" s="20">
        <f>(BZ78+BZ83)/2</f>
        <v>364.54899999999975</v>
      </c>
      <c r="CA84" s="6">
        <f>(CA78+CA83)/2</f>
        <v>274.35349999999971</v>
      </c>
      <c r="CB84" s="33"/>
      <c r="CC84" s="19">
        <f>(CC78+CC83)/2</f>
        <v>426.96199999999976</v>
      </c>
      <c r="CD84" s="20">
        <f>(CD78+CD83)/2</f>
        <v>84.375999999999792</v>
      </c>
      <c r="CE84" s="20">
        <f>(CE78+CE83)/2</f>
        <v>359.53049999999985</v>
      </c>
      <c r="CF84" s="20">
        <f>(CF78+CF83)/2</f>
        <v>678.54399999999964</v>
      </c>
      <c r="CG84" s="6">
        <f>(CG78+CG83)/2</f>
        <v>89.374499999999813</v>
      </c>
      <c r="CH84" s="33"/>
      <c r="CI84" s="19">
        <f>(CI78+CI83)/2</f>
        <v>647.57497463018035</v>
      </c>
      <c r="CJ84" s="20">
        <f>(CJ78+CJ83)/2</f>
        <v>651.55280406525981</v>
      </c>
      <c r="CK84" s="20">
        <f>(CK78+CK83)/2</f>
        <v>631.39892649492072</v>
      </c>
      <c r="CL84" s="20">
        <f>(CL78+CL83)/2</f>
        <v>584.89628435233953</v>
      </c>
      <c r="CM84" s="6">
        <f>(CM78+CM83)/2</f>
        <v>651.47092754905884</v>
      </c>
      <c r="CN84" s="33"/>
      <c r="CO84" s="19">
        <f>(CO78+CO83)/2</f>
        <v>610.42011217644188</v>
      </c>
      <c r="CP84" s="20">
        <f>(CP78+CP83)/2</f>
        <v>668.71455606921472</v>
      </c>
      <c r="CQ84" s="20">
        <f>(CQ78+CQ83)/2</f>
        <v>675.80612791089243</v>
      </c>
      <c r="CR84" s="20">
        <f>(CR78+CR83)/2</f>
        <v>631.65381373010894</v>
      </c>
      <c r="CS84" s="6">
        <f>(CS78+CS83)/2</f>
        <v>624.40547621564349</v>
      </c>
      <c r="CT84" s="33"/>
      <c r="CU84" s="19">
        <f>(CU78+CU83)/2</f>
        <v>670.22700744006556</v>
      </c>
      <c r="CV84" s="20">
        <f>(CV78+CV83)/2</f>
        <v>764.87870502577982</v>
      </c>
      <c r="CW84" s="20">
        <f>(CW78+CW83)/2</f>
        <v>802.76165304235121</v>
      </c>
      <c r="CX84" s="20">
        <f>(CX78+CX83)/2</f>
        <v>772.90321530050187</v>
      </c>
      <c r="CY84" s="6">
        <f>(CY78+CY83)/2</f>
        <v>718.61912455390711</v>
      </c>
    </row>
    <row r="85" spans="1:103" ht="11.25" customHeight="1" x14ac:dyDescent="0.2">
      <c r="A85" s="299" t="s">
        <v>121</v>
      </c>
      <c r="B85" s="39"/>
      <c r="C85" s="210" t="e">
        <f>C86/C84</f>
        <v>#VALUE!</v>
      </c>
      <c r="D85" s="211">
        <f>D86/D84</f>
        <v>-0.14528412419449344</v>
      </c>
      <c r="E85" s="211">
        <f>E86/E84</f>
        <v>-4.5814931091363774E-2</v>
      </c>
      <c r="F85" s="211">
        <f>F86/F84</f>
        <v>-5.1940679770098704E-2</v>
      </c>
      <c r="G85" s="204"/>
      <c r="H85" s="39"/>
      <c r="I85" s="210">
        <f>I86/I84*4</f>
        <v>3.7886028389236971E-2</v>
      </c>
      <c r="J85" s="211">
        <f>J86/J84*4</f>
        <v>3.7816450868110293E-2</v>
      </c>
      <c r="K85" s="211">
        <f>K86/K84*4</f>
        <v>3.5915290703240337E-2</v>
      </c>
      <c r="L85" s="211">
        <f>L86/L84*4</f>
        <v>3.9773032205812742E-2</v>
      </c>
      <c r="M85" s="822">
        <f>(M86/M84)</f>
        <v>3.7863414450718523E-2</v>
      </c>
      <c r="N85" s="39"/>
      <c r="O85" s="210">
        <f>O86/O84*4</f>
        <v>4.1132788818429931E-2</v>
      </c>
      <c r="P85" s="211">
        <f>P86/P84*4</f>
        <v>6.0132278877854398E-2</v>
      </c>
      <c r="Q85" s="211">
        <f>Q86/Q84*4</f>
        <v>0.11746087035536605</v>
      </c>
      <c r="R85" s="211">
        <f>R86/R84*4</f>
        <v>0.11065081248927006</v>
      </c>
      <c r="S85" s="822">
        <f>(S86/S84)</f>
        <v>8.2592377787300261E-2</v>
      </c>
      <c r="T85" s="39"/>
      <c r="U85" s="210">
        <f>U86/U84*4</f>
        <v>4.7744089462405354E-2</v>
      </c>
      <c r="V85" s="211">
        <f>V86/V84*4</f>
        <v>4.8401363243719499E-2</v>
      </c>
      <c r="W85" s="211">
        <f>W86/W84*4</f>
        <v>5.4708835113088349E-2</v>
      </c>
      <c r="X85" s="211">
        <f>X86/X84*4</f>
        <v>4.224792589052849E-2</v>
      </c>
      <c r="Y85" s="822">
        <f>(Y86/Y84)</f>
        <v>4.8447748684598564E-2</v>
      </c>
      <c r="Z85" s="39"/>
      <c r="AA85" s="210">
        <f>AA86/AA84*4</f>
        <v>3.413154483425903E-2</v>
      </c>
      <c r="AB85" s="211">
        <f>AB86/AB84*4</f>
        <v>2.6271575630400539E-2</v>
      </c>
      <c r="AC85" s="211">
        <f>AC86/AC84*4</f>
        <v>2.3281302308266125E-2</v>
      </c>
      <c r="AD85" s="211">
        <f>AD86/AD84*4</f>
        <v>2.3492289514765112E-2</v>
      </c>
      <c r="AE85" s="822">
        <f>(AE86/AE84)</f>
        <v>2.6733995897564197E-2</v>
      </c>
      <c r="AF85" s="39"/>
      <c r="AG85" s="210">
        <f>AG86/AG84*4</f>
        <v>1.4155422960454411E-2</v>
      </c>
      <c r="AH85" s="211">
        <f>AH86/AH84*4</f>
        <v>7.9844903042320461E-3</v>
      </c>
      <c r="AI85" s="211">
        <f>AI86/AI84*4</f>
        <v>8.0960782382074013E-3</v>
      </c>
      <c r="AJ85" s="211">
        <f>AJ86/AJ84*4</f>
        <v>1.1848541578597742E-2</v>
      </c>
      <c r="AK85" s="822">
        <f>(AK86/AK84)</f>
        <v>1.0508182665451855E-2</v>
      </c>
      <c r="AL85" s="39"/>
      <c r="AM85" s="210">
        <f>AM86/AM84*4</f>
        <v>3.3419489164433955E-3</v>
      </c>
      <c r="AN85" s="211">
        <f>AN86/AN84*4</f>
        <v>7.2903626117566209E-3</v>
      </c>
      <c r="AO85" s="211">
        <f>AO86/AO84*4</f>
        <v>6.1431204373280949E-3</v>
      </c>
      <c r="AP85" s="211">
        <f>AP86/AP84*4</f>
        <v>5.3664470637407504E-3</v>
      </c>
      <c r="AQ85" s="822">
        <f>(AQ86/AQ84)</f>
        <v>5.5326064727275219E-3</v>
      </c>
      <c r="AR85" s="39"/>
      <c r="AS85" s="210">
        <f>AS86/AS84*4</f>
        <v>6.1753025552075576E-3</v>
      </c>
      <c r="AT85" s="211">
        <f>AT86/AT84*4</f>
        <v>6.881045980887561E-3</v>
      </c>
      <c r="AU85" s="211">
        <f>AU86/AU84*4</f>
        <v>1.2478323255372762E-2</v>
      </c>
      <c r="AV85" s="211">
        <f>AV86/AV84*4</f>
        <v>2.1887220019068437E-2</v>
      </c>
      <c r="AW85" s="822">
        <f>(AW86/AW84)</f>
        <v>9.5587426696938128E-3</v>
      </c>
      <c r="AX85" s="39"/>
      <c r="AY85" s="210">
        <f>AY86/AY84*4</f>
        <v>1.0882568951421066E-2</v>
      </c>
      <c r="AZ85" s="211">
        <f>AZ86/AZ84*4</f>
        <v>1.0859019329800735E-2</v>
      </c>
      <c r="BA85" s="211">
        <f>BA86/BA84*4</f>
        <v>1.1350507340607071E-2</v>
      </c>
      <c r="BB85" s="211">
        <f>BB86/BB84*4</f>
        <v>9.7710497419245049E-3</v>
      </c>
      <c r="BC85" s="822">
        <f>(BC86/BC84)</f>
        <v>1.066740111409854E-2</v>
      </c>
      <c r="BD85" s="39"/>
      <c r="BE85" s="210">
        <f>BE86/BE84*4</f>
        <v>8.778604964055553E-3</v>
      </c>
      <c r="BF85" s="211">
        <f>BF86/BF84*4</f>
        <v>4.7191303316960181E-3</v>
      </c>
      <c r="BG85" s="211">
        <f>BG86/BG84*4</f>
        <v>6.8973625426186512E-3</v>
      </c>
      <c r="BH85" s="211">
        <f>BH86/BH84*4</f>
        <v>6.74593493779103E-3</v>
      </c>
      <c r="BI85" s="822">
        <f>(BI86/BI84)</f>
        <v>5.8885254471166618E-3</v>
      </c>
      <c r="BJ85" s="39"/>
      <c r="BK85" s="210">
        <f>BK86/BK84*4</f>
        <v>1.2472561907437544E-2</v>
      </c>
      <c r="BL85" s="211">
        <f>BL86/BL84*4</f>
        <v>5.9626847867228026E-3</v>
      </c>
      <c r="BM85" s="211">
        <f>BM86/BM84*4</f>
        <v>8.8163818925079615E-3</v>
      </c>
      <c r="BN85" s="211">
        <f>BN86/BN84*4</f>
        <v>9.9807238337078601E-3</v>
      </c>
      <c r="BO85" s="822">
        <f>(BO86/BO84)</f>
        <v>1.2610428735489582E-2</v>
      </c>
      <c r="BP85" s="39"/>
      <c r="BQ85" s="210">
        <f>BQ86/BQ84*4</f>
        <v>6.2778980268180344E-3</v>
      </c>
      <c r="BR85" s="211">
        <f>BR86/BR84*4</f>
        <v>1.4825392382143632E-2</v>
      </c>
      <c r="BS85" s="211">
        <f>BS86/BS84*4</f>
        <v>2.2514845013018876E-2</v>
      </c>
      <c r="BT85" s="211">
        <f>BT86/BT84*4</f>
        <v>2.1051700229890686E-2</v>
      </c>
      <c r="BU85" s="822">
        <f>(BU86/BU84)</f>
        <v>1.1048311082132448E-2</v>
      </c>
      <c r="BV85" s="33"/>
      <c r="BW85" s="210">
        <f>BW86/BW84*4</f>
        <v>2.18214662917002E-2</v>
      </c>
      <c r="BX85" s="211">
        <f>BX86/BX84*4</f>
        <v>1.7621171215429682E-2</v>
      </c>
      <c r="BY85" s="211">
        <f>BY86/BY84*4</f>
        <v>2.0124564744080913E-2</v>
      </c>
      <c r="BZ85" s="211">
        <f>BZ86/BZ84*4</f>
        <v>2.3042169914058205E-2</v>
      </c>
      <c r="CA85" s="822">
        <f>(CA86/CA84)</f>
        <v>2.4698062900600892E-2</v>
      </c>
      <c r="CB85" s="33"/>
      <c r="CC85" s="210">
        <f>CC86/CC84*4</f>
        <v>1.7893864090949556E-2</v>
      </c>
      <c r="CD85" s="211">
        <f>CD86/CD84*4</f>
        <v>8.1444960652318391E-2</v>
      </c>
      <c r="CE85" s="211">
        <f>CE86/CE84*4</f>
        <v>2.9705407468907378E-2</v>
      </c>
      <c r="CF85" s="211">
        <f>CF86/CF84*4</f>
        <v>2.5625456860572059E-2</v>
      </c>
      <c r="CG85" s="822">
        <f>(CG86/CG84)</f>
        <v>0.11910556142971454</v>
      </c>
      <c r="CH85" s="33"/>
      <c r="CI85" s="814">
        <v>1.4999999999999999E-2</v>
      </c>
      <c r="CJ85" s="801">
        <f>+CI85</f>
        <v>1.4999999999999999E-2</v>
      </c>
      <c r="CK85" s="801">
        <f>+CJ85</f>
        <v>1.4999999999999999E-2</v>
      </c>
      <c r="CL85" s="801">
        <f>+CK85</f>
        <v>1.4999999999999999E-2</v>
      </c>
      <c r="CM85" s="822">
        <f>(CM86/CM84)</f>
        <v>1.4515225979541586E-2</v>
      </c>
      <c r="CN85" s="33"/>
      <c r="CO85" s="814">
        <v>1.4999999999999999E-2</v>
      </c>
      <c r="CP85" s="801">
        <f>+CO85</f>
        <v>1.4999999999999999E-2</v>
      </c>
      <c r="CQ85" s="801">
        <f>+CP85</f>
        <v>1.4999999999999999E-2</v>
      </c>
      <c r="CR85" s="801">
        <f>+CQ85</f>
        <v>1.4999999999999999E-2</v>
      </c>
      <c r="CS85" s="822">
        <f>(CS86/CS84)</f>
        <v>1.5480352949536844E-2</v>
      </c>
      <c r="CT85" s="33"/>
      <c r="CU85" s="814">
        <v>9.6153846153846159E-2</v>
      </c>
      <c r="CV85" s="801">
        <f>+CU85</f>
        <v>9.6153846153846159E-2</v>
      </c>
      <c r="CW85" s="801">
        <f>+CV85</f>
        <v>9.6153846153846159E-2</v>
      </c>
      <c r="CX85" s="801">
        <f>+CW85</f>
        <v>9.6153846153846159E-2</v>
      </c>
      <c r="CY85" s="822">
        <f>(CY86/CY84)</f>
        <v>9.8943401695194888E-2</v>
      </c>
    </row>
    <row r="86" spans="1:103" ht="11.25" customHeight="1" x14ac:dyDescent="0.2">
      <c r="A86" s="845" t="s">
        <v>122</v>
      </c>
      <c r="B86" s="430"/>
      <c r="C86" s="838">
        <v>0.432</v>
      </c>
      <c r="D86" s="839">
        <v>0.496</v>
      </c>
      <c r="E86" s="839">
        <v>0.86099999999999999</v>
      </c>
      <c r="F86" s="841">
        <v>1.0980000000000001</v>
      </c>
      <c r="G86" s="474">
        <f>SUM(C86:F86)</f>
        <v>2.887</v>
      </c>
      <c r="H86" s="430"/>
      <c r="I86" s="838">
        <v>1.873</v>
      </c>
      <c r="J86" s="839">
        <v>1.859</v>
      </c>
      <c r="K86" s="839">
        <v>1.782</v>
      </c>
      <c r="L86" s="841">
        <v>2.0379999999999994</v>
      </c>
      <c r="M86" s="474">
        <f>SUM(I86:L86)</f>
        <v>7.5519999999999996</v>
      </c>
      <c r="N86" s="430"/>
      <c r="O86" s="838">
        <v>2.0099999999999998</v>
      </c>
      <c r="P86" s="839">
        <v>2.9729999999999999</v>
      </c>
      <c r="Q86" s="839">
        <v>5.8170000000000002</v>
      </c>
      <c r="R86" s="839">
        <v>5.5590000000000011</v>
      </c>
      <c r="S86" s="474">
        <f>SUM(O86:R86)</f>
        <v>16.359000000000002</v>
      </c>
      <c r="T86" s="430"/>
      <c r="U86" s="838">
        <v>5.1660000000000004</v>
      </c>
      <c r="V86" s="839">
        <v>5.26</v>
      </c>
      <c r="W86" s="839">
        <v>5.4139999999999997</v>
      </c>
      <c r="X86" s="841">
        <v>3.6690000000000005</v>
      </c>
      <c r="Y86" s="474">
        <f>SUM(U86:X86)</f>
        <v>19.509</v>
      </c>
      <c r="Z86" s="430"/>
      <c r="AA86" s="838">
        <v>2.972</v>
      </c>
      <c r="AB86" s="839">
        <v>2.3239999999999998</v>
      </c>
      <c r="AC86" s="839">
        <v>2.0950000000000002</v>
      </c>
      <c r="AD86" s="841">
        <v>2.12</v>
      </c>
      <c r="AE86" s="474">
        <f>SUM(AA86:AD86)</f>
        <v>9.5109999999999992</v>
      </c>
      <c r="AF86" s="430"/>
      <c r="AG86" s="838">
        <v>1.1850000000000001</v>
      </c>
      <c r="AH86" s="839">
        <v>0.67800000000000005</v>
      </c>
      <c r="AI86" s="839">
        <v>0.67800000000000005</v>
      </c>
      <c r="AJ86" s="841">
        <v>0.98099999999999987</v>
      </c>
      <c r="AK86" s="474">
        <f>SUM(AG86:AJ86)</f>
        <v>3.5219999999999998</v>
      </c>
      <c r="AL86" s="430"/>
      <c r="AM86" s="838">
        <v>0.68899999999999995</v>
      </c>
      <c r="AN86" s="839">
        <v>1.5009999999999999</v>
      </c>
      <c r="AO86" s="839">
        <v>1.2270000000000001</v>
      </c>
      <c r="AP86" s="841">
        <v>1.04</v>
      </c>
      <c r="AQ86" s="474">
        <f>SUM(AM86:AP86)</f>
        <v>4.4569999999999999</v>
      </c>
      <c r="AR86" s="430"/>
      <c r="AS86" s="838">
        <v>1.2709999999999999</v>
      </c>
      <c r="AT86" s="839">
        <v>1.3340000000000001</v>
      </c>
      <c r="AU86" s="839">
        <v>2.335</v>
      </c>
      <c r="AV86" s="841">
        <v>1.1880000000000006</v>
      </c>
      <c r="AW86" s="474">
        <f>SUM(AS86:AV86)</f>
        <v>6.1280000000000001</v>
      </c>
      <c r="AX86" s="430"/>
      <c r="AY86" s="838">
        <v>0.58899999999999997</v>
      </c>
      <c r="AZ86" s="839">
        <v>0.58199999999999996</v>
      </c>
      <c r="BA86" s="839">
        <v>0.58699999999999997</v>
      </c>
      <c r="BB86" s="841">
        <f>2.382-SUM(AY86:BA86)</f>
        <v>0.62400000000000033</v>
      </c>
      <c r="BC86" s="474">
        <f>SUM(AY86:BB86)</f>
        <v>2.3820000000000001</v>
      </c>
      <c r="BD86" s="430"/>
      <c r="BE86" s="838">
        <v>0.85799999999999998</v>
      </c>
      <c r="BF86" s="839">
        <v>0.41299999999999998</v>
      </c>
      <c r="BG86" s="839">
        <v>0.55000000000000004</v>
      </c>
      <c r="BH86" s="839">
        <v>0.47699999999999998</v>
      </c>
      <c r="BI86" s="474">
        <f>SUM(BE86:BH86)</f>
        <v>2.298</v>
      </c>
      <c r="BJ86" s="430"/>
      <c r="BK86" s="838">
        <v>1.01</v>
      </c>
      <c r="BL86" s="839">
        <v>0.83099999999999996</v>
      </c>
      <c r="BM86" s="839">
        <v>0.93600000000000005</v>
      </c>
      <c r="BN86" s="839">
        <f>3.964-SUM(BK86:BM86)</f>
        <v>1.1869999999999998</v>
      </c>
      <c r="BO86" s="474">
        <f>SUM(BK86:BN86)</f>
        <v>3.964</v>
      </c>
      <c r="BP86" s="430"/>
      <c r="BQ86" s="838">
        <v>0.69899999999999995</v>
      </c>
      <c r="BR86" s="839">
        <v>1.046</v>
      </c>
      <c r="BS86" s="839">
        <v>1.2829999999999999</v>
      </c>
      <c r="BT86" s="839">
        <f>4.753-SUM(BQ86:BS86)</f>
        <v>1.7250000000000001</v>
      </c>
      <c r="BU86" s="474">
        <f>SUM(BQ86:BT86)</f>
        <v>4.7530000000000001</v>
      </c>
      <c r="BV86" s="372"/>
      <c r="BW86" s="838">
        <v>1.516</v>
      </c>
      <c r="BX86" s="839">
        <v>1.502</v>
      </c>
      <c r="BY86" s="839">
        <v>1.6579999999999999</v>
      </c>
      <c r="BZ86" s="839">
        <f>6.776-SUM(BW86:BY86)</f>
        <v>2.0999999999999996</v>
      </c>
      <c r="CA86" s="474">
        <f>SUM(BW86:BZ86)</f>
        <v>6.7759999999999998</v>
      </c>
      <c r="CB86" s="372"/>
      <c r="CC86" s="838">
        <v>1.91</v>
      </c>
      <c r="CD86" s="1070">
        <v>1.718</v>
      </c>
      <c r="CE86" s="839">
        <v>2.67</v>
      </c>
      <c r="CF86" s="839">
        <f>10.645-SUM(CC86:CE86)</f>
        <v>4.3469999999999995</v>
      </c>
      <c r="CG86" s="474">
        <f>SUM(CC86:CF86)</f>
        <v>10.645</v>
      </c>
      <c r="CH86" s="372"/>
      <c r="CI86" s="475">
        <f>(CI78*CI85)/4</f>
        <v>2.4664274999999996</v>
      </c>
      <c r="CJ86" s="431">
        <f>(CJ78*CJ85)/4</f>
        <v>2.4491569330028407</v>
      </c>
      <c r="CK86" s="431">
        <f>(CK78*CK85)/4</f>
        <v>2.3716414058440787</v>
      </c>
      <c r="CL86" s="431">
        <f>(CL78*CL85)/4</f>
        <v>2.1690218936292349</v>
      </c>
      <c r="CM86" s="474">
        <f>SUM(CI86:CL86)</f>
        <v>9.4562477324761538</v>
      </c>
      <c r="CN86" s="372"/>
      <c r="CO86" s="475">
        <f>(CO78*CO85)/4</f>
        <v>2.3078079041754904</v>
      </c>
      <c r="CP86" s="431">
        <f>(CP78*CP85)/4</f>
        <v>2.5053445276053163</v>
      </c>
      <c r="CQ86" s="431">
        <f>(CQ78*CQ85)/4</f>
        <v>2.5237539110511173</v>
      </c>
      <c r="CR86" s="431">
        <f>(CR78*CR85)/4</f>
        <v>2.3291108126098696</v>
      </c>
      <c r="CS86" s="474">
        <f>SUM(CO86:CR86)</f>
        <v>9.6660171554417946</v>
      </c>
      <c r="CT86" s="372"/>
      <c r="CU86" s="475">
        <f>(CU78*CU85)/4</f>
        <v>16.002826085077107</v>
      </c>
      <c r="CV86" s="431">
        <f>(CV78*CV85)/4</f>
        <v>18.10931555622858</v>
      </c>
      <c r="CW86" s="431">
        <f>(CW78*CW85)/4</f>
        <v>18.95676247279868</v>
      </c>
      <c r="CX86" s="431">
        <f>(CX78*CX85)/4</f>
        <v>18.033716592482151</v>
      </c>
      <c r="CY86" s="474">
        <f>SUM(CU86:CX86)</f>
        <v>71.102620706586521</v>
      </c>
    </row>
    <row r="87" spans="1:103" ht="11.25" customHeight="1" x14ac:dyDescent="0.2"/>
    <row r="88" spans="1:103" ht="11.25" customHeight="1" x14ac:dyDescent="0.2"/>
    <row r="89" spans="1:103" ht="11.25" customHeight="1" x14ac:dyDescent="0.2"/>
    <row r="90" spans="1:103" ht="11.25" customHeight="1" x14ac:dyDescent="0.2"/>
    <row r="91" spans="1:103" ht="11.25" customHeight="1" x14ac:dyDescent="0.2"/>
    <row r="92" spans="1:103" ht="11.25" customHeight="1" x14ac:dyDescent="0.2"/>
    <row r="93" spans="1:103" ht="11.25" customHeight="1" x14ac:dyDescent="0.2"/>
    <row r="94" spans="1:103" ht="11.25" customHeight="1" x14ac:dyDescent="0.2"/>
    <row r="95" spans="1:103" ht="11.25" customHeight="1" x14ac:dyDescent="0.2"/>
    <row r="96" spans="1:103" ht="11.25" customHeight="1" x14ac:dyDescent="0.2"/>
    <row r="97" ht="11.25" customHeight="1" x14ac:dyDescent="0.2"/>
    <row r="98" ht="11.25" customHeight="1" x14ac:dyDescent="0.2"/>
    <row r="99" ht="11.25" customHeight="1" x14ac:dyDescent="0.2"/>
    <row r="100" ht="11.25" customHeight="1" x14ac:dyDescent="0.2"/>
    <row r="101" ht="11.25" customHeight="1" x14ac:dyDescent="0.2"/>
    <row r="102" ht="11.25" customHeight="1" x14ac:dyDescent="0.2"/>
    <row r="103" ht="11.25" customHeight="1" x14ac:dyDescent="0.2"/>
    <row r="104" ht="11.25" customHeight="1" x14ac:dyDescent="0.2"/>
    <row r="105" ht="11.25" customHeight="1" x14ac:dyDescent="0.2"/>
    <row r="106" ht="11.25" customHeight="1" x14ac:dyDescent="0.2"/>
    <row r="107" ht="11.25" customHeight="1" x14ac:dyDescent="0.2"/>
    <row r="108" ht="11.25" customHeight="1" x14ac:dyDescent="0.2"/>
    <row r="109" ht="11.25" customHeight="1" x14ac:dyDescent="0.2"/>
    <row r="110" ht="11.25" customHeight="1" x14ac:dyDescent="0.2"/>
    <row r="111" ht="11.25" customHeight="1" x14ac:dyDescent="0.2"/>
    <row r="112" ht="11.25" customHeight="1" x14ac:dyDescent="0.2"/>
    <row r="113" ht="11.25" customHeight="1" x14ac:dyDescent="0.2"/>
    <row r="114" ht="11.25" customHeight="1" x14ac:dyDescent="0.2"/>
    <row r="115" ht="11.25" customHeight="1" x14ac:dyDescent="0.2"/>
    <row r="116" ht="11.25" customHeight="1" x14ac:dyDescent="0.2"/>
    <row r="117" ht="11.25" customHeight="1" x14ac:dyDescent="0.2"/>
    <row r="118" ht="11.25" customHeight="1" x14ac:dyDescent="0.2"/>
    <row r="119" ht="11.25" customHeight="1" x14ac:dyDescent="0.2"/>
    <row r="120" ht="11.25" customHeight="1" x14ac:dyDescent="0.2"/>
    <row r="121" ht="11.25" customHeight="1" x14ac:dyDescent="0.2"/>
  </sheetData>
  <phoneticPr fontId="4" type="noConversion"/>
  <pageMargins left="0.75" right="0.75" top="1" bottom="1" header="0.5" footer="0.5"/>
  <pageSetup scale="52" orientation="landscape" r:id="rId1"/>
  <headerFooter alignWithMargins="0"/>
  <ignoredErrors>
    <ignoredError sqref="BB8 BX74:CE74 BX75:CD75 CD8:CE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70C0"/>
    <pageSetUpPr fitToPage="1"/>
  </sheetPr>
  <dimension ref="A1:IV105"/>
  <sheetViews>
    <sheetView workbookViewId="0">
      <selection sqref="A1:XFD1048576"/>
    </sheetView>
  </sheetViews>
  <sheetFormatPr defaultRowHeight="12.75" outlineLevelRow="1" x14ac:dyDescent="0.2"/>
  <cols>
    <col min="1" max="1" width="28.28515625" customWidth="1"/>
    <col min="2" max="23" width="8.7109375" customWidth="1"/>
    <col min="24" max="24" width="10.5703125" customWidth="1"/>
    <col min="25" max="25" width="8.7109375" customWidth="1"/>
  </cols>
  <sheetData>
    <row r="1" spans="1:70" ht="12.75" customHeight="1" x14ac:dyDescent="0.2">
      <c r="A1" s="1374" t="s">
        <v>592</v>
      </c>
      <c r="B1" s="1309"/>
      <c r="C1" s="1309"/>
      <c r="D1" s="1309"/>
      <c r="E1" s="1309"/>
      <c r="F1" s="1309"/>
      <c r="G1" s="1309"/>
      <c r="H1" s="1309"/>
      <c r="I1" s="1309"/>
      <c r="J1" s="1309"/>
      <c r="K1" s="1309"/>
      <c r="L1" s="1309"/>
      <c r="M1" s="1309"/>
      <c r="N1" s="1309"/>
      <c r="O1" s="1309"/>
      <c r="P1" s="1347"/>
      <c r="Q1" s="1309"/>
      <c r="R1" s="1309"/>
      <c r="S1" s="1309"/>
      <c r="T1" s="1309"/>
      <c r="U1" s="1309"/>
      <c r="V1" s="1309"/>
      <c r="W1" s="1309"/>
      <c r="X1" s="1309"/>
      <c r="Y1" s="1309"/>
      <c r="Z1" s="1309"/>
      <c r="AA1" s="1309"/>
      <c r="AB1" s="1309"/>
      <c r="AC1" s="1309"/>
      <c r="AD1" s="1309"/>
      <c r="AE1" s="1309"/>
      <c r="AF1" s="1309"/>
      <c r="AG1" s="1309"/>
      <c r="AH1" s="1309"/>
      <c r="AI1" s="1309"/>
      <c r="AJ1" s="1309"/>
      <c r="AK1" s="1309"/>
      <c r="AL1" s="1309"/>
      <c r="AM1" s="1309"/>
      <c r="AN1" s="1309"/>
      <c r="AO1" s="1309"/>
      <c r="AP1" s="1309"/>
      <c r="AQ1" s="1309"/>
      <c r="AR1" s="1309"/>
      <c r="AS1" s="1309"/>
      <c r="AT1" s="1309"/>
      <c r="AU1" s="1309"/>
      <c r="AV1" s="1309"/>
      <c r="AW1" s="1309"/>
      <c r="AX1" s="1309"/>
      <c r="AY1" s="1309"/>
      <c r="AZ1" s="1309"/>
      <c r="BA1" s="1309"/>
      <c r="BB1" s="1309"/>
      <c r="BC1" s="1309"/>
      <c r="BD1" s="1309"/>
      <c r="BE1" s="1309"/>
      <c r="BF1" s="1309"/>
      <c r="BG1" s="1309"/>
      <c r="BH1" s="1309"/>
      <c r="BI1" s="1309"/>
      <c r="BJ1" s="1309"/>
      <c r="BK1" s="1309"/>
      <c r="BL1" s="1309"/>
      <c r="BM1" s="1309"/>
      <c r="BN1" s="1309"/>
      <c r="BO1" s="1309"/>
      <c r="BP1" s="1309"/>
      <c r="BQ1" s="1309"/>
      <c r="BR1" s="1309"/>
    </row>
    <row r="2" spans="1:70" ht="12.75" customHeight="1" x14ac:dyDescent="0.2">
      <c r="A2" s="1310" t="s">
        <v>306</v>
      </c>
      <c r="B2" s="1348"/>
      <c r="C2" s="1348"/>
      <c r="D2" s="1348"/>
      <c r="E2" s="1348"/>
      <c r="F2" s="1348"/>
      <c r="G2" s="1348"/>
      <c r="H2" s="1349"/>
      <c r="I2" s="1349"/>
      <c r="J2" s="1350"/>
      <c r="K2" s="1349"/>
      <c r="L2" s="1349"/>
      <c r="M2" s="1349"/>
      <c r="N2" s="1349"/>
      <c r="O2" s="1349"/>
      <c r="P2" s="1347"/>
      <c r="Q2" s="2180"/>
      <c r="R2" s="2180"/>
      <c r="S2" s="2180"/>
      <c r="T2" s="2180"/>
      <c r="U2" s="1311"/>
      <c r="V2" s="1309"/>
      <c r="W2" s="1309"/>
      <c r="X2" s="1309"/>
      <c r="Y2" s="1309"/>
      <c r="Z2" s="1309"/>
      <c r="AA2" s="1309"/>
      <c r="AB2" s="1309"/>
      <c r="AC2" s="1309"/>
      <c r="AD2" s="1309"/>
      <c r="AE2" s="1309"/>
      <c r="AF2" s="1309"/>
      <c r="AG2" s="1309"/>
      <c r="AH2" s="1309"/>
      <c r="AI2" s="1309"/>
      <c r="AJ2" s="1309"/>
      <c r="AK2" s="1309"/>
      <c r="AL2" s="1309"/>
      <c r="AM2" s="1309"/>
      <c r="AN2" s="1309"/>
      <c r="AO2" s="1309"/>
      <c r="AP2" s="1309"/>
      <c r="AQ2" s="1309"/>
      <c r="AR2" s="1309"/>
      <c r="AS2" s="1309"/>
      <c r="AT2" s="1309"/>
      <c r="AU2" s="1309"/>
      <c r="AV2" s="1309"/>
      <c r="AW2" s="1309"/>
      <c r="AX2" s="1309"/>
      <c r="AY2" s="1309"/>
      <c r="AZ2" s="1309"/>
      <c r="BA2" s="1309"/>
      <c r="BB2" s="1309"/>
      <c r="BC2" s="1309"/>
      <c r="BD2" s="1309"/>
      <c r="BE2" s="1309"/>
      <c r="BF2" s="1309"/>
      <c r="BG2" s="1309"/>
      <c r="BH2" s="1309"/>
      <c r="BI2" s="1309"/>
      <c r="BJ2" s="1309"/>
      <c r="BK2" s="1309"/>
      <c r="BL2" s="1309"/>
      <c r="BM2" s="1309"/>
      <c r="BN2" s="1309"/>
      <c r="BO2" s="1309"/>
      <c r="BP2" s="1309"/>
      <c r="BQ2" s="1309"/>
      <c r="BR2" s="1309"/>
    </row>
    <row r="3" spans="1:70" ht="15" customHeight="1" x14ac:dyDescent="0.2">
      <c r="A3" s="1312"/>
      <c r="B3" s="1351"/>
      <c r="C3" s="1351"/>
      <c r="D3" s="1351"/>
      <c r="E3" s="1311"/>
      <c r="F3" s="1311"/>
      <c r="G3" s="1311"/>
      <c r="H3" s="1311"/>
      <c r="I3" s="1311"/>
      <c r="J3" s="1311"/>
      <c r="K3" s="1311"/>
      <c r="L3" s="1311"/>
      <c r="M3" s="1311"/>
      <c r="N3" s="1309"/>
      <c r="O3" s="1309"/>
      <c r="P3" s="1311"/>
      <c r="Q3" s="1311"/>
      <c r="R3" s="1311"/>
      <c r="S3" s="1347"/>
      <c r="W3" s="1309"/>
      <c r="X3" s="1309"/>
      <c r="Y3" s="1309"/>
      <c r="Z3" s="1309"/>
      <c r="AA3" s="1309"/>
      <c r="AB3" s="1309"/>
      <c r="AC3" s="1309"/>
      <c r="AD3" s="1309"/>
      <c r="AE3" s="1309"/>
      <c r="AF3" s="1309"/>
      <c r="AG3" s="1309"/>
      <c r="AH3" s="1309"/>
      <c r="AI3" s="1309"/>
      <c r="AJ3" s="1309"/>
      <c r="AK3" s="1309"/>
      <c r="AL3" s="1309"/>
      <c r="AM3" s="1309"/>
      <c r="AN3" s="1309"/>
      <c r="AO3" s="1309"/>
      <c r="AP3" s="1309"/>
      <c r="AQ3" s="1309"/>
      <c r="AR3" s="1309"/>
      <c r="AS3" s="1309"/>
      <c r="AT3" s="1309"/>
      <c r="AU3" s="1309"/>
      <c r="AV3" s="1309"/>
      <c r="AW3" s="1309"/>
      <c r="AX3" s="1309"/>
      <c r="AY3" s="1309"/>
      <c r="AZ3" s="1309"/>
      <c r="BA3" s="1309"/>
      <c r="BB3" s="1309"/>
      <c r="BC3" s="1309"/>
      <c r="BD3" s="1309"/>
      <c r="BE3" s="1309"/>
      <c r="BF3" s="1309"/>
      <c r="BG3" s="1309"/>
      <c r="BH3" s="1309"/>
      <c r="BI3" s="1309"/>
      <c r="BJ3" s="1309"/>
      <c r="BK3" s="1309"/>
      <c r="BL3" s="1309"/>
      <c r="BM3" s="1309"/>
      <c r="BN3" s="1309"/>
      <c r="BO3" s="1309"/>
      <c r="BP3" s="1309"/>
      <c r="BQ3" s="1309"/>
      <c r="BR3" s="1309"/>
    </row>
    <row r="4" spans="1:70" ht="12.75" customHeight="1" x14ac:dyDescent="0.2">
      <c r="A4" s="1384" t="s">
        <v>575</v>
      </c>
      <c r="B4" s="1386" t="s">
        <v>420</v>
      </c>
      <c r="C4" s="1386" t="s">
        <v>606</v>
      </c>
      <c r="D4" s="1386" t="s">
        <v>651</v>
      </c>
      <c r="E4" s="1386" t="s">
        <v>281</v>
      </c>
      <c r="F4" s="1386" t="s">
        <v>282</v>
      </c>
      <c r="G4" s="1386" t="s">
        <v>283</v>
      </c>
      <c r="H4" s="1386" t="s">
        <v>284</v>
      </c>
      <c r="I4" s="1386" t="s">
        <v>220</v>
      </c>
      <c r="J4" s="1386" t="s">
        <v>221</v>
      </c>
      <c r="K4" s="1386" t="s">
        <v>568</v>
      </c>
      <c r="L4" s="1386" t="s">
        <v>569</v>
      </c>
      <c r="M4" s="1386" t="s">
        <v>573</v>
      </c>
      <c r="N4" s="1386" t="s">
        <v>603</v>
      </c>
      <c r="O4" s="1386" t="s">
        <v>642</v>
      </c>
      <c r="P4" s="1386" t="s">
        <v>295</v>
      </c>
      <c r="W4" s="1309"/>
      <c r="X4" s="1309"/>
      <c r="Y4" s="1309"/>
      <c r="Z4" s="1309"/>
      <c r="AA4" s="1309"/>
      <c r="AB4" s="1309"/>
      <c r="AC4" s="1309"/>
      <c r="AD4" s="1309"/>
      <c r="AE4" s="1309"/>
      <c r="AF4" s="1309"/>
      <c r="AG4" s="1309"/>
      <c r="AH4" s="1309"/>
      <c r="AI4" s="1309"/>
      <c r="AJ4" s="1309"/>
      <c r="AK4" s="1309"/>
      <c r="AL4" s="1309"/>
      <c r="AM4" s="1309"/>
      <c r="AN4" s="1309"/>
      <c r="AO4" s="1309"/>
      <c r="AP4" s="1309"/>
      <c r="AQ4" s="1309"/>
      <c r="AR4" s="1309"/>
      <c r="AS4" s="1309"/>
      <c r="AT4" s="1309"/>
      <c r="AU4" s="1309"/>
      <c r="AV4" s="1309"/>
      <c r="AW4" s="1309"/>
      <c r="AX4" s="1309"/>
      <c r="AY4" s="1309"/>
      <c r="AZ4" s="1309"/>
      <c r="BA4" s="1309"/>
      <c r="BB4" s="1309"/>
      <c r="BC4" s="1309"/>
      <c r="BD4" s="1309"/>
      <c r="BE4" s="1309"/>
      <c r="BF4" s="1309"/>
      <c r="BG4" s="1309"/>
      <c r="BH4" s="1309"/>
      <c r="BI4" s="1309"/>
      <c r="BJ4" s="1309"/>
      <c r="BK4" s="1309"/>
      <c r="BL4" s="1309"/>
      <c r="BM4" s="1309"/>
      <c r="BN4" s="1309"/>
      <c r="BO4" s="1309"/>
      <c r="BP4" s="1309"/>
      <c r="BQ4" s="1309"/>
      <c r="BR4" s="1309"/>
    </row>
    <row r="5" spans="1:70" ht="12.75" hidden="1" customHeight="1" outlineLevel="1" x14ac:dyDescent="0.2">
      <c r="A5" s="1385" t="s">
        <v>576</v>
      </c>
      <c r="B5" s="1387">
        <v>0</v>
      </c>
      <c r="C5" s="1387">
        <v>0</v>
      </c>
      <c r="D5" s="1387">
        <v>0</v>
      </c>
      <c r="E5" s="1387">
        <v>0</v>
      </c>
      <c r="F5" s="1387">
        <v>0</v>
      </c>
      <c r="G5" s="1387">
        <f t="shared" ref="G5:O5" si="0">F5+1</f>
        <v>1</v>
      </c>
      <c r="H5" s="1387">
        <f t="shared" si="0"/>
        <v>2</v>
      </c>
      <c r="I5" s="1387">
        <f t="shared" si="0"/>
        <v>3</v>
      </c>
      <c r="J5" s="1387">
        <f t="shared" si="0"/>
        <v>4</v>
      </c>
      <c r="K5" s="1387">
        <f t="shared" si="0"/>
        <v>5</v>
      </c>
      <c r="L5" s="1387">
        <f t="shared" si="0"/>
        <v>6</v>
      </c>
      <c r="M5" s="1387">
        <f t="shared" si="0"/>
        <v>7</v>
      </c>
      <c r="N5" s="1387">
        <f t="shared" si="0"/>
        <v>8</v>
      </c>
      <c r="O5" s="1387">
        <f t="shared" si="0"/>
        <v>9</v>
      </c>
      <c r="P5" s="1387">
        <f>+O5</f>
        <v>9</v>
      </c>
      <c r="W5" s="1309"/>
      <c r="X5" s="1309"/>
      <c r="Y5" s="1309"/>
      <c r="Z5" s="1309"/>
      <c r="AA5" s="1309"/>
      <c r="AB5" s="1309"/>
      <c r="AC5" s="1309"/>
      <c r="AD5" s="1309"/>
      <c r="AE5" s="1309"/>
      <c r="AF5" s="1309"/>
      <c r="AG5" s="1309"/>
      <c r="AH5" s="1309"/>
      <c r="AI5" s="1309"/>
      <c r="AJ5" s="1309"/>
      <c r="AK5" s="1309"/>
      <c r="AL5" s="1309"/>
      <c r="AM5" s="1309"/>
      <c r="AN5" s="1309"/>
      <c r="AO5" s="1309"/>
      <c r="AP5" s="1309"/>
      <c r="AQ5" s="1309"/>
      <c r="AR5" s="1309"/>
      <c r="AS5" s="1309"/>
      <c r="AT5" s="1309"/>
      <c r="AU5" s="1309"/>
      <c r="AV5" s="1309"/>
      <c r="AW5" s="1309"/>
      <c r="AX5" s="1309"/>
      <c r="AY5" s="1309"/>
      <c r="AZ5" s="1309"/>
      <c r="BA5" s="1309"/>
      <c r="BB5" s="1309"/>
      <c r="BC5" s="1309"/>
      <c r="BD5" s="1309"/>
      <c r="BE5" s="1309"/>
      <c r="BF5" s="1309"/>
      <c r="BG5" s="1309"/>
      <c r="BH5" s="1309"/>
      <c r="BI5" s="1309"/>
      <c r="BJ5" s="1309"/>
      <c r="BK5" s="1309"/>
      <c r="BL5" s="1309"/>
      <c r="BM5" s="1309"/>
      <c r="BN5" s="1309"/>
      <c r="BO5" s="1309"/>
      <c r="BP5" s="1309"/>
      <c r="BQ5" s="1309"/>
      <c r="BR5" s="1309"/>
    </row>
    <row r="6" spans="1:70" ht="12.75" hidden="1" customHeight="1" outlineLevel="1" x14ac:dyDescent="0.2">
      <c r="A6" s="1385" t="s">
        <v>577</v>
      </c>
      <c r="B6" s="1387">
        <v>0</v>
      </c>
      <c r="C6" s="1387">
        <v>0</v>
      </c>
      <c r="D6" s="1387">
        <v>0</v>
      </c>
      <c r="E6" s="1387">
        <v>0</v>
      </c>
      <c r="F6" s="1387">
        <v>1</v>
      </c>
      <c r="G6" s="1387">
        <v>1</v>
      </c>
      <c r="H6" s="1387">
        <v>1</v>
      </c>
      <c r="I6" s="1387">
        <v>1</v>
      </c>
      <c r="J6" s="1387">
        <v>1</v>
      </c>
      <c r="K6" s="1387">
        <v>1</v>
      </c>
      <c r="L6" s="1387">
        <v>1</v>
      </c>
      <c r="M6" s="1387">
        <v>1</v>
      </c>
      <c r="N6" s="1387">
        <v>1</v>
      </c>
      <c r="O6" s="1387">
        <v>1</v>
      </c>
      <c r="P6" s="1387">
        <v>0</v>
      </c>
      <c r="W6" s="1309"/>
      <c r="X6" s="1309"/>
      <c r="Y6" s="1309"/>
      <c r="Z6" s="1309"/>
      <c r="AA6" s="1309"/>
      <c r="AB6" s="1309"/>
      <c r="AC6" s="1309"/>
      <c r="AD6" s="1309"/>
      <c r="AE6" s="1309"/>
      <c r="AF6" s="1309"/>
      <c r="AG6" s="1309"/>
      <c r="AH6" s="1309"/>
      <c r="AI6" s="1309"/>
      <c r="AJ6" s="1309"/>
      <c r="AK6" s="1309"/>
      <c r="AL6" s="1309"/>
      <c r="AM6" s="1309"/>
      <c r="AN6" s="1309"/>
      <c r="AO6" s="1309"/>
      <c r="AP6" s="1309"/>
      <c r="AQ6" s="1309"/>
      <c r="AR6" s="1309"/>
      <c r="AS6" s="1309"/>
      <c r="AT6" s="1309"/>
      <c r="AU6" s="1309"/>
      <c r="AV6" s="1309"/>
      <c r="AW6" s="1309"/>
      <c r="AX6" s="1309"/>
      <c r="AY6" s="1309"/>
      <c r="AZ6" s="1309"/>
      <c r="BA6" s="1309"/>
      <c r="BB6" s="1309"/>
      <c r="BC6" s="1309"/>
      <c r="BD6" s="1309"/>
      <c r="BE6" s="1309"/>
      <c r="BF6" s="1309"/>
      <c r="BG6" s="1309"/>
      <c r="BH6" s="1309"/>
      <c r="BI6" s="1309"/>
      <c r="BJ6" s="1309"/>
      <c r="BK6" s="1309"/>
      <c r="BL6" s="1309"/>
      <c r="BM6" s="1309"/>
      <c r="BN6" s="1309"/>
      <c r="BO6" s="1309"/>
      <c r="BP6" s="1309"/>
      <c r="BQ6" s="1309"/>
      <c r="BR6" s="1309"/>
    </row>
    <row r="7" spans="1:70" ht="12.75" customHeight="1" collapsed="1" x14ac:dyDescent="0.2">
      <c r="A7" s="1388" t="s">
        <v>285</v>
      </c>
      <c r="B7" s="1389">
        <f>'P&amp;L'!BO9</f>
        <v>1346.1769999999999</v>
      </c>
      <c r="C7" s="1389">
        <f>'P&amp;L'!BU9</f>
        <v>1281.2459999999999</v>
      </c>
      <c r="D7" s="1389">
        <f>'P&amp;L'!CA9</f>
        <v>1337.991</v>
      </c>
      <c r="E7" s="1389">
        <f>'P&amp;L'!CG9</f>
        <v>1419.425</v>
      </c>
      <c r="F7" s="1389">
        <f>'P&amp;L'!CM9</f>
        <v>1564.7432673677615</v>
      </c>
      <c r="G7" s="1389">
        <f>'P&amp;L'!CS9</f>
        <v>1694.0497577748897</v>
      </c>
      <c r="H7" s="1389">
        <f>'P&amp;L'!CY9</f>
        <v>1864.4472270919168</v>
      </c>
      <c r="I7" s="1390">
        <f>+H7*(1+I8)</f>
        <v>2038.0009199639569</v>
      </c>
      <c r="J7" s="1390">
        <f t="shared" ref="J7:O7" si="1">+I7*(1+J8)</f>
        <v>2212.4250024912576</v>
      </c>
      <c r="K7" s="1390">
        <f t="shared" si="1"/>
        <v>2385.1841344145214</v>
      </c>
      <c r="L7" s="1390">
        <f t="shared" si="1"/>
        <v>2553.5444325083477</v>
      </c>
      <c r="M7" s="1390">
        <f t="shared" si="1"/>
        <v>2714.6370055331936</v>
      </c>
      <c r="N7" s="1390">
        <f t="shared" si="1"/>
        <v>2865.532466194164</v>
      </c>
      <c r="O7" s="1390">
        <f t="shared" si="1"/>
        <v>3003.3240888727209</v>
      </c>
      <c r="P7" s="1390">
        <f>+O7*(1+P8)</f>
        <v>3003.3240888727209</v>
      </c>
      <c r="W7" s="1309"/>
      <c r="X7" s="1309"/>
      <c r="Y7" s="1309"/>
      <c r="Z7" s="1309"/>
      <c r="AA7" s="1309"/>
      <c r="AB7" s="1309"/>
      <c r="AC7" s="1309"/>
      <c r="AD7" s="1309"/>
      <c r="AE7" s="1309"/>
      <c r="AF7" s="1309"/>
      <c r="AG7" s="1309"/>
      <c r="AH7" s="1309"/>
      <c r="AI7" s="1309"/>
      <c r="AJ7" s="1309"/>
      <c r="AK7" s="1309"/>
      <c r="AL7" s="1309"/>
      <c r="AM7" s="1309"/>
      <c r="AN7" s="1309"/>
      <c r="AO7" s="1309"/>
      <c r="AP7" s="1309"/>
      <c r="AQ7" s="1309"/>
      <c r="AR7" s="1309"/>
      <c r="AS7" s="1309"/>
      <c r="AT7" s="1309"/>
      <c r="AU7" s="1309"/>
      <c r="AV7" s="1309"/>
      <c r="AW7" s="1309"/>
      <c r="AX7" s="1309"/>
      <c r="AY7" s="1309"/>
      <c r="AZ7" s="1309"/>
      <c r="BA7" s="1309"/>
      <c r="BB7" s="1309"/>
      <c r="BC7" s="1309"/>
      <c r="BD7" s="1309"/>
      <c r="BE7" s="1309"/>
      <c r="BF7" s="1309"/>
      <c r="BG7" s="1309"/>
      <c r="BH7" s="1309"/>
      <c r="BI7" s="1309"/>
      <c r="BJ7" s="1309"/>
      <c r="BK7" s="1309"/>
      <c r="BL7" s="1309"/>
      <c r="BM7" s="1309"/>
      <c r="BN7" s="1309"/>
      <c r="BO7" s="1309"/>
      <c r="BP7" s="1309"/>
      <c r="BQ7" s="1309"/>
      <c r="BR7" s="1309"/>
    </row>
    <row r="8" spans="1:70" ht="12.75" customHeight="1" x14ac:dyDescent="0.2">
      <c r="A8" s="1360" t="s">
        <v>567</v>
      </c>
      <c r="B8" s="1355"/>
      <c r="C8" s="1375">
        <f t="shared" ref="C8:H8" si="2">+C7/B7-1</f>
        <v>-4.8233627524463807E-2</v>
      </c>
      <c r="D8" s="1375">
        <f t="shared" si="2"/>
        <v>4.4288918755648998E-2</v>
      </c>
      <c r="E8" s="1375">
        <f t="shared" si="2"/>
        <v>6.0862890707037653E-2</v>
      </c>
      <c r="F8" s="1375">
        <f t="shared" si="2"/>
        <v>0.10237826399264605</v>
      </c>
      <c r="G8" s="1375">
        <f t="shared" si="2"/>
        <v>8.2637511918904005E-2</v>
      </c>
      <c r="H8" s="1375">
        <f t="shared" si="2"/>
        <v>0.10058587035887401</v>
      </c>
      <c r="I8" s="1478">
        <f>+MAX(H8-0.0075,$B$28)</f>
        <v>9.3085870358874001E-2</v>
      </c>
      <c r="J8" s="1478">
        <f t="shared" ref="J8:O8" si="3">+MAX(I8-0.0075,$B$28)</f>
        <v>8.5585870358873994E-2</v>
      </c>
      <c r="K8" s="1478">
        <f t="shared" si="3"/>
        <v>7.8085870358873988E-2</v>
      </c>
      <c r="L8" s="1478">
        <f t="shared" si="3"/>
        <v>7.0585870358873981E-2</v>
      </c>
      <c r="M8" s="1478">
        <f t="shared" si="3"/>
        <v>6.3085870358873974E-2</v>
      </c>
      <c r="N8" s="1478">
        <f t="shared" si="3"/>
        <v>5.5585870358873975E-2</v>
      </c>
      <c r="O8" s="1478">
        <f t="shared" si="3"/>
        <v>4.8085870358873975E-2</v>
      </c>
      <c r="P8" s="1375">
        <v>0</v>
      </c>
      <c r="W8" s="1309"/>
      <c r="X8" s="1309"/>
      <c r="Y8" s="1309"/>
      <c r="Z8" s="1309"/>
      <c r="AA8" s="1309"/>
      <c r="AB8" s="1309"/>
      <c r="AC8" s="1309"/>
      <c r="AD8" s="1309"/>
      <c r="AE8" s="1309"/>
      <c r="AF8" s="1309"/>
      <c r="AG8" s="1309"/>
      <c r="AH8" s="1309"/>
      <c r="AI8" s="1309"/>
      <c r="AJ8" s="1309"/>
      <c r="AK8" s="1309"/>
      <c r="AL8" s="1309"/>
      <c r="AM8" s="1309"/>
      <c r="AN8" s="1309"/>
      <c r="AO8" s="1309"/>
      <c r="AP8" s="1309"/>
      <c r="AQ8" s="1309"/>
      <c r="AR8" s="1309"/>
      <c r="AS8" s="1309"/>
      <c r="AT8" s="1309"/>
      <c r="AU8" s="1309"/>
      <c r="AV8" s="1309"/>
      <c r="AW8" s="1309"/>
      <c r="AX8" s="1309"/>
      <c r="AY8" s="1309"/>
      <c r="AZ8" s="1309"/>
      <c r="BA8" s="1309"/>
      <c r="BB8" s="1309"/>
      <c r="BC8" s="1309"/>
      <c r="BD8" s="1309"/>
      <c r="BE8" s="1309"/>
      <c r="BF8" s="1309"/>
      <c r="BG8" s="1309"/>
      <c r="BH8" s="1309"/>
      <c r="BI8" s="1309"/>
      <c r="BJ8" s="1309"/>
      <c r="BK8" s="1309"/>
      <c r="BL8" s="1309"/>
      <c r="BM8" s="1309"/>
      <c r="BN8" s="1309"/>
      <c r="BO8" s="1309"/>
      <c r="BP8" s="1309"/>
      <c r="BQ8" s="1309"/>
      <c r="BR8" s="1309"/>
    </row>
    <row r="9" spans="1:70" ht="12.75" customHeight="1" x14ac:dyDescent="0.2">
      <c r="A9" s="1353" t="s">
        <v>286</v>
      </c>
      <c r="B9" s="1356">
        <f>'P&amp;L'!BO17</f>
        <v>312.28899999999999</v>
      </c>
      <c r="C9" s="1356">
        <f>'P&amp;L'!BU17</f>
        <v>317.31700000000001</v>
      </c>
      <c r="D9" s="1356">
        <f>'P&amp;L'!CA17</f>
        <v>323.09199999999998</v>
      </c>
      <c r="E9" s="1357">
        <f>'P&amp;L'!CG17</f>
        <v>371.37599999999998</v>
      </c>
      <c r="F9" s="1357">
        <f>'P&amp;L'!CM17</f>
        <v>393.81829760391929</v>
      </c>
      <c r="G9" s="1357">
        <f>'P&amp;L'!CS17</f>
        <v>452.39893120365787</v>
      </c>
      <c r="H9" s="1357">
        <f>'P&amp;L'!CY17</f>
        <v>526.13253808948866</v>
      </c>
      <c r="I9" s="1358">
        <f>I7*I10</f>
        <v>579.18404516160001</v>
      </c>
      <c r="J9" s="1359">
        <f t="shared" ref="J9:P9" si="4">J7*J10</f>
        <v>633.17886576971136</v>
      </c>
      <c r="K9" s="1359">
        <f t="shared" si="4"/>
        <v>687.39155686501294</v>
      </c>
      <c r="L9" s="1359">
        <f t="shared" si="4"/>
        <v>741.01877704868787</v>
      </c>
      <c r="M9" s="1359">
        <f t="shared" si="4"/>
        <v>793.19586556213915</v>
      </c>
      <c r="N9" s="1359">
        <f t="shared" si="4"/>
        <v>843.01741304685947</v>
      </c>
      <c r="O9" s="1359">
        <f t="shared" si="4"/>
        <v>889.56128725864949</v>
      </c>
      <c r="P9" s="1359">
        <f t="shared" si="4"/>
        <v>889.56128725864949</v>
      </c>
      <c r="W9" s="1309"/>
      <c r="X9" s="1309"/>
      <c r="Y9" s="1309"/>
      <c r="Z9" s="1309"/>
      <c r="AA9" s="1309"/>
      <c r="AB9" s="1309"/>
      <c r="AC9" s="1309"/>
      <c r="AD9" s="1309"/>
      <c r="AE9" s="1309"/>
      <c r="AF9" s="1309"/>
      <c r="AG9" s="1309"/>
      <c r="AH9" s="1309"/>
      <c r="AI9" s="1309"/>
      <c r="AJ9" s="1309"/>
      <c r="AK9" s="1309"/>
      <c r="AL9" s="1309"/>
      <c r="AM9" s="1309"/>
      <c r="AN9" s="1309"/>
      <c r="AO9" s="1309"/>
      <c r="AP9" s="1309"/>
      <c r="AQ9" s="1309"/>
      <c r="AR9" s="1309"/>
      <c r="AS9" s="1309"/>
      <c r="AT9" s="1309"/>
      <c r="AU9" s="1309"/>
      <c r="AV9" s="1309"/>
      <c r="AW9" s="1309"/>
      <c r="AX9" s="1309"/>
      <c r="AY9" s="1309"/>
      <c r="AZ9" s="1309"/>
      <c r="BA9" s="1309"/>
      <c r="BB9" s="1309"/>
      <c r="BC9" s="1309"/>
      <c r="BD9" s="1309"/>
      <c r="BE9" s="1309"/>
      <c r="BF9" s="1309"/>
      <c r="BG9" s="1309"/>
      <c r="BH9" s="1309"/>
      <c r="BI9" s="1309"/>
      <c r="BJ9" s="1309"/>
      <c r="BK9" s="1309"/>
      <c r="BL9" s="1309"/>
      <c r="BM9" s="1309"/>
      <c r="BN9" s="1309"/>
      <c r="BO9" s="1309"/>
      <c r="BP9" s="1309"/>
      <c r="BQ9" s="1309"/>
      <c r="BR9" s="1309"/>
    </row>
    <row r="10" spans="1:70" ht="12.75" customHeight="1" x14ac:dyDescent="0.2">
      <c r="A10" s="1360" t="s">
        <v>547</v>
      </c>
      <c r="B10" s="1367">
        <f t="shared" ref="B10:G10" si="5">B9/B7</f>
        <v>0.23198212419317818</v>
      </c>
      <c r="C10" s="1367">
        <f t="shared" si="5"/>
        <v>0.24766282197173692</v>
      </c>
      <c r="D10" s="1367">
        <f t="shared" si="5"/>
        <v>0.24147546582899287</v>
      </c>
      <c r="E10" s="1367">
        <f t="shared" si="5"/>
        <v>0.26163833946844672</v>
      </c>
      <c r="F10" s="1367">
        <f t="shared" si="5"/>
        <v>0.25168237232067298</v>
      </c>
      <c r="G10" s="1367">
        <f t="shared" si="5"/>
        <v>0.26705173748726097</v>
      </c>
      <c r="H10" s="1367">
        <f>H9/H7</f>
        <v>0.28219223931059029</v>
      </c>
      <c r="I10" s="1367">
        <f t="shared" ref="I10:O10" si="6">H10+$B$24</f>
        <v>0.28419223931059029</v>
      </c>
      <c r="J10" s="1367">
        <f t="shared" si="6"/>
        <v>0.28619223931059029</v>
      </c>
      <c r="K10" s="1367">
        <f t="shared" si="6"/>
        <v>0.28819223931059029</v>
      </c>
      <c r="L10" s="1367">
        <f t="shared" si="6"/>
        <v>0.29019223931059029</v>
      </c>
      <c r="M10" s="1367">
        <f t="shared" si="6"/>
        <v>0.2921922393105903</v>
      </c>
      <c r="N10" s="1367">
        <f t="shared" si="6"/>
        <v>0.2941922393105903</v>
      </c>
      <c r="O10" s="1367">
        <f t="shared" si="6"/>
        <v>0.2961922393105903</v>
      </c>
      <c r="P10" s="1367">
        <f>+O10</f>
        <v>0.2961922393105903</v>
      </c>
      <c r="W10" s="1309"/>
      <c r="X10" s="1309"/>
      <c r="Y10" s="1309"/>
      <c r="Z10" s="1309"/>
      <c r="AA10" s="1309"/>
      <c r="AB10" s="1309"/>
      <c r="AC10" s="1309"/>
      <c r="AD10" s="1309"/>
      <c r="AE10" s="1309"/>
      <c r="AF10" s="1309"/>
      <c r="AG10" s="1309"/>
      <c r="AH10" s="1309"/>
      <c r="AI10" s="1309"/>
      <c r="AJ10" s="1309"/>
      <c r="AK10" s="1309"/>
      <c r="AL10" s="1309"/>
      <c r="AM10" s="1309"/>
      <c r="AN10" s="1309"/>
      <c r="AO10" s="1309"/>
      <c r="AP10" s="1309"/>
      <c r="AQ10" s="1309"/>
      <c r="AR10" s="1309"/>
      <c r="AS10" s="1309"/>
      <c r="AT10" s="1309"/>
      <c r="AU10" s="1309"/>
      <c r="AV10" s="1309"/>
      <c r="AW10" s="1309"/>
      <c r="AX10" s="1309"/>
      <c r="AY10" s="1309"/>
      <c r="AZ10" s="1309"/>
      <c r="BA10" s="1309"/>
      <c r="BB10" s="1309"/>
      <c r="BC10" s="1309"/>
      <c r="BD10" s="1309"/>
      <c r="BE10" s="1309"/>
      <c r="BF10" s="1309"/>
      <c r="BG10" s="1309"/>
      <c r="BH10" s="1309"/>
      <c r="BI10" s="1309"/>
      <c r="BJ10" s="1309"/>
      <c r="BK10" s="1309"/>
      <c r="BL10" s="1309"/>
      <c r="BM10" s="1309"/>
      <c r="BN10" s="1309"/>
      <c r="BO10" s="1309"/>
      <c r="BP10" s="1309"/>
      <c r="BQ10" s="1309"/>
      <c r="BR10" s="1309"/>
    </row>
    <row r="11" spans="1:70" ht="12.75" customHeight="1" x14ac:dyDescent="0.2">
      <c r="A11" s="1360" t="s">
        <v>578</v>
      </c>
      <c r="B11" s="1433">
        <f>'P&amp;L'!BO50</f>
        <v>0.1855507023964113</v>
      </c>
      <c r="C11" s="1433">
        <f>'P&amp;L'!BU50</f>
        <v>0.17112433365620947</v>
      </c>
      <c r="D11" s="1433">
        <f>'P&amp;L'!CA50</f>
        <v>0.15901972916254711</v>
      </c>
      <c r="E11" s="1433">
        <f>'P&amp;L'!CG50</f>
        <v>0.17655463404288574</v>
      </c>
      <c r="F11" s="1433">
        <f>'P&amp;L'!CM50</f>
        <v>0.20500000000000007</v>
      </c>
      <c r="G11" s="1433">
        <f>'P&amp;L'!CS50</f>
        <v>0.20500000000000007</v>
      </c>
      <c r="H11" s="1433">
        <f>'P&amp;L'!CY50</f>
        <v>0.20499999999999996</v>
      </c>
      <c r="I11" s="1434">
        <f t="shared" ref="I11:O11" si="7">H11</f>
        <v>0.20499999999999996</v>
      </c>
      <c r="J11" s="1375">
        <f t="shared" si="7"/>
        <v>0.20499999999999996</v>
      </c>
      <c r="K11" s="1375">
        <f t="shared" si="7"/>
        <v>0.20499999999999996</v>
      </c>
      <c r="L11" s="1375">
        <f t="shared" si="7"/>
        <v>0.20499999999999996</v>
      </c>
      <c r="M11" s="1375">
        <f t="shared" si="7"/>
        <v>0.20499999999999996</v>
      </c>
      <c r="N11" s="1375">
        <f t="shared" si="7"/>
        <v>0.20499999999999996</v>
      </c>
      <c r="O11" s="1375">
        <f t="shared" si="7"/>
        <v>0.20499999999999996</v>
      </c>
      <c r="P11" s="1375">
        <f>+O11</f>
        <v>0.20499999999999996</v>
      </c>
      <c r="W11" s="1309"/>
      <c r="X11" s="1309"/>
      <c r="Y11" s="1309"/>
      <c r="Z11" s="1309"/>
      <c r="AA11" s="1309"/>
      <c r="AB11" s="1309"/>
      <c r="AC11" s="1309"/>
      <c r="AD11" s="1309"/>
      <c r="AE11" s="1309"/>
      <c r="AF11" s="1309"/>
      <c r="AG11" s="1309"/>
      <c r="AH11" s="1309"/>
      <c r="AI11" s="1309"/>
      <c r="AJ11" s="1309"/>
      <c r="AK11" s="1309"/>
      <c r="AL11" s="1309"/>
      <c r="AM11" s="1309"/>
      <c r="AN11" s="1309"/>
      <c r="AO11" s="1309"/>
      <c r="AP11" s="1309"/>
      <c r="AQ11" s="1309"/>
      <c r="AR11" s="1309"/>
      <c r="AS11" s="1309"/>
      <c r="AT11" s="1309"/>
      <c r="AU11" s="1309"/>
      <c r="AV11" s="1309"/>
      <c r="AW11" s="1309"/>
      <c r="AX11" s="1309"/>
      <c r="AY11" s="1309"/>
      <c r="AZ11" s="1309"/>
      <c r="BA11" s="1309"/>
      <c r="BB11" s="1309"/>
      <c r="BC11" s="1309"/>
      <c r="BD11" s="1309"/>
      <c r="BE11" s="1309"/>
      <c r="BF11" s="1309"/>
      <c r="BG11" s="1309"/>
      <c r="BH11" s="1309"/>
      <c r="BI11" s="1309"/>
      <c r="BJ11" s="1309"/>
      <c r="BK11" s="1309"/>
      <c r="BL11" s="1309"/>
      <c r="BM11" s="1309"/>
      <c r="BN11" s="1309"/>
      <c r="BO11" s="1309"/>
      <c r="BP11" s="1309"/>
      <c r="BQ11" s="1309"/>
      <c r="BR11" s="1309"/>
    </row>
    <row r="12" spans="1:70" ht="12.75" customHeight="1" x14ac:dyDescent="0.2">
      <c r="A12" s="1394" t="s">
        <v>287</v>
      </c>
      <c r="B12" s="1395">
        <f t="shared" ref="B12:G12" si="8">B9*(1-B11)</f>
        <v>254.34355669932708</v>
      </c>
      <c r="C12" s="1396">
        <f t="shared" si="8"/>
        <v>263.01633981721255</v>
      </c>
      <c r="D12" s="1396">
        <f t="shared" si="8"/>
        <v>271.7139976654143</v>
      </c>
      <c r="E12" s="1396">
        <f t="shared" si="8"/>
        <v>305.80784622768925</v>
      </c>
      <c r="F12" s="1396">
        <f t="shared" si="8"/>
        <v>313.08554659511583</v>
      </c>
      <c r="G12" s="1396">
        <f t="shared" si="8"/>
        <v>359.65715030690797</v>
      </c>
      <c r="H12" s="1396">
        <f t="shared" ref="H12:P12" si="9">H9*(1-H11)</f>
        <v>418.27536778114353</v>
      </c>
      <c r="I12" s="1396">
        <f t="shared" si="9"/>
        <v>460.45131590347205</v>
      </c>
      <c r="J12" s="1395">
        <f t="shared" si="9"/>
        <v>503.37719828692059</v>
      </c>
      <c r="K12" s="1395">
        <f t="shared" si="9"/>
        <v>546.47628770768529</v>
      </c>
      <c r="L12" s="1395">
        <f t="shared" si="9"/>
        <v>589.10992775370687</v>
      </c>
      <c r="M12" s="1395">
        <f t="shared" si="9"/>
        <v>630.59071312190065</v>
      </c>
      <c r="N12" s="1395">
        <f t="shared" si="9"/>
        <v>670.19884337225335</v>
      </c>
      <c r="O12" s="1395">
        <f t="shared" si="9"/>
        <v>707.20122337062639</v>
      </c>
      <c r="P12" s="1395">
        <f t="shared" si="9"/>
        <v>707.20122337062639</v>
      </c>
      <c r="W12" s="1309"/>
      <c r="X12" s="1309"/>
      <c r="Y12" s="1309"/>
      <c r="Z12" s="1309"/>
      <c r="AA12" s="1309"/>
      <c r="AB12" s="1309"/>
      <c r="AC12" s="1309"/>
      <c r="AD12" s="1309"/>
      <c r="AE12" s="1309"/>
      <c r="AF12" s="1309"/>
      <c r="AG12" s="1309"/>
      <c r="AH12" s="1309"/>
      <c r="AI12" s="1309"/>
      <c r="AJ12" s="1309"/>
      <c r="AK12" s="1309"/>
      <c r="AL12" s="1309"/>
      <c r="AM12" s="1309"/>
      <c r="AN12" s="1309"/>
      <c r="AO12" s="1309"/>
      <c r="AP12" s="1309"/>
      <c r="AQ12" s="1309"/>
      <c r="AR12" s="1309"/>
      <c r="AS12" s="1309"/>
      <c r="AT12" s="1309"/>
      <c r="AU12" s="1309"/>
      <c r="AV12" s="1309"/>
      <c r="AW12" s="1309"/>
      <c r="AX12" s="1309"/>
      <c r="AY12" s="1309"/>
      <c r="AZ12" s="1309"/>
      <c r="BA12" s="1309"/>
      <c r="BB12" s="1309"/>
      <c r="BC12" s="1309"/>
      <c r="BD12" s="1309"/>
      <c r="BE12" s="1309"/>
      <c r="BF12" s="1309"/>
      <c r="BG12" s="1309"/>
      <c r="BH12" s="1309"/>
      <c r="BI12" s="1309"/>
      <c r="BJ12" s="1309"/>
      <c r="BK12" s="1309"/>
      <c r="BL12" s="1309"/>
      <c r="BM12" s="1309"/>
      <c r="BN12" s="1309"/>
      <c r="BO12" s="1309"/>
      <c r="BP12" s="1309"/>
      <c r="BQ12" s="1309"/>
      <c r="BR12" s="1309"/>
    </row>
    <row r="13" spans="1:70" ht="12.75" customHeight="1" x14ac:dyDescent="0.2">
      <c r="A13" s="1362" t="s">
        <v>574</v>
      </c>
      <c r="B13" s="1357">
        <f>'P&amp;L'!BO18</f>
        <v>67.892000000000024</v>
      </c>
      <c r="C13" s="1357">
        <f>'P&amp;L'!BU18</f>
        <v>59.52000000000001</v>
      </c>
      <c r="D13" s="1357">
        <f>'P&amp;L'!CA18</f>
        <v>75.106999999999999</v>
      </c>
      <c r="E13" s="1357">
        <f>'P&amp;L'!CG18</f>
        <v>82.65100000000001</v>
      </c>
      <c r="F13" s="1357">
        <f>'P&amp;L'!CM18</f>
        <v>82.111107011522023</v>
      </c>
      <c r="G13" s="1357">
        <f>'P&amp;L'!CS18</f>
        <v>89.978340431867579</v>
      </c>
      <c r="H13" s="1357">
        <f>'P&amp;L'!CY18</f>
        <v>98.539773598616463</v>
      </c>
      <c r="I13" s="1358">
        <f t="shared" ref="I13:O13" si="10">H13*(1+$B$25)</f>
        <v>103.46676227854729</v>
      </c>
      <c r="J13" s="1359">
        <f t="shared" si="10"/>
        <v>108.64010039247466</v>
      </c>
      <c r="K13" s="1359">
        <f t="shared" si="10"/>
        <v>114.07210541209841</v>
      </c>
      <c r="L13" s="1359">
        <f t="shared" si="10"/>
        <v>119.77571068270333</v>
      </c>
      <c r="M13" s="1359">
        <f t="shared" si="10"/>
        <v>125.76449621683851</v>
      </c>
      <c r="N13" s="1359">
        <f t="shared" si="10"/>
        <v>132.05272102768043</v>
      </c>
      <c r="O13" s="1359">
        <f t="shared" si="10"/>
        <v>138.65535707906446</v>
      </c>
      <c r="P13" s="1359">
        <f>-P15*0.95</f>
        <v>185.45526248789054</v>
      </c>
      <c r="W13" s="1309"/>
      <c r="X13" s="1309"/>
      <c r="Y13" s="1309"/>
      <c r="Z13" s="1309"/>
      <c r="AA13" s="1309"/>
      <c r="AB13" s="1309"/>
      <c r="AC13" s="1309"/>
      <c r="AD13" s="1309"/>
      <c r="AE13" s="1309"/>
      <c r="AF13" s="1309"/>
      <c r="AG13" s="1309"/>
      <c r="AH13" s="1309"/>
      <c r="AI13" s="1309"/>
      <c r="AJ13" s="1309"/>
      <c r="AK13" s="1309"/>
      <c r="AL13" s="1309"/>
      <c r="AM13" s="1309"/>
      <c r="AN13" s="1309"/>
      <c r="AO13" s="1309"/>
      <c r="AP13" s="1309"/>
      <c r="AQ13" s="1309"/>
      <c r="AR13" s="1309"/>
      <c r="AS13" s="1309"/>
      <c r="AT13" s="1309"/>
      <c r="AU13" s="1309"/>
      <c r="AV13" s="1309"/>
      <c r="AW13" s="1309"/>
      <c r="AX13" s="1309"/>
      <c r="AY13" s="1309"/>
      <c r="AZ13" s="1309"/>
      <c r="BA13" s="1309"/>
      <c r="BB13" s="1309"/>
      <c r="BC13" s="1309"/>
      <c r="BD13" s="1309"/>
      <c r="BE13" s="1309"/>
      <c r="BF13" s="1309"/>
      <c r="BG13" s="1309"/>
      <c r="BH13" s="1309"/>
      <c r="BI13" s="1309"/>
      <c r="BJ13" s="1309"/>
      <c r="BK13" s="1309"/>
      <c r="BL13" s="1309"/>
      <c r="BM13" s="1309"/>
      <c r="BN13" s="1309"/>
      <c r="BO13" s="1309"/>
      <c r="BP13" s="1309"/>
      <c r="BQ13" s="1309"/>
      <c r="BR13" s="1309"/>
    </row>
    <row r="14" spans="1:70" ht="12.75" customHeight="1" x14ac:dyDescent="0.2">
      <c r="A14" s="1360" t="s">
        <v>547</v>
      </c>
      <c r="B14" s="1375">
        <f t="shared" ref="B14:M14" si="11">+B13/B$7</f>
        <v>5.0433189691994465E-2</v>
      </c>
      <c r="C14" s="1375">
        <f t="shared" si="11"/>
        <v>4.645477917589598E-2</v>
      </c>
      <c r="D14" s="1375">
        <f t="shared" si="11"/>
        <v>5.6134159347858092E-2</v>
      </c>
      <c r="E14" s="1375">
        <f t="shared" si="11"/>
        <v>5.8228508022614797E-2</v>
      </c>
      <c r="F14" s="1375">
        <f t="shared" si="11"/>
        <v>5.2475769491343305E-2</v>
      </c>
      <c r="G14" s="1375">
        <f>+G13/G$7</f>
        <v>5.3114343317785924E-2</v>
      </c>
      <c r="H14" s="1375">
        <f>+H13/H$7</f>
        <v>5.2852004694342834E-2</v>
      </c>
      <c r="I14" s="1375">
        <f t="shared" si="11"/>
        <v>5.0768751507912546E-2</v>
      </c>
      <c r="J14" s="1375">
        <f t="shared" si="11"/>
        <v>4.9104534739095165E-2</v>
      </c>
      <c r="K14" s="1375">
        <f t="shared" si="11"/>
        <v>4.7825282654791385E-2</v>
      </c>
      <c r="L14" s="1375">
        <f t="shared" si="11"/>
        <v>4.690566929553977E-2</v>
      </c>
      <c r="M14" s="1375">
        <f t="shared" si="11"/>
        <v>4.632829212911159E-2</v>
      </c>
      <c r="N14" s="1375">
        <f>+N13/N$7</f>
        <v>4.6083135537830874E-2</v>
      </c>
      <c r="O14" s="1375">
        <f>+O13/O$7</f>
        <v>4.6167297626247154E-2</v>
      </c>
      <c r="P14" s="1375">
        <f>+P13/P$7</f>
        <v>6.1750000000000006E-2</v>
      </c>
      <c r="W14" s="1309"/>
      <c r="X14" s="1309"/>
      <c r="Y14" s="1309"/>
      <c r="Z14" s="1309"/>
      <c r="AA14" s="1309"/>
      <c r="AB14" s="1309"/>
      <c r="AC14" s="1309"/>
      <c r="AD14" s="1309"/>
      <c r="AE14" s="1309"/>
      <c r="AF14" s="1309"/>
      <c r="AG14" s="1309"/>
      <c r="AH14" s="1309"/>
      <c r="AI14" s="1309"/>
      <c r="AJ14" s="1309"/>
      <c r="AK14" s="1309"/>
      <c r="AL14" s="1309"/>
      <c r="AM14" s="1309"/>
      <c r="AN14" s="1309"/>
      <c r="AO14" s="1309"/>
      <c r="AP14" s="1309"/>
      <c r="AQ14" s="1309"/>
      <c r="AR14" s="1309"/>
      <c r="AS14" s="1309"/>
      <c r="AT14" s="1309"/>
      <c r="AU14" s="1309"/>
      <c r="AV14" s="1309"/>
      <c r="AW14" s="1309"/>
      <c r="AX14" s="1309"/>
      <c r="AY14" s="1309"/>
      <c r="AZ14" s="1309"/>
      <c r="BA14" s="1309"/>
      <c r="BB14" s="1309"/>
      <c r="BC14" s="1309"/>
      <c r="BD14" s="1309"/>
      <c r="BE14" s="1309"/>
      <c r="BF14" s="1309"/>
      <c r="BG14" s="1309"/>
      <c r="BH14" s="1309"/>
      <c r="BI14" s="1309"/>
      <c r="BJ14" s="1309"/>
      <c r="BK14" s="1309"/>
      <c r="BL14" s="1309"/>
      <c r="BM14" s="1309"/>
      <c r="BN14" s="1309"/>
      <c r="BO14" s="1309"/>
      <c r="BP14" s="1309"/>
      <c r="BQ14" s="1309"/>
      <c r="BR14" s="1309"/>
    </row>
    <row r="15" spans="1:70" ht="12.75" customHeight="1" x14ac:dyDescent="0.2">
      <c r="A15" s="1363" t="s">
        <v>288</v>
      </c>
      <c r="B15" s="1356">
        <f>CFS!BO32</f>
        <v>-86.590999999999994</v>
      </c>
      <c r="C15" s="1356">
        <f>CFS!BU32</f>
        <v>-97.778000000000006</v>
      </c>
      <c r="D15" s="1356">
        <f>CFS!CA32</f>
        <v>-74.536000000000001</v>
      </c>
      <c r="E15" s="1357">
        <f>CFS!CG32</f>
        <v>-90.081000000000003</v>
      </c>
      <c r="F15" s="1357">
        <f>CFS!CM32</f>
        <v>-101.70831237890451</v>
      </c>
      <c r="G15" s="1357">
        <f>CFS!CS32</f>
        <v>-110.11323425536783</v>
      </c>
      <c r="H15" s="1357">
        <f>CFS!CY32</f>
        <v>-121.1890697609746</v>
      </c>
      <c r="I15" s="1358">
        <f t="shared" ref="I15:O15" si="12">+I16*I$7</f>
        <v>-132.4700597976572</v>
      </c>
      <c r="J15" s="1358">
        <f t="shared" si="12"/>
        <v>-143.80762516193175</v>
      </c>
      <c r="K15" s="1358">
        <f t="shared" si="12"/>
        <v>-155.03696873694389</v>
      </c>
      <c r="L15" s="1358">
        <f t="shared" si="12"/>
        <v>-165.98038811304261</v>
      </c>
      <c r="M15" s="1358">
        <f t="shared" si="12"/>
        <v>-176.4514053596576</v>
      </c>
      <c r="N15" s="1358">
        <f t="shared" si="12"/>
        <v>-186.25961030262067</v>
      </c>
      <c r="O15" s="1358">
        <f t="shared" si="12"/>
        <v>-195.21606577672688</v>
      </c>
      <c r="P15" s="1358">
        <f>+P16*P$7</f>
        <v>-195.21606577672688</v>
      </c>
      <c r="W15" s="1309"/>
      <c r="X15" s="1309"/>
      <c r="Y15" s="1309"/>
      <c r="Z15" s="1309"/>
      <c r="AA15" s="1309"/>
      <c r="AB15" s="1309"/>
      <c r="AC15" s="1309"/>
      <c r="AD15" s="1309"/>
      <c r="AE15" s="1309"/>
      <c r="AF15" s="1309"/>
      <c r="AG15" s="1309"/>
      <c r="AH15" s="1309"/>
      <c r="AI15" s="1309"/>
      <c r="AJ15" s="1309"/>
      <c r="AK15" s="1309"/>
      <c r="AL15" s="1309"/>
      <c r="AM15" s="1309"/>
      <c r="AN15" s="1309"/>
      <c r="AO15" s="1309"/>
      <c r="AP15" s="1309"/>
      <c r="AQ15" s="1309"/>
      <c r="AR15" s="1309"/>
      <c r="AS15" s="1309"/>
      <c r="AT15" s="1309"/>
      <c r="AU15" s="1309"/>
      <c r="AV15" s="1309"/>
      <c r="AW15" s="1309"/>
      <c r="AX15" s="1309"/>
      <c r="AY15" s="1309"/>
      <c r="AZ15" s="1309"/>
      <c r="BA15" s="1309"/>
      <c r="BB15" s="1309"/>
      <c r="BC15" s="1309"/>
      <c r="BD15" s="1309"/>
      <c r="BE15" s="1309"/>
      <c r="BF15" s="1309"/>
      <c r="BG15" s="1309"/>
      <c r="BH15" s="1309"/>
      <c r="BI15" s="1309"/>
      <c r="BJ15" s="1309"/>
      <c r="BK15" s="1309"/>
      <c r="BL15" s="1309"/>
      <c r="BM15" s="1309"/>
      <c r="BN15" s="1309"/>
      <c r="BO15" s="1309"/>
      <c r="BP15" s="1309"/>
      <c r="BQ15" s="1309"/>
      <c r="BR15" s="1309"/>
    </row>
    <row r="16" spans="1:70" ht="12.75" customHeight="1" x14ac:dyDescent="0.2">
      <c r="A16" s="1360" t="s">
        <v>547</v>
      </c>
      <c r="B16" s="1375">
        <f t="shared" ref="B16:G16" si="13">+B15/B$7</f>
        <v>-6.4323636490595221E-2</v>
      </c>
      <c r="C16" s="1375">
        <f t="shared" si="13"/>
        <v>-7.6314774836370239E-2</v>
      </c>
      <c r="D16" s="1375">
        <f t="shared" si="13"/>
        <v>-5.5707400124515041E-2</v>
      </c>
      <c r="E16" s="1375">
        <f t="shared" si="13"/>
        <v>-6.3463021998344402E-2</v>
      </c>
      <c r="F16" s="1375">
        <f t="shared" si="13"/>
        <v>-6.5000000000000002E-2</v>
      </c>
      <c r="G16" s="1375">
        <f t="shared" si="13"/>
        <v>-6.5000000000000002E-2</v>
      </c>
      <c r="H16" s="1375">
        <f>+H15/H$7</f>
        <v>-6.5000000000000002E-2</v>
      </c>
      <c r="I16" s="1375">
        <f t="shared" ref="I16:P16" si="14">-$B$26</f>
        <v>-6.5000000000000002E-2</v>
      </c>
      <c r="J16" s="1375">
        <f t="shared" si="14"/>
        <v>-6.5000000000000002E-2</v>
      </c>
      <c r="K16" s="1375">
        <f t="shared" si="14"/>
        <v>-6.5000000000000002E-2</v>
      </c>
      <c r="L16" s="1375">
        <f t="shared" si="14"/>
        <v>-6.5000000000000002E-2</v>
      </c>
      <c r="M16" s="1375">
        <f t="shared" si="14"/>
        <v>-6.5000000000000002E-2</v>
      </c>
      <c r="N16" s="1375">
        <f t="shared" si="14"/>
        <v>-6.5000000000000002E-2</v>
      </c>
      <c r="O16" s="1375">
        <f t="shared" si="14"/>
        <v>-6.5000000000000002E-2</v>
      </c>
      <c r="P16" s="1375">
        <f t="shared" si="14"/>
        <v>-6.5000000000000002E-2</v>
      </c>
      <c r="W16" s="1309"/>
      <c r="X16" s="1309"/>
      <c r="Y16" s="1309"/>
      <c r="Z16" s="1309"/>
      <c r="AA16" s="1309"/>
      <c r="AB16" s="1309"/>
      <c r="AC16" s="1309"/>
      <c r="AD16" s="1309"/>
      <c r="AE16" s="1309"/>
      <c r="AF16" s="1309"/>
      <c r="AG16" s="1309"/>
      <c r="AH16" s="1309"/>
      <c r="AI16" s="1309"/>
      <c r="AJ16" s="1309"/>
      <c r="AK16" s="1309"/>
      <c r="AL16" s="1309"/>
      <c r="AM16" s="1309"/>
      <c r="AN16" s="1309"/>
      <c r="AO16" s="1309"/>
      <c r="AP16" s="1309"/>
      <c r="AQ16" s="1309"/>
      <c r="AR16" s="1309"/>
      <c r="AS16" s="1309"/>
      <c r="AT16" s="1309"/>
      <c r="AU16" s="1309"/>
      <c r="AV16" s="1309"/>
      <c r="AW16" s="1309"/>
      <c r="AX16" s="1309"/>
      <c r="AY16" s="1309"/>
      <c r="AZ16" s="1309"/>
      <c r="BA16" s="1309"/>
      <c r="BB16" s="1309"/>
      <c r="BC16" s="1309"/>
      <c r="BD16" s="1309"/>
      <c r="BE16" s="1309"/>
      <c r="BF16" s="1309"/>
      <c r="BG16" s="1309"/>
      <c r="BH16" s="1309"/>
      <c r="BI16" s="1309"/>
      <c r="BJ16" s="1309"/>
      <c r="BK16" s="1309"/>
      <c r="BL16" s="1309"/>
      <c r="BM16" s="1309"/>
      <c r="BN16" s="1309"/>
      <c r="BO16" s="1309"/>
      <c r="BP16" s="1309"/>
      <c r="BQ16" s="1309"/>
      <c r="BR16" s="1309"/>
    </row>
    <row r="17" spans="1:256" ht="12.75" customHeight="1" x14ac:dyDescent="0.2">
      <c r="A17" s="1363" t="s">
        <v>289</v>
      </c>
      <c r="B17" s="1356">
        <f>CFS!BO20</f>
        <v>-78.808999999999997</v>
      </c>
      <c r="C17" s="1356">
        <f>CFS!BU20</f>
        <v>-24.289000000000016</v>
      </c>
      <c r="D17" s="1356">
        <f>CFS!CA20</f>
        <v>10.287000000000003</v>
      </c>
      <c r="E17" s="1357">
        <f>CFS!CG20</f>
        <v>-87.856000000000009</v>
      </c>
      <c r="F17" s="1357">
        <f>CFS!CM20</f>
        <v>11.146768209595706</v>
      </c>
      <c r="G17" s="1357">
        <f>CFS!CS20</f>
        <v>-21.882262576996695</v>
      </c>
      <c r="H17" s="1357">
        <f>CFS!CY20</f>
        <v>-29.227373798159</v>
      </c>
      <c r="I17" s="1358">
        <f t="shared" ref="I17:O17" si="15">+I18*I$7</f>
        <v>-7.1330032198738493</v>
      </c>
      <c r="J17" s="1358">
        <f t="shared" si="15"/>
        <v>-7.7434875087194017</v>
      </c>
      <c r="K17" s="1358">
        <f t="shared" si="15"/>
        <v>-8.3481444704508245</v>
      </c>
      <c r="L17" s="1358">
        <f t="shared" si="15"/>
        <v>-8.9374055137792165</v>
      </c>
      <c r="M17" s="1358">
        <f t="shared" si="15"/>
        <v>-9.5012295193661771</v>
      </c>
      <c r="N17" s="1358">
        <f t="shared" si="15"/>
        <v>-10.029363631679574</v>
      </c>
      <c r="O17" s="1358">
        <f t="shared" si="15"/>
        <v>-10.511634311054523</v>
      </c>
      <c r="P17" s="1358">
        <f>+P18*P$7</f>
        <v>-10.511634311054523</v>
      </c>
      <c r="W17" s="1309"/>
      <c r="X17" s="1309"/>
      <c r="Y17" s="1309"/>
      <c r="Z17" s="1309"/>
      <c r="AA17" s="1309"/>
      <c r="AB17" s="1309"/>
      <c r="AC17" s="1309"/>
      <c r="AD17" s="1309"/>
      <c r="AE17" s="1309"/>
      <c r="AF17" s="1309"/>
      <c r="AG17" s="1309"/>
      <c r="AH17" s="1309"/>
      <c r="AI17" s="1309"/>
      <c r="AJ17" s="1309"/>
      <c r="AK17" s="1309"/>
      <c r="AL17" s="1309"/>
      <c r="AM17" s="1309"/>
      <c r="AN17" s="1309"/>
      <c r="AO17" s="1309"/>
      <c r="AP17" s="1309"/>
      <c r="AQ17" s="1309"/>
      <c r="AR17" s="1309"/>
      <c r="AS17" s="1309"/>
      <c r="AT17" s="1309"/>
      <c r="AU17" s="1309"/>
      <c r="AV17" s="1309"/>
      <c r="AW17" s="1309"/>
      <c r="AX17" s="1309"/>
      <c r="AY17" s="1309"/>
      <c r="AZ17" s="1309"/>
      <c r="BA17" s="1309"/>
      <c r="BB17" s="1309"/>
      <c r="BC17" s="1309"/>
      <c r="BD17" s="1309"/>
      <c r="BE17" s="1309"/>
      <c r="BF17" s="1309"/>
      <c r="BG17" s="1309"/>
      <c r="BH17" s="1309"/>
      <c r="BI17" s="1309"/>
      <c r="BJ17" s="1309"/>
      <c r="BK17" s="1309"/>
      <c r="BL17" s="1309"/>
      <c r="BM17" s="1309"/>
      <c r="BN17" s="1309"/>
      <c r="BO17" s="1309"/>
      <c r="BP17" s="1309"/>
      <c r="BQ17" s="1309"/>
      <c r="BR17" s="1309"/>
    </row>
    <row r="18" spans="1:256" ht="12.75" customHeight="1" x14ac:dyDescent="0.2">
      <c r="A18" s="1360" t="s">
        <v>547</v>
      </c>
      <c r="B18" s="1375">
        <f t="shared" ref="B18:G18" si="16">+B17/B$7</f>
        <v>-5.8542821634896457E-2</v>
      </c>
      <c r="C18" s="1375">
        <f t="shared" si="16"/>
        <v>-1.8957327476534575E-2</v>
      </c>
      <c r="D18" s="1375">
        <f t="shared" si="16"/>
        <v>7.6883925228196622E-3</v>
      </c>
      <c r="E18" s="1375">
        <f t="shared" si="16"/>
        <v>-6.1895485848142744E-2</v>
      </c>
      <c r="F18" s="1375">
        <f t="shared" si="16"/>
        <v>7.1237042152908535E-3</v>
      </c>
      <c r="G18" s="1375">
        <f t="shared" si="16"/>
        <v>-1.2917130961807601E-2</v>
      </c>
      <c r="H18" s="1375">
        <f>+H17/H$7</f>
        <v>-1.5676160404790099E-2</v>
      </c>
      <c r="I18" s="1375">
        <f t="shared" ref="I18:O18" si="17">+$B$27</f>
        <v>-3.5000000000000001E-3</v>
      </c>
      <c r="J18" s="1375">
        <f t="shared" si="17"/>
        <v>-3.5000000000000001E-3</v>
      </c>
      <c r="K18" s="1375">
        <f t="shared" si="17"/>
        <v>-3.5000000000000001E-3</v>
      </c>
      <c r="L18" s="1375">
        <f t="shared" si="17"/>
        <v>-3.5000000000000001E-3</v>
      </c>
      <c r="M18" s="1375">
        <f t="shared" si="17"/>
        <v>-3.5000000000000001E-3</v>
      </c>
      <c r="N18" s="1375">
        <f t="shared" si="17"/>
        <v>-3.5000000000000001E-3</v>
      </c>
      <c r="O18" s="1375">
        <f t="shared" si="17"/>
        <v>-3.5000000000000001E-3</v>
      </c>
      <c r="P18" s="1375">
        <f>+AVERAGE(N18:O18)</f>
        <v>-3.5000000000000001E-3</v>
      </c>
      <c r="W18" s="1309"/>
      <c r="X18" s="1309"/>
      <c r="Y18" s="1309"/>
      <c r="Z18" s="1309"/>
      <c r="AA18" s="1309"/>
      <c r="AB18" s="1309"/>
      <c r="AC18" s="1309"/>
      <c r="AD18" s="1309"/>
      <c r="AE18" s="1309"/>
      <c r="AF18" s="1309"/>
      <c r="AG18" s="1309"/>
      <c r="AH18" s="1309"/>
      <c r="AI18" s="1309"/>
      <c r="AJ18" s="1309"/>
      <c r="AK18" s="1309"/>
      <c r="AL18" s="1309"/>
      <c r="AM18" s="1309"/>
      <c r="AN18" s="1309"/>
      <c r="AO18" s="1309"/>
      <c r="AP18" s="1309"/>
      <c r="AQ18" s="1309"/>
      <c r="AR18" s="1309"/>
      <c r="AS18" s="1309"/>
      <c r="AT18" s="1309"/>
      <c r="AU18" s="1309"/>
      <c r="AV18" s="1309"/>
      <c r="AW18" s="1309"/>
      <c r="AX18" s="1309"/>
      <c r="AY18" s="1309"/>
      <c r="AZ18" s="1309"/>
      <c r="BA18" s="1309"/>
      <c r="BB18" s="1309"/>
      <c r="BC18" s="1309"/>
      <c r="BD18" s="1309"/>
      <c r="BE18" s="1309"/>
      <c r="BF18" s="1309"/>
      <c r="BG18" s="1309"/>
      <c r="BH18" s="1309"/>
      <c r="BI18" s="1309"/>
      <c r="BJ18" s="1309"/>
      <c r="BK18" s="1309"/>
      <c r="BL18" s="1309"/>
      <c r="BM18" s="1309"/>
      <c r="BN18" s="1309"/>
      <c r="BO18" s="1309"/>
      <c r="BP18" s="1309"/>
      <c r="BQ18" s="1309"/>
      <c r="BR18" s="1309"/>
    </row>
    <row r="19" spans="1:256" ht="12.75" customHeight="1" x14ac:dyDescent="0.2">
      <c r="A19" s="1394" t="s">
        <v>290</v>
      </c>
      <c r="B19" s="1395">
        <f>B12+B13+B15+B17</f>
        <v>156.8355566993271</v>
      </c>
      <c r="C19" s="1396">
        <f t="shared" ref="C19:L19" si="18">C12+C13+C15+C17</f>
        <v>200.46933981721256</v>
      </c>
      <c r="D19" s="1396">
        <f t="shared" si="18"/>
        <v>282.5719976654143</v>
      </c>
      <c r="E19" s="1396">
        <f t="shared" si="18"/>
        <v>210.52184622768925</v>
      </c>
      <c r="F19" s="1396">
        <f>F12+F13+F15+F17</f>
        <v>304.63510943732899</v>
      </c>
      <c r="G19" s="1396">
        <f>G12+G13+G15+G17</f>
        <v>317.63999390641101</v>
      </c>
      <c r="H19" s="1396">
        <f>H12+H13+H15+H17</f>
        <v>366.39869782062641</v>
      </c>
      <c r="I19" s="1396">
        <f t="shared" si="18"/>
        <v>424.31501516448833</v>
      </c>
      <c r="J19" s="1395">
        <f t="shared" si="18"/>
        <v>460.4661860087441</v>
      </c>
      <c r="K19" s="1395">
        <f t="shared" si="18"/>
        <v>497.16327991238893</v>
      </c>
      <c r="L19" s="1395">
        <f t="shared" si="18"/>
        <v>533.96784480958831</v>
      </c>
      <c r="M19" s="1395">
        <f>M12+M13+M15+M17</f>
        <v>570.40257445971542</v>
      </c>
      <c r="N19" s="1395">
        <f>N12+N13+N15+N17</f>
        <v>605.96259046563364</v>
      </c>
      <c r="O19" s="1395">
        <f>O12+O13+O15+O17</f>
        <v>640.12888036190952</v>
      </c>
      <c r="P19" s="1395">
        <f>P12+P13+P15+P17</f>
        <v>686.92878577073554</v>
      </c>
      <c r="W19" s="1309"/>
      <c r="X19" s="1309"/>
      <c r="Y19" s="1313"/>
      <c r="Z19" s="1313"/>
      <c r="AA19" s="1313"/>
      <c r="AB19" s="1313"/>
      <c r="AC19" s="1313"/>
      <c r="AD19" s="1313"/>
      <c r="AE19" s="1313"/>
      <c r="AF19" s="1313"/>
      <c r="AG19" s="1313"/>
      <c r="AH19" s="1313"/>
      <c r="AI19" s="1313"/>
      <c r="AJ19" s="1313"/>
      <c r="AK19" s="1313"/>
      <c r="AL19" s="1313"/>
      <c r="AM19" s="1313"/>
      <c r="AN19" s="1313"/>
      <c r="AO19" s="1313"/>
      <c r="AP19" s="1313"/>
      <c r="AQ19" s="1313"/>
      <c r="AR19" s="1313"/>
      <c r="AS19" s="1313"/>
      <c r="AT19" s="1313"/>
      <c r="AU19" s="1313"/>
      <c r="AV19" s="1313"/>
      <c r="AW19" s="1313"/>
      <c r="AX19" s="1313"/>
      <c r="AY19" s="1313"/>
      <c r="AZ19" s="1313"/>
      <c r="BA19" s="1313"/>
      <c r="BB19" s="1313"/>
      <c r="BC19" s="1313"/>
      <c r="BD19" s="1313"/>
      <c r="BE19" s="1313"/>
      <c r="BF19" s="1313"/>
      <c r="BG19" s="1313"/>
      <c r="BH19" s="1313"/>
      <c r="BI19" s="1309"/>
      <c r="BJ19" s="1309"/>
      <c r="BK19" s="1309"/>
      <c r="BL19" s="1309"/>
      <c r="BM19" s="1309"/>
      <c r="BN19" s="1309"/>
      <c r="BO19" s="1309"/>
      <c r="BP19" s="1309"/>
      <c r="BQ19" s="1309"/>
      <c r="BR19" s="1309"/>
    </row>
    <row r="20" spans="1:256" ht="3.95" customHeight="1" x14ac:dyDescent="0.2">
      <c r="A20" s="1391"/>
      <c r="B20" s="1392"/>
      <c r="C20" s="1393"/>
      <c r="D20" s="1393"/>
      <c r="E20" s="1393"/>
      <c r="F20" s="1393"/>
      <c r="G20" s="1393"/>
      <c r="H20" s="1393"/>
      <c r="I20" s="1393"/>
      <c r="J20" s="1392"/>
      <c r="K20" s="1392"/>
      <c r="L20" s="1392"/>
      <c r="M20" s="1392"/>
      <c r="N20" s="1392"/>
      <c r="O20" s="1392"/>
      <c r="P20" s="1392"/>
      <c r="W20" s="1309"/>
      <c r="X20" s="1309"/>
      <c r="Y20" s="1313"/>
      <c r="Z20" s="1313"/>
      <c r="AA20" s="1313"/>
      <c r="AB20" s="1313"/>
      <c r="AC20" s="1313"/>
      <c r="AD20" s="1313"/>
      <c r="AE20" s="1313"/>
      <c r="AF20" s="1313"/>
      <c r="AG20" s="1313"/>
      <c r="AH20" s="1313"/>
      <c r="AI20" s="1313"/>
      <c r="AJ20" s="1313"/>
      <c r="AK20" s="1313"/>
      <c r="AL20" s="1313"/>
      <c r="AM20" s="1313"/>
      <c r="AN20" s="1313"/>
      <c r="AO20" s="1313"/>
      <c r="AP20" s="1313"/>
      <c r="AQ20" s="1313"/>
      <c r="AR20" s="1313"/>
      <c r="AS20" s="1313"/>
      <c r="AT20" s="1313"/>
      <c r="AU20" s="1313"/>
      <c r="AV20" s="1313"/>
      <c r="AW20" s="1313"/>
      <c r="AX20" s="1313"/>
      <c r="AY20" s="1313"/>
      <c r="AZ20" s="1313"/>
      <c r="BA20" s="1313"/>
      <c r="BB20" s="1313"/>
      <c r="BC20" s="1313"/>
      <c r="BD20" s="1313"/>
      <c r="BE20" s="1313"/>
      <c r="BF20" s="1313"/>
      <c r="BG20" s="1313"/>
      <c r="BH20" s="1313"/>
      <c r="BI20" s="1309"/>
      <c r="BJ20" s="1309"/>
      <c r="BK20" s="1309"/>
      <c r="BL20" s="1309"/>
      <c r="BM20" s="1309"/>
      <c r="BN20" s="1309"/>
      <c r="BO20" s="1309"/>
      <c r="BP20" s="1309"/>
      <c r="BQ20" s="1309"/>
      <c r="BR20" s="1309"/>
    </row>
    <row r="21" spans="1:256" ht="12.75" customHeight="1" thickBot="1" x14ac:dyDescent="0.25">
      <c r="A21" s="1397" t="s">
        <v>291</v>
      </c>
      <c r="B21" s="1398">
        <f t="shared" ref="B21:G21" si="19">(B19*B6)/(1+$B$52)^(B5)</f>
        <v>0</v>
      </c>
      <c r="C21" s="1398">
        <f t="shared" si="19"/>
        <v>0</v>
      </c>
      <c r="D21" s="1398">
        <f t="shared" si="19"/>
        <v>0</v>
      </c>
      <c r="E21" s="1398">
        <f t="shared" si="19"/>
        <v>0</v>
      </c>
      <c r="F21" s="1398">
        <f>(F19*F6)/(1+$B$52)^(F5)</f>
        <v>304.63510943732899</v>
      </c>
      <c r="G21" s="1398">
        <f t="shared" si="19"/>
        <v>294.01854407539383</v>
      </c>
      <c r="H21" s="1398">
        <f t="shared" ref="H21:P21" si="20">(H19*H6)/(1+$B$52)^(H5)</f>
        <v>313.9301365209547</v>
      </c>
      <c r="I21" s="1398">
        <f t="shared" si="20"/>
        <v>336.51701769325507</v>
      </c>
      <c r="J21" s="1398">
        <f t="shared" si="20"/>
        <v>338.03052380063212</v>
      </c>
      <c r="K21" s="1398">
        <f t="shared" si="20"/>
        <v>337.82887189972706</v>
      </c>
      <c r="L21" s="1398">
        <f t="shared" si="20"/>
        <v>335.85542445084383</v>
      </c>
      <c r="M21" s="1398">
        <f t="shared" si="20"/>
        <v>332.09189994258873</v>
      </c>
      <c r="N21" s="1398">
        <f t="shared" si="20"/>
        <v>326.55938017015865</v>
      </c>
      <c r="O21" s="1398">
        <f t="shared" si="20"/>
        <v>319.3179369452381</v>
      </c>
      <c r="P21" s="1398">
        <f t="shared" si="20"/>
        <v>0</v>
      </c>
      <c r="W21" s="1319"/>
      <c r="X21" s="1309"/>
      <c r="Y21" s="1313"/>
      <c r="Z21" s="1313"/>
      <c r="AA21" s="1313"/>
      <c r="AB21" s="1313"/>
      <c r="AC21" s="1313"/>
      <c r="AD21" s="1313"/>
      <c r="AE21" s="1313"/>
      <c r="AF21" s="1313"/>
      <c r="AG21" s="1313"/>
      <c r="AH21" s="1313"/>
      <c r="AI21" s="1313"/>
      <c r="AJ21" s="1313"/>
      <c r="AK21" s="1313"/>
      <c r="AL21" s="1313"/>
      <c r="AM21" s="1313"/>
      <c r="AN21" s="1313"/>
      <c r="AO21" s="1313"/>
      <c r="AP21" s="1313"/>
      <c r="AQ21" s="1313"/>
      <c r="AR21" s="1313"/>
      <c r="AS21" s="1313"/>
      <c r="AT21" s="1313"/>
      <c r="AU21" s="1313"/>
      <c r="AV21" s="1313"/>
      <c r="AW21" s="1313"/>
      <c r="AX21" s="1313"/>
      <c r="AY21" s="1313"/>
      <c r="AZ21" s="1313"/>
      <c r="BA21" s="1313"/>
      <c r="BB21" s="1313"/>
      <c r="BC21" s="1313"/>
      <c r="BD21" s="1313"/>
      <c r="BE21" s="1313"/>
      <c r="BF21" s="1313"/>
      <c r="BG21" s="1313"/>
      <c r="BH21" s="1313"/>
      <c r="BI21" s="1309"/>
      <c r="BJ21" s="1309"/>
      <c r="BK21" s="1309"/>
      <c r="BL21" s="1309"/>
      <c r="BM21" s="1309"/>
      <c r="BN21" s="1309"/>
      <c r="BO21" s="1309"/>
      <c r="BP21" s="1309"/>
      <c r="BQ21" s="1309"/>
      <c r="BR21" s="1309"/>
      <c r="IV21">
        <f>IU21+1</f>
        <v>1</v>
      </c>
    </row>
    <row r="22" spans="1:256" ht="12.75" customHeight="1" x14ac:dyDescent="0.2">
      <c r="A22" s="1354"/>
      <c r="B22" s="1364"/>
      <c r="C22" s="1352"/>
      <c r="D22" s="1352"/>
      <c r="E22" s="1352"/>
      <c r="F22" s="1352"/>
      <c r="G22" s="1365"/>
      <c r="H22" s="1365"/>
      <c r="I22" s="1365"/>
      <c r="J22" s="1365"/>
      <c r="K22" s="1365"/>
      <c r="L22" s="1365"/>
      <c r="M22" s="1365"/>
      <c r="N22" s="1365"/>
      <c r="O22" s="1365"/>
      <c r="P22" s="1347"/>
      <c r="Q22" s="1309"/>
      <c r="R22" s="1309"/>
      <c r="S22" s="1361"/>
      <c r="W22" s="1319"/>
      <c r="X22" s="1309"/>
      <c r="Y22" s="1366"/>
      <c r="Z22" s="1313"/>
      <c r="AA22" s="1313"/>
      <c r="AB22" s="1313"/>
      <c r="AC22" s="1313"/>
      <c r="AD22" s="1366"/>
      <c r="AE22" s="1313"/>
      <c r="AF22" s="1313"/>
      <c r="AG22" s="1313"/>
      <c r="AH22" s="1313"/>
      <c r="AI22" s="1313"/>
      <c r="AJ22" s="1313"/>
      <c r="AK22" s="1313"/>
      <c r="AL22" s="1313"/>
      <c r="AM22" s="1313"/>
      <c r="AN22" s="1313"/>
      <c r="AO22" s="1313"/>
      <c r="AP22" s="1313"/>
      <c r="AQ22" s="1313"/>
      <c r="AR22" s="1313"/>
      <c r="AS22" s="1313"/>
      <c r="AT22" s="1313"/>
      <c r="AU22" s="1313"/>
      <c r="AV22" s="1313"/>
      <c r="AW22" s="1313"/>
      <c r="AX22" s="1366"/>
      <c r="AY22" s="1313"/>
      <c r="AZ22" s="1313"/>
      <c r="BA22" s="1313"/>
      <c r="BB22" s="1313"/>
      <c r="BC22" s="1313"/>
      <c r="BD22" s="1313"/>
      <c r="BE22" s="1313"/>
      <c r="BF22" s="1313"/>
      <c r="BG22" s="1313"/>
      <c r="BH22" s="1313"/>
      <c r="BI22" s="1309"/>
      <c r="BJ22" s="1309"/>
      <c r="BK22" s="1309"/>
      <c r="BL22" s="1309"/>
      <c r="BM22" s="1309"/>
      <c r="BN22" s="1309"/>
      <c r="BO22" s="1309"/>
      <c r="BP22" s="1309"/>
      <c r="BQ22" s="1309"/>
      <c r="BR22" s="1309"/>
    </row>
    <row r="23" spans="1:256" ht="12.75" customHeight="1" x14ac:dyDescent="0.2">
      <c r="A23" s="1399" t="s">
        <v>292</v>
      </c>
      <c r="B23" s="1400"/>
      <c r="C23" s="1311"/>
      <c r="D23" s="1399" t="s">
        <v>302</v>
      </c>
      <c r="E23" s="1400"/>
      <c r="F23" s="1399"/>
      <c r="G23" s="1420"/>
      <c r="H23" s="1421"/>
      <c r="I23" s="1421"/>
      <c r="J23" s="1421"/>
      <c r="K23" s="1421"/>
      <c r="L23" s="1421"/>
      <c r="M23" s="1421"/>
      <c r="N23" s="1421"/>
      <c r="W23" s="1309"/>
      <c r="X23" s="1309"/>
      <c r="Y23" s="1309"/>
      <c r="Z23" s="1309"/>
      <c r="AA23" s="1309"/>
      <c r="AB23" s="1309"/>
      <c r="AC23" s="1309"/>
      <c r="AD23" s="1309"/>
      <c r="AE23" s="1309"/>
      <c r="AF23" s="1309"/>
      <c r="AG23" s="1309"/>
      <c r="AH23" s="1309"/>
      <c r="AI23" s="1309"/>
      <c r="AJ23" s="1309"/>
      <c r="AK23" s="1309"/>
      <c r="AL23" s="1309"/>
      <c r="AM23" s="1309"/>
      <c r="AN23" s="1309"/>
      <c r="AO23" s="1309"/>
      <c r="AP23" s="1309"/>
      <c r="AQ23" s="1309"/>
      <c r="AR23" s="1309"/>
      <c r="AS23" s="1309"/>
      <c r="AT23" s="1309"/>
      <c r="AU23" s="1309"/>
      <c r="AV23" s="1309"/>
      <c r="AW23" s="1309"/>
      <c r="AX23" s="1309"/>
      <c r="AY23" s="1309"/>
      <c r="AZ23" s="1309"/>
      <c r="BA23" s="1309"/>
      <c r="BB23" s="1309"/>
      <c r="BC23" s="1309"/>
      <c r="BD23" s="1309"/>
      <c r="BE23" s="1309"/>
      <c r="BF23" s="1309"/>
      <c r="BG23" s="1309"/>
      <c r="BH23" s="1309"/>
      <c r="BI23" s="1309"/>
      <c r="BJ23" s="1309"/>
      <c r="BK23" s="1309"/>
      <c r="BL23" s="1309"/>
      <c r="BM23" s="1309"/>
      <c r="BN23" s="1309"/>
      <c r="BO23" s="1309"/>
      <c r="BP23" s="1309"/>
      <c r="BQ23" s="1309"/>
      <c r="BR23" s="1309"/>
    </row>
    <row r="24" spans="1:256" ht="12.75" customHeight="1" x14ac:dyDescent="0.2">
      <c r="A24" s="1376" t="s">
        <v>294</v>
      </c>
      <c r="B24" s="1448">
        <v>2E-3</v>
      </c>
      <c r="C24" s="1311"/>
      <c r="D24" s="1422"/>
      <c r="E24" s="1423"/>
      <c r="F24" s="1423"/>
      <c r="G24" s="1423"/>
      <c r="H24" s="1423"/>
      <c r="I24" s="1423" t="s">
        <v>175</v>
      </c>
      <c r="J24" s="1423"/>
      <c r="K24" s="1423"/>
      <c r="L24" s="1423"/>
      <c r="M24" s="1423"/>
      <c r="N24" s="1430"/>
      <c r="W24" s="1309"/>
      <c r="X24" s="1309"/>
      <c r="Y24" s="1309"/>
      <c r="Z24" s="1309"/>
      <c r="AA24" s="1309"/>
      <c r="AB24" s="1309"/>
      <c r="AC24" s="1309"/>
      <c r="AD24" s="1309"/>
      <c r="AE24" s="1309"/>
      <c r="AF24" s="1309"/>
      <c r="AG24" s="1309"/>
      <c r="AH24" s="1309"/>
      <c r="AI24" s="1309"/>
      <c r="AJ24" s="1309"/>
      <c r="AK24" s="1309"/>
      <c r="AL24" s="1309"/>
      <c r="AM24" s="1309"/>
      <c r="AN24" s="1309"/>
      <c r="AO24" s="1309"/>
      <c r="AP24" s="1309"/>
      <c r="AQ24" s="1309"/>
      <c r="AR24" s="1309"/>
      <c r="AS24" s="1309"/>
      <c r="AT24" s="1309"/>
      <c r="AU24" s="1309"/>
      <c r="AV24" s="1309"/>
      <c r="AW24" s="1309"/>
      <c r="AX24" s="1309"/>
      <c r="AY24" s="1309"/>
      <c r="AZ24" s="1309"/>
      <c r="BA24" s="1309"/>
      <c r="BB24" s="1309"/>
      <c r="BC24" s="1309"/>
      <c r="BD24" s="1309"/>
      <c r="BE24" s="1309"/>
      <c r="BF24" s="1309"/>
      <c r="BG24" s="1309"/>
      <c r="BH24" s="1309"/>
      <c r="BI24" s="1309"/>
      <c r="BJ24" s="1309"/>
      <c r="BK24" s="1309"/>
      <c r="BL24" s="1309"/>
      <c r="BM24" s="1309"/>
      <c r="BN24" s="1309"/>
      <c r="BO24" s="1309"/>
      <c r="BP24" s="1309"/>
      <c r="BQ24" s="1309"/>
      <c r="BR24" s="1309"/>
    </row>
    <row r="25" spans="1:256" ht="12.75" customHeight="1" x14ac:dyDescent="0.2">
      <c r="A25" s="1376" t="s">
        <v>572</v>
      </c>
      <c r="B25" s="1448">
        <v>0.05</v>
      </c>
      <c r="C25" s="1309"/>
      <c r="D25" s="1424"/>
      <c r="E25" s="1425"/>
      <c r="F25" s="1431">
        <f t="shared" ref="F25:N25" si="21">L71</f>
        <v>6.0339999999999984E-2</v>
      </c>
      <c r="G25" s="1431">
        <f t="shared" si="21"/>
        <v>6.5339999999999981E-2</v>
      </c>
      <c r="H25" s="1431">
        <f t="shared" si="21"/>
        <v>7.0339999999999986E-2</v>
      </c>
      <c r="I25" s="1431">
        <f t="shared" si="21"/>
        <v>7.533999999999999E-2</v>
      </c>
      <c r="J25" s="1432">
        <f t="shared" si="21"/>
        <v>8.0339999999999995E-2</v>
      </c>
      <c r="K25" s="1431">
        <f t="shared" si="21"/>
        <v>8.5339999999999999E-2</v>
      </c>
      <c r="L25" s="1431">
        <f t="shared" si="21"/>
        <v>9.0340000000000004E-2</v>
      </c>
      <c r="M25" s="1431">
        <f t="shared" si="21"/>
        <v>9.5340000000000008E-2</v>
      </c>
      <c r="N25" s="1429">
        <f t="shared" si="21"/>
        <v>0.10034000000000001</v>
      </c>
      <c r="W25" s="1319"/>
      <c r="X25" s="1309"/>
      <c r="Y25" s="1309"/>
      <c r="Z25" s="1309"/>
      <c r="AA25" s="1309"/>
      <c r="AB25" s="1309"/>
      <c r="AC25" s="1309"/>
      <c r="AD25" s="1309"/>
      <c r="AE25" s="1309"/>
      <c r="AF25" s="1309"/>
      <c r="AG25" s="1309"/>
      <c r="AH25" s="1309"/>
      <c r="AI25" s="1309"/>
      <c r="AJ25" s="1309"/>
      <c r="AK25" s="1309"/>
      <c r="AL25" s="1309"/>
      <c r="AM25" s="1309"/>
      <c r="AN25" s="1309"/>
      <c r="AO25" s="1309"/>
      <c r="AP25" s="1309"/>
      <c r="AQ25" s="1309"/>
      <c r="AR25" s="1309"/>
      <c r="AS25" s="1309"/>
      <c r="AT25" s="1309"/>
      <c r="AU25" s="1309"/>
      <c r="AV25" s="1309"/>
      <c r="AW25" s="1309"/>
      <c r="AX25" s="1309"/>
      <c r="AY25" s="1309"/>
      <c r="AZ25" s="1309"/>
      <c r="BA25" s="1309"/>
      <c r="BB25" s="1309"/>
      <c r="BC25" s="1309"/>
      <c r="BD25" s="1309"/>
      <c r="BE25" s="1309"/>
      <c r="BF25" s="1309"/>
      <c r="BG25" s="1309"/>
      <c r="BH25" s="1309"/>
      <c r="BI25" s="1309"/>
      <c r="BJ25" s="1309"/>
      <c r="BK25" s="1309"/>
      <c r="BL25" s="1309"/>
      <c r="BM25" s="1309"/>
      <c r="BN25" s="1309"/>
      <c r="BO25" s="1309"/>
      <c r="BP25" s="1309"/>
      <c r="BQ25" s="1309"/>
      <c r="BR25" s="1309"/>
    </row>
    <row r="26" spans="1:256" ht="12.75" customHeight="1" x14ac:dyDescent="0.2">
      <c r="A26" s="1376" t="s">
        <v>570</v>
      </c>
      <c r="B26" s="1448">
        <v>6.5000000000000002E-2</v>
      </c>
      <c r="C26" s="1309"/>
      <c r="D26" s="1424"/>
      <c r="E26" s="1426">
        <f t="shared" ref="E26:E34" si="22">K72</f>
        <v>9.999999999999995E-3</v>
      </c>
      <c r="F26" s="1342">
        <f>(L72-$B$35-$B$36+$B$37)/$B$39</f>
        <v>44.304962373278734</v>
      </c>
      <c r="G26" s="1342">
        <f t="shared" ref="G26:N26" si="23">(M72-$B$35-$B$36+$B$37)/$B$39</f>
        <v>39.802892321001885</v>
      </c>
      <c r="H26" s="1342">
        <f t="shared" si="23"/>
        <v>36.102687089916792</v>
      </c>
      <c r="I26" s="1342">
        <f t="shared" si="23"/>
        <v>33.017679246130058</v>
      </c>
      <c r="J26" s="1342">
        <f t="shared" si="23"/>
        <v>30.414408004237913</v>
      </c>
      <c r="K26" s="1342">
        <f t="shared" si="23"/>
        <v>28.194956531202145</v>
      </c>
      <c r="L26" s="1342">
        <f t="shared" si="23"/>
        <v>26.285885155167364</v>
      </c>
      <c r="M26" s="1342">
        <f t="shared" si="23"/>
        <v>24.631055312044971</v>
      </c>
      <c r="N26" s="1343">
        <f t="shared" si="23"/>
        <v>23.186836836107453</v>
      </c>
      <c r="W26" s="1309"/>
      <c r="X26" s="1309"/>
      <c r="Y26" s="1309"/>
      <c r="Z26" s="1309"/>
      <c r="AA26" s="1309"/>
      <c r="AB26" s="1309"/>
      <c r="AC26" s="1309"/>
      <c r="AD26" s="1309"/>
      <c r="AE26" s="1309"/>
      <c r="AF26" s="1309"/>
      <c r="AG26" s="1309"/>
      <c r="AH26" s="1309"/>
      <c r="AI26" s="1309"/>
      <c r="AJ26" s="1309"/>
      <c r="AK26" s="1309"/>
      <c r="AL26" s="1309"/>
      <c r="AM26" s="1309"/>
      <c r="AN26" s="1309"/>
      <c r="AO26" s="1309"/>
      <c r="AP26" s="1309"/>
      <c r="AQ26" s="1309"/>
      <c r="AR26" s="1309"/>
      <c r="AS26" s="1309"/>
      <c r="AT26" s="1309"/>
      <c r="AU26" s="1309"/>
      <c r="AV26" s="1309"/>
      <c r="AW26" s="1309"/>
      <c r="AX26" s="1309"/>
      <c r="AY26" s="1309"/>
      <c r="AZ26" s="1309"/>
      <c r="BA26" s="1309"/>
      <c r="BB26" s="1309"/>
      <c r="BC26" s="1309"/>
      <c r="BD26" s="1309"/>
      <c r="BE26" s="1309"/>
      <c r="BF26" s="1309"/>
      <c r="BG26" s="1309"/>
      <c r="BH26" s="1309"/>
      <c r="BI26" s="1309"/>
      <c r="BJ26" s="1309"/>
      <c r="BK26" s="1309"/>
      <c r="BL26" s="1309"/>
      <c r="BM26" s="1309"/>
      <c r="BN26" s="1309"/>
      <c r="BO26" s="1309"/>
      <c r="BP26" s="1309"/>
      <c r="BQ26" s="1309"/>
      <c r="BR26" s="1309"/>
    </row>
    <row r="27" spans="1:256" ht="12.75" customHeight="1" x14ac:dyDescent="0.2">
      <c r="A27" s="1376" t="s">
        <v>571</v>
      </c>
      <c r="B27" s="1448">
        <v>-3.5000000000000001E-3</v>
      </c>
      <c r="C27" s="1309"/>
      <c r="D27" s="1424" t="s">
        <v>295</v>
      </c>
      <c r="E27" s="1426">
        <f t="shared" si="22"/>
        <v>1.4999999999999996E-2</v>
      </c>
      <c r="F27" s="1342">
        <f t="shared" ref="F27:N27" si="24">(L73-$B$35-$B$36+$B$37)/$B$39</f>
        <v>48.181865075825272</v>
      </c>
      <c r="G27" s="1342">
        <f t="shared" si="24"/>
        <v>42.847556966851613</v>
      </c>
      <c r="H27" s="1342">
        <f t="shared" si="24"/>
        <v>38.537948964088287</v>
      </c>
      <c r="I27" s="1342">
        <f t="shared" si="24"/>
        <v>34.995510749241035</v>
      </c>
      <c r="J27" s="1342">
        <f t="shared" si="24"/>
        <v>32.041680680825849</v>
      </c>
      <c r="K27" s="1342">
        <f t="shared" si="24"/>
        <v>29.548791323966956</v>
      </c>
      <c r="L27" s="1342">
        <f t="shared" si="24"/>
        <v>27.423174542516751</v>
      </c>
      <c r="M27" s="1342">
        <f t="shared" si="24"/>
        <v>25.594575765459098</v>
      </c>
      <c r="N27" s="1343">
        <f t="shared" si="24"/>
        <v>24.009289857523004</v>
      </c>
      <c r="W27" s="1309"/>
      <c r="X27" s="1309"/>
      <c r="Y27" s="1309"/>
      <c r="Z27" s="1309"/>
      <c r="AA27" s="1309"/>
      <c r="AB27" s="1309"/>
      <c r="AC27" s="1309"/>
      <c r="AD27" s="1309"/>
      <c r="AE27" s="1309"/>
      <c r="AF27" s="1309"/>
      <c r="AG27" s="1309"/>
      <c r="AH27" s="1309"/>
      <c r="AI27" s="1309"/>
      <c r="AJ27" s="1309"/>
      <c r="AK27" s="1309"/>
      <c r="AL27" s="1309"/>
      <c r="AM27" s="1309"/>
      <c r="AN27" s="1309"/>
      <c r="AO27" s="1309"/>
      <c r="AP27" s="1309"/>
      <c r="AQ27" s="1309"/>
      <c r="AR27" s="1309"/>
      <c r="AS27" s="1309"/>
      <c r="AT27" s="1309"/>
      <c r="AU27" s="1309"/>
      <c r="AV27" s="1309"/>
      <c r="AW27" s="1309"/>
      <c r="AX27" s="1309"/>
      <c r="AY27" s="1309"/>
      <c r="AZ27" s="1309"/>
      <c r="BA27" s="1309"/>
      <c r="BB27" s="1309"/>
      <c r="BC27" s="1309"/>
      <c r="BD27" s="1309"/>
      <c r="BE27" s="1309"/>
      <c r="BF27" s="1309"/>
      <c r="BG27" s="1309"/>
      <c r="BH27" s="1309"/>
      <c r="BI27" s="1309"/>
      <c r="BJ27" s="1309"/>
      <c r="BK27" s="1309"/>
      <c r="BL27" s="1309"/>
      <c r="BM27" s="1309"/>
      <c r="BN27" s="1309"/>
      <c r="BO27" s="1309"/>
      <c r="BP27" s="1309"/>
      <c r="BQ27" s="1309"/>
      <c r="BR27" s="1309"/>
    </row>
    <row r="28" spans="1:256" ht="12.75" customHeight="1" x14ac:dyDescent="0.2">
      <c r="A28" s="1412" t="s">
        <v>297</v>
      </c>
      <c r="B28" s="1449">
        <v>0.03</v>
      </c>
      <c r="C28" s="1309"/>
      <c r="D28" s="1424" t="s">
        <v>296</v>
      </c>
      <c r="E28" s="1426">
        <f t="shared" si="22"/>
        <v>1.9999999999999997E-2</v>
      </c>
      <c r="F28" s="1342">
        <f t="shared" ref="F28:N28" si="25">(L74-$B$35-$B$36+$B$37)/$B$39</f>
        <v>53.019824472111644</v>
      </c>
      <c r="G28" s="1342">
        <f t="shared" si="25"/>
        <v>46.5637400612787</v>
      </c>
      <c r="H28" s="1342">
        <f t="shared" si="25"/>
        <v>41.456973626136495</v>
      </c>
      <c r="I28" s="1342">
        <f t="shared" si="25"/>
        <v>37.330738620821649</v>
      </c>
      <c r="J28" s="1342">
        <f t="shared" si="25"/>
        <v>33.938637261389246</v>
      </c>
      <c r="K28" s="1342">
        <f t="shared" si="25"/>
        <v>31.109824585168376</v>
      </c>
      <c r="L28" s="1342">
        <f t="shared" si="25"/>
        <v>28.722148517206112</v>
      </c>
      <c r="M28" s="1342">
        <f t="shared" si="25"/>
        <v>26.685985846350537</v>
      </c>
      <c r="N28" s="1343">
        <f t="shared" si="25"/>
        <v>24.93411442753397</v>
      </c>
      <c r="W28" s="1309"/>
      <c r="X28" s="1309"/>
      <c r="Y28" s="1309"/>
      <c r="Z28" s="1309"/>
      <c r="AA28" s="1309"/>
      <c r="AB28" s="1309"/>
      <c r="AC28" s="1309"/>
      <c r="AD28" s="1309"/>
      <c r="AE28" s="1309"/>
      <c r="AF28" s="1309"/>
      <c r="AG28" s="1309"/>
      <c r="AH28" s="1309"/>
      <c r="AI28" s="1309"/>
      <c r="AJ28" s="1309"/>
      <c r="AK28" s="1309"/>
      <c r="AL28" s="1309"/>
      <c r="AM28" s="1309"/>
      <c r="AN28" s="1309"/>
      <c r="AO28" s="1309"/>
      <c r="AP28" s="1309"/>
      <c r="AQ28" s="1309"/>
      <c r="AR28" s="1309"/>
      <c r="AS28" s="1309"/>
      <c r="AT28" s="1309"/>
      <c r="AU28" s="1309"/>
      <c r="AV28" s="1309"/>
      <c r="AW28" s="1309"/>
      <c r="AX28" s="1309"/>
      <c r="AY28" s="1309"/>
      <c r="AZ28" s="1309"/>
      <c r="BA28" s="1309"/>
      <c r="BB28" s="1309"/>
      <c r="BC28" s="1309"/>
      <c r="BD28" s="1309"/>
      <c r="BE28" s="1309"/>
      <c r="BF28" s="1309"/>
      <c r="BG28" s="1309"/>
      <c r="BH28" s="1309"/>
      <c r="BI28" s="1309"/>
      <c r="BJ28" s="1309"/>
      <c r="BK28" s="1309"/>
      <c r="BL28" s="1309"/>
      <c r="BM28" s="1309"/>
      <c r="BN28" s="1309"/>
      <c r="BO28" s="1309"/>
      <c r="BP28" s="1309"/>
      <c r="BQ28" s="1309"/>
      <c r="BR28" s="1309"/>
    </row>
    <row r="29" spans="1:256" ht="12.75" customHeight="1" x14ac:dyDescent="0.2">
      <c r="C29" s="1309"/>
      <c r="D29" s="1424" t="s">
        <v>194</v>
      </c>
      <c r="E29" s="1426">
        <f t="shared" si="22"/>
        <v>2.4999999999999998E-2</v>
      </c>
      <c r="F29" s="1342">
        <f t="shared" ref="F29:N29" si="26">(L75-$B$35-$B$36+$B$37)/$B$39</f>
        <v>59.226759362536775</v>
      </c>
      <c r="G29" s="1342">
        <f t="shared" si="26"/>
        <v>51.201138598052616</v>
      </c>
      <c r="H29" s="1342">
        <f t="shared" si="26"/>
        <v>45.019806109545158</v>
      </c>
      <c r="I29" s="1342">
        <f t="shared" si="26"/>
        <v>40.129857607138177</v>
      </c>
      <c r="J29" s="1342">
        <f t="shared" si="26"/>
        <v>36.178376021309951</v>
      </c>
      <c r="K29" s="1342">
        <f t="shared" si="26"/>
        <v>32.929564054722697</v>
      </c>
      <c r="L29" s="1342">
        <f t="shared" si="26"/>
        <v>30.219924753096784</v>
      </c>
      <c r="M29" s="1342">
        <f t="shared" si="26"/>
        <v>27.932558008688027</v>
      </c>
      <c r="N29" s="1343">
        <f t="shared" si="26"/>
        <v>25.981692457859641</v>
      </c>
      <c r="W29" s="1309"/>
      <c r="X29" s="1309"/>
      <c r="Y29" s="1309"/>
      <c r="Z29" s="1309"/>
      <c r="AA29" s="1309"/>
      <c r="AB29" s="1309"/>
      <c r="AC29" s="1309"/>
      <c r="AD29" s="1309"/>
      <c r="AE29" s="1309"/>
      <c r="AF29" s="1309"/>
      <c r="AG29" s="1309"/>
      <c r="AH29" s="1309"/>
      <c r="AI29" s="1309"/>
      <c r="AJ29" s="1309"/>
      <c r="AK29" s="1309"/>
      <c r="AL29" s="1309"/>
      <c r="AM29" s="1309"/>
      <c r="AN29" s="1309"/>
      <c r="AO29" s="1309"/>
      <c r="AP29" s="1309"/>
      <c r="AQ29" s="1309"/>
      <c r="AR29" s="1309"/>
      <c r="AS29" s="1309"/>
      <c r="AT29" s="1309"/>
      <c r="AU29" s="1309"/>
      <c r="AV29" s="1309"/>
      <c r="AW29" s="1309"/>
      <c r="AX29" s="1309"/>
      <c r="AY29" s="1309"/>
      <c r="AZ29" s="1309"/>
      <c r="BA29" s="1309"/>
      <c r="BB29" s="1309"/>
      <c r="BC29" s="1309"/>
      <c r="BD29" s="1309"/>
      <c r="BE29" s="1309"/>
      <c r="BF29" s="1309"/>
      <c r="BG29" s="1309"/>
      <c r="BH29" s="1309"/>
      <c r="BI29" s="1309"/>
      <c r="BJ29" s="1309"/>
      <c r="BK29" s="1309"/>
      <c r="BL29" s="1309"/>
      <c r="BM29" s="1309"/>
      <c r="BN29" s="1309"/>
      <c r="BO29" s="1309"/>
      <c r="BP29" s="1309"/>
      <c r="BQ29" s="1309"/>
      <c r="BR29" s="1309"/>
    </row>
    <row r="30" spans="1:256" ht="12.75" customHeight="1" x14ac:dyDescent="0.2">
      <c r="A30" s="1399" t="s">
        <v>299</v>
      </c>
      <c r="B30" s="1400"/>
      <c r="C30" s="1309"/>
      <c r="D30" s="1424"/>
      <c r="E30" s="1427">
        <f t="shared" si="22"/>
        <v>0.03</v>
      </c>
      <c r="F30" s="1342">
        <f t="shared" ref="F30:N30" si="27">(L76-$B$35-$B$36+$B$37)/$B$39</f>
        <v>67.479486899773107</v>
      </c>
      <c r="G30" s="1342">
        <f t="shared" si="27"/>
        <v>57.150760829442795</v>
      </c>
      <c r="H30" s="1342">
        <f t="shared" si="27"/>
        <v>49.465839506044709</v>
      </c>
      <c r="I30" s="1342">
        <f t="shared" si="27"/>
        <v>43.546338522505565</v>
      </c>
      <c r="J30" s="1435">
        <f>(P76-$B$35-$B$36+$B$37)/$B$39</f>
        <v>38.863037061707566</v>
      </c>
      <c r="K30" s="1342">
        <f>(Q76-$B$35-$B$36+$B$37)/$B$39</f>
        <v>35.07813248516505</v>
      </c>
      <c r="L30" s="1342">
        <f t="shared" si="27"/>
        <v>31.965923765900072</v>
      </c>
      <c r="M30" s="1342">
        <f t="shared" si="27"/>
        <v>29.369912565016556</v>
      </c>
      <c r="N30" s="1343">
        <f t="shared" si="27"/>
        <v>27.1782011151864</v>
      </c>
      <c r="W30" s="1313"/>
      <c r="X30" s="1309"/>
      <c r="Y30" s="1309"/>
      <c r="Z30" s="1309"/>
      <c r="AA30" s="1309"/>
      <c r="AB30" s="1309"/>
      <c r="AC30" s="1309"/>
      <c r="AD30" s="1309"/>
      <c r="AE30" s="1309"/>
      <c r="AF30" s="1309"/>
      <c r="AG30" s="1309"/>
      <c r="AH30" s="1309"/>
      <c r="AI30" s="1309"/>
      <c r="AJ30" s="1309"/>
      <c r="AK30" s="1309"/>
      <c r="AL30" s="1309"/>
      <c r="AM30" s="1309"/>
      <c r="AN30" s="1309"/>
      <c r="AO30" s="1309"/>
      <c r="AP30" s="1309"/>
      <c r="AQ30" s="1309"/>
      <c r="AR30" s="1309"/>
      <c r="AS30" s="1309"/>
      <c r="AT30" s="1309"/>
      <c r="AU30" s="1309"/>
      <c r="AV30" s="1309"/>
      <c r="AW30" s="1309"/>
      <c r="AX30" s="1309"/>
      <c r="AY30" s="1309"/>
      <c r="AZ30" s="1309"/>
      <c r="BA30" s="1309"/>
      <c r="BB30" s="1309"/>
      <c r="BC30" s="1309"/>
      <c r="BD30" s="1309"/>
      <c r="BE30" s="1309"/>
      <c r="BF30" s="1309"/>
      <c r="BG30" s="1309"/>
      <c r="BH30" s="1309"/>
      <c r="BI30" s="1309"/>
      <c r="BJ30" s="1309"/>
      <c r="BK30" s="1309"/>
      <c r="BL30" s="1309"/>
      <c r="BM30" s="1309"/>
      <c r="BN30" s="1309"/>
      <c r="BO30" s="1309"/>
      <c r="BP30" s="1309"/>
      <c r="BQ30" s="1309"/>
      <c r="BR30" s="1309"/>
    </row>
    <row r="31" spans="1:256" ht="12.75" customHeight="1" x14ac:dyDescent="0.2">
      <c r="A31" s="1341" t="s">
        <v>585</v>
      </c>
      <c r="B31" s="1402">
        <f>SUM(B21:O21)</f>
        <v>3238.7848449361218</v>
      </c>
      <c r="C31" s="1309"/>
      <c r="D31" s="1424"/>
      <c r="E31" s="1426">
        <f t="shared" si="22"/>
        <v>3.4999999999999996E-2</v>
      </c>
      <c r="F31" s="1342">
        <f t="shared" ref="F31:N31" si="28">(L77-$B$35-$B$36+$B$37)/$B$39</f>
        <v>78.989012991562035</v>
      </c>
      <c r="G31" s="1342">
        <f t="shared" si="28"/>
        <v>65.061365998008384</v>
      </c>
      <c r="H31" s="1342">
        <f t="shared" si="28"/>
        <v>55.169946868729753</v>
      </c>
      <c r="I31" s="1342">
        <f t="shared" si="28"/>
        <v>47.809740834840554</v>
      </c>
      <c r="J31" s="1342">
        <f t="shared" si="28"/>
        <v>42.139815667256833</v>
      </c>
      <c r="K31" s="1342">
        <f t="shared" si="28"/>
        <v>37.653512284388157</v>
      </c>
      <c r="L31" s="1342">
        <f t="shared" si="28"/>
        <v>34.027426756441557</v>
      </c>
      <c r="M31" s="1342">
        <f t="shared" si="28"/>
        <v>31.04547636170447</v>
      </c>
      <c r="N31" s="1343">
        <f t="shared" si="28"/>
        <v>28.557830166961701</v>
      </c>
      <c r="W31" s="1313"/>
      <c r="X31" s="1309"/>
      <c r="Y31" s="1309"/>
      <c r="Z31" s="1309"/>
      <c r="AA31" s="1309"/>
      <c r="AB31" s="1309"/>
      <c r="AC31" s="1309"/>
      <c r="AD31" s="1309"/>
      <c r="AE31" s="1309"/>
      <c r="AF31" s="1309"/>
      <c r="AG31" s="1309"/>
      <c r="AH31" s="1309"/>
      <c r="AI31" s="1309"/>
      <c r="AJ31" s="1309"/>
      <c r="AK31" s="1309"/>
      <c r="AL31" s="1309"/>
      <c r="AM31" s="1309"/>
      <c r="AN31" s="1309"/>
      <c r="AO31" s="1309"/>
      <c r="AP31" s="1309"/>
      <c r="AQ31" s="1309"/>
      <c r="AR31" s="1309"/>
      <c r="AS31" s="1309"/>
      <c r="AT31" s="1309"/>
      <c r="AU31" s="1309"/>
      <c r="AV31" s="1309"/>
      <c r="AW31" s="1309"/>
      <c r="AX31" s="1309"/>
      <c r="AY31" s="1309"/>
      <c r="AZ31" s="1309"/>
      <c r="BA31" s="1309"/>
      <c r="BB31" s="1309"/>
      <c r="BC31" s="1309"/>
      <c r="BD31" s="1309"/>
      <c r="BE31" s="1309"/>
      <c r="BF31" s="1309"/>
      <c r="BG31" s="1309"/>
      <c r="BH31" s="1309"/>
      <c r="BI31" s="1309"/>
      <c r="BJ31" s="1309"/>
      <c r="BK31" s="1309"/>
      <c r="BL31" s="1309"/>
      <c r="BM31" s="1309"/>
      <c r="BN31" s="1309"/>
      <c r="BO31" s="1309"/>
      <c r="BP31" s="1309"/>
      <c r="BQ31" s="1309"/>
      <c r="BR31" s="1309"/>
    </row>
    <row r="32" spans="1:256" ht="12.75" customHeight="1" x14ac:dyDescent="0.2">
      <c r="A32" s="1401" t="s">
        <v>583</v>
      </c>
      <c r="B32" s="1403">
        <f>(P19)/(B52-B28)</f>
        <v>13645.784381619698</v>
      </c>
      <c r="C32" s="1309"/>
      <c r="D32" s="1424"/>
      <c r="E32" s="1426">
        <f t="shared" si="22"/>
        <v>3.9999999999999994E-2</v>
      </c>
      <c r="F32" s="1342">
        <f t="shared" ref="F32:N32" si="29">(L78-$B$35-$B$36+$B$37)/$B$39</f>
        <v>96.157106483443826</v>
      </c>
      <c r="G32" s="1342">
        <f t="shared" si="29"/>
        <v>76.093756947381223</v>
      </c>
      <c r="H32" s="1342">
        <f t="shared" si="29"/>
        <v>62.754115985760563</v>
      </c>
      <c r="I32" s="1342">
        <f t="shared" si="29"/>
        <v>53.279538821294111</v>
      </c>
      <c r="J32" s="1342">
        <f t="shared" si="29"/>
        <v>46.228884457622478</v>
      </c>
      <c r="K32" s="1342">
        <f t="shared" si="29"/>
        <v>40.796907037123184</v>
      </c>
      <c r="L32" s="1342">
        <f t="shared" si="29"/>
        <v>36.498445637038969</v>
      </c>
      <c r="M32" s="1342">
        <f t="shared" si="29"/>
        <v>33.023816413666673</v>
      </c>
      <c r="N32" s="1343">
        <f t="shared" si="29"/>
        <v>30.166101753005353</v>
      </c>
      <c r="W32" s="1313"/>
      <c r="X32" s="1309"/>
      <c r="Y32" s="1309"/>
      <c r="Z32" s="1309"/>
      <c r="AA32" s="1309"/>
      <c r="AB32" s="1309"/>
      <c r="AC32" s="1309"/>
      <c r="AD32" s="1309"/>
      <c r="AE32" s="1309"/>
      <c r="AF32" s="1309"/>
      <c r="AG32" s="1309"/>
      <c r="AH32" s="1309"/>
      <c r="AI32" s="1309"/>
      <c r="AJ32" s="1309"/>
      <c r="AK32" s="1309"/>
      <c r="AL32" s="1309"/>
      <c r="AM32" s="1309"/>
      <c r="AN32" s="1309"/>
      <c r="AO32" s="1309"/>
      <c r="AP32" s="1309"/>
      <c r="AQ32" s="1309"/>
      <c r="AR32" s="1309"/>
      <c r="AS32" s="1309"/>
      <c r="AT32" s="1309"/>
      <c r="AU32" s="1309"/>
      <c r="AV32" s="1309"/>
      <c r="AW32" s="1309"/>
      <c r="AX32" s="1309"/>
      <c r="AY32" s="1309"/>
      <c r="AZ32" s="1309"/>
      <c r="BA32" s="1309"/>
      <c r="BB32" s="1309"/>
      <c r="BC32" s="1309"/>
      <c r="BD32" s="1309"/>
      <c r="BE32" s="1309"/>
      <c r="BF32" s="1309"/>
      <c r="BG32" s="1309"/>
      <c r="BH32" s="1309"/>
      <c r="BI32" s="1309"/>
      <c r="BJ32" s="1309"/>
      <c r="BK32" s="1309"/>
      <c r="BL32" s="1309"/>
      <c r="BM32" s="1309"/>
      <c r="BN32" s="1309"/>
      <c r="BO32" s="1309"/>
      <c r="BP32" s="1309"/>
      <c r="BQ32" s="1309"/>
      <c r="BR32" s="1309"/>
    </row>
    <row r="33" spans="1:70" ht="12.75" customHeight="1" x14ac:dyDescent="0.2">
      <c r="A33" s="1376" t="s">
        <v>584</v>
      </c>
      <c r="B33" s="1404">
        <f>+B32/((1+B52)^P5)</f>
        <v>6806.9787981989557</v>
      </c>
      <c r="C33" s="1311"/>
      <c r="D33" s="1424"/>
      <c r="E33" s="1426">
        <f t="shared" si="22"/>
        <v>4.4999999999999991E-2</v>
      </c>
      <c r="F33" s="1342">
        <f t="shared" ref="F33:N33" si="30">(L79-$B$35-$B$36+$B$37)/$B$39</f>
        <v>124.51691672361886</v>
      </c>
      <c r="G33" s="1342">
        <f t="shared" si="30"/>
        <v>92.550135580811514</v>
      </c>
      <c r="H33" s="1342">
        <f t="shared" si="30"/>
        <v>73.331248448107388</v>
      </c>
      <c r="I33" s="1342">
        <f t="shared" si="30"/>
        <v>60.552170685945939</v>
      </c>
      <c r="J33" s="1342">
        <f t="shared" si="30"/>
        <v>51.475018553694298</v>
      </c>
      <c r="K33" s="1342">
        <f t="shared" si="30"/>
        <v>44.719527063218429</v>
      </c>
      <c r="L33" s="1342">
        <f t="shared" si="30"/>
        <v>39.514462065187637</v>
      </c>
      <c r="M33" s="1342">
        <f t="shared" si="30"/>
        <v>35.395152105669041</v>
      </c>
      <c r="N33" s="1343">
        <f t="shared" si="30"/>
        <v>32.064989816469264</v>
      </c>
      <c r="W33" s="1371"/>
      <c r="X33" s="1309"/>
      <c r="Y33" s="1309"/>
      <c r="Z33" s="1309"/>
      <c r="AA33" s="1309"/>
      <c r="AB33" s="1309"/>
      <c r="AC33" s="1309"/>
      <c r="AD33" s="1309"/>
      <c r="AE33" s="1309"/>
      <c r="AF33" s="1309"/>
      <c r="AG33" s="1309"/>
      <c r="AH33" s="1309"/>
      <c r="AI33" s="1309"/>
      <c r="AJ33" s="1309"/>
      <c r="AK33" s="1309"/>
      <c r="AL33" s="1309"/>
      <c r="AM33" s="1309"/>
      <c r="AN33" s="1309"/>
      <c r="AO33" s="1309"/>
      <c r="AP33" s="1309"/>
      <c r="AQ33" s="1309"/>
      <c r="AR33" s="1309"/>
      <c r="AS33" s="1309"/>
      <c r="AT33" s="1309"/>
      <c r="AU33" s="1309"/>
      <c r="AV33" s="1309"/>
      <c r="AW33" s="1309"/>
      <c r="AX33" s="1309"/>
      <c r="AY33" s="1309"/>
      <c r="AZ33" s="1309"/>
      <c r="BA33" s="1309"/>
      <c r="BB33" s="1309"/>
      <c r="BC33" s="1309"/>
      <c r="BD33" s="1309"/>
      <c r="BE33" s="1309"/>
      <c r="BF33" s="1309"/>
      <c r="BG33" s="1309"/>
      <c r="BH33" s="1309"/>
      <c r="BI33" s="1309"/>
      <c r="BJ33" s="1309"/>
      <c r="BK33" s="1309"/>
      <c r="BL33" s="1309"/>
      <c r="BM33" s="1309"/>
      <c r="BN33" s="1309"/>
      <c r="BO33" s="1309"/>
      <c r="BP33" s="1309"/>
      <c r="BQ33" s="1309"/>
      <c r="BR33" s="1309"/>
    </row>
    <row r="34" spans="1:70" ht="12.75" customHeight="1" x14ac:dyDescent="0.2">
      <c r="A34" s="1405" t="s">
        <v>579</v>
      </c>
      <c r="B34" s="2165">
        <f>+B33+B31</f>
        <v>10045.763643135077</v>
      </c>
      <c r="C34" s="1309"/>
      <c r="D34" s="1428"/>
      <c r="E34" s="1429">
        <f t="shared" si="22"/>
        <v>4.9999999999999989E-2</v>
      </c>
      <c r="F34" s="1344">
        <f t="shared" ref="F34:N34" si="31">(L80-$B$35-$B$36+$B$37)/$B$39</f>
        <v>180.30400959452413</v>
      </c>
      <c r="G34" s="1344">
        <f t="shared" si="31"/>
        <v>119.73427082012856</v>
      </c>
      <c r="H34" s="1344">
        <f t="shared" si="31"/>
        <v>89.108544362935433</v>
      </c>
      <c r="I34" s="1344">
        <f t="shared" si="31"/>
        <v>70.69482301810045</v>
      </c>
      <c r="J34" s="1344">
        <f t="shared" si="31"/>
        <v>58.450267381497106</v>
      </c>
      <c r="K34" s="1344">
        <f t="shared" si="31"/>
        <v>49.752113140840336</v>
      </c>
      <c r="L34" s="1344">
        <f t="shared" si="31"/>
        <v>43.278127583110397</v>
      </c>
      <c r="M34" s="1344">
        <f t="shared" si="31"/>
        <v>38.289499639753977</v>
      </c>
      <c r="N34" s="1345">
        <f t="shared" si="31"/>
        <v>34.341090447168746</v>
      </c>
      <c r="W34" s="1309"/>
      <c r="X34" s="1309"/>
      <c r="Y34" s="1309"/>
      <c r="Z34" s="1309"/>
      <c r="AA34" s="1309"/>
      <c r="AB34" s="1309"/>
      <c r="AC34" s="1309"/>
      <c r="AD34" s="1309"/>
      <c r="AE34" s="1309"/>
      <c r="AF34" s="1309"/>
      <c r="AG34" s="1309"/>
      <c r="AH34" s="1309"/>
      <c r="AI34" s="1309"/>
      <c r="AJ34" s="1309"/>
      <c r="AK34" s="1309"/>
      <c r="AL34" s="1309"/>
      <c r="AM34" s="1309"/>
      <c r="AN34" s="1309"/>
      <c r="AO34" s="1309"/>
      <c r="AP34" s="1309"/>
      <c r="AQ34" s="1309"/>
      <c r="AR34" s="1309"/>
      <c r="AS34" s="1309"/>
      <c r="AT34" s="1309"/>
      <c r="AU34" s="1309"/>
      <c r="AV34" s="1309"/>
      <c r="AW34" s="1309"/>
      <c r="AX34" s="1309"/>
      <c r="AY34" s="1309"/>
      <c r="AZ34" s="1309"/>
      <c r="BA34" s="1309"/>
      <c r="BB34" s="1309"/>
      <c r="BC34" s="1309"/>
      <c r="BD34" s="1309"/>
      <c r="BE34" s="1309"/>
      <c r="BF34" s="1309"/>
      <c r="BG34" s="1309"/>
      <c r="BH34" s="1309"/>
      <c r="BI34" s="1309"/>
      <c r="BJ34" s="1309"/>
      <c r="BK34" s="1309"/>
      <c r="BL34" s="1309"/>
      <c r="BM34" s="1309"/>
      <c r="BN34" s="1309"/>
      <c r="BO34" s="1309"/>
      <c r="BP34" s="1309"/>
      <c r="BQ34" s="1309"/>
      <c r="BR34" s="1309"/>
    </row>
    <row r="35" spans="1:70" ht="12.75" customHeight="1" x14ac:dyDescent="0.2">
      <c r="A35" s="1376" t="s">
        <v>581</v>
      </c>
      <c r="B35" s="1406">
        <f>BS!CM55</f>
        <v>1758.258</v>
      </c>
      <c r="C35" s="1309"/>
      <c r="D35" s="1334"/>
      <c r="E35" s="1309"/>
      <c r="W35" s="1309"/>
      <c r="X35" s="1309"/>
      <c r="Y35" s="1309"/>
      <c r="Z35" s="1309"/>
      <c r="AA35" s="1309"/>
      <c r="AB35" s="1309"/>
      <c r="AC35" s="1309"/>
      <c r="AD35" s="1309"/>
      <c r="AE35" s="1309"/>
      <c r="AF35" s="1309"/>
      <c r="AG35" s="1309"/>
      <c r="AH35" s="1309"/>
      <c r="AI35" s="1309"/>
      <c r="AJ35" s="1309"/>
      <c r="AK35" s="1309"/>
      <c r="AL35" s="1309"/>
      <c r="AM35" s="1309"/>
      <c r="AN35" s="1309"/>
      <c r="AO35" s="1309"/>
      <c r="AP35" s="1309"/>
      <c r="AQ35" s="1309"/>
      <c r="AR35" s="1309"/>
      <c r="AS35" s="1309"/>
      <c r="AT35" s="1309"/>
      <c r="AU35" s="1309"/>
      <c r="AV35" s="1309"/>
      <c r="AW35" s="1309"/>
      <c r="AX35" s="1309"/>
      <c r="AY35" s="1309"/>
      <c r="AZ35" s="1309"/>
      <c r="BA35" s="1309"/>
      <c r="BB35" s="1309"/>
      <c r="BC35" s="1309"/>
      <c r="BD35" s="1309"/>
      <c r="BE35" s="1309"/>
      <c r="BF35" s="1309"/>
      <c r="BG35" s="1309"/>
      <c r="BH35" s="1309"/>
      <c r="BI35" s="1309"/>
      <c r="BJ35" s="1309"/>
      <c r="BK35" s="1309"/>
      <c r="BL35" s="1309"/>
      <c r="BM35" s="1309"/>
      <c r="BN35" s="1309"/>
      <c r="BO35" s="1309"/>
      <c r="BP35" s="1309"/>
      <c r="BQ35" s="1309"/>
      <c r="BR35" s="1309"/>
    </row>
    <row r="36" spans="1:70" ht="12.75" customHeight="1" x14ac:dyDescent="0.2">
      <c r="A36" s="1376" t="s">
        <v>593</v>
      </c>
      <c r="B36" s="1406">
        <f>+BS!CM43</f>
        <v>0</v>
      </c>
      <c r="C36" s="1309"/>
      <c r="D36" s="1309"/>
      <c r="E36" s="1309"/>
      <c r="J36" s="2063"/>
      <c r="W36" s="1309"/>
      <c r="X36" s="1309"/>
      <c r="Y36" s="1309"/>
      <c r="Z36" s="1309"/>
      <c r="AA36" s="1309"/>
      <c r="AB36" s="1309"/>
      <c r="AC36" s="1309"/>
      <c r="AD36" s="1309"/>
      <c r="AE36" s="1309"/>
      <c r="AF36" s="1309"/>
      <c r="AG36" s="1309"/>
      <c r="AH36" s="1309"/>
      <c r="AI36" s="1309"/>
      <c r="AJ36" s="1309"/>
      <c r="AK36" s="1309"/>
      <c r="AL36" s="1309"/>
      <c r="AM36" s="1309"/>
      <c r="AN36" s="1309"/>
      <c r="AO36" s="1309"/>
      <c r="AP36" s="1309"/>
      <c r="AQ36" s="1309"/>
      <c r="AR36" s="1309"/>
      <c r="AS36" s="1309"/>
      <c r="AT36" s="1309"/>
      <c r="AU36" s="1309"/>
      <c r="AV36" s="1309"/>
      <c r="AW36" s="1309"/>
      <c r="AX36" s="1309"/>
      <c r="AY36" s="1309"/>
      <c r="AZ36" s="1309"/>
      <c r="BA36" s="1309"/>
      <c r="BB36" s="1309"/>
      <c r="BC36" s="1309"/>
      <c r="BD36" s="1309"/>
      <c r="BE36" s="1309"/>
      <c r="BF36" s="1309"/>
      <c r="BG36" s="1309"/>
      <c r="BH36" s="1309"/>
      <c r="BI36" s="1309"/>
      <c r="BJ36" s="1309"/>
      <c r="BK36" s="1309"/>
      <c r="BL36" s="1309"/>
      <c r="BM36" s="1309"/>
      <c r="BN36" s="1309"/>
      <c r="BO36" s="1309"/>
      <c r="BP36" s="1309"/>
      <c r="BQ36" s="1309"/>
      <c r="BR36" s="1309"/>
    </row>
    <row r="37" spans="1:70" ht="12.75" customHeight="1" x14ac:dyDescent="0.2">
      <c r="A37" s="1376" t="s">
        <v>580</v>
      </c>
      <c r="B37" s="1407">
        <f>BS!CM10</f>
        <v>615.41544111346411</v>
      </c>
      <c r="C37" s="1313"/>
      <c r="D37" s="1309"/>
      <c r="E37" s="1309"/>
      <c r="W37" s="1372"/>
      <c r="X37" s="1309"/>
      <c r="Y37" s="1309"/>
      <c r="Z37" s="1309"/>
      <c r="AA37" s="1309"/>
      <c r="AB37" s="1309"/>
      <c r="AC37" s="1309"/>
      <c r="AD37" s="1309"/>
      <c r="AE37" s="1309"/>
      <c r="AF37" s="1309"/>
      <c r="AG37" s="1309"/>
      <c r="AH37" s="1309"/>
      <c r="AI37" s="1309"/>
      <c r="AJ37" s="1309"/>
      <c r="AK37" s="1309"/>
      <c r="AL37" s="1309"/>
      <c r="AM37" s="1309"/>
      <c r="AN37" s="1309"/>
      <c r="AO37" s="1309"/>
      <c r="AP37" s="1309"/>
      <c r="AQ37" s="1309"/>
      <c r="AR37" s="1309"/>
      <c r="AS37" s="1309"/>
      <c r="AT37" s="1309"/>
      <c r="AU37" s="1309"/>
      <c r="AV37" s="1309"/>
      <c r="AW37" s="1309"/>
      <c r="AX37" s="1309"/>
      <c r="AY37" s="1309"/>
      <c r="AZ37" s="1309"/>
      <c r="BA37" s="1309"/>
      <c r="BB37" s="1309"/>
      <c r="BC37" s="1309"/>
      <c r="BD37" s="1309"/>
      <c r="BE37" s="1309"/>
      <c r="BF37" s="1309"/>
      <c r="BG37" s="1309"/>
      <c r="BH37" s="1309"/>
      <c r="BI37" s="1309"/>
      <c r="BJ37" s="1309"/>
      <c r="BK37" s="1309"/>
      <c r="BL37" s="1309"/>
      <c r="BM37" s="1309"/>
      <c r="BN37" s="1309"/>
      <c r="BO37" s="1309"/>
      <c r="BP37" s="1309"/>
      <c r="BQ37" s="1309"/>
      <c r="BR37" s="1309"/>
    </row>
    <row r="38" spans="1:70" ht="12.75" customHeight="1" x14ac:dyDescent="0.2">
      <c r="A38" s="1377" t="s">
        <v>300</v>
      </c>
      <c r="B38" s="1408">
        <f>B34-B35+B37-B36</f>
        <v>8902.9210842485409</v>
      </c>
      <c r="C38" s="1313"/>
      <c r="D38" s="1309"/>
      <c r="E38" s="1309"/>
      <c r="W38" s="1372"/>
      <c r="X38" s="1309"/>
      <c r="Y38" s="1309"/>
      <c r="Z38" s="1309"/>
      <c r="AA38" s="1309"/>
      <c r="AB38" s="1309"/>
      <c r="AC38" s="1309"/>
      <c r="AD38" s="1309"/>
      <c r="AE38" s="1309"/>
      <c r="AF38" s="1309"/>
      <c r="AG38" s="1309"/>
      <c r="AH38" s="1309"/>
      <c r="AI38" s="1309"/>
      <c r="AJ38" s="1309"/>
      <c r="AK38" s="1309"/>
      <c r="AL38" s="1309"/>
      <c r="AM38" s="1309"/>
      <c r="AN38" s="1309"/>
      <c r="AO38" s="1309"/>
      <c r="AP38" s="1309"/>
      <c r="AQ38" s="1309"/>
      <c r="AR38" s="1309"/>
      <c r="AS38" s="1309"/>
      <c r="AT38" s="1309"/>
      <c r="AU38" s="1309"/>
      <c r="AV38" s="1309"/>
      <c r="AW38" s="1309"/>
      <c r="AX38" s="1309"/>
      <c r="AY38" s="1309"/>
      <c r="AZ38" s="1309"/>
      <c r="BA38" s="1309"/>
      <c r="BB38" s="1309"/>
      <c r="BC38" s="1309"/>
      <c r="BD38" s="1309"/>
      <c r="BE38" s="1309"/>
      <c r="BF38" s="1309"/>
      <c r="BG38" s="1309"/>
      <c r="BH38" s="1309"/>
      <c r="BI38" s="1309"/>
      <c r="BJ38" s="1309"/>
      <c r="BK38" s="1309"/>
      <c r="BL38" s="1309"/>
      <c r="BM38" s="1309"/>
      <c r="BN38" s="1309"/>
      <c r="BO38" s="1309"/>
      <c r="BP38" s="1309"/>
      <c r="BQ38" s="1309"/>
      <c r="BR38" s="1309"/>
    </row>
    <row r="39" spans="1:70" ht="12.75" customHeight="1" x14ac:dyDescent="0.2">
      <c r="A39" s="1376" t="s">
        <v>582</v>
      </c>
      <c r="B39" s="1407">
        <f>'P&amp;L'!CM35</f>
        <v>229.08454298392306</v>
      </c>
      <c r="C39" s="1309"/>
      <c r="D39" s="1309"/>
      <c r="E39" s="1309"/>
      <c r="W39" s="1309"/>
      <c r="X39" s="1309"/>
      <c r="Y39" s="1309"/>
      <c r="Z39" s="1309"/>
      <c r="AA39" s="1309"/>
      <c r="AB39" s="1309"/>
      <c r="AC39" s="1309"/>
      <c r="AD39" s="1309"/>
      <c r="AE39" s="1309"/>
      <c r="AF39" s="1309"/>
      <c r="AG39" s="1309"/>
      <c r="AH39" s="1309"/>
      <c r="AI39" s="1309"/>
      <c r="AJ39" s="1309"/>
      <c r="AK39" s="1309"/>
      <c r="AL39" s="1309"/>
      <c r="AM39" s="1309"/>
      <c r="AN39" s="1309"/>
      <c r="AO39" s="1309"/>
      <c r="AP39" s="1309"/>
      <c r="AQ39" s="1309"/>
      <c r="AR39" s="1309"/>
      <c r="AS39" s="1309"/>
      <c r="AT39" s="1309"/>
      <c r="AU39" s="1309"/>
      <c r="AV39" s="1309"/>
      <c r="AW39" s="1309"/>
      <c r="AX39" s="1309"/>
      <c r="AY39" s="1309"/>
      <c r="AZ39" s="1309"/>
      <c r="BA39" s="1309"/>
      <c r="BB39" s="1309"/>
      <c r="BC39" s="1309"/>
      <c r="BD39" s="1309"/>
      <c r="BE39" s="1309"/>
      <c r="BF39" s="1309"/>
      <c r="BG39" s="1309"/>
      <c r="BH39" s="1309"/>
      <c r="BI39" s="1309"/>
      <c r="BJ39" s="1309"/>
      <c r="BK39" s="1309"/>
      <c r="BL39" s="1309"/>
      <c r="BM39" s="1309"/>
      <c r="BN39" s="1309"/>
      <c r="BO39" s="1309"/>
      <c r="BP39" s="1309"/>
      <c r="BQ39" s="1309"/>
      <c r="BR39" s="1309"/>
    </row>
    <row r="40" spans="1:70" ht="12.75" customHeight="1" x14ac:dyDescent="0.2">
      <c r="A40" s="1410" t="s">
        <v>301</v>
      </c>
      <c r="B40" s="1411">
        <f>B38/B39</f>
        <v>38.863037061707566</v>
      </c>
      <c r="W40" s="1373"/>
      <c r="X40" s="1309"/>
      <c r="Y40" s="1309"/>
      <c r="Z40" s="1309"/>
      <c r="AA40" s="1309"/>
      <c r="AB40" s="1309"/>
      <c r="AC40" s="1309"/>
      <c r="AD40" s="1309"/>
      <c r="AE40" s="1309"/>
      <c r="AF40" s="1309"/>
      <c r="AG40" s="1309"/>
      <c r="AH40" s="1309"/>
      <c r="AI40" s="1309"/>
      <c r="AJ40" s="1309"/>
      <c r="AK40" s="1309"/>
      <c r="AL40" s="1309"/>
      <c r="AM40" s="1309"/>
      <c r="AN40" s="1309"/>
      <c r="AO40" s="1309"/>
      <c r="AP40" s="1309"/>
      <c r="AQ40" s="1309"/>
      <c r="AR40" s="1309"/>
      <c r="AS40" s="1309"/>
      <c r="AT40" s="1309"/>
      <c r="AU40" s="1309"/>
      <c r="AV40" s="1309"/>
      <c r="AW40" s="1309"/>
      <c r="AX40" s="1309"/>
      <c r="AY40" s="1309"/>
      <c r="AZ40" s="1309"/>
      <c r="BA40" s="1309"/>
      <c r="BB40" s="1309"/>
      <c r="BC40" s="1309"/>
      <c r="BD40" s="1309"/>
      <c r="BE40" s="1309"/>
      <c r="BF40" s="1309"/>
      <c r="BG40" s="1309"/>
      <c r="BH40" s="1309"/>
      <c r="BI40" s="1309"/>
      <c r="BJ40" s="1309"/>
      <c r="BK40" s="1309"/>
      <c r="BL40" s="1309"/>
      <c r="BM40" s="1309"/>
      <c r="BN40" s="1309"/>
      <c r="BO40" s="1309"/>
      <c r="BP40" s="1309"/>
      <c r="BQ40" s="1309"/>
      <c r="BR40" s="1309"/>
    </row>
    <row r="41" spans="1:70" ht="12.75" customHeight="1" x14ac:dyDescent="0.2">
      <c r="W41" s="1373"/>
      <c r="X41" s="1309"/>
      <c r="Y41" s="1309"/>
      <c r="Z41" s="1309"/>
      <c r="AA41" s="1309"/>
      <c r="AB41" s="1309"/>
      <c r="AC41" s="1309"/>
      <c r="AD41" s="1309"/>
      <c r="AE41" s="1309"/>
      <c r="AF41" s="1309"/>
      <c r="AG41" s="1309"/>
      <c r="AH41" s="1309"/>
      <c r="AI41" s="1309"/>
      <c r="AJ41" s="1309"/>
      <c r="AK41" s="1309"/>
      <c r="AL41" s="1309"/>
      <c r="AM41" s="1309"/>
      <c r="AN41" s="1309"/>
      <c r="AO41" s="1309"/>
      <c r="AP41" s="1309"/>
      <c r="AQ41" s="1309"/>
      <c r="AR41" s="1309"/>
      <c r="AS41" s="1309"/>
      <c r="AT41" s="1309"/>
      <c r="AU41" s="1309"/>
      <c r="AV41" s="1309"/>
      <c r="AW41" s="1309"/>
      <c r="AX41" s="1309"/>
      <c r="AY41" s="1309"/>
      <c r="AZ41" s="1309"/>
      <c r="BA41" s="1309"/>
      <c r="BB41" s="1309"/>
      <c r="BC41" s="1309"/>
      <c r="BD41" s="1309"/>
      <c r="BE41" s="1309"/>
      <c r="BF41" s="1309"/>
      <c r="BG41" s="1309"/>
      <c r="BH41" s="1309"/>
      <c r="BI41" s="1309"/>
      <c r="BJ41" s="1309"/>
      <c r="BK41" s="1309"/>
      <c r="BL41" s="1309"/>
      <c r="BM41" s="1309"/>
      <c r="BN41" s="1309"/>
      <c r="BO41" s="1309"/>
      <c r="BP41" s="1309"/>
      <c r="BQ41" s="1309"/>
      <c r="BR41" s="1309"/>
    </row>
    <row r="42" spans="1:70" ht="12.75" customHeight="1" x14ac:dyDescent="0.2">
      <c r="A42" s="1399" t="s">
        <v>174</v>
      </c>
      <c r="B42" s="1400"/>
      <c r="W42" s="1373"/>
      <c r="X42" s="1309"/>
      <c r="Y42" s="1309"/>
      <c r="Z42" s="1309"/>
      <c r="AA42" s="1309"/>
      <c r="AB42" s="1309"/>
      <c r="AC42" s="1309"/>
      <c r="AD42" s="1309"/>
      <c r="AE42" s="1309"/>
      <c r="AF42" s="1309"/>
      <c r="AG42" s="1309"/>
      <c r="AH42" s="1309"/>
      <c r="AI42" s="1309"/>
      <c r="AJ42" s="1309"/>
      <c r="AK42" s="1309"/>
      <c r="AL42" s="1309"/>
      <c r="AM42" s="1309"/>
      <c r="AN42" s="1309"/>
      <c r="AO42" s="1309"/>
      <c r="AP42" s="1309"/>
      <c r="AQ42" s="1309"/>
      <c r="AR42" s="1309"/>
      <c r="AS42" s="1309"/>
      <c r="AT42" s="1309"/>
      <c r="AU42" s="1309"/>
      <c r="AV42" s="1309"/>
      <c r="AW42" s="1309"/>
      <c r="AX42" s="1309"/>
      <c r="AY42" s="1309"/>
      <c r="AZ42" s="1309"/>
      <c r="BA42" s="1309"/>
      <c r="BB42" s="1309"/>
      <c r="BC42" s="1309"/>
      <c r="BD42" s="1309"/>
      <c r="BE42" s="1309"/>
      <c r="BF42" s="1309"/>
      <c r="BG42" s="1309"/>
      <c r="BH42" s="1309"/>
      <c r="BI42" s="1309"/>
      <c r="BJ42" s="1309"/>
      <c r="BK42" s="1309"/>
      <c r="BL42" s="1309"/>
      <c r="BM42" s="1309"/>
      <c r="BN42" s="1309"/>
      <c r="BO42" s="1309"/>
      <c r="BP42" s="1309"/>
      <c r="BQ42" s="1309"/>
      <c r="BR42" s="1309"/>
    </row>
    <row r="43" spans="1:70" ht="12.75" customHeight="1" x14ac:dyDescent="0.2">
      <c r="A43" s="1341" t="s">
        <v>586</v>
      </c>
      <c r="B43" s="1413">
        <v>0.03</v>
      </c>
      <c r="W43" s="1373"/>
      <c r="X43" s="1309"/>
      <c r="Y43" s="1309"/>
      <c r="Z43" s="1309"/>
      <c r="AA43" s="1309"/>
      <c r="AB43" s="1309"/>
      <c r="AC43" s="1309"/>
      <c r="AD43" s="1309"/>
      <c r="AE43" s="1309"/>
      <c r="AF43" s="1309"/>
      <c r="AG43" s="1309"/>
      <c r="AH43" s="1309"/>
      <c r="AI43" s="1309"/>
      <c r="AJ43" s="1309"/>
      <c r="AK43" s="1309"/>
      <c r="AL43" s="1309"/>
      <c r="AM43" s="1309"/>
      <c r="AN43" s="1309"/>
      <c r="AO43" s="1309"/>
      <c r="AP43" s="1309"/>
      <c r="AQ43" s="1309"/>
      <c r="AR43" s="1309"/>
      <c r="AS43" s="1309"/>
      <c r="AT43" s="1309"/>
      <c r="AU43" s="1309"/>
      <c r="AV43" s="1309"/>
      <c r="AW43" s="1309"/>
      <c r="AX43" s="1309"/>
      <c r="AY43" s="1309"/>
      <c r="AZ43" s="1309"/>
      <c r="BA43" s="1309"/>
      <c r="BB43" s="1309"/>
      <c r="BC43" s="1309"/>
      <c r="BD43" s="1309"/>
      <c r="BE43" s="1309"/>
      <c r="BF43" s="1309"/>
      <c r="BG43" s="1309"/>
      <c r="BH43" s="1309"/>
      <c r="BI43" s="1309"/>
      <c r="BJ43" s="1309"/>
      <c r="BK43" s="1309"/>
      <c r="BL43" s="1309"/>
      <c r="BM43" s="1309"/>
      <c r="BN43" s="1309"/>
      <c r="BO43" s="1309"/>
      <c r="BP43" s="1309"/>
      <c r="BQ43" s="1309"/>
      <c r="BR43" s="1309"/>
    </row>
    <row r="44" spans="1:70" ht="12.75" customHeight="1" x14ac:dyDescent="0.2">
      <c r="A44" s="1376" t="s">
        <v>587</v>
      </c>
      <c r="B44" s="1414">
        <v>0.05</v>
      </c>
      <c r="W44" s="1374"/>
      <c r="X44" s="1309"/>
      <c r="Y44" s="1309"/>
      <c r="Z44" s="1309"/>
      <c r="AA44" s="1309"/>
      <c r="AB44" s="1309"/>
      <c r="AC44" s="1309"/>
      <c r="AD44" s="1309"/>
      <c r="AE44" s="1309"/>
      <c r="AF44" s="1309"/>
      <c r="AG44" s="1309"/>
      <c r="AH44" s="1309"/>
      <c r="AI44" s="1309"/>
      <c r="AJ44" s="1309"/>
      <c r="AK44" s="1309"/>
      <c r="AL44" s="1309"/>
      <c r="AM44" s="1309"/>
      <c r="AN44" s="1309"/>
      <c r="AO44" s="1309"/>
      <c r="AP44" s="1309"/>
      <c r="AQ44" s="1309"/>
      <c r="AR44" s="1309"/>
      <c r="AS44" s="1309"/>
      <c r="AT44" s="1309"/>
      <c r="AU44" s="1309"/>
      <c r="AV44" s="1309"/>
      <c r="AW44" s="1309"/>
      <c r="AX44" s="1309"/>
      <c r="AY44" s="1309"/>
      <c r="AZ44" s="1309"/>
      <c r="BA44" s="1309"/>
      <c r="BB44" s="1309"/>
      <c r="BC44" s="1309"/>
      <c r="BD44" s="1309"/>
      <c r="BE44" s="1309"/>
      <c r="BF44" s="1309"/>
      <c r="BG44" s="1309"/>
      <c r="BH44" s="1309"/>
      <c r="BI44" s="1309"/>
      <c r="BJ44" s="1309"/>
      <c r="BK44" s="1309"/>
      <c r="BL44" s="1309"/>
      <c r="BM44" s="1309"/>
      <c r="BN44" s="1309"/>
      <c r="BO44" s="1309"/>
      <c r="BP44" s="1309"/>
      <c r="BQ44" s="1309"/>
      <c r="BR44" s="1309"/>
    </row>
    <row r="45" spans="1:70" ht="12.75" customHeight="1" x14ac:dyDescent="0.2">
      <c r="A45" s="1415" t="s">
        <v>588</v>
      </c>
      <c r="B45" s="1419">
        <v>1.17</v>
      </c>
      <c r="W45" s="1373"/>
      <c r="X45" s="1309"/>
      <c r="Y45" s="1309"/>
      <c r="Z45" s="1309"/>
      <c r="AA45" s="1309"/>
      <c r="AB45" s="1309"/>
      <c r="AC45" s="1309"/>
      <c r="AD45" s="1309"/>
      <c r="AE45" s="1309"/>
      <c r="AF45" s="1309"/>
      <c r="AG45" s="1309"/>
      <c r="AH45" s="1309"/>
      <c r="AI45" s="1309"/>
      <c r="AJ45" s="1309"/>
      <c r="AK45" s="1309"/>
      <c r="AL45" s="1309"/>
      <c r="AM45" s="1309"/>
      <c r="AN45" s="1309"/>
      <c r="AO45" s="1309"/>
      <c r="AP45" s="1309"/>
      <c r="AQ45" s="1309"/>
      <c r="AR45" s="1309"/>
      <c r="AS45" s="1309"/>
      <c r="AT45" s="1309"/>
      <c r="AU45" s="1309"/>
      <c r="AV45" s="1309"/>
      <c r="AW45" s="1309"/>
      <c r="AX45" s="1309"/>
      <c r="AY45" s="1309"/>
      <c r="AZ45" s="1309"/>
      <c r="BA45" s="1309"/>
      <c r="BB45" s="1309"/>
      <c r="BC45" s="1309"/>
      <c r="BD45" s="1309"/>
      <c r="BE45" s="1309"/>
      <c r="BF45" s="1309"/>
      <c r="BG45" s="1309"/>
      <c r="BH45" s="1309"/>
      <c r="BI45" s="1309"/>
      <c r="BJ45" s="1309"/>
      <c r="BK45" s="1309"/>
      <c r="BL45" s="1309"/>
      <c r="BM45" s="1309"/>
      <c r="BN45" s="1309"/>
      <c r="BO45" s="1309"/>
      <c r="BP45" s="1309"/>
      <c r="BQ45" s="1309"/>
      <c r="BR45" s="1309"/>
    </row>
    <row r="46" spans="1:70" ht="12.75" customHeight="1" x14ac:dyDescent="0.2">
      <c r="A46" s="1377" t="s">
        <v>403</v>
      </c>
      <c r="B46" s="1416">
        <f>B43+B44*B45</f>
        <v>8.8499999999999995E-2</v>
      </c>
      <c r="W46" s="1373"/>
      <c r="X46" s="1309"/>
      <c r="Y46" s="1309"/>
      <c r="Z46" s="1309"/>
      <c r="AA46" s="1309"/>
      <c r="AB46" s="1309"/>
      <c r="AC46" s="1309"/>
      <c r="AD46" s="1309"/>
      <c r="AE46" s="1309"/>
      <c r="AF46" s="1309"/>
      <c r="AG46" s="1309"/>
      <c r="AH46" s="1309"/>
      <c r="AI46" s="1309"/>
      <c r="AJ46" s="1309"/>
      <c r="AK46" s="1309"/>
      <c r="AL46" s="1309"/>
      <c r="AM46" s="1309"/>
      <c r="AN46" s="1309"/>
      <c r="AO46" s="1309"/>
      <c r="AP46" s="1309"/>
      <c r="AQ46" s="1309"/>
      <c r="AR46" s="1309"/>
      <c r="AS46" s="1309"/>
      <c r="AT46" s="1309"/>
      <c r="AU46" s="1309"/>
      <c r="AV46" s="1309"/>
      <c r="AW46" s="1309"/>
      <c r="AX46" s="1309"/>
      <c r="AY46" s="1309"/>
      <c r="AZ46" s="1309"/>
      <c r="BA46" s="1309"/>
      <c r="BB46" s="1309"/>
      <c r="BC46" s="1309"/>
      <c r="BD46" s="1309"/>
      <c r="BE46" s="1309"/>
      <c r="BF46" s="1309"/>
      <c r="BG46" s="1309"/>
      <c r="BH46" s="1309"/>
      <c r="BI46" s="1309"/>
      <c r="BJ46" s="1309"/>
      <c r="BK46" s="1309"/>
      <c r="BL46" s="1309"/>
      <c r="BM46" s="1309"/>
      <c r="BN46" s="1309"/>
      <c r="BO46" s="1309"/>
      <c r="BP46" s="1309"/>
      <c r="BQ46" s="1309"/>
      <c r="BR46" s="1309"/>
    </row>
    <row r="47" spans="1:70" ht="12.75" customHeight="1" x14ac:dyDescent="0.2">
      <c r="A47" s="1376" t="s">
        <v>591</v>
      </c>
      <c r="B47" s="1414">
        <v>0.03</v>
      </c>
      <c r="V47" s="1378"/>
      <c r="W47" s="1373"/>
      <c r="X47" s="1309"/>
      <c r="Y47" s="1309"/>
      <c r="Z47" s="1309"/>
      <c r="AA47" s="1309"/>
      <c r="AB47" s="1309"/>
      <c r="AC47" s="1309"/>
      <c r="AD47" s="1309"/>
      <c r="AE47" s="1309"/>
      <c r="AF47" s="1309"/>
      <c r="AG47" s="1309"/>
      <c r="AH47" s="1309"/>
      <c r="AI47" s="1309"/>
      <c r="AJ47" s="1309"/>
      <c r="AK47" s="1309"/>
      <c r="AL47" s="1309"/>
      <c r="AM47" s="1309"/>
      <c r="AN47" s="1309"/>
      <c r="AO47" s="1309"/>
      <c r="AP47" s="1309"/>
      <c r="AQ47" s="1309"/>
      <c r="AR47" s="1309"/>
      <c r="AS47" s="1309"/>
      <c r="AT47" s="1309"/>
      <c r="AU47" s="1309"/>
      <c r="AV47" s="1309"/>
      <c r="AW47" s="1309"/>
      <c r="AX47" s="1309"/>
      <c r="AY47" s="1309"/>
      <c r="AZ47" s="1309"/>
      <c r="BA47" s="1309"/>
      <c r="BB47" s="1309"/>
      <c r="BC47" s="1309"/>
      <c r="BD47" s="1309"/>
      <c r="BE47" s="1309"/>
      <c r="BF47" s="1309"/>
      <c r="BG47" s="1309"/>
      <c r="BH47" s="1309"/>
      <c r="BI47" s="1309"/>
      <c r="BJ47" s="1309"/>
      <c r="BK47" s="1309"/>
      <c r="BL47" s="1309"/>
      <c r="BM47" s="1309"/>
      <c r="BN47" s="1309"/>
      <c r="BO47" s="1309"/>
      <c r="BP47" s="1309"/>
      <c r="BQ47" s="1309"/>
      <c r="BR47" s="1309"/>
    </row>
    <row r="48" spans="1:70" ht="12.75" customHeight="1" x14ac:dyDescent="0.2">
      <c r="A48" s="1376" t="s">
        <v>589</v>
      </c>
      <c r="B48" s="1417">
        <f>+P11</f>
        <v>0.20499999999999996</v>
      </c>
      <c r="J48" s="1340"/>
      <c r="K48" s="1309"/>
      <c r="L48" s="1309"/>
      <c r="M48" s="1309"/>
      <c r="N48" s="1309"/>
      <c r="O48" s="1309"/>
      <c r="P48" s="1309"/>
      <c r="Q48" s="1309"/>
      <c r="R48" s="1309"/>
      <c r="S48" s="1309"/>
      <c r="T48" s="1309"/>
      <c r="W48" s="1309"/>
      <c r="X48" s="1309"/>
      <c r="Y48" s="1309"/>
      <c r="Z48" s="1309"/>
      <c r="AA48" s="1309"/>
      <c r="AB48" s="1309"/>
      <c r="AC48" s="1309"/>
      <c r="AD48" s="1309"/>
      <c r="AE48" s="1309"/>
      <c r="AF48" s="1309"/>
      <c r="AG48" s="1309"/>
      <c r="AH48" s="1309"/>
      <c r="AI48" s="1309"/>
      <c r="AJ48" s="1309"/>
      <c r="AK48" s="1309"/>
      <c r="AL48" s="1309"/>
      <c r="AM48" s="1309"/>
      <c r="AN48" s="1309"/>
      <c r="AO48" s="1309"/>
      <c r="AP48" s="1309"/>
      <c r="AQ48" s="1309"/>
      <c r="AR48" s="1309"/>
      <c r="AS48" s="1309"/>
      <c r="AT48" s="1309"/>
      <c r="AU48" s="1309"/>
      <c r="AV48" s="1309"/>
      <c r="AW48" s="1309"/>
      <c r="AX48" s="1309"/>
      <c r="AY48" s="1309"/>
      <c r="AZ48" s="1309"/>
      <c r="BA48" s="1309"/>
      <c r="BB48" s="1309"/>
      <c r="BC48" s="1309"/>
      <c r="BD48" s="1309"/>
      <c r="BE48" s="1309"/>
      <c r="BF48" s="1309"/>
      <c r="BG48" s="1309"/>
      <c r="BH48" s="1309"/>
      <c r="BI48" s="1309"/>
      <c r="BJ48" s="1309"/>
      <c r="BK48" s="1309"/>
      <c r="BL48" s="1309"/>
      <c r="BM48" s="1309"/>
      <c r="BN48" s="1309"/>
      <c r="BO48" s="1309"/>
      <c r="BP48" s="1309"/>
      <c r="BQ48" s="1309"/>
      <c r="BR48" s="1309"/>
    </row>
    <row r="49" spans="1:70" ht="12.75" customHeight="1" x14ac:dyDescent="0.2">
      <c r="A49" s="1377" t="s">
        <v>303</v>
      </c>
      <c r="B49" s="1416">
        <f>(B43+B47)*(1-B48)</f>
        <v>4.7699999999999999E-2</v>
      </c>
      <c r="W49" s="1309"/>
      <c r="X49" s="1309"/>
      <c r="Y49" s="1309"/>
      <c r="Z49" s="1309"/>
      <c r="AA49" s="1309"/>
      <c r="AB49" s="1309"/>
      <c r="AC49" s="1309"/>
      <c r="AD49" s="1309"/>
      <c r="AE49" s="1309"/>
      <c r="AF49" s="1309"/>
      <c r="AG49" s="1309"/>
      <c r="AH49" s="1309"/>
      <c r="AI49" s="1309"/>
      <c r="AJ49" s="1309"/>
      <c r="AK49" s="1309"/>
      <c r="AL49" s="1309"/>
      <c r="AM49" s="1309"/>
      <c r="AN49" s="1309"/>
      <c r="AO49" s="1309"/>
      <c r="AP49" s="1309"/>
      <c r="AQ49" s="1309"/>
      <c r="AR49" s="1309"/>
      <c r="AS49" s="1309"/>
      <c r="AT49" s="1309"/>
      <c r="AU49" s="1309"/>
      <c r="AV49" s="1309"/>
      <c r="AW49" s="1309"/>
      <c r="AX49" s="1309"/>
      <c r="AY49" s="1309"/>
      <c r="AZ49" s="1309"/>
      <c r="BA49" s="1309"/>
      <c r="BB49" s="1309"/>
      <c r="BC49" s="1309"/>
      <c r="BD49" s="1309"/>
      <c r="BE49" s="1309"/>
      <c r="BF49" s="1309"/>
      <c r="BG49" s="1309"/>
      <c r="BH49" s="1309"/>
      <c r="BI49" s="1309"/>
      <c r="BJ49" s="1309"/>
      <c r="BK49" s="1309"/>
      <c r="BL49" s="1309"/>
      <c r="BM49" s="1309"/>
      <c r="BN49" s="1309"/>
      <c r="BO49" s="1309"/>
      <c r="BP49" s="1309"/>
      <c r="BQ49" s="1309"/>
      <c r="BR49" s="1309"/>
    </row>
    <row r="50" spans="1:70" ht="12.75" customHeight="1" x14ac:dyDescent="0.2">
      <c r="A50" s="1376" t="s">
        <v>590</v>
      </c>
      <c r="B50" s="1458">
        <v>0.2</v>
      </c>
      <c r="W50" s="1309"/>
      <c r="X50" s="1309"/>
      <c r="Y50" s="1309"/>
      <c r="Z50" s="1309"/>
      <c r="AA50" s="1309"/>
      <c r="AB50" s="1309"/>
      <c r="AC50" s="1309"/>
      <c r="AD50" s="1309"/>
      <c r="AE50" s="1309"/>
      <c r="AF50" s="1309"/>
      <c r="AG50" s="1309"/>
      <c r="AH50" s="1309"/>
      <c r="AI50" s="1309"/>
      <c r="AJ50" s="1309"/>
      <c r="AK50" s="1309"/>
      <c r="AL50" s="1309"/>
      <c r="AM50" s="1309"/>
      <c r="AN50" s="1309"/>
      <c r="AO50" s="1309"/>
      <c r="AP50" s="1309"/>
      <c r="AQ50" s="1309"/>
      <c r="AR50" s="1309"/>
      <c r="AS50" s="1309"/>
      <c r="AT50" s="1309"/>
      <c r="AU50" s="1309"/>
      <c r="AV50" s="1309"/>
      <c r="AW50" s="1309"/>
      <c r="AX50" s="1309"/>
      <c r="AY50" s="1309"/>
      <c r="AZ50" s="1309"/>
      <c r="BA50" s="1309"/>
      <c r="BB50" s="1309"/>
      <c r="BC50" s="1309"/>
      <c r="BD50" s="1309"/>
      <c r="BE50" s="1309"/>
      <c r="BF50" s="1309"/>
      <c r="BG50" s="1309"/>
      <c r="BH50" s="1309"/>
      <c r="BI50" s="1309"/>
      <c r="BJ50" s="1309"/>
      <c r="BK50" s="1309"/>
      <c r="BL50" s="1309"/>
      <c r="BM50" s="1309"/>
      <c r="BN50" s="1309"/>
      <c r="BO50" s="1309"/>
      <c r="BP50" s="1309"/>
      <c r="BQ50" s="1309"/>
      <c r="BR50" s="1309"/>
    </row>
    <row r="51" spans="1:70" ht="12.75" customHeight="1" x14ac:dyDescent="0.2">
      <c r="A51" s="1377" t="s">
        <v>304</v>
      </c>
      <c r="B51" s="1416">
        <f>1-B50</f>
        <v>0.8</v>
      </c>
      <c r="W51" s="1309"/>
      <c r="X51" s="1309"/>
      <c r="Y51" s="1309"/>
      <c r="Z51" s="1309"/>
      <c r="AA51" s="1309"/>
      <c r="AB51" s="1309"/>
      <c r="AC51" s="1309"/>
      <c r="AD51" s="1309"/>
      <c r="AE51" s="1309"/>
      <c r="AF51" s="1309"/>
      <c r="AG51" s="1309"/>
      <c r="AH51" s="1309"/>
      <c r="AI51" s="1309"/>
      <c r="AJ51" s="1309"/>
      <c r="AK51" s="1309"/>
      <c r="AL51" s="1309"/>
      <c r="AM51" s="1309"/>
      <c r="AN51" s="1309"/>
      <c r="AO51" s="1309"/>
      <c r="AP51" s="1309"/>
      <c r="AQ51" s="1309"/>
      <c r="AR51" s="1309"/>
      <c r="AS51" s="1309"/>
      <c r="AT51" s="1309"/>
      <c r="AU51" s="1309"/>
      <c r="AV51" s="1309"/>
      <c r="AW51" s="1309"/>
      <c r="AX51" s="1309"/>
      <c r="AY51" s="1309"/>
      <c r="AZ51" s="1309"/>
      <c r="BA51" s="1309"/>
      <c r="BB51" s="1309"/>
      <c r="BC51" s="1309"/>
      <c r="BD51" s="1309"/>
      <c r="BE51" s="1309"/>
      <c r="BF51" s="1309"/>
      <c r="BG51" s="1309"/>
      <c r="BH51" s="1309"/>
      <c r="BI51" s="1309"/>
      <c r="BJ51" s="1309"/>
      <c r="BK51" s="1309"/>
      <c r="BL51" s="1309"/>
      <c r="BM51" s="1309"/>
      <c r="BN51" s="1309"/>
      <c r="BO51" s="1309"/>
      <c r="BP51" s="1309"/>
      <c r="BQ51" s="1309"/>
      <c r="BR51" s="1309"/>
    </row>
    <row r="52" spans="1:70" ht="12.75" customHeight="1" x14ac:dyDescent="0.2">
      <c r="A52" s="1409" t="s">
        <v>305</v>
      </c>
      <c r="B52" s="1418">
        <f>(B46*(1-B50))+(B49*B50)</f>
        <v>8.0339999999999995E-2</v>
      </c>
      <c r="W52" s="1309"/>
      <c r="X52" s="1309"/>
      <c r="Y52" s="1309"/>
      <c r="Z52" s="1309"/>
      <c r="AA52" s="1309"/>
      <c r="AB52" s="1309"/>
      <c r="AC52" s="1309"/>
      <c r="AD52" s="1309"/>
      <c r="AE52" s="1309"/>
      <c r="AF52" s="1309"/>
      <c r="AG52" s="1309"/>
      <c r="AH52" s="1309"/>
      <c r="AI52" s="1309"/>
      <c r="AJ52" s="1309"/>
      <c r="AK52" s="1309"/>
      <c r="AL52" s="1309"/>
      <c r="AM52" s="1309"/>
      <c r="AN52" s="1309"/>
      <c r="AO52" s="1309"/>
      <c r="AP52" s="1309"/>
      <c r="AQ52" s="1309"/>
      <c r="AR52" s="1309"/>
      <c r="AS52" s="1309"/>
      <c r="AT52" s="1309"/>
      <c r="AU52" s="1309"/>
      <c r="AV52" s="1309"/>
      <c r="AW52" s="1309"/>
      <c r="AX52" s="1309"/>
      <c r="AY52" s="1309"/>
      <c r="AZ52" s="1309"/>
      <c r="BA52" s="1309"/>
      <c r="BB52" s="1309"/>
      <c r="BC52" s="1309"/>
      <c r="BD52" s="1309"/>
      <c r="BE52" s="1309"/>
      <c r="BF52" s="1309"/>
      <c r="BG52" s="1309"/>
      <c r="BH52" s="1309"/>
      <c r="BI52" s="1309"/>
      <c r="BJ52" s="1309"/>
      <c r="BK52" s="1309"/>
      <c r="BL52" s="1309"/>
      <c r="BM52" s="1309"/>
      <c r="BN52" s="1309"/>
      <c r="BO52" s="1309"/>
      <c r="BP52" s="1309"/>
      <c r="BQ52" s="1309"/>
      <c r="BR52" s="1309"/>
    </row>
    <row r="53" spans="1:70" ht="12.75" customHeight="1" x14ac:dyDescent="0.2">
      <c r="W53" s="1309"/>
      <c r="X53" s="1309"/>
      <c r="Y53" s="1309"/>
      <c r="Z53" s="1309"/>
      <c r="AA53" s="1309"/>
      <c r="AB53" s="1309"/>
      <c r="AC53" s="1309"/>
      <c r="AD53" s="1309"/>
      <c r="AE53" s="1309"/>
      <c r="AF53" s="1309"/>
      <c r="AG53" s="1309"/>
      <c r="AH53" s="1309"/>
      <c r="AI53" s="1309"/>
      <c r="AJ53" s="1309"/>
      <c r="AK53" s="1309"/>
      <c r="AL53" s="1309"/>
      <c r="AM53" s="1309"/>
      <c r="AN53" s="1309"/>
      <c r="AO53" s="1309"/>
      <c r="AP53" s="1309"/>
      <c r="AQ53" s="1309"/>
      <c r="AR53" s="1309"/>
      <c r="AS53" s="1309"/>
      <c r="AT53" s="1309"/>
      <c r="AU53" s="1309"/>
      <c r="AV53" s="1309"/>
      <c r="AW53" s="1309"/>
      <c r="AX53" s="1309"/>
      <c r="AY53" s="1309"/>
      <c r="AZ53" s="1309"/>
      <c r="BA53" s="1309"/>
      <c r="BB53" s="1309"/>
      <c r="BC53" s="1309"/>
      <c r="BD53" s="1309"/>
      <c r="BE53" s="1309"/>
      <c r="BF53" s="1309"/>
      <c r="BG53" s="1309"/>
      <c r="BH53" s="1309"/>
      <c r="BI53" s="1309"/>
      <c r="BJ53" s="1309"/>
      <c r="BK53" s="1309"/>
      <c r="BL53" s="1309"/>
      <c r="BM53" s="1309"/>
      <c r="BN53" s="1309"/>
      <c r="BO53" s="1309"/>
      <c r="BP53" s="1309"/>
      <c r="BQ53" s="1309"/>
      <c r="BR53" s="1309"/>
    </row>
    <row r="54" spans="1:70" ht="12.75" customHeight="1" x14ac:dyDescent="0.2">
      <c r="W54" s="1309"/>
      <c r="X54" s="1309"/>
      <c r="Y54" s="1309"/>
      <c r="Z54" s="1309"/>
      <c r="AA54" s="1309"/>
      <c r="AB54" s="1309"/>
      <c r="AC54" s="1309"/>
      <c r="AD54" s="1309"/>
      <c r="AE54" s="1309"/>
      <c r="AF54" s="1309"/>
      <c r="AG54" s="1309"/>
      <c r="AH54" s="1309"/>
      <c r="AI54" s="1309"/>
      <c r="AJ54" s="1309"/>
      <c r="AK54" s="1309"/>
      <c r="AL54" s="1309"/>
      <c r="AM54" s="1309"/>
      <c r="AN54" s="1309"/>
      <c r="AO54" s="1309"/>
      <c r="AP54" s="1309"/>
      <c r="AQ54" s="1309"/>
      <c r="AR54" s="1309"/>
      <c r="AS54" s="1309"/>
      <c r="AT54" s="1309"/>
      <c r="AU54" s="1309"/>
      <c r="AV54" s="1309"/>
      <c r="AW54" s="1309"/>
      <c r="AX54" s="1309"/>
      <c r="AY54" s="1309"/>
      <c r="AZ54" s="1309"/>
      <c r="BA54" s="1309"/>
      <c r="BB54" s="1309"/>
      <c r="BC54" s="1309"/>
      <c r="BD54" s="1309"/>
      <c r="BE54" s="1309"/>
      <c r="BF54" s="1309"/>
      <c r="BG54" s="1309"/>
      <c r="BH54" s="1309"/>
      <c r="BI54" s="1309"/>
      <c r="BJ54" s="1309"/>
      <c r="BK54" s="1309"/>
      <c r="BL54" s="1309"/>
      <c r="BM54" s="1309"/>
      <c r="BN54" s="1309"/>
      <c r="BO54" s="1309"/>
      <c r="BP54" s="1309"/>
      <c r="BQ54" s="1309"/>
      <c r="BR54" s="1309"/>
    </row>
    <row r="55" spans="1:70" ht="12.75" customHeight="1" x14ac:dyDescent="0.2">
      <c r="W55" s="1309"/>
      <c r="X55" s="1309"/>
      <c r="Y55" s="1309"/>
      <c r="Z55" s="1309"/>
      <c r="AA55" s="1309"/>
      <c r="AB55" s="1309"/>
      <c r="AC55" s="1309"/>
      <c r="AD55" s="1309"/>
      <c r="AE55" s="1309"/>
      <c r="AF55" s="1309"/>
      <c r="AG55" s="1309"/>
      <c r="AH55" s="1309"/>
      <c r="AI55" s="1309"/>
      <c r="AJ55" s="1309"/>
      <c r="AK55" s="1309"/>
      <c r="AL55" s="1309"/>
      <c r="AM55" s="1309"/>
      <c r="AN55" s="1309"/>
      <c r="AO55" s="1309"/>
      <c r="AP55" s="1309"/>
      <c r="AQ55" s="1309"/>
      <c r="AR55" s="1309"/>
      <c r="AS55" s="1309"/>
      <c r="AT55" s="1309"/>
      <c r="AU55" s="1309"/>
      <c r="AV55" s="1309"/>
      <c r="AW55" s="1309"/>
      <c r="AX55" s="1309"/>
      <c r="AY55" s="1309"/>
      <c r="AZ55" s="1309"/>
      <c r="BA55" s="1309"/>
      <c r="BB55" s="1309"/>
      <c r="BC55" s="1309"/>
      <c r="BD55" s="1309"/>
      <c r="BE55" s="1309"/>
      <c r="BF55" s="1309"/>
      <c r="BG55" s="1309"/>
      <c r="BH55" s="1309"/>
      <c r="BI55" s="1309"/>
      <c r="BJ55" s="1309"/>
      <c r="BK55" s="1309"/>
      <c r="BL55" s="1309"/>
      <c r="BM55" s="1309"/>
      <c r="BN55" s="1309"/>
      <c r="BO55" s="1309"/>
      <c r="BP55" s="1309"/>
      <c r="BQ55" s="1309"/>
      <c r="BR55" s="1309"/>
    </row>
    <row r="56" spans="1:70" ht="12.75" customHeight="1" x14ac:dyDescent="0.2">
      <c r="J56" s="1314" t="s">
        <v>293</v>
      </c>
      <c r="L56" s="1368"/>
      <c r="M56" s="1369"/>
      <c r="N56" s="1370"/>
      <c r="O56" s="1309"/>
      <c r="P56" s="1309"/>
      <c r="Q56" s="1309"/>
      <c r="R56" s="1309"/>
      <c r="S56" s="1309"/>
      <c r="T56" s="1311"/>
      <c r="W56" s="1309"/>
      <c r="X56" s="1309"/>
      <c r="Y56" s="1309"/>
      <c r="Z56" s="1309"/>
      <c r="AA56" s="1309"/>
      <c r="AB56" s="1309"/>
      <c r="AC56" s="1309"/>
      <c r="AD56" s="1309"/>
      <c r="AE56" s="1309"/>
      <c r="AF56" s="1309"/>
      <c r="AG56" s="1309"/>
      <c r="AH56" s="1309"/>
      <c r="AI56" s="1309"/>
      <c r="AJ56" s="1309"/>
      <c r="AK56" s="1309"/>
      <c r="AL56" s="1309"/>
      <c r="AM56" s="1309"/>
      <c r="AN56" s="1309"/>
      <c r="AO56" s="1309"/>
      <c r="AP56" s="1309"/>
      <c r="AQ56" s="1309"/>
      <c r="AR56" s="1309"/>
      <c r="AS56" s="1309"/>
      <c r="AT56" s="1309"/>
      <c r="AU56" s="1309"/>
      <c r="AV56" s="1309"/>
      <c r="AW56" s="1309"/>
      <c r="AX56" s="1309"/>
      <c r="AY56" s="1309"/>
      <c r="AZ56" s="1309"/>
      <c r="BA56" s="1309"/>
      <c r="BB56" s="1309"/>
      <c r="BC56" s="1309"/>
      <c r="BD56" s="1309"/>
      <c r="BE56" s="1309"/>
      <c r="BF56" s="1309"/>
      <c r="BG56" s="1309"/>
      <c r="BH56" s="1309"/>
      <c r="BI56" s="1309"/>
      <c r="BJ56" s="1309"/>
      <c r="BK56" s="1309"/>
      <c r="BL56" s="1309"/>
      <c r="BM56" s="1309"/>
      <c r="BN56" s="1309"/>
      <c r="BO56" s="1309"/>
      <c r="BP56" s="1309"/>
      <c r="BQ56" s="1309"/>
      <c r="BR56" s="1309"/>
    </row>
    <row r="57" spans="1:70" ht="12.75" customHeight="1" x14ac:dyDescent="0.2">
      <c r="J57" s="1315"/>
      <c r="K57" s="1316"/>
      <c r="L57" s="1317" t="s">
        <v>175</v>
      </c>
      <c r="M57" s="1317"/>
      <c r="N57" s="1317"/>
      <c r="O57" s="1317"/>
      <c r="P57" s="1317"/>
      <c r="Q57" s="1317"/>
      <c r="R57" s="1317"/>
      <c r="S57" s="1317"/>
      <c r="T57" s="1318"/>
      <c r="W57" s="1309"/>
      <c r="X57" s="1309"/>
      <c r="Y57" s="1309"/>
      <c r="Z57" s="1309"/>
      <c r="AA57" s="1309"/>
      <c r="AB57" s="1309"/>
      <c r="AC57" s="1309"/>
      <c r="AD57" s="1309"/>
      <c r="AE57" s="1309"/>
      <c r="AF57" s="1309"/>
      <c r="AG57" s="1309"/>
      <c r="AH57" s="1309"/>
      <c r="AI57" s="1309"/>
      <c r="AJ57" s="1309"/>
      <c r="AK57" s="1309"/>
      <c r="AL57" s="1309"/>
      <c r="AM57" s="1309"/>
      <c r="AN57" s="1309"/>
      <c r="AO57" s="1309"/>
      <c r="AP57" s="1309"/>
      <c r="AQ57" s="1309"/>
      <c r="AR57" s="1309"/>
      <c r="AS57" s="1309"/>
      <c r="AT57" s="1309"/>
      <c r="AU57" s="1309"/>
      <c r="AV57" s="1309"/>
      <c r="AW57" s="1309"/>
      <c r="AX57" s="1309"/>
      <c r="AY57" s="1309"/>
      <c r="AZ57" s="1309"/>
      <c r="BA57" s="1309"/>
      <c r="BB57" s="1309"/>
      <c r="BC57" s="1309"/>
      <c r="BD57" s="1309"/>
      <c r="BE57" s="1309"/>
      <c r="BF57" s="1309"/>
      <c r="BG57" s="1309"/>
      <c r="BH57" s="1309"/>
      <c r="BI57" s="1309"/>
      <c r="BJ57" s="1309"/>
      <c r="BK57" s="1309"/>
      <c r="BL57" s="1309"/>
      <c r="BM57" s="1309"/>
      <c r="BN57" s="1309"/>
      <c r="BO57" s="1309"/>
      <c r="BP57" s="1309"/>
      <c r="BQ57" s="1309"/>
      <c r="BR57" s="1309"/>
    </row>
    <row r="58" spans="1:70" ht="12.75" customHeight="1" x14ac:dyDescent="0.2">
      <c r="J58" s="1320"/>
      <c r="K58" s="1311"/>
      <c r="L58" s="1321">
        <f>M58-0.005</f>
        <v>6.0339999999999984E-2</v>
      </c>
      <c r="M58" s="1321">
        <f>N58-0.005</f>
        <v>6.5339999999999981E-2</v>
      </c>
      <c r="N58" s="1321">
        <f>O58-0.005</f>
        <v>7.0339999999999986E-2</v>
      </c>
      <c r="O58" s="1321">
        <f>P58-0.005</f>
        <v>7.533999999999999E-2</v>
      </c>
      <c r="P58" s="1322">
        <f>+B52</f>
        <v>8.0339999999999995E-2</v>
      </c>
      <c r="Q58" s="1321">
        <f>P58+0.005</f>
        <v>8.5339999999999999E-2</v>
      </c>
      <c r="R58" s="1321">
        <f>Q58+0.005</f>
        <v>9.0340000000000004E-2</v>
      </c>
      <c r="S58" s="1321">
        <f>R58+0.005</f>
        <v>9.5340000000000008E-2</v>
      </c>
      <c r="T58" s="1323">
        <f>S58+0.005</f>
        <v>0.10034000000000001</v>
      </c>
      <c r="W58" s="1309"/>
      <c r="X58" s="1309"/>
      <c r="Y58" s="1309"/>
      <c r="Z58" s="1309"/>
      <c r="AA58" s="1309"/>
      <c r="AB58" s="1309"/>
      <c r="AC58" s="1309"/>
      <c r="AD58" s="1309"/>
      <c r="AE58" s="1309"/>
      <c r="AF58" s="1309"/>
      <c r="AG58" s="1309"/>
      <c r="AH58" s="1309"/>
      <c r="AI58" s="1309"/>
      <c r="AJ58" s="1309"/>
      <c r="AK58" s="1309"/>
      <c r="AL58" s="1309"/>
      <c r="AM58" s="1309"/>
      <c r="AN58" s="1309"/>
      <c r="AO58" s="1309"/>
      <c r="AP58" s="1309"/>
      <c r="AQ58" s="1309"/>
      <c r="AR58" s="1309"/>
      <c r="AS58" s="1309"/>
      <c r="AT58" s="1309"/>
      <c r="AU58" s="1309"/>
      <c r="AV58" s="1309"/>
      <c r="AW58" s="1309"/>
      <c r="AX58" s="1309"/>
      <c r="AY58" s="1309"/>
      <c r="AZ58" s="1309"/>
      <c r="BA58" s="1309"/>
      <c r="BB58" s="1309"/>
      <c r="BC58" s="1309"/>
      <c r="BD58" s="1309"/>
      <c r="BE58" s="1309"/>
      <c r="BF58" s="1309"/>
      <c r="BG58" s="1309"/>
      <c r="BH58" s="1309"/>
      <c r="BI58" s="1309"/>
      <c r="BJ58" s="1309"/>
      <c r="BK58" s="1309"/>
      <c r="BL58" s="1309"/>
      <c r="BM58" s="1309"/>
      <c r="BN58" s="1309"/>
      <c r="BO58" s="1309"/>
      <c r="BP58" s="1309"/>
      <c r="BQ58" s="1309"/>
      <c r="BR58" s="1309"/>
    </row>
    <row r="59" spans="1:70" ht="12.75" customHeight="1" x14ac:dyDescent="0.2">
      <c r="J59" s="1320"/>
      <c r="K59" s="1324">
        <f>K60-0.005</f>
        <v>9.999999999999995E-3</v>
      </c>
      <c r="L59" s="1325">
        <f t="shared" ref="L59:T67" si="32">((($P$19)/(L$58-$K59))/(1+L$58)^($P$5))</f>
        <v>8053.6397711528798</v>
      </c>
      <c r="M59" s="1325">
        <f t="shared" si="32"/>
        <v>7022.2851107454298</v>
      </c>
      <c r="N59" s="1325">
        <f t="shared" si="32"/>
        <v>6174.6252864355811</v>
      </c>
      <c r="O59" s="1325">
        <f t="shared" si="32"/>
        <v>5467.8976744398788</v>
      </c>
      <c r="P59" s="1325">
        <f t="shared" si="32"/>
        <v>4871.5284717278273</v>
      </c>
      <c r="Q59" s="1325">
        <f t="shared" si="32"/>
        <v>4363.0864453524337</v>
      </c>
      <c r="R59" s="1325">
        <f t="shared" si="32"/>
        <v>3925.7477016498169</v>
      </c>
      <c r="S59" s="1325">
        <f t="shared" si="32"/>
        <v>3546.6517633219664</v>
      </c>
      <c r="T59" s="1326">
        <f t="shared" si="32"/>
        <v>3215.8036337928825</v>
      </c>
      <c r="W59" s="1309"/>
      <c r="X59" s="1309"/>
      <c r="Y59" s="1309"/>
      <c r="Z59" s="1309"/>
      <c r="AA59" s="1309"/>
      <c r="AB59" s="1309"/>
      <c r="AC59" s="1309"/>
      <c r="AD59" s="1309"/>
      <c r="AE59" s="1309"/>
      <c r="AF59" s="1309"/>
      <c r="AG59" s="1309"/>
      <c r="AH59" s="1309"/>
      <c r="AI59" s="1309"/>
      <c r="AJ59" s="1309"/>
      <c r="AK59" s="1309"/>
      <c r="AL59" s="1309"/>
      <c r="AM59" s="1309"/>
      <c r="AN59" s="1309"/>
      <c r="AO59" s="1309"/>
      <c r="AP59" s="1309"/>
      <c r="AQ59" s="1309"/>
      <c r="AR59" s="1309"/>
      <c r="AS59" s="1309"/>
      <c r="AT59" s="1309"/>
      <c r="AU59" s="1309"/>
      <c r="AV59" s="1309"/>
      <c r="AW59" s="1309"/>
      <c r="AX59" s="1309"/>
      <c r="AY59" s="1309"/>
      <c r="AZ59" s="1309"/>
      <c r="BA59" s="1309"/>
      <c r="BB59" s="1309"/>
      <c r="BC59" s="1309"/>
      <c r="BD59" s="1309"/>
      <c r="BE59" s="1309"/>
      <c r="BF59" s="1309"/>
      <c r="BG59" s="1309"/>
      <c r="BH59" s="1309"/>
      <c r="BI59" s="1309"/>
      <c r="BJ59" s="1309"/>
      <c r="BK59" s="1309"/>
      <c r="BL59" s="1309"/>
      <c r="BM59" s="1309"/>
      <c r="BN59" s="1309"/>
      <c r="BO59" s="1309"/>
      <c r="BP59" s="1309"/>
      <c r="BQ59" s="1309"/>
      <c r="BR59" s="1309"/>
    </row>
    <row r="60" spans="1:70" ht="12.75" customHeight="1" x14ac:dyDescent="0.2">
      <c r="J60" s="1320"/>
      <c r="K60" s="1324">
        <f>K61-0.005</f>
        <v>1.4999999999999996E-2</v>
      </c>
      <c r="L60" s="1325">
        <f t="shared" si="32"/>
        <v>8941.7782549588883</v>
      </c>
      <c r="M60" s="1325">
        <f t="shared" si="32"/>
        <v>7719.7707196792244</v>
      </c>
      <c r="N60" s="1325">
        <f t="shared" si="32"/>
        <v>6732.5061399263286</v>
      </c>
      <c r="O60" s="1325">
        <f t="shared" si="32"/>
        <v>5920.9883004292633</v>
      </c>
      <c r="P60" s="1325">
        <f t="shared" si="32"/>
        <v>5244.3114891541991</v>
      </c>
      <c r="Q60" s="1325">
        <f t="shared" si="32"/>
        <v>4673.2290701286947</v>
      </c>
      <c r="R60" s="1325">
        <f t="shared" si="32"/>
        <v>4186.2831211912171</v>
      </c>
      <c r="S60" s="1325">
        <f t="shared" si="32"/>
        <v>3767.3794060480036</v>
      </c>
      <c r="T60" s="1326">
        <f t="shared" si="32"/>
        <v>3404.2149083296113</v>
      </c>
      <c r="W60" s="1309"/>
      <c r="X60" s="1309"/>
      <c r="Y60" s="1309"/>
      <c r="Z60" s="1309"/>
      <c r="AA60" s="1309"/>
      <c r="AB60" s="1309"/>
      <c r="AC60" s="1309"/>
      <c r="AD60" s="1309"/>
      <c r="AE60" s="1309"/>
      <c r="AF60" s="1309"/>
      <c r="AG60" s="1309"/>
      <c r="AH60" s="1309"/>
      <c r="AI60" s="1309"/>
      <c r="AJ60" s="1309"/>
      <c r="AK60" s="1309"/>
      <c r="AL60" s="1309"/>
      <c r="AM60" s="1309"/>
      <c r="AN60" s="1309"/>
      <c r="AO60" s="1309"/>
      <c r="AP60" s="1309"/>
      <c r="AQ60" s="1309"/>
      <c r="AR60" s="1309"/>
      <c r="AS60" s="1309"/>
      <c r="AT60" s="1309"/>
      <c r="AU60" s="1309"/>
      <c r="AV60" s="1309"/>
      <c r="AW60" s="1309"/>
      <c r="AX60" s="1309"/>
      <c r="AY60" s="1309"/>
      <c r="AZ60" s="1309"/>
      <c r="BA60" s="1309"/>
      <c r="BB60" s="1309"/>
      <c r="BC60" s="1309"/>
      <c r="BD60" s="1309"/>
      <c r="BE60" s="1309"/>
      <c r="BF60" s="1309"/>
      <c r="BG60" s="1309"/>
      <c r="BH60" s="1309"/>
      <c r="BI60" s="1309"/>
      <c r="BJ60" s="1309"/>
      <c r="BK60" s="1309"/>
      <c r="BL60" s="1309"/>
      <c r="BM60" s="1309"/>
      <c r="BN60" s="1309"/>
      <c r="BO60" s="1309"/>
      <c r="BP60" s="1309"/>
      <c r="BQ60" s="1309"/>
      <c r="BR60" s="1309"/>
    </row>
    <row r="61" spans="1:70" ht="12.75" customHeight="1" x14ac:dyDescent="0.2">
      <c r="J61" s="1320" t="s">
        <v>295</v>
      </c>
      <c r="K61" s="1324">
        <f>K62-0.005</f>
        <v>1.9999999999999997E-2</v>
      </c>
      <c r="L61" s="1325">
        <f t="shared" si="32"/>
        <v>10050.07997223193</v>
      </c>
      <c r="M61" s="1325">
        <f t="shared" si="32"/>
        <v>8571.0908255106333</v>
      </c>
      <c r="N61" s="1325">
        <f t="shared" si="32"/>
        <v>7401.2095705904449</v>
      </c>
      <c r="O61" s="1325">
        <f t="shared" si="32"/>
        <v>6455.9529101536273</v>
      </c>
      <c r="P61" s="1325">
        <f t="shared" si="32"/>
        <v>5678.8749204729102</v>
      </c>
      <c r="Q61" s="1325">
        <f t="shared" si="32"/>
        <v>5030.8376613537248</v>
      </c>
      <c r="R61" s="1325">
        <f t="shared" si="32"/>
        <v>4483.8579805309391</v>
      </c>
      <c r="S61" s="1325">
        <f t="shared" si="32"/>
        <v>4017.4045856370662</v>
      </c>
      <c r="T61" s="1326">
        <f t="shared" si="32"/>
        <v>3616.0779222908759</v>
      </c>
      <c r="W61" s="1309"/>
      <c r="X61" s="1309"/>
      <c r="Y61" s="1309"/>
      <c r="Z61" s="1309"/>
      <c r="AA61" s="1309"/>
      <c r="AB61" s="1309"/>
      <c r="AC61" s="1309"/>
      <c r="AD61" s="1309"/>
      <c r="AE61" s="1309"/>
      <c r="AF61" s="1309"/>
      <c r="AG61" s="1309"/>
      <c r="AH61" s="1309"/>
      <c r="AI61" s="1309"/>
      <c r="AJ61" s="1309"/>
      <c r="AK61" s="1309"/>
      <c r="AL61" s="1309"/>
      <c r="AM61" s="1309"/>
      <c r="AN61" s="1309"/>
      <c r="AO61" s="1309"/>
      <c r="AP61" s="1309"/>
      <c r="AQ61" s="1309"/>
      <c r="AR61" s="1309"/>
      <c r="AS61" s="1309"/>
      <c r="AT61" s="1309"/>
      <c r="AU61" s="1309"/>
      <c r="AV61" s="1309"/>
      <c r="AW61" s="1309"/>
      <c r="AX61" s="1309"/>
      <c r="AY61" s="1309"/>
      <c r="AZ61" s="1309"/>
      <c r="BA61" s="1309"/>
      <c r="BB61" s="1309"/>
      <c r="BC61" s="1309"/>
      <c r="BD61" s="1309"/>
      <c r="BE61" s="1309"/>
      <c r="BF61" s="1309"/>
      <c r="BG61" s="1309"/>
      <c r="BH61" s="1309"/>
      <c r="BI61" s="1309"/>
      <c r="BJ61" s="1309"/>
      <c r="BK61" s="1309"/>
      <c r="BL61" s="1309"/>
      <c r="BM61" s="1309"/>
      <c r="BN61" s="1309"/>
      <c r="BO61" s="1309"/>
      <c r="BP61" s="1309"/>
      <c r="BQ61" s="1309"/>
      <c r="BR61" s="1309"/>
    </row>
    <row r="62" spans="1:70" ht="12.75" customHeight="1" x14ac:dyDescent="0.2">
      <c r="I62" s="1309"/>
      <c r="J62" s="1320" t="s">
        <v>296</v>
      </c>
      <c r="K62" s="1324">
        <f>K63-0.005</f>
        <v>2.4999999999999998E-2</v>
      </c>
      <c r="L62" s="1325">
        <f t="shared" si="32"/>
        <v>11471.992814935938</v>
      </c>
      <c r="M62" s="1325">
        <f t="shared" si="32"/>
        <v>9633.4471499417996</v>
      </c>
      <c r="N62" s="1325">
        <f t="shared" si="32"/>
        <v>8217.399421780392</v>
      </c>
      <c r="O62" s="1325">
        <f t="shared" si="32"/>
        <v>7097.187803891572</v>
      </c>
      <c r="P62" s="1325">
        <f t="shared" si="32"/>
        <v>6191.9644506927243</v>
      </c>
      <c r="Q62" s="1325">
        <f t="shared" si="32"/>
        <v>5447.711846086384</v>
      </c>
      <c r="R62" s="1325">
        <f t="shared" si="32"/>
        <v>4826.9753650221346</v>
      </c>
      <c r="S62" s="1325">
        <f t="shared" si="32"/>
        <v>4302.9749997426306</v>
      </c>
      <c r="T62" s="1326">
        <f t="shared" si="32"/>
        <v>3856.0618566080302</v>
      </c>
      <c r="W62" s="1309"/>
      <c r="X62" s="1309"/>
      <c r="Y62" s="1309"/>
      <c r="Z62" s="1309"/>
      <c r="AA62" s="1309"/>
      <c r="AB62" s="1309"/>
      <c r="AC62" s="1309"/>
      <c r="AD62" s="1309"/>
      <c r="AE62" s="1309"/>
      <c r="AF62" s="1309"/>
      <c r="AG62" s="1309"/>
      <c r="AH62" s="1309"/>
      <c r="AI62" s="1309"/>
      <c r="AJ62" s="1309"/>
      <c r="AK62" s="1309"/>
      <c r="AL62" s="1309"/>
      <c r="AM62" s="1309"/>
      <c r="AN62" s="1309"/>
      <c r="AO62" s="1309"/>
      <c r="AP62" s="1309"/>
      <c r="AQ62" s="1309"/>
      <c r="AR62" s="1309"/>
      <c r="AS62" s="1309"/>
      <c r="AT62" s="1309"/>
      <c r="AU62" s="1309"/>
      <c r="AV62" s="1309"/>
      <c r="AW62" s="1309"/>
      <c r="AX62" s="1309"/>
      <c r="AY62" s="1309"/>
      <c r="AZ62" s="1309"/>
      <c r="BA62" s="1309"/>
      <c r="BB62" s="1309"/>
      <c r="BC62" s="1309"/>
      <c r="BD62" s="1309"/>
      <c r="BE62" s="1309"/>
      <c r="BF62" s="1309"/>
      <c r="BG62" s="1309"/>
      <c r="BH62" s="1309"/>
      <c r="BI62" s="1309"/>
      <c r="BJ62" s="1309"/>
      <c r="BK62" s="1309"/>
      <c r="BL62" s="1309"/>
      <c r="BM62" s="1309"/>
      <c r="BN62" s="1309"/>
      <c r="BO62" s="1309"/>
      <c r="BP62" s="1309"/>
      <c r="BQ62" s="1309"/>
      <c r="BR62" s="1309"/>
    </row>
    <row r="63" spans="1:70" ht="12.75" customHeight="1" x14ac:dyDescent="0.2">
      <c r="G63" s="1309"/>
      <c r="H63" s="1309"/>
      <c r="I63" s="1309"/>
      <c r="J63" s="1320" t="s">
        <v>194</v>
      </c>
      <c r="K63" s="1327">
        <f>B28</f>
        <v>0.03</v>
      </c>
      <c r="L63" s="1325">
        <f t="shared" si="32"/>
        <v>13362.565131174559</v>
      </c>
      <c r="M63" s="1325">
        <f t="shared" si="32"/>
        <v>10996.413639746808</v>
      </c>
      <c r="N63" s="1325">
        <f t="shared" si="32"/>
        <v>9235.9169505087521</v>
      </c>
      <c r="O63" s="1325">
        <f t="shared" si="32"/>
        <v>7879.8507730018036</v>
      </c>
      <c r="P63" s="1328">
        <f t="shared" si="32"/>
        <v>6806.9787981989557</v>
      </c>
      <c r="Q63" s="1325">
        <f t="shared" si="32"/>
        <v>5939.9156630439538</v>
      </c>
      <c r="R63" s="1325">
        <f t="shared" si="32"/>
        <v>5226.9567509205554</v>
      </c>
      <c r="S63" s="1325">
        <f t="shared" si="32"/>
        <v>4632.2507113850106</v>
      </c>
      <c r="T63" s="1326">
        <f t="shared" si="32"/>
        <v>4130.1634955480386</v>
      </c>
      <c r="W63" s="1309"/>
      <c r="X63" s="1309"/>
      <c r="Y63" s="1309"/>
      <c r="Z63" s="1309"/>
      <c r="AA63" s="1309"/>
      <c r="AB63" s="1309"/>
      <c r="AC63" s="1309"/>
      <c r="AD63" s="1309"/>
      <c r="AE63" s="1309"/>
      <c r="AF63" s="1309"/>
      <c r="AG63" s="1309"/>
      <c r="AH63" s="1309"/>
      <c r="AI63" s="1309"/>
      <c r="AJ63" s="1309"/>
      <c r="AK63" s="1309"/>
      <c r="AL63" s="1309"/>
      <c r="AM63" s="1309"/>
      <c r="AN63" s="1309"/>
      <c r="AO63" s="1309"/>
      <c r="AP63" s="1309"/>
      <c r="AQ63" s="1309"/>
      <c r="AR63" s="1309"/>
      <c r="AS63" s="1309"/>
      <c r="AT63" s="1309"/>
      <c r="AU63" s="1309"/>
      <c r="AV63" s="1309"/>
      <c r="AW63" s="1309"/>
      <c r="AX63" s="1309"/>
      <c r="AY63" s="1309"/>
      <c r="AZ63" s="1309"/>
      <c r="BA63" s="1309"/>
      <c r="BB63" s="1309"/>
      <c r="BC63" s="1309"/>
      <c r="BD63" s="1309"/>
      <c r="BE63" s="1309"/>
      <c r="BF63" s="1309"/>
      <c r="BG63" s="1309"/>
      <c r="BH63" s="1309"/>
      <c r="BI63" s="1309"/>
      <c r="BJ63" s="1309"/>
      <c r="BK63" s="1309"/>
      <c r="BL63" s="1309"/>
      <c r="BM63" s="1309"/>
      <c r="BN63" s="1309"/>
      <c r="BO63" s="1309"/>
      <c r="BP63" s="1309"/>
      <c r="BQ63" s="1309"/>
      <c r="BR63" s="1309"/>
    </row>
    <row r="64" spans="1:70" ht="12.75" customHeight="1" x14ac:dyDescent="0.2">
      <c r="G64" s="1309"/>
      <c r="H64" s="1309"/>
      <c r="I64" s="1309"/>
      <c r="J64" s="1320"/>
      <c r="K64" s="1324">
        <f>K63+0.005</f>
        <v>3.4999999999999996E-2</v>
      </c>
      <c r="L64" s="1325">
        <f t="shared" si="32"/>
        <v>15999.219655873563</v>
      </c>
      <c r="M64" s="1325">
        <f t="shared" si="32"/>
        <v>12808.611009513916</v>
      </c>
      <c r="N64" s="1325">
        <f t="shared" si="32"/>
        <v>10542.639778820685</v>
      </c>
      <c r="O64" s="1325">
        <f t="shared" si="32"/>
        <v>8856.5303432796663</v>
      </c>
      <c r="P64" s="1325">
        <f t="shared" si="32"/>
        <v>7557.6381275107051</v>
      </c>
      <c r="Q64" s="1325">
        <f t="shared" si="32"/>
        <v>6529.8953673590067</v>
      </c>
      <c r="R64" s="1325">
        <f t="shared" si="32"/>
        <v>5699.2152213687432</v>
      </c>
      <c r="S64" s="1325">
        <f t="shared" si="32"/>
        <v>5016.0964779896685</v>
      </c>
      <c r="T64" s="1326">
        <f t="shared" si="32"/>
        <v>4446.2151863613262</v>
      </c>
      <c r="W64" s="1309"/>
      <c r="X64" s="1309"/>
      <c r="Y64" s="1309"/>
      <c r="Z64" s="1309"/>
      <c r="AA64" s="1309"/>
      <c r="AB64" s="1309"/>
      <c r="AC64" s="1309"/>
      <c r="AD64" s="1309"/>
      <c r="AE64" s="1309"/>
      <c r="AF64" s="1309"/>
      <c r="AG64" s="1309"/>
      <c r="AH64" s="1309"/>
      <c r="AI64" s="1309"/>
      <c r="AJ64" s="1309"/>
      <c r="AK64" s="1309"/>
      <c r="AL64" s="1309"/>
      <c r="AM64" s="1309"/>
      <c r="AN64" s="1309"/>
      <c r="AO64" s="1309"/>
      <c r="AP64" s="1309"/>
      <c r="AQ64" s="1309"/>
      <c r="AR64" s="1309"/>
      <c r="AS64" s="1309"/>
      <c r="AT64" s="1309"/>
      <c r="AU64" s="1309"/>
      <c r="AV64" s="1309"/>
      <c r="AW64" s="1309"/>
      <c r="AX64" s="1309"/>
      <c r="AY64" s="1309"/>
      <c r="AZ64" s="1309"/>
      <c r="BA64" s="1309"/>
      <c r="BB64" s="1309"/>
      <c r="BC64" s="1309"/>
      <c r="BD64" s="1309"/>
      <c r="BE64" s="1309"/>
      <c r="BF64" s="1309"/>
      <c r="BG64" s="1309"/>
      <c r="BH64" s="1309"/>
      <c r="BI64" s="1309"/>
      <c r="BJ64" s="1309"/>
      <c r="BK64" s="1309"/>
      <c r="BL64" s="1309"/>
      <c r="BM64" s="1309"/>
      <c r="BN64" s="1309"/>
      <c r="BO64" s="1309"/>
      <c r="BP64" s="1309"/>
      <c r="BQ64" s="1309"/>
      <c r="BR64" s="1309"/>
    </row>
    <row r="65" spans="1:70" ht="12.75" customHeight="1" x14ac:dyDescent="0.2">
      <c r="G65" s="1309"/>
      <c r="H65" s="1309"/>
      <c r="I65" s="1309"/>
      <c r="J65" s="1320"/>
      <c r="K65" s="1324">
        <f>K64+0.005</f>
        <v>3.9999999999999994E-2</v>
      </c>
      <c r="L65" s="1325">
        <f t="shared" si="32"/>
        <v>19932.164507366571</v>
      </c>
      <c r="M65" s="1325">
        <f t="shared" si="32"/>
        <v>15335.961248170963</v>
      </c>
      <c r="N65" s="1325">
        <f t="shared" si="32"/>
        <v>12280.055694908471</v>
      </c>
      <c r="O65" s="1325">
        <f t="shared" si="32"/>
        <v>10109.576515220762</v>
      </c>
      <c r="P65" s="1325">
        <f t="shared" si="32"/>
        <v>8494.3805825814416</v>
      </c>
      <c r="Q65" s="1325">
        <f t="shared" si="32"/>
        <v>7249.998517707374</v>
      </c>
      <c r="R65" s="1325">
        <f t="shared" si="32"/>
        <v>6265.2874523350465</v>
      </c>
      <c r="S65" s="1325">
        <f t="shared" si="32"/>
        <v>5469.3036046602201</v>
      </c>
      <c r="T65" s="1326">
        <f t="shared" si="32"/>
        <v>4814.6453476441657</v>
      </c>
      <c r="W65" s="1309"/>
      <c r="X65" s="1309"/>
      <c r="Y65" s="1309"/>
      <c r="Z65" s="1309"/>
      <c r="AA65" s="1309"/>
      <c r="AB65" s="1309"/>
      <c r="AC65" s="1309"/>
      <c r="AD65" s="1309"/>
      <c r="AE65" s="1309"/>
      <c r="AF65" s="1309"/>
      <c r="AG65" s="1309"/>
      <c r="AH65" s="1309"/>
      <c r="AI65" s="1309"/>
      <c r="AJ65" s="1309"/>
      <c r="AK65" s="1309"/>
      <c r="AL65" s="1309"/>
      <c r="AM65" s="1309"/>
      <c r="AN65" s="1309"/>
      <c r="AO65" s="1309"/>
      <c r="AP65" s="1309"/>
      <c r="AQ65" s="1309"/>
      <c r="AR65" s="1309"/>
      <c r="AS65" s="1309"/>
      <c r="AT65" s="1309"/>
      <c r="AU65" s="1309"/>
      <c r="AV65" s="1309"/>
      <c r="AW65" s="1309"/>
      <c r="AX65" s="1309"/>
      <c r="AY65" s="1309"/>
      <c r="AZ65" s="1309"/>
      <c r="BA65" s="1309"/>
      <c r="BB65" s="1309"/>
      <c r="BC65" s="1309"/>
      <c r="BD65" s="1309"/>
      <c r="BE65" s="1309"/>
      <c r="BF65" s="1309"/>
      <c r="BG65" s="1309"/>
      <c r="BH65" s="1309"/>
      <c r="BI65" s="1309"/>
      <c r="BJ65" s="1309"/>
      <c r="BK65" s="1309"/>
      <c r="BL65" s="1309"/>
      <c r="BM65" s="1309"/>
      <c r="BN65" s="1309"/>
      <c r="BO65" s="1309"/>
      <c r="BP65" s="1309"/>
      <c r="BQ65" s="1309"/>
      <c r="BR65" s="1309"/>
    </row>
    <row r="66" spans="1:70" ht="12.75" customHeight="1" x14ac:dyDescent="0.2">
      <c r="G66" s="1309"/>
      <c r="H66" s="1309"/>
      <c r="I66" s="1309"/>
      <c r="J66" s="1320"/>
      <c r="K66" s="1324">
        <f>K65+0.005</f>
        <v>4.4999999999999991E-2</v>
      </c>
      <c r="L66" s="1325">
        <f t="shared" si="32"/>
        <v>26428.958675347851</v>
      </c>
      <c r="M66" s="1325">
        <f t="shared" si="32"/>
        <v>19105.863226580735</v>
      </c>
      <c r="N66" s="1325">
        <f t="shared" si="32"/>
        <v>14703.113251125613</v>
      </c>
      <c r="O66" s="1325">
        <f t="shared" si="32"/>
        <v>11775.624062224842</v>
      </c>
      <c r="P66" s="1325">
        <f t="shared" si="32"/>
        <v>9696.1888144124314</v>
      </c>
      <c r="Q66" s="1325">
        <f t="shared" si="32"/>
        <v>8148.6101336849861</v>
      </c>
      <c r="R66" s="1325">
        <f t="shared" si="32"/>
        <v>6956.2101974094894</v>
      </c>
      <c r="S66" s="1325">
        <f t="shared" si="32"/>
        <v>6012.5399579240475</v>
      </c>
      <c r="T66" s="1326">
        <f t="shared" si="32"/>
        <v>5249.6512518404224</v>
      </c>
      <c r="W66" s="1309"/>
      <c r="X66" s="1309"/>
      <c r="Y66" s="1309"/>
      <c r="Z66" s="1309"/>
      <c r="AA66" s="1309"/>
      <c r="AB66" s="1309"/>
      <c r="AC66" s="1309"/>
      <c r="AD66" s="1309"/>
      <c r="AE66" s="1309"/>
      <c r="AF66" s="1309"/>
      <c r="AG66" s="1309"/>
      <c r="AH66" s="1309"/>
      <c r="AI66" s="1309"/>
      <c r="AJ66" s="1309"/>
      <c r="AK66" s="1309"/>
      <c r="AL66" s="1309"/>
      <c r="AM66" s="1309"/>
      <c r="AN66" s="1309"/>
      <c r="AO66" s="1309"/>
      <c r="AP66" s="1309"/>
      <c r="AQ66" s="1309"/>
      <c r="AR66" s="1309"/>
      <c r="AS66" s="1309"/>
      <c r="AT66" s="1309"/>
      <c r="AU66" s="1309"/>
      <c r="AV66" s="1309"/>
      <c r="AW66" s="1309"/>
      <c r="AX66" s="1309"/>
      <c r="AY66" s="1309"/>
      <c r="AZ66" s="1309"/>
      <c r="BA66" s="1309"/>
      <c r="BB66" s="1309"/>
      <c r="BC66" s="1309"/>
      <c r="BD66" s="1309"/>
      <c r="BE66" s="1309"/>
      <c r="BF66" s="1309"/>
      <c r="BG66" s="1309"/>
      <c r="BH66" s="1309"/>
      <c r="BI66" s="1309"/>
      <c r="BJ66" s="1309"/>
      <c r="BK66" s="1309"/>
      <c r="BL66" s="1309"/>
      <c r="BM66" s="1309"/>
      <c r="BN66" s="1309"/>
      <c r="BO66" s="1309"/>
      <c r="BP66" s="1309"/>
      <c r="BQ66" s="1309"/>
      <c r="BR66" s="1309"/>
    </row>
    <row r="67" spans="1:70" ht="12.75" customHeight="1" x14ac:dyDescent="0.2">
      <c r="G67" s="1309"/>
      <c r="H67" s="1309"/>
      <c r="I67" s="1309"/>
      <c r="J67" s="1329"/>
      <c r="K67" s="1330">
        <f>K66+0.005</f>
        <v>4.9999999999999989E-2</v>
      </c>
      <c r="L67" s="1331">
        <f t="shared" si="32"/>
        <v>39208.919350080854</v>
      </c>
      <c r="M67" s="1332">
        <f t="shared" si="32"/>
        <v>25333.328424292842</v>
      </c>
      <c r="N67" s="1332">
        <f t="shared" si="32"/>
        <v>18317.447875296115</v>
      </c>
      <c r="O67" s="1332">
        <f t="shared" si="32"/>
        <v>14099.148936381282</v>
      </c>
      <c r="P67" s="1332">
        <f t="shared" si="32"/>
        <v>11294.110504328784</v>
      </c>
      <c r="Q67" s="1332">
        <f t="shared" si="32"/>
        <v>9301.4978153042539</v>
      </c>
      <c r="R67" s="1332">
        <f t="shared" si="32"/>
        <v>7818.4077925271731</v>
      </c>
      <c r="S67" s="1332">
        <f t="shared" si="32"/>
        <v>6675.5902400065406</v>
      </c>
      <c r="T67" s="1333">
        <f t="shared" si="32"/>
        <v>5771.0707246096335</v>
      </c>
      <c r="W67" s="1309"/>
      <c r="X67" s="1309"/>
      <c r="Y67" s="1309"/>
      <c r="Z67" s="1309"/>
      <c r="AA67" s="1309"/>
      <c r="AB67" s="1309"/>
      <c r="AC67" s="1309"/>
      <c r="AD67" s="1309"/>
      <c r="AE67" s="1309"/>
      <c r="AF67" s="1309"/>
      <c r="AG67" s="1309"/>
      <c r="AH67" s="1309"/>
      <c r="AI67" s="1309"/>
      <c r="AJ67" s="1309"/>
      <c r="AK67" s="1309"/>
      <c r="AL67" s="1309"/>
      <c r="AM67" s="1309"/>
      <c r="AN67" s="1309"/>
      <c r="AO67" s="1309"/>
      <c r="AP67" s="1309"/>
      <c r="AQ67" s="1309"/>
      <c r="AR67" s="1309"/>
      <c r="AS67" s="1309"/>
      <c r="AT67" s="1309"/>
      <c r="AU67" s="1309"/>
      <c r="AV67" s="1309"/>
      <c r="AW67" s="1309"/>
      <c r="AX67" s="1309"/>
      <c r="AY67" s="1309"/>
      <c r="AZ67" s="1309"/>
      <c r="BA67" s="1309"/>
      <c r="BB67" s="1309"/>
      <c r="BC67" s="1309"/>
      <c r="BD67" s="1309"/>
      <c r="BE67" s="1309"/>
      <c r="BF67" s="1309"/>
      <c r="BG67" s="1309"/>
      <c r="BH67" s="1309"/>
      <c r="BI67" s="1309"/>
      <c r="BJ67" s="1309"/>
      <c r="BK67" s="1309"/>
      <c r="BL67" s="1309"/>
      <c r="BM67" s="1309"/>
      <c r="BN67" s="1309"/>
      <c r="BO67" s="1309"/>
      <c r="BP67" s="1309"/>
      <c r="BQ67" s="1309"/>
      <c r="BR67" s="1309"/>
    </row>
    <row r="68" spans="1:70" ht="12.75" customHeight="1" x14ac:dyDescent="0.2">
      <c r="G68" s="1309"/>
      <c r="H68" s="1309"/>
      <c r="I68" s="1309"/>
      <c r="J68" s="1309"/>
      <c r="K68" s="1335"/>
      <c r="L68" s="1309"/>
      <c r="M68" s="1309"/>
      <c r="N68" s="1309"/>
      <c r="O68" s="1309"/>
      <c r="P68" s="1309"/>
      <c r="Q68" s="1309"/>
      <c r="R68" s="1309"/>
      <c r="S68" s="1309"/>
      <c r="T68" s="1309"/>
      <c r="W68" s="1309"/>
      <c r="X68" s="1309"/>
      <c r="Y68" s="1309"/>
      <c r="Z68" s="1309"/>
      <c r="AA68" s="1309"/>
      <c r="AB68" s="1309"/>
      <c r="AC68" s="1309"/>
      <c r="AD68" s="1309"/>
      <c r="AE68" s="1309"/>
      <c r="AF68" s="1309"/>
      <c r="AG68" s="1309"/>
      <c r="AH68" s="1309"/>
      <c r="AI68" s="1309"/>
      <c r="AJ68" s="1309"/>
      <c r="AK68" s="1309"/>
      <c r="AL68" s="1309"/>
      <c r="AM68" s="1309"/>
      <c r="AN68" s="1309"/>
      <c r="AO68" s="1309"/>
      <c r="AP68" s="1309"/>
      <c r="AQ68" s="1309"/>
      <c r="AR68" s="1309"/>
      <c r="AS68" s="1309"/>
      <c r="AT68" s="1309"/>
      <c r="AU68" s="1309"/>
      <c r="AV68" s="1309"/>
      <c r="AW68" s="1309"/>
      <c r="AX68" s="1309"/>
      <c r="AY68" s="1309"/>
      <c r="AZ68" s="1309"/>
      <c r="BA68" s="1309"/>
      <c r="BB68" s="1309"/>
      <c r="BC68" s="1309"/>
      <c r="BD68" s="1309"/>
      <c r="BE68" s="1309"/>
      <c r="BF68" s="1309"/>
      <c r="BG68" s="1309"/>
      <c r="BH68" s="1309"/>
      <c r="BI68" s="1309"/>
      <c r="BJ68" s="1309"/>
      <c r="BK68" s="1309"/>
      <c r="BL68" s="1309"/>
      <c r="BM68" s="1309"/>
      <c r="BN68" s="1309"/>
      <c r="BO68" s="1309"/>
      <c r="BP68" s="1309"/>
      <c r="BQ68" s="1309"/>
      <c r="BR68" s="1309"/>
    </row>
    <row r="69" spans="1:70" ht="12.75" customHeight="1" x14ac:dyDescent="0.2">
      <c r="A69" s="1309"/>
      <c r="B69" s="1346"/>
      <c r="G69" s="1309"/>
      <c r="H69" s="1309"/>
      <c r="I69" s="1309"/>
      <c r="J69" s="1336" t="s">
        <v>298</v>
      </c>
      <c r="L69" s="1309"/>
      <c r="M69" s="1309"/>
      <c r="N69" s="1309"/>
      <c r="O69" s="1309"/>
      <c r="P69" s="1309"/>
      <c r="Q69" s="1309"/>
      <c r="R69" s="1309"/>
      <c r="S69" s="1309"/>
      <c r="T69" s="1309"/>
      <c r="W69" s="1309"/>
      <c r="X69" s="1309"/>
      <c r="Y69" s="1309"/>
      <c r="Z69" s="1309"/>
      <c r="AA69" s="1309"/>
      <c r="AB69" s="1309"/>
      <c r="AC69" s="1309"/>
      <c r="AD69" s="1309"/>
      <c r="AE69" s="1309"/>
      <c r="AF69" s="1309"/>
      <c r="AG69" s="1309"/>
      <c r="AH69" s="1309"/>
      <c r="AI69" s="1309"/>
      <c r="AJ69" s="1309"/>
      <c r="AK69" s="1309"/>
      <c r="AL69" s="1309"/>
      <c r="AM69" s="1309"/>
      <c r="AN69" s="1309"/>
      <c r="AO69" s="1309"/>
      <c r="AP69" s="1309"/>
      <c r="AQ69" s="1309"/>
      <c r="AR69" s="1309"/>
      <c r="AS69" s="1309"/>
      <c r="AT69" s="1309"/>
      <c r="AU69" s="1309"/>
      <c r="AV69" s="1309"/>
      <c r="AW69" s="1309"/>
      <c r="AX69" s="1309"/>
      <c r="AY69" s="1309"/>
      <c r="AZ69" s="1309"/>
      <c r="BA69" s="1309"/>
      <c r="BB69" s="1309"/>
      <c r="BC69" s="1309"/>
      <c r="BD69" s="1309"/>
      <c r="BE69" s="1309"/>
      <c r="BF69" s="1309"/>
      <c r="BG69" s="1309"/>
      <c r="BH69" s="1309"/>
      <c r="BI69" s="1309"/>
      <c r="BJ69" s="1309"/>
      <c r="BK69" s="1309"/>
      <c r="BL69" s="1309"/>
      <c r="BM69" s="1309"/>
      <c r="BN69" s="1309"/>
      <c r="BO69" s="1309"/>
      <c r="BP69" s="1309"/>
      <c r="BQ69" s="1309"/>
      <c r="BR69" s="1309"/>
    </row>
    <row r="70" spans="1:70" ht="12.75" customHeight="1" x14ac:dyDescent="0.2">
      <c r="G70" s="1309"/>
      <c r="H70" s="1309"/>
      <c r="I70" s="1309"/>
      <c r="J70" s="1315"/>
      <c r="K70" s="1337"/>
      <c r="L70" s="1317" t="s">
        <v>175</v>
      </c>
      <c r="M70" s="1317"/>
      <c r="N70" s="1317"/>
      <c r="O70" s="1317"/>
      <c r="P70" s="1317"/>
      <c r="Q70" s="1317"/>
      <c r="R70" s="1317"/>
      <c r="S70" s="1317"/>
      <c r="T70" s="1318"/>
      <c r="W70" s="1309"/>
      <c r="X70" s="1309"/>
      <c r="Y70" s="1309"/>
      <c r="Z70" s="1309"/>
      <c r="AA70" s="1309"/>
      <c r="AB70" s="1309"/>
      <c r="AC70" s="1309"/>
      <c r="AD70" s="1309"/>
      <c r="AE70" s="1309"/>
      <c r="AF70" s="1309"/>
      <c r="AG70" s="1309"/>
      <c r="AH70" s="1309"/>
      <c r="AI70" s="1309"/>
      <c r="AJ70" s="1309"/>
      <c r="AK70" s="1309"/>
      <c r="AL70" s="1309"/>
      <c r="AM70" s="1309"/>
      <c r="AN70" s="1309"/>
      <c r="AO70" s="1309"/>
      <c r="AP70" s="1309"/>
      <c r="AQ70" s="1309"/>
      <c r="AR70" s="1309"/>
      <c r="AS70" s="1309"/>
      <c r="AT70" s="1309"/>
      <c r="AU70" s="1309"/>
      <c r="AV70" s="1309"/>
      <c r="AW70" s="1309"/>
      <c r="AX70" s="1309"/>
      <c r="AY70" s="1309"/>
      <c r="AZ70" s="1309"/>
      <c r="BA70" s="1309"/>
      <c r="BB70" s="1309"/>
      <c r="BC70" s="1309"/>
      <c r="BD70" s="1309"/>
      <c r="BE70" s="1309"/>
      <c r="BF70" s="1309"/>
      <c r="BG70" s="1309"/>
      <c r="BH70" s="1309"/>
      <c r="BI70" s="1309"/>
      <c r="BJ70" s="1309"/>
      <c r="BK70" s="1309"/>
      <c r="BL70" s="1309"/>
      <c r="BM70" s="1309"/>
      <c r="BN70" s="1309"/>
      <c r="BO70" s="1309"/>
      <c r="BP70" s="1309"/>
      <c r="BQ70" s="1309"/>
      <c r="BR70" s="1309"/>
    </row>
    <row r="71" spans="1:70" ht="12.75" customHeight="1" x14ac:dyDescent="0.2">
      <c r="G71" s="1309"/>
      <c r="H71" s="1309"/>
      <c r="I71" s="1309"/>
      <c r="J71" s="1338"/>
      <c r="K71" s="1339"/>
      <c r="L71" s="1321">
        <f t="shared" ref="L71:T71" si="33">L58</f>
        <v>6.0339999999999984E-2</v>
      </c>
      <c r="M71" s="1321">
        <f t="shared" si="33"/>
        <v>6.5339999999999981E-2</v>
      </c>
      <c r="N71" s="1321">
        <f t="shared" si="33"/>
        <v>7.0339999999999986E-2</v>
      </c>
      <c r="O71" s="1321">
        <f t="shared" si="33"/>
        <v>7.533999999999999E-2</v>
      </c>
      <c r="P71" s="1322">
        <f t="shared" si="33"/>
        <v>8.0339999999999995E-2</v>
      </c>
      <c r="Q71" s="1321">
        <f t="shared" si="33"/>
        <v>8.5339999999999999E-2</v>
      </c>
      <c r="R71" s="1321">
        <f t="shared" si="33"/>
        <v>9.0340000000000004E-2</v>
      </c>
      <c r="S71" s="1321">
        <f t="shared" si="33"/>
        <v>9.5340000000000008E-2</v>
      </c>
      <c r="T71" s="1323">
        <f t="shared" si="33"/>
        <v>0.10034000000000001</v>
      </c>
      <c r="W71" s="1309"/>
      <c r="X71" s="1309"/>
      <c r="Y71" s="1309"/>
      <c r="Z71" s="1309"/>
      <c r="AA71" s="1309"/>
      <c r="AB71" s="1309"/>
      <c r="AC71" s="1309"/>
      <c r="AD71" s="1309"/>
      <c r="AE71" s="1309"/>
      <c r="AF71" s="1309"/>
      <c r="AG71" s="1309"/>
      <c r="AH71" s="1309"/>
      <c r="AI71" s="1309"/>
      <c r="AJ71" s="1309"/>
      <c r="AK71" s="1309"/>
      <c r="AL71" s="1309"/>
      <c r="AM71" s="1309"/>
      <c r="AN71" s="1309"/>
      <c r="AO71" s="1309"/>
      <c r="AP71" s="1309"/>
      <c r="AQ71" s="1309"/>
      <c r="AR71" s="1309"/>
      <c r="AS71" s="1309"/>
      <c r="AT71" s="1309"/>
      <c r="AU71" s="1309"/>
      <c r="AV71" s="1309"/>
      <c r="AW71" s="1309"/>
      <c r="AX71" s="1309"/>
      <c r="AY71" s="1309"/>
      <c r="AZ71" s="1309"/>
      <c r="BA71" s="1309"/>
      <c r="BB71" s="1309"/>
      <c r="BC71" s="1309"/>
      <c r="BD71" s="1309"/>
      <c r="BE71" s="1309"/>
      <c r="BF71" s="1309"/>
      <c r="BG71" s="1309"/>
      <c r="BH71" s="1309"/>
      <c r="BI71" s="1309"/>
      <c r="BJ71" s="1309"/>
      <c r="BK71" s="1309"/>
      <c r="BL71" s="1309"/>
      <c r="BM71" s="1309"/>
      <c r="BN71" s="1309"/>
      <c r="BO71" s="1309"/>
      <c r="BP71" s="1309"/>
      <c r="BQ71" s="1309"/>
      <c r="BR71" s="1309"/>
    </row>
    <row r="72" spans="1:70" ht="12.75" customHeight="1" x14ac:dyDescent="0.2">
      <c r="G72" s="1309"/>
      <c r="H72" s="1309"/>
      <c r="I72" s="1309"/>
      <c r="J72" s="1338"/>
      <c r="K72" s="1324">
        <f t="shared" ref="K72:K80" si="34">K59</f>
        <v>9.999999999999995E-3</v>
      </c>
      <c r="L72" s="1325">
        <f>SUM($B$21:$O$21)+L59</f>
        <v>11292.424616089002</v>
      </c>
      <c r="M72" s="1325">
        <f t="shared" ref="M72:T72" si="35">SUM($B$21:$O$21)+M59</f>
        <v>10261.069955681553</v>
      </c>
      <c r="N72" s="1325">
        <f t="shared" si="35"/>
        <v>9413.4101313717038</v>
      </c>
      <c r="O72" s="1325">
        <f t="shared" si="35"/>
        <v>8706.6825193760014</v>
      </c>
      <c r="P72" s="1325">
        <f t="shared" si="35"/>
        <v>8110.3133166639491</v>
      </c>
      <c r="Q72" s="1325">
        <f t="shared" si="35"/>
        <v>7601.8712902885554</v>
      </c>
      <c r="R72" s="1325">
        <f t="shared" si="35"/>
        <v>7164.5325465859387</v>
      </c>
      <c r="S72" s="1325">
        <f t="shared" si="35"/>
        <v>6785.4366082580882</v>
      </c>
      <c r="T72" s="1326">
        <f t="shared" si="35"/>
        <v>6454.5884787290042</v>
      </c>
      <c r="W72" s="1309"/>
      <c r="X72" s="1309"/>
      <c r="Y72" s="1309"/>
      <c r="Z72" s="1309"/>
      <c r="AA72" s="1309"/>
      <c r="AB72" s="1309"/>
      <c r="AC72" s="1309"/>
      <c r="AD72" s="1309"/>
      <c r="AE72" s="1309"/>
      <c r="AF72" s="1309"/>
      <c r="AG72" s="1309"/>
      <c r="AH72" s="1309"/>
      <c r="AI72" s="1309"/>
      <c r="AJ72" s="1309"/>
      <c r="AK72" s="1309"/>
      <c r="AL72" s="1309"/>
      <c r="AM72" s="1309"/>
      <c r="AN72" s="1309"/>
      <c r="AO72" s="1309"/>
      <c r="AP72" s="1309"/>
      <c r="AQ72" s="1309"/>
      <c r="AR72" s="1309"/>
      <c r="AS72" s="1309"/>
      <c r="AT72" s="1309"/>
      <c r="AU72" s="1309"/>
      <c r="AV72" s="1309"/>
      <c r="AW72" s="1309"/>
      <c r="AX72" s="1309"/>
      <c r="AY72" s="1309"/>
      <c r="AZ72" s="1309"/>
      <c r="BA72" s="1309"/>
      <c r="BB72" s="1309"/>
      <c r="BC72" s="1309"/>
      <c r="BD72" s="1309"/>
      <c r="BE72" s="1309"/>
      <c r="BF72" s="1309"/>
      <c r="BG72" s="1309"/>
      <c r="BH72" s="1309"/>
      <c r="BI72" s="1309"/>
      <c r="BJ72" s="1309"/>
      <c r="BK72" s="1309"/>
      <c r="BL72" s="1309"/>
      <c r="BM72" s="1309"/>
      <c r="BN72" s="1309"/>
      <c r="BO72" s="1309"/>
      <c r="BP72" s="1309"/>
      <c r="BQ72" s="1309"/>
      <c r="BR72" s="1309"/>
    </row>
    <row r="73" spans="1:70" ht="12.75" customHeight="1" x14ac:dyDescent="0.2">
      <c r="G73" s="1309"/>
      <c r="H73" s="1309"/>
      <c r="I73" s="1309"/>
      <c r="J73" s="1338"/>
      <c r="K73" s="1324">
        <f t="shared" si="34"/>
        <v>1.4999999999999996E-2</v>
      </c>
      <c r="L73" s="1325">
        <f t="shared" ref="L73:T73" si="36">SUM($B$21:$O$21)+L60</f>
        <v>12180.563099895011</v>
      </c>
      <c r="M73" s="1325">
        <f t="shared" si="36"/>
        <v>10958.555564615346</v>
      </c>
      <c r="N73" s="1325">
        <f t="shared" si="36"/>
        <v>9971.2909848624513</v>
      </c>
      <c r="O73" s="1325">
        <f t="shared" si="36"/>
        <v>9159.7731453653851</v>
      </c>
      <c r="P73" s="1325">
        <f t="shared" si="36"/>
        <v>8483.0963340903218</v>
      </c>
      <c r="Q73" s="1325">
        <f t="shared" si="36"/>
        <v>7912.0139150648165</v>
      </c>
      <c r="R73" s="1325">
        <f t="shared" si="36"/>
        <v>7425.0679661273389</v>
      </c>
      <c r="S73" s="1325">
        <f t="shared" si="36"/>
        <v>7006.1642509841258</v>
      </c>
      <c r="T73" s="1326">
        <f t="shared" si="36"/>
        <v>6642.9997532657326</v>
      </c>
      <c r="W73" s="1309"/>
      <c r="X73" s="1309"/>
      <c r="Y73" s="1309"/>
      <c r="Z73" s="1309"/>
      <c r="AA73" s="1309"/>
      <c r="AB73" s="1309"/>
      <c r="AC73" s="1309"/>
      <c r="AD73" s="1309"/>
      <c r="AE73" s="1309"/>
      <c r="AF73" s="1309"/>
      <c r="AG73" s="1309"/>
      <c r="AH73" s="1309"/>
      <c r="AI73" s="1309"/>
      <c r="AJ73" s="1309"/>
      <c r="AK73" s="1309"/>
      <c r="AL73" s="1309"/>
      <c r="AM73" s="1309"/>
      <c r="AN73" s="1309"/>
      <c r="AO73" s="1309"/>
      <c r="AP73" s="1309"/>
      <c r="AQ73" s="1309"/>
      <c r="AR73" s="1309"/>
      <c r="AS73" s="1309"/>
      <c r="AT73" s="1309"/>
      <c r="AU73" s="1309"/>
      <c r="AV73" s="1309"/>
      <c r="AW73" s="1309"/>
      <c r="AX73" s="1309"/>
      <c r="AY73" s="1309"/>
      <c r="AZ73" s="1309"/>
      <c r="BA73" s="1309"/>
      <c r="BB73" s="1309"/>
      <c r="BC73" s="1309"/>
      <c r="BD73" s="1309"/>
      <c r="BE73" s="1309"/>
      <c r="BF73" s="1309"/>
      <c r="BG73" s="1309"/>
      <c r="BH73" s="1309"/>
      <c r="BI73" s="1309"/>
      <c r="BJ73" s="1309"/>
      <c r="BK73" s="1309"/>
      <c r="BL73" s="1309"/>
      <c r="BM73" s="1309"/>
      <c r="BN73" s="1309"/>
      <c r="BO73" s="1309"/>
      <c r="BP73" s="1309"/>
      <c r="BQ73" s="1309"/>
      <c r="BR73" s="1309"/>
    </row>
    <row r="74" spans="1:70" ht="12.75" customHeight="1" x14ac:dyDescent="0.2">
      <c r="G74" s="1309"/>
      <c r="H74" s="1309"/>
      <c r="I74" s="1309"/>
      <c r="J74" s="1338" t="s">
        <v>295</v>
      </c>
      <c r="K74" s="1324">
        <f t="shared" si="34"/>
        <v>1.9999999999999997E-2</v>
      </c>
      <c r="L74" s="1325">
        <f t="shared" ref="L74:T74" si="37">SUM($B$21:$O$21)+L61</f>
        <v>13288.864817168051</v>
      </c>
      <c r="M74" s="1325">
        <f t="shared" si="37"/>
        <v>11809.875670446756</v>
      </c>
      <c r="N74" s="1325">
        <f t="shared" si="37"/>
        <v>10639.994415526566</v>
      </c>
      <c r="O74" s="1325">
        <f t="shared" si="37"/>
        <v>9694.737755089749</v>
      </c>
      <c r="P74" s="1325">
        <f t="shared" si="37"/>
        <v>8917.6597654090328</v>
      </c>
      <c r="Q74" s="1325">
        <f t="shared" si="37"/>
        <v>8269.6225062898466</v>
      </c>
      <c r="R74" s="1325">
        <f t="shared" si="37"/>
        <v>7722.6428254670609</v>
      </c>
      <c r="S74" s="1325">
        <f t="shared" si="37"/>
        <v>7256.1894305731876</v>
      </c>
      <c r="T74" s="1326">
        <f t="shared" si="37"/>
        <v>6854.8627672269977</v>
      </c>
      <c r="W74" s="1309"/>
      <c r="X74" s="1309"/>
      <c r="Y74" s="1309"/>
      <c r="Z74" s="1309"/>
      <c r="AA74" s="1309"/>
      <c r="AB74" s="1309"/>
      <c r="AC74" s="1309"/>
      <c r="AD74" s="1309"/>
      <c r="AE74" s="1309"/>
      <c r="AF74" s="1309"/>
      <c r="AG74" s="1309"/>
      <c r="AH74" s="1309"/>
      <c r="AI74" s="1309"/>
      <c r="AJ74" s="1309"/>
      <c r="AK74" s="1309"/>
      <c r="AL74" s="1309"/>
      <c r="AM74" s="1309"/>
      <c r="AN74" s="1309"/>
      <c r="AO74" s="1309"/>
      <c r="AP74" s="1309"/>
      <c r="AQ74" s="1309"/>
      <c r="AR74" s="1309"/>
      <c r="AS74" s="1309"/>
      <c r="AT74" s="1309"/>
      <c r="AU74" s="1309"/>
      <c r="AV74" s="1309"/>
      <c r="AW74" s="1309"/>
      <c r="AX74" s="1309"/>
      <c r="AY74" s="1309"/>
      <c r="AZ74" s="1309"/>
      <c r="BA74" s="1309"/>
      <c r="BB74" s="1309"/>
      <c r="BC74" s="1309"/>
      <c r="BD74" s="1309"/>
      <c r="BE74" s="1309"/>
      <c r="BF74" s="1309"/>
      <c r="BG74" s="1309"/>
      <c r="BH74" s="1309"/>
      <c r="BI74" s="1309"/>
      <c r="BJ74" s="1309"/>
      <c r="BK74" s="1309"/>
      <c r="BL74" s="1309"/>
      <c r="BM74" s="1309"/>
      <c r="BN74" s="1309"/>
      <c r="BO74" s="1309"/>
      <c r="BP74" s="1309"/>
      <c r="BQ74" s="1309"/>
      <c r="BR74" s="1309"/>
    </row>
    <row r="75" spans="1:70" ht="12.75" customHeight="1" x14ac:dyDescent="0.2">
      <c r="G75" s="1309"/>
      <c r="H75" s="1309"/>
      <c r="I75" s="1309"/>
      <c r="J75" s="1338" t="s">
        <v>296</v>
      </c>
      <c r="K75" s="1324">
        <f t="shared" si="34"/>
        <v>2.4999999999999998E-2</v>
      </c>
      <c r="L75" s="1325">
        <f t="shared" ref="L75:T75" si="38">SUM($B$21:$O$21)+L62</f>
        <v>14710.777659872059</v>
      </c>
      <c r="M75" s="1325">
        <f t="shared" si="38"/>
        <v>12872.231994877922</v>
      </c>
      <c r="N75" s="1325">
        <f t="shared" si="38"/>
        <v>11456.184266716515</v>
      </c>
      <c r="O75" s="1325">
        <f t="shared" si="38"/>
        <v>10335.972648827694</v>
      </c>
      <c r="P75" s="1325">
        <f t="shared" si="38"/>
        <v>9430.7492956288461</v>
      </c>
      <c r="Q75" s="1325">
        <f t="shared" si="38"/>
        <v>8686.4966910225048</v>
      </c>
      <c r="R75" s="1325">
        <f t="shared" si="38"/>
        <v>8065.7602099582564</v>
      </c>
      <c r="S75" s="1325">
        <f t="shared" si="38"/>
        <v>7541.7598446787524</v>
      </c>
      <c r="T75" s="1326">
        <f t="shared" si="38"/>
        <v>7094.846701544152</v>
      </c>
      <c r="W75" s="1309"/>
      <c r="X75" s="1309"/>
      <c r="Y75" s="1309"/>
      <c r="Z75" s="1309"/>
      <c r="AA75" s="1309"/>
      <c r="AB75" s="1309"/>
      <c r="AC75" s="1309"/>
      <c r="AD75" s="1309"/>
      <c r="AE75" s="1309"/>
      <c r="AF75" s="1309"/>
      <c r="AG75" s="1309"/>
      <c r="AH75" s="1309"/>
      <c r="AI75" s="1309"/>
      <c r="AJ75" s="1309"/>
      <c r="AK75" s="1309"/>
      <c r="AL75" s="1309"/>
      <c r="AM75" s="1309"/>
      <c r="AN75" s="1309"/>
      <c r="AO75" s="1309"/>
      <c r="AP75" s="1309"/>
      <c r="AQ75" s="1309"/>
      <c r="AR75" s="1309"/>
      <c r="AS75" s="1309"/>
      <c r="AT75" s="1309"/>
      <c r="AU75" s="1309"/>
      <c r="AV75" s="1309"/>
      <c r="AW75" s="1309"/>
      <c r="AX75" s="1309"/>
      <c r="AY75" s="1309"/>
      <c r="AZ75" s="1309"/>
      <c r="BA75" s="1309"/>
      <c r="BB75" s="1309"/>
      <c r="BC75" s="1309"/>
      <c r="BD75" s="1309"/>
      <c r="BE75" s="1309"/>
      <c r="BF75" s="1309"/>
      <c r="BG75" s="1309"/>
      <c r="BH75" s="1309"/>
      <c r="BI75" s="1309"/>
      <c r="BJ75" s="1309"/>
      <c r="BK75" s="1309"/>
      <c r="BL75" s="1309"/>
      <c r="BM75" s="1309"/>
      <c r="BN75" s="1309"/>
      <c r="BO75" s="1309"/>
      <c r="BP75" s="1309"/>
      <c r="BQ75" s="1309"/>
      <c r="BR75" s="1309"/>
    </row>
    <row r="76" spans="1:70" ht="12.75" customHeight="1" x14ac:dyDescent="0.2">
      <c r="G76" s="1309"/>
      <c r="H76" s="1309"/>
      <c r="I76" s="1309"/>
      <c r="J76" s="1338" t="s">
        <v>194</v>
      </c>
      <c r="K76" s="1327">
        <f t="shared" si="34"/>
        <v>0.03</v>
      </c>
      <c r="L76" s="1325">
        <f t="shared" ref="L76:T76" si="39">SUM($B$21:$O$21)+L63</f>
        <v>16601.34997611068</v>
      </c>
      <c r="M76" s="1325">
        <f t="shared" si="39"/>
        <v>14235.198484682929</v>
      </c>
      <c r="N76" s="1325">
        <f t="shared" si="39"/>
        <v>12474.701795444875</v>
      </c>
      <c r="O76" s="1325">
        <f t="shared" si="39"/>
        <v>11118.635617937925</v>
      </c>
      <c r="P76" s="1328">
        <f t="shared" si="39"/>
        <v>10045.763643135077</v>
      </c>
      <c r="Q76" s="1325">
        <f t="shared" si="39"/>
        <v>9178.7005079800765</v>
      </c>
      <c r="R76" s="1325">
        <f t="shared" si="39"/>
        <v>8465.741595856678</v>
      </c>
      <c r="S76" s="1325">
        <f t="shared" si="39"/>
        <v>7871.0355563211324</v>
      </c>
      <c r="T76" s="1326">
        <f t="shared" si="39"/>
        <v>7368.9483404841603</v>
      </c>
      <c r="W76" s="1309"/>
      <c r="X76" s="1309"/>
      <c r="Y76" s="1309"/>
      <c r="Z76" s="1309"/>
      <c r="AA76" s="1309"/>
      <c r="AB76" s="1309"/>
      <c r="AC76" s="1309"/>
      <c r="AD76" s="1309"/>
      <c r="AE76" s="1309"/>
      <c r="AF76" s="1309"/>
      <c r="AG76" s="1309"/>
      <c r="AH76" s="1309"/>
      <c r="AI76" s="1309"/>
      <c r="AJ76" s="1309"/>
      <c r="AK76" s="1309"/>
      <c r="AL76" s="1309"/>
      <c r="AM76" s="1309"/>
      <c r="AN76" s="1309"/>
      <c r="AO76" s="1309"/>
      <c r="AP76" s="1309"/>
      <c r="AQ76" s="1309"/>
      <c r="AR76" s="1309"/>
      <c r="AS76" s="1309"/>
      <c r="AT76" s="1309"/>
      <c r="AU76" s="1309"/>
      <c r="AV76" s="1309"/>
      <c r="AW76" s="1309"/>
      <c r="AX76" s="1309"/>
      <c r="AY76" s="1309"/>
      <c r="AZ76" s="1309"/>
      <c r="BA76" s="1309"/>
      <c r="BB76" s="1309"/>
      <c r="BC76" s="1309"/>
      <c r="BD76" s="1309"/>
      <c r="BE76" s="1309"/>
      <c r="BF76" s="1309"/>
      <c r="BG76" s="1309"/>
      <c r="BH76" s="1309"/>
      <c r="BI76" s="1309"/>
      <c r="BJ76" s="1309"/>
      <c r="BK76" s="1309"/>
      <c r="BL76" s="1309"/>
      <c r="BM76" s="1309"/>
      <c r="BN76" s="1309"/>
      <c r="BO76" s="1309"/>
      <c r="BP76" s="1309"/>
      <c r="BQ76" s="1309"/>
      <c r="BR76" s="1309"/>
    </row>
    <row r="77" spans="1:70" ht="12.75" customHeight="1" x14ac:dyDescent="0.2">
      <c r="G77" s="1309"/>
      <c r="H77" s="1309"/>
      <c r="I77" s="1309"/>
      <c r="J77" s="1338"/>
      <c r="K77" s="1324">
        <f t="shared" si="34"/>
        <v>3.4999999999999996E-2</v>
      </c>
      <c r="L77" s="1325">
        <f t="shared" ref="L77:T77" si="40">SUM($B$21:$O$21)+L64</f>
        <v>19238.004500809686</v>
      </c>
      <c r="M77" s="1325">
        <f t="shared" si="40"/>
        <v>16047.395854450038</v>
      </c>
      <c r="N77" s="1325">
        <f t="shared" si="40"/>
        <v>13781.424623756808</v>
      </c>
      <c r="O77" s="1325">
        <f t="shared" si="40"/>
        <v>12095.315188215787</v>
      </c>
      <c r="P77" s="1325">
        <f t="shared" si="40"/>
        <v>10796.422972446828</v>
      </c>
      <c r="Q77" s="1325">
        <f t="shared" si="40"/>
        <v>9768.6802122951285</v>
      </c>
      <c r="R77" s="1325">
        <f t="shared" si="40"/>
        <v>8938.000066304865</v>
      </c>
      <c r="S77" s="1325">
        <f t="shared" si="40"/>
        <v>8254.8813229257903</v>
      </c>
      <c r="T77" s="1326">
        <f t="shared" si="40"/>
        <v>7685.000031297448</v>
      </c>
      <c r="W77" s="1309"/>
      <c r="X77" s="1309"/>
      <c r="Y77" s="1309"/>
      <c r="Z77" s="1309"/>
      <c r="AA77" s="1309"/>
      <c r="AB77" s="1309"/>
      <c r="AC77" s="1309"/>
      <c r="AD77" s="1309"/>
      <c r="AE77" s="1309"/>
      <c r="AF77" s="1309"/>
      <c r="AG77" s="1309"/>
      <c r="AH77" s="1309"/>
      <c r="AI77" s="1309"/>
      <c r="AJ77" s="1309"/>
      <c r="AK77" s="1309"/>
      <c r="AL77" s="1309"/>
      <c r="AM77" s="1309"/>
      <c r="AN77" s="1309"/>
      <c r="AO77" s="1309"/>
      <c r="AP77" s="1309"/>
      <c r="AQ77" s="1309"/>
      <c r="AR77" s="1309"/>
      <c r="AS77" s="1309"/>
      <c r="AT77" s="1309"/>
      <c r="AU77" s="1309"/>
      <c r="AV77" s="1309"/>
      <c r="AW77" s="1309"/>
      <c r="AX77" s="1309"/>
      <c r="AY77" s="1309"/>
      <c r="AZ77" s="1309"/>
      <c r="BA77" s="1309"/>
      <c r="BB77" s="1309"/>
      <c r="BC77" s="1309"/>
      <c r="BD77" s="1309"/>
      <c r="BE77" s="1309"/>
      <c r="BF77" s="1309"/>
      <c r="BG77" s="1309"/>
      <c r="BH77" s="1309"/>
      <c r="BI77" s="1309"/>
      <c r="BJ77" s="1309"/>
      <c r="BK77" s="1309"/>
      <c r="BL77" s="1309"/>
      <c r="BM77" s="1309"/>
      <c r="BN77" s="1309"/>
      <c r="BO77" s="1309"/>
      <c r="BP77" s="1309"/>
      <c r="BQ77" s="1309"/>
      <c r="BR77" s="1309"/>
    </row>
    <row r="78" spans="1:70" ht="12.75" customHeight="1" x14ac:dyDescent="0.2">
      <c r="A78" s="1309"/>
      <c r="B78" s="1309"/>
      <c r="G78" s="1309"/>
      <c r="H78" s="1309"/>
      <c r="I78" s="1309"/>
      <c r="J78" s="1338"/>
      <c r="K78" s="1324">
        <f t="shared" si="34"/>
        <v>3.9999999999999994E-2</v>
      </c>
      <c r="L78" s="1325">
        <f t="shared" ref="L78:T78" si="41">SUM($B$21:$O$21)+L65</f>
        <v>23170.949352302694</v>
      </c>
      <c r="M78" s="1325">
        <f t="shared" si="41"/>
        <v>18574.746093107085</v>
      </c>
      <c r="N78" s="1325">
        <f t="shared" si="41"/>
        <v>15518.840539844594</v>
      </c>
      <c r="O78" s="1325">
        <f t="shared" si="41"/>
        <v>13348.361360156883</v>
      </c>
      <c r="P78" s="1325">
        <f t="shared" si="41"/>
        <v>11733.165427517564</v>
      </c>
      <c r="Q78" s="1325">
        <f t="shared" si="41"/>
        <v>10488.783362643495</v>
      </c>
      <c r="R78" s="1325">
        <f t="shared" si="41"/>
        <v>9504.0722972711683</v>
      </c>
      <c r="S78" s="1325">
        <f t="shared" si="41"/>
        <v>8708.0884495963419</v>
      </c>
      <c r="T78" s="1326">
        <f t="shared" si="41"/>
        <v>8053.4301925802874</v>
      </c>
      <c r="W78" s="1309"/>
      <c r="X78" s="1309"/>
      <c r="Y78" s="1309"/>
      <c r="Z78" s="1309"/>
      <c r="AA78" s="1309"/>
      <c r="AB78" s="1309"/>
      <c r="AC78" s="1309"/>
      <c r="AD78" s="1309"/>
      <c r="AE78" s="1309"/>
      <c r="AF78" s="1309"/>
      <c r="AG78" s="1309"/>
      <c r="AH78" s="1309"/>
      <c r="AI78" s="1309"/>
      <c r="AJ78" s="1309"/>
      <c r="AK78" s="1309"/>
      <c r="AL78" s="1309"/>
      <c r="AM78" s="1309"/>
      <c r="AN78" s="1309"/>
      <c r="AO78" s="1309"/>
      <c r="AP78" s="1309"/>
      <c r="AQ78" s="1309"/>
      <c r="AR78" s="1309"/>
      <c r="AS78" s="1309"/>
      <c r="AT78" s="1309"/>
      <c r="AU78" s="1309"/>
      <c r="AV78" s="1309"/>
      <c r="AW78" s="1309"/>
      <c r="AX78" s="1309"/>
      <c r="AY78" s="1309"/>
      <c r="AZ78" s="1309"/>
      <c r="BA78" s="1309"/>
      <c r="BB78" s="1309"/>
      <c r="BC78" s="1309"/>
      <c r="BD78" s="1309"/>
      <c r="BE78" s="1309"/>
      <c r="BF78" s="1309"/>
      <c r="BG78" s="1309"/>
      <c r="BH78" s="1309"/>
      <c r="BI78" s="1309"/>
      <c r="BJ78" s="1309"/>
      <c r="BK78" s="1309"/>
      <c r="BL78" s="1309"/>
      <c r="BM78" s="1309"/>
      <c r="BN78" s="1309"/>
      <c r="BO78" s="1309"/>
      <c r="BP78" s="1309"/>
      <c r="BQ78" s="1309"/>
      <c r="BR78" s="1309"/>
    </row>
    <row r="79" spans="1:70" ht="12.75" customHeight="1" x14ac:dyDescent="0.2">
      <c r="A79" s="1309"/>
      <c r="B79" s="1309"/>
      <c r="G79" s="1309"/>
      <c r="H79" s="1309"/>
      <c r="I79" s="1309"/>
      <c r="J79" s="1338"/>
      <c r="K79" s="1324">
        <f t="shared" si="34"/>
        <v>4.4999999999999991E-2</v>
      </c>
      <c r="L79" s="1325">
        <f t="shared" ref="L79:T79" si="42">SUM($B$21:$O$21)+L66</f>
        <v>29667.743520283973</v>
      </c>
      <c r="M79" s="1325">
        <f t="shared" si="42"/>
        <v>22344.648071516858</v>
      </c>
      <c r="N79" s="1325">
        <f t="shared" si="42"/>
        <v>17941.898096061734</v>
      </c>
      <c r="O79" s="1325">
        <f t="shared" si="42"/>
        <v>15014.408907160963</v>
      </c>
      <c r="P79" s="1325">
        <f t="shared" si="42"/>
        <v>12934.973659348554</v>
      </c>
      <c r="Q79" s="1325">
        <f t="shared" si="42"/>
        <v>11387.394978621109</v>
      </c>
      <c r="R79" s="1325">
        <f t="shared" si="42"/>
        <v>10194.99504234561</v>
      </c>
      <c r="S79" s="1325">
        <f t="shared" si="42"/>
        <v>9251.3248028601702</v>
      </c>
      <c r="T79" s="1326">
        <f t="shared" si="42"/>
        <v>8488.4360967765442</v>
      </c>
      <c r="W79" s="1309"/>
      <c r="X79" s="1309"/>
      <c r="Y79" s="1309"/>
      <c r="Z79" s="1309"/>
      <c r="AA79" s="1309"/>
      <c r="AB79" s="1309"/>
      <c r="AC79" s="1309"/>
      <c r="AD79" s="1309"/>
      <c r="AE79" s="1309"/>
      <c r="AF79" s="1309"/>
      <c r="AG79" s="1309"/>
      <c r="AH79" s="1309"/>
      <c r="AI79" s="1309"/>
      <c r="AJ79" s="1309"/>
      <c r="AK79" s="1309"/>
      <c r="AL79" s="1309"/>
      <c r="AM79" s="1309"/>
      <c r="AN79" s="1309"/>
      <c r="AO79" s="1309"/>
      <c r="AP79" s="1309"/>
      <c r="AQ79" s="1309"/>
      <c r="AR79" s="1309"/>
      <c r="AS79" s="1309"/>
      <c r="AT79" s="1309"/>
      <c r="AU79" s="1309"/>
      <c r="AV79" s="1309"/>
      <c r="AW79" s="1309"/>
      <c r="AX79" s="1309"/>
      <c r="AY79" s="1309"/>
      <c r="AZ79" s="1309"/>
      <c r="BA79" s="1309"/>
      <c r="BB79" s="1309"/>
      <c r="BC79" s="1309"/>
      <c r="BD79" s="1309"/>
      <c r="BE79" s="1309"/>
      <c r="BF79" s="1309"/>
      <c r="BG79" s="1309"/>
      <c r="BH79" s="1309"/>
      <c r="BI79" s="1309"/>
      <c r="BJ79" s="1309"/>
      <c r="BK79" s="1309"/>
      <c r="BL79" s="1309"/>
      <c r="BM79" s="1309"/>
      <c r="BN79" s="1309"/>
      <c r="BO79" s="1309"/>
      <c r="BP79" s="1309"/>
      <c r="BQ79" s="1309"/>
      <c r="BR79" s="1309"/>
    </row>
    <row r="80" spans="1:70" ht="12.75" customHeight="1" x14ac:dyDescent="0.2">
      <c r="A80" s="1309"/>
      <c r="B80" s="1309"/>
      <c r="G80" s="1309"/>
      <c r="H80" s="1309"/>
      <c r="I80" s="1309"/>
      <c r="J80" s="1329"/>
      <c r="K80" s="1330">
        <f t="shared" si="34"/>
        <v>4.9999999999999989E-2</v>
      </c>
      <c r="L80" s="1332">
        <f t="shared" ref="L80:T80" si="43">SUM($B$21:$O$21)+L67</f>
        <v>42447.704195016973</v>
      </c>
      <c r="M80" s="1332">
        <f t="shared" si="43"/>
        <v>28572.113269228965</v>
      </c>
      <c r="N80" s="1332">
        <f t="shared" si="43"/>
        <v>21556.232720232238</v>
      </c>
      <c r="O80" s="1332">
        <f t="shared" si="43"/>
        <v>17337.933781317402</v>
      </c>
      <c r="P80" s="1332">
        <f t="shared" si="43"/>
        <v>14532.895349264905</v>
      </c>
      <c r="Q80" s="1332">
        <f t="shared" si="43"/>
        <v>12540.282660240377</v>
      </c>
      <c r="R80" s="1332">
        <f t="shared" si="43"/>
        <v>11057.192637463295</v>
      </c>
      <c r="S80" s="1332">
        <f t="shared" si="43"/>
        <v>9914.3750849426615</v>
      </c>
      <c r="T80" s="1333">
        <f t="shared" si="43"/>
        <v>9009.8555695457544</v>
      </c>
      <c r="W80" s="1309"/>
      <c r="X80" s="1309"/>
      <c r="Y80" s="1309"/>
      <c r="Z80" s="1309"/>
      <c r="AA80" s="1309"/>
      <c r="AB80" s="1309"/>
      <c r="AC80" s="1309"/>
      <c r="AD80" s="1309"/>
      <c r="AE80" s="1309"/>
      <c r="AF80" s="1309"/>
      <c r="AG80" s="1309"/>
      <c r="AH80" s="1309"/>
      <c r="AI80" s="1309"/>
      <c r="AJ80" s="1309"/>
      <c r="AK80" s="1309"/>
      <c r="AL80" s="1309"/>
      <c r="AM80" s="1309"/>
      <c r="AN80" s="1309"/>
      <c r="AO80" s="1309"/>
      <c r="AP80" s="1309"/>
      <c r="AQ80" s="1309"/>
      <c r="AR80" s="1309"/>
      <c r="AS80" s="1309"/>
      <c r="AT80" s="1309"/>
      <c r="AU80" s="1309"/>
      <c r="AV80" s="1309"/>
      <c r="AW80" s="1309"/>
      <c r="AX80" s="1309"/>
      <c r="AY80" s="1309"/>
      <c r="AZ80" s="1309"/>
      <c r="BA80" s="1309"/>
      <c r="BB80" s="1309"/>
      <c r="BC80" s="1309"/>
      <c r="BD80" s="1309"/>
      <c r="BE80" s="1309"/>
      <c r="BF80" s="1309"/>
      <c r="BG80" s="1309"/>
      <c r="BH80" s="1309"/>
      <c r="BI80" s="1309"/>
      <c r="BJ80" s="1309"/>
      <c r="BK80" s="1309"/>
      <c r="BL80" s="1309"/>
      <c r="BM80" s="1309"/>
      <c r="BN80" s="1309"/>
      <c r="BO80" s="1309"/>
      <c r="BP80" s="1309"/>
      <c r="BQ80" s="1309"/>
      <c r="BR80" s="1309"/>
    </row>
    <row r="81" spans="1:70" ht="12.75" customHeight="1" x14ac:dyDescent="0.2">
      <c r="G81" s="1309"/>
      <c r="H81" s="1309"/>
      <c r="I81" s="1309"/>
      <c r="W81" s="1309"/>
      <c r="X81" s="1309"/>
      <c r="Y81" s="1309"/>
      <c r="Z81" s="1309"/>
      <c r="AA81" s="1309"/>
      <c r="AB81" s="1309"/>
      <c r="AC81" s="1309"/>
      <c r="AD81" s="1309"/>
      <c r="AE81" s="1309"/>
      <c r="AF81" s="1309"/>
      <c r="AG81" s="1309"/>
      <c r="AH81" s="1309"/>
      <c r="AI81" s="1309"/>
      <c r="AJ81" s="1309"/>
      <c r="AK81" s="1309"/>
      <c r="AL81" s="1309"/>
      <c r="AM81" s="1309"/>
      <c r="AN81" s="1309"/>
      <c r="AO81" s="1309"/>
      <c r="AP81" s="1309"/>
      <c r="AQ81" s="1309"/>
      <c r="AR81" s="1309"/>
      <c r="AS81" s="1309"/>
      <c r="AT81" s="1309"/>
      <c r="AU81" s="1309"/>
      <c r="AV81" s="1309"/>
      <c r="AW81" s="1309"/>
      <c r="AX81" s="1309"/>
      <c r="AY81" s="1309"/>
      <c r="AZ81" s="1309"/>
      <c r="BA81" s="1309"/>
      <c r="BB81" s="1309"/>
      <c r="BC81" s="1309"/>
      <c r="BD81" s="1309"/>
      <c r="BE81" s="1309"/>
      <c r="BF81" s="1309"/>
      <c r="BG81" s="1309"/>
      <c r="BH81" s="1309"/>
      <c r="BI81" s="1309"/>
      <c r="BJ81" s="1309"/>
      <c r="BK81" s="1309"/>
      <c r="BL81" s="1309"/>
      <c r="BM81" s="1309"/>
      <c r="BN81" s="1309"/>
      <c r="BO81" s="1309"/>
      <c r="BP81" s="1309"/>
      <c r="BQ81" s="1309"/>
      <c r="BR81" s="1309"/>
    </row>
    <row r="82" spans="1:70" ht="12.75" customHeight="1" x14ac:dyDescent="0.2">
      <c r="G82" s="1309"/>
      <c r="H82" s="1309"/>
      <c r="I82" s="1309"/>
      <c r="W82" s="1309"/>
      <c r="X82" s="1309"/>
      <c r="Y82" s="1309"/>
      <c r="Z82" s="1309"/>
      <c r="AA82" s="1309"/>
      <c r="AB82" s="1309"/>
      <c r="AC82" s="1309"/>
      <c r="AD82" s="1309"/>
      <c r="AE82" s="1309"/>
      <c r="AF82" s="1309"/>
      <c r="AG82" s="1309"/>
      <c r="AH82" s="1309"/>
      <c r="AI82" s="1309"/>
      <c r="AJ82" s="1309"/>
      <c r="AK82" s="1309"/>
      <c r="AL82" s="1309"/>
      <c r="AM82" s="1309"/>
      <c r="AN82" s="1309"/>
      <c r="AO82" s="1309"/>
      <c r="AP82" s="1309"/>
      <c r="AQ82" s="1309"/>
      <c r="AR82" s="1309"/>
      <c r="AS82" s="1309"/>
      <c r="AT82" s="1309"/>
      <c r="AU82" s="1309"/>
      <c r="AV82" s="1309"/>
      <c r="AW82" s="1309"/>
      <c r="AX82" s="1309"/>
      <c r="AY82" s="1309"/>
      <c r="AZ82" s="1309"/>
      <c r="BA82" s="1309"/>
      <c r="BB82" s="1309"/>
      <c r="BC82" s="1309"/>
      <c r="BD82" s="1309"/>
      <c r="BE82" s="1309"/>
      <c r="BF82" s="1309"/>
      <c r="BG82" s="1309"/>
      <c r="BH82" s="1309"/>
      <c r="BI82" s="1309"/>
      <c r="BJ82" s="1309"/>
      <c r="BK82" s="1309"/>
      <c r="BL82" s="1309"/>
      <c r="BM82" s="1309"/>
      <c r="BN82" s="1309"/>
      <c r="BO82" s="1309"/>
      <c r="BP82" s="1309"/>
      <c r="BQ82" s="1309"/>
      <c r="BR82" s="1309"/>
    </row>
    <row r="83" spans="1:70" ht="12.75" customHeight="1" x14ac:dyDescent="0.2">
      <c r="C83" s="1309"/>
      <c r="D83" s="1309"/>
      <c r="E83" s="1309"/>
      <c r="F83" s="1309"/>
      <c r="G83" s="1309"/>
      <c r="H83" s="1309"/>
      <c r="I83" s="1309"/>
      <c r="W83" s="1309"/>
      <c r="X83" s="1309"/>
      <c r="Y83" s="1309"/>
      <c r="Z83" s="1309"/>
      <c r="AA83" s="1309"/>
      <c r="AB83" s="1309"/>
      <c r="AC83" s="1309"/>
      <c r="AD83" s="1309"/>
      <c r="AE83" s="1309"/>
      <c r="AF83" s="1309"/>
      <c r="AG83" s="1309"/>
      <c r="AH83" s="1309"/>
      <c r="AI83" s="1309"/>
      <c r="AJ83" s="1309"/>
      <c r="AK83" s="1309"/>
      <c r="AL83" s="1309"/>
      <c r="AM83" s="1309"/>
      <c r="AN83" s="1309"/>
      <c r="AO83" s="1309"/>
      <c r="AP83" s="1309"/>
      <c r="AQ83" s="1309"/>
      <c r="AR83" s="1309"/>
      <c r="AS83" s="1309"/>
      <c r="AT83" s="1309"/>
      <c r="AU83" s="1309"/>
      <c r="AV83" s="1309"/>
      <c r="AW83" s="1309"/>
      <c r="AX83" s="1309"/>
      <c r="AY83" s="1309"/>
      <c r="AZ83" s="1309"/>
      <c r="BA83" s="1309"/>
      <c r="BB83" s="1309"/>
      <c r="BC83" s="1309"/>
      <c r="BD83" s="1309"/>
      <c r="BE83" s="1309"/>
      <c r="BF83" s="1309"/>
      <c r="BG83" s="1309"/>
      <c r="BH83" s="1309"/>
      <c r="BI83" s="1309"/>
      <c r="BJ83" s="1309"/>
      <c r="BK83" s="1309"/>
      <c r="BL83" s="1309"/>
      <c r="BM83" s="1309"/>
      <c r="BN83" s="1309"/>
      <c r="BO83" s="1309"/>
      <c r="BP83" s="1309"/>
      <c r="BQ83" s="1309"/>
      <c r="BR83" s="1309"/>
    </row>
    <row r="84" spans="1:70" ht="12.75" customHeight="1" x14ac:dyDescent="0.2">
      <c r="C84" s="1309"/>
      <c r="D84" s="1309"/>
      <c r="E84" s="1309"/>
      <c r="F84" s="1309"/>
      <c r="G84" s="1309"/>
      <c r="H84" s="1309"/>
      <c r="I84" s="1309"/>
      <c r="W84" s="1309"/>
      <c r="X84" s="1309"/>
      <c r="Y84" s="1309"/>
      <c r="Z84" s="1309"/>
      <c r="AA84" s="1309"/>
      <c r="AB84" s="1309"/>
      <c r="AC84" s="1309"/>
      <c r="AD84" s="1309"/>
      <c r="AE84" s="1309"/>
      <c r="AF84" s="1309"/>
      <c r="AG84" s="1309"/>
      <c r="AH84" s="1309"/>
      <c r="AI84" s="1309"/>
      <c r="AJ84" s="1309"/>
      <c r="AK84" s="1309"/>
      <c r="AL84" s="1309"/>
      <c r="AM84" s="1309"/>
      <c r="AN84" s="1309"/>
      <c r="AO84" s="1309"/>
      <c r="AP84" s="1309"/>
      <c r="AQ84" s="1309"/>
      <c r="AR84" s="1309"/>
      <c r="AS84" s="1309"/>
      <c r="AT84" s="1309"/>
      <c r="AU84" s="1309"/>
      <c r="AV84" s="1309"/>
      <c r="AW84" s="1309"/>
      <c r="AX84" s="1309"/>
      <c r="AY84" s="1309"/>
      <c r="AZ84" s="1309"/>
      <c r="BA84" s="1309"/>
      <c r="BB84" s="1309"/>
      <c r="BC84" s="1309"/>
      <c r="BD84" s="1309"/>
      <c r="BE84" s="1309"/>
      <c r="BF84" s="1309"/>
      <c r="BG84" s="1309"/>
      <c r="BH84" s="1309"/>
      <c r="BI84" s="1309"/>
      <c r="BJ84" s="1309"/>
      <c r="BK84" s="1309"/>
      <c r="BL84" s="1309"/>
      <c r="BM84" s="1309"/>
      <c r="BN84" s="1309"/>
      <c r="BO84" s="1309"/>
      <c r="BP84" s="1309"/>
      <c r="BQ84" s="1309"/>
      <c r="BR84" s="1309"/>
    </row>
    <row r="85" spans="1:70" ht="12.75" customHeight="1" x14ac:dyDescent="0.2">
      <c r="C85" s="1309"/>
      <c r="D85" s="1309"/>
      <c r="E85" s="1309"/>
      <c r="F85" s="1309"/>
      <c r="G85" s="1309"/>
      <c r="H85" s="1309"/>
      <c r="I85" s="1309"/>
      <c r="W85" s="1309"/>
      <c r="X85" s="1309"/>
      <c r="Y85" s="1309"/>
      <c r="Z85" s="1309"/>
      <c r="AA85" s="1309"/>
      <c r="AB85" s="1309"/>
      <c r="AC85" s="1309"/>
      <c r="AD85" s="1309"/>
      <c r="AE85" s="1309"/>
      <c r="AF85" s="1309"/>
      <c r="AG85" s="1309"/>
      <c r="AH85" s="1309"/>
      <c r="AI85" s="1309"/>
      <c r="AJ85" s="1309"/>
      <c r="AK85" s="1309"/>
      <c r="AL85" s="1309"/>
      <c r="AM85" s="1309"/>
      <c r="AN85" s="1309"/>
      <c r="AO85" s="1309"/>
      <c r="AP85" s="1309"/>
      <c r="AQ85" s="1309"/>
      <c r="AR85" s="1309"/>
      <c r="AS85" s="1309"/>
      <c r="AT85" s="1309"/>
      <c r="AU85" s="1309"/>
      <c r="AV85" s="1309"/>
      <c r="AW85" s="1309"/>
      <c r="AX85" s="1309"/>
      <c r="AY85" s="1309"/>
      <c r="AZ85" s="1309"/>
      <c r="BA85" s="1309"/>
      <c r="BB85" s="1309"/>
      <c r="BC85" s="1309"/>
      <c r="BD85" s="1309"/>
      <c r="BE85" s="1309"/>
      <c r="BF85" s="1309"/>
      <c r="BG85" s="1309"/>
      <c r="BH85" s="1309"/>
      <c r="BI85" s="1309"/>
      <c r="BJ85" s="1309"/>
      <c r="BK85" s="1309"/>
      <c r="BL85" s="1309"/>
      <c r="BM85" s="1309"/>
      <c r="BN85" s="1309"/>
      <c r="BO85" s="1309"/>
      <c r="BP85" s="1309"/>
      <c r="BQ85" s="1309"/>
      <c r="BR85" s="1309"/>
    </row>
    <row r="86" spans="1:70" ht="12.75" customHeight="1" x14ac:dyDescent="0.2">
      <c r="C86" s="1309"/>
      <c r="D86" s="1309"/>
      <c r="E86" s="1309"/>
      <c r="F86" s="1309"/>
      <c r="G86" s="1309"/>
      <c r="H86" s="1309"/>
      <c r="I86" s="1309"/>
      <c r="W86" s="1309"/>
      <c r="X86" s="1309"/>
      <c r="Y86" s="1309"/>
      <c r="Z86" s="1309"/>
      <c r="AA86" s="1309"/>
      <c r="AB86" s="1309"/>
      <c r="AC86" s="1309"/>
      <c r="AD86" s="1309"/>
      <c r="AE86" s="1309"/>
      <c r="AF86" s="1309"/>
      <c r="AG86" s="1309"/>
      <c r="AH86" s="1309"/>
      <c r="AI86" s="1309"/>
      <c r="AJ86" s="1309"/>
      <c r="AK86" s="1309"/>
      <c r="AL86" s="1309"/>
      <c r="AM86" s="1309"/>
      <c r="AN86" s="1309"/>
      <c r="AO86" s="1309"/>
      <c r="AP86" s="1309"/>
      <c r="AQ86" s="1309"/>
      <c r="AR86" s="1309"/>
      <c r="AS86" s="1309"/>
      <c r="AT86" s="1309"/>
      <c r="AU86" s="1309"/>
      <c r="AV86" s="1309"/>
      <c r="AW86" s="1309"/>
      <c r="AX86" s="1309"/>
      <c r="AY86" s="1309"/>
      <c r="AZ86" s="1309"/>
      <c r="BA86" s="1309"/>
      <c r="BB86" s="1309"/>
      <c r="BC86" s="1309"/>
      <c r="BD86" s="1309"/>
      <c r="BE86" s="1309"/>
      <c r="BF86" s="1309"/>
      <c r="BG86" s="1309"/>
      <c r="BH86" s="1309"/>
      <c r="BI86" s="1309"/>
      <c r="BJ86" s="1309"/>
      <c r="BK86" s="1309"/>
      <c r="BL86" s="1309"/>
      <c r="BM86" s="1309"/>
      <c r="BN86" s="1309"/>
      <c r="BO86" s="1309"/>
      <c r="BP86" s="1309"/>
      <c r="BQ86" s="1309"/>
      <c r="BR86" s="1309"/>
    </row>
    <row r="87" spans="1:70" ht="12.75" customHeight="1" x14ac:dyDescent="0.2">
      <c r="C87" s="1309"/>
      <c r="D87" s="1309"/>
      <c r="E87" s="1309"/>
      <c r="F87" s="1309"/>
      <c r="G87" s="1309"/>
      <c r="H87" s="1309"/>
      <c r="I87" s="1309"/>
      <c r="W87" s="1309"/>
      <c r="X87" s="1309"/>
      <c r="Y87" s="1309"/>
      <c r="Z87" s="1309"/>
      <c r="AA87" s="1309"/>
      <c r="AB87" s="1309"/>
      <c r="AC87" s="1309"/>
      <c r="AD87" s="1309"/>
      <c r="AE87" s="1309"/>
      <c r="AF87" s="1309"/>
      <c r="AG87" s="1309"/>
      <c r="AH87" s="1309"/>
      <c r="AI87" s="1309"/>
      <c r="AJ87" s="1309"/>
      <c r="AK87" s="1309"/>
      <c r="AL87" s="1309"/>
      <c r="AM87" s="1309"/>
      <c r="AN87" s="1309"/>
      <c r="AO87" s="1309"/>
      <c r="AP87" s="1309"/>
      <c r="AQ87" s="1309"/>
      <c r="AR87" s="1309"/>
      <c r="AS87" s="1309"/>
      <c r="AT87" s="1309"/>
      <c r="AU87" s="1309"/>
      <c r="AV87" s="1309"/>
      <c r="AW87" s="1309"/>
      <c r="AX87" s="1309"/>
      <c r="AY87" s="1309"/>
      <c r="AZ87" s="1309"/>
      <c r="BA87" s="1309"/>
      <c r="BB87" s="1309"/>
      <c r="BC87" s="1309"/>
      <c r="BD87" s="1309"/>
      <c r="BE87" s="1309"/>
      <c r="BF87" s="1309"/>
      <c r="BG87" s="1309"/>
      <c r="BH87" s="1309"/>
      <c r="BI87" s="1309"/>
      <c r="BJ87" s="1309"/>
      <c r="BK87" s="1309"/>
      <c r="BL87" s="1309"/>
      <c r="BM87" s="1309"/>
      <c r="BN87" s="1309"/>
      <c r="BO87" s="1309"/>
      <c r="BP87" s="1309"/>
      <c r="BQ87" s="1309"/>
      <c r="BR87" s="1309"/>
    </row>
    <row r="88" spans="1:70" ht="12.75" customHeight="1" x14ac:dyDescent="0.2">
      <c r="C88" s="1309"/>
      <c r="D88" s="1309"/>
      <c r="E88" s="1309"/>
      <c r="F88" s="1309"/>
      <c r="G88" s="1309"/>
      <c r="H88" s="1309"/>
      <c r="I88" s="1309"/>
      <c r="W88" s="1309"/>
      <c r="X88" s="1309"/>
      <c r="Y88" s="1309"/>
      <c r="Z88" s="1309"/>
      <c r="AA88" s="1309"/>
      <c r="AB88" s="1309"/>
      <c r="AC88" s="1309"/>
      <c r="AD88" s="1309"/>
      <c r="AE88" s="1309"/>
      <c r="AF88" s="1309"/>
      <c r="AG88" s="1309"/>
      <c r="AH88" s="1309"/>
      <c r="AI88" s="1309"/>
      <c r="AJ88" s="1309"/>
      <c r="AK88" s="1309"/>
      <c r="AL88" s="1309"/>
      <c r="AM88" s="1309"/>
      <c r="AN88" s="1309"/>
      <c r="AO88" s="1309"/>
      <c r="AP88" s="1309"/>
      <c r="AQ88" s="1309"/>
      <c r="AR88" s="1309"/>
      <c r="AS88" s="1309"/>
      <c r="AT88" s="1309"/>
      <c r="AU88" s="1309"/>
      <c r="AV88" s="1309"/>
      <c r="AW88" s="1309"/>
      <c r="AX88" s="1309"/>
      <c r="AY88" s="1309"/>
      <c r="AZ88" s="1309"/>
      <c r="BA88" s="1309"/>
      <c r="BB88" s="1309"/>
      <c r="BC88" s="1309"/>
      <c r="BD88" s="1309"/>
      <c r="BE88" s="1309"/>
      <c r="BF88" s="1309"/>
      <c r="BG88" s="1309"/>
      <c r="BH88" s="1309"/>
      <c r="BI88" s="1309"/>
      <c r="BJ88" s="1309"/>
      <c r="BK88" s="1309"/>
      <c r="BL88" s="1309"/>
      <c r="BM88" s="1309"/>
      <c r="BN88" s="1309"/>
      <c r="BO88" s="1309"/>
      <c r="BP88" s="1309"/>
      <c r="BQ88" s="1309"/>
      <c r="BR88" s="1309"/>
    </row>
    <row r="89" spans="1:70" ht="12.75" customHeight="1" x14ac:dyDescent="0.2">
      <c r="C89" s="1309"/>
      <c r="D89" s="1309"/>
      <c r="E89" s="1309"/>
      <c r="F89" s="1309"/>
      <c r="G89" s="1309"/>
      <c r="H89" s="1309"/>
      <c r="I89" s="1309"/>
      <c r="W89" s="1309"/>
      <c r="X89" s="1309"/>
      <c r="Y89" s="1309"/>
      <c r="Z89" s="1309"/>
      <c r="AA89" s="1309"/>
      <c r="AB89" s="1309"/>
      <c r="AC89" s="1309"/>
      <c r="AD89" s="1309"/>
      <c r="AE89" s="1309"/>
      <c r="AF89" s="1309"/>
      <c r="AG89" s="1309"/>
      <c r="AH89" s="1309"/>
      <c r="AI89" s="1309"/>
      <c r="AJ89" s="1309"/>
      <c r="AK89" s="1309"/>
      <c r="AL89" s="1309"/>
      <c r="AM89" s="1309"/>
      <c r="AN89" s="1309"/>
      <c r="AO89" s="1309"/>
      <c r="AP89" s="1309"/>
      <c r="AQ89" s="1309"/>
      <c r="AR89" s="1309"/>
      <c r="AS89" s="1309"/>
      <c r="AT89" s="1309"/>
      <c r="AU89" s="1309"/>
      <c r="AV89" s="1309"/>
      <c r="AW89" s="1309"/>
      <c r="AX89" s="1309"/>
      <c r="AY89" s="1309"/>
      <c r="AZ89" s="1309"/>
      <c r="BA89" s="1309"/>
      <c r="BB89" s="1309"/>
      <c r="BC89" s="1309"/>
      <c r="BD89" s="1309"/>
      <c r="BE89" s="1309"/>
      <c r="BF89" s="1309"/>
      <c r="BG89" s="1309"/>
      <c r="BH89" s="1309"/>
      <c r="BI89" s="1309"/>
      <c r="BJ89" s="1309"/>
      <c r="BK89" s="1309"/>
      <c r="BL89" s="1309"/>
      <c r="BM89" s="1309"/>
      <c r="BN89" s="1309"/>
      <c r="BO89" s="1309"/>
      <c r="BP89" s="1309"/>
      <c r="BQ89" s="1309"/>
      <c r="BR89" s="1309"/>
    </row>
    <row r="90" spans="1:70" ht="12.75" customHeight="1" x14ac:dyDescent="0.2">
      <c r="C90" s="1309"/>
      <c r="D90" s="1309"/>
      <c r="E90" s="1309"/>
      <c r="F90" s="1309"/>
      <c r="G90" s="1309"/>
      <c r="H90" s="1309"/>
      <c r="I90" s="1309"/>
      <c r="J90" s="1309"/>
      <c r="K90" s="1309"/>
      <c r="L90" s="1309"/>
      <c r="M90" s="1309"/>
      <c r="N90" s="1309"/>
      <c r="O90" s="1309"/>
      <c r="P90" s="1309"/>
      <c r="Q90" s="1309"/>
      <c r="R90" s="1309"/>
      <c r="S90" s="1309"/>
      <c r="W90" s="1309"/>
      <c r="X90" s="1309"/>
      <c r="Y90" s="1309"/>
      <c r="Z90" s="1309"/>
      <c r="AA90" s="1309"/>
      <c r="AB90" s="1309"/>
      <c r="AC90" s="1309"/>
      <c r="AD90" s="1309"/>
      <c r="AE90" s="1309"/>
      <c r="AF90" s="1309"/>
      <c r="AG90" s="1309"/>
      <c r="AH90" s="1309"/>
      <c r="AI90" s="1309"/>
      <c r="AJ90" s="1309"/>
      <c r="AK90" s="1309"/>
      <c r="AL90" s="1309"/>
      <c r="AM90" s="1309"/>
      <c r="AN90" s="1309"/>
      <c r="AO90" s="1309"/>
      <c r="AP90" s="1309"/>
      <c r="AQ90" s="1309"/>
      <c r="AR90" s="1309"/>
      <c r="AS90" s="1309"/>
      <c r="AT90" s="1309"/>
      <c r="AU90" s="1309"/>
      <c r="AV90" s="1309"/>
      <c r="AW90" s="1309"/>
      <c r="AX90" s="1309"/>
      <c r="AY90" s="1309"/>
      <c r="AZ90" s="1309"/>
      <c r="BA90" s="1309"/>
      <c r="BB90" s="1309"/>
      <c r="BC90" s="1309"/>
      <c r="BD90" s="1309"/>
      <c r="BE90" s="1309"/>
      <c r="BF90" s="1309"/>
      <c r="BG90" s="1309"/>
      <c r="BH90" s="1309"/>
      <c r="BI90" s="1309"/>
      <c r="BJ90" s="1309"/>
      <c r="BK90" s="1309"/>
      <c r="BL90" s="1309"/>
      <c r="BM90" s="1309"/>
      <c r="BN90" s="1309"/>
      <c r="BO90" s="1309"/>
      <c r="BP90" s="1309"/>
      <c r="BQ90" s="1309"/>
      <c r="BR90" s="1309"/>
    </row>
    <row r="91" spans="1:70" ht="12.75" customHeight="1" x14ac:dyDescent="0.2">
      <c r="C91" s="1309"/>
      <c r="D91" s="1309"/>
      <c r="E91" s="1309"/>
      <c r="F91" s="1309"/>
      <c r="G91" s="1309"/>
      <c r="H91" s="1309"/>
      <c r="I91" s="1309"/>
      <c r="J91" s="1309"/>
      <c r="K91" s="1309"/>
      <c r="L91" s="1309"/>
      <c r="M91" s="1309"/>
      <c r="N91" s="1309"/>
      <c r="O91" s="1309"/>
      <c r="P91" s="1309"/>
      <c r="Q91" s="1309"/>
      <c r="R91" s="1309"/>
      <c r="S91" s="1309"/>
      <c r="W91" s="1309"/>
      <c r="X91" s="1309"/>
      <c r="Y91" s="1309"/>
      <c r="Z91" s="1309"/>
      <c r="AA91" s="1309"/>
      <c r="AB91" s="1309"/>
      <c r="AC91" s="1309"/>
      <c r="AD91" s="1309"/>
      <c r="AE91" s="1309"/>
      <c r="AF91" s="1309"/>
      <c r="AG91" s="1309"/>
      <c r="AH91" s="1309"/>
      <c r="AI91" s="1309"/>
      <c r="AJ91" s="1309"/>
      <c r="AK91" s="1309"/>
      <c r="AL91" s="1309"/>
      <c r="AM91" s="1309"/>
      <c r="AN91" s="1309"/>
      <c r="AO91" s="1309"/>
      <c r="AP91" s="1309"/>
      <c r="AQ91" s="1309"/>
      <c r="AR91" s="1309"/>
      <c r="AS91" s="1309"/>
      <c r="AT91" s="1309"/>
      <c r="AU91" s="1309"/>
      <c r="AV91" s="1309"/>
      <c r="AW91" s="1309"/>
      <c r="AX91" s="1309"/>
      <c r="AY91" s="1309"/>
      <c r="AZ91" s="1309"/>
      <c r="BA91" s="1309"/>
      <c r="BB91" s="1309"/>
      <c r="BC91" s="1309"/>
      <c r="BD91" s="1309"/>
      <c r="BE91" s="1309"/>
      <c r="BF91" s="1309"/>
      <c r="BG91" s="1309"/>
      <c r="BH91" s="1309"/>
      <c r="BI91" s="1309"/>
      <c r="BJ91" s="1309"/>
      <c r="BK91" s="1309"/>
      <c r="BL91" s="1309"/>
      <c r="BM91" s="1309"/>
      <c r="BN91" s="1309"/>
      <c r="BO91" s="1309"/>
      <c r="BP91" s="1309"/>
      <c r="BQ91" s="1309"/>
      <c r="BR91" s="1309"/>
    </row>
    <row r="92" spans="1:70" ht="12.75" customHeight="1" x14ac:dyDescent="0.2">
      <c r="C92" s="1309"/>
      <c r="D92" s="1309"/>
      <c r="E92" s="1309"/>
      <c r="F92" s="1309"/>
      <c r="G92" s="1309"/>
      <c r="H92" s="1309"/>
      <c r="I92" s="1309"/>
      <c r="J92" s="1309"/>
      <c r="K92" s="1309"/>
      <c r="L92" s="1309"/>
      <c r="M92" s="1309"/>
      <c r="N92" s="1309"/>
      <c r="O92" s="1309"/>
      <c r="P92" s="1309"/>
      <c r="Q92" s="1309"/>
      <c r="R92" s="1309"/>
      <c r="S92" s="1309"/>
      <c r="W92" s="1309"/>
      <c r="X92" s="1309"/>
      <c r="Y92" s="1309"/>
      <c r="Z92" s="1309"/>
      <c r="AA92" s="1309"/>
      <c r="AB92" s="1309"/>
      <c r="AC92" s="1309"/>
      <c r="AD92" s="1309"/>
      <c r="AE92" s="1309"/>
      <c r="AF92" s="1309"/>
      <c r="AG92" s="1309"/>
      <c r="AH92" s="1309"/>
      <c r="AI92" s="1309"/>
      <c r="AJ92" s="1309"/>
      <c r="AK92" s="1309"/>
      <c r="AL92" s="1309"/>
      <c r="AM92" s="1309"/>
      <c r="AN92" s="1309"/>
      <c r="AO92" s="1309"/>
      <c r="AP92" s="1309"/>
      <c r="AQ92" s="1309"/>
      <c r="AR92" s="1309"/>
      <c r="AS92" s="1309"/>
      <c r="AT92" s="1309"/>
      <c r="AU92" s="1309"/>
      <c r="AV92" s="1309"/>
      <c r="AW92" s="1309"/>
      <c r="AX92" s="1309"/>
      <c r="AY92" s="1309"/>
      <c r="AZ92" s="1309"/>
      <c r="BA92" s="1309"/>
      <c r="BB92" s="1309"/>
      <c r="BC92" s="1309"/>
      <c r="BD92" s="1309"/>
      <c r="BE92" s="1309"/>
      <c r="BF92" s="1309"/>
      <c r="BG92" s="1309"/>
      <c r="BH92" s="1309"/>
      <c r="BI92" s="1309"/>
      <c r="BJ92" s="1309"/>
      <c r="BK92" s="1309"/>
      <c r="BL92" s="1309"/>
      <c r="BM92" s="1309"/>
      <c r="BN92" s="1309"/>
      <c r="BO92" s="1309"/>
      <c r="BP92" s="1309"/>
      <c r="BQ92" s="1309"/>
      <c r="BR92" s="1309"/>
    </row>
    <row r="93" spans="1:70" ht="12.75" customHeight="1" x14ac:dyDescent="0.2">
      <c r="C93" s="1309"/>
      <c r="D93" s="1309"/>
      <c r="E93" s="1309"/>
      <c r="F93" s="1309"/>
      <c r="G93" s="1309"/>
      <c r="H93" s="1309"/>
      <c r="I93" s="1309"/>
      <c r="J93" s="1309"/>
      <c r="K93" s="1309"/>
      <c r="L93" s="1309"/>
      <c r="M93" s="1309"/>
      <c r="N93" s="1309"/>
      <c r="O93" s="1309"/>
      <c r="P93" s="1309"/>
      <c r="Q93" s="1309"/>
      <c r="R93" s="1309"/>
      <c r="S93" s="1309"/>
      <c r="W93" s="1309"/>
      <c r="X93" s="1309"/>
      <c r="Y93" s="1309"/>
      <c r="Z93" s="1309"/>
      <c r="AA93" s="1309"/>
      <c r="AB93" s="1309"/>
      <c r="AC93" s="1309"/>
      <c r="AD93" s="1309"/>
      <c r="AE93" s="1309"/>
      <c r="AF93" s="1309"/>
      <c r="AG93" s="1309"/>
      <c r="AH93" s="1309"/>
      <c r="AI93" s="1309"/>
      <c r="AJ93" s="1309"/>
      <c r="AK93" s="1309"/>
      <c r="AL93" s="1309"/>
      <c r="AM93" s="1309"/>
      <c r="AN93" s="1309"/>
      <c r="AO93" s="1309"/>
      <c r="AP93" s="1309"/>
      <c r="AQ93" s="1309"/>
      <c r="AR93" s="1309"/>
      <c r="AS93" s="1309"/>
      <c r="AT93" s="1309"/>
      <c r="AU93" s="1309"/>
      <c r="AV93" s="1309"/>
      <c r="AW93" s="1309"/>
      <c r="AX93" s="1309"/>
      <c r="AY93" s="1309"/>
      <c r="AZ93" s="1309"/>
      <c r="BA93" s="1309"/>
      <c r="BB93" s="1309"/>
      <c r="BC93" s="1309"/>
      <c r="BD93" s="1309"/>
      <c r="BE93" s="1309"/>
      <c r="BF93" s="1309"/>
      <c r="BG93" s="1309"/>
      <c r="BH93" s="1309"/>
      <c r="BI93" s="1309"/>
      <c r="BJ93" s="1309"/>
      <c r="BK93" s="1309"/>
      <c r="BL93" s="1309"/>
      <c r="BM93" s="1309"/>
      <c r="BN93" s="1309"/>
      <c r="BO93" s="1309"/>
      <c r="BP93" s="1309"/>
      <c r="BQ93" s="1309"/>
      <c r="BR93" s="1309"/>
    </row>
    <row r="94" spans="1:70" ht="12.75" customHeight="1" x14ac:dyDescent="0.2">
      <c r="A94" s="1309"/>
      <c r="B94" s="1309"/>
      <c r="C94" s="1309"/>
      <c r="D94" s="1309"/>
      <c r="E94" s="1309"/>
      <c r="F94" s="1309"/>
      <c r="G94" s="1309"/>
      <c r="H94" s="1309"/>
      <c r="I94" s="1309"/>
      <c r="J94" s="1309"/>
      <c r="K94" s="1309"/>
      <c r="L94" s="1309"/>
      <c r="M94" s="1309"/>
      <c r="N94" s="1309"/>
      <c r="O94" s="1309"/>
      <c r="P94" s="1309"/>
      <c r="Q94" s="1309"/>
      <c r="R94" s="1309"/>
      <c r="S94" s="1309"/>
      <c r="W94" s="1309"/>
      <c r="X94" s="1309"/>
      <c r="Y94" s="1309"/>
      <c r="Z94" s="1309"/>
      <c r="AA94" s="1309"/>
      <c r="AB94" s="1309"/>
      <c r="AC94" s="1309"/>
      <c r="AD94" s="1309"/>
      <c r="AE94" s="1309"/>
      <c r="AF94" s="1309"/>
      <c r="AG94" s="1309"/>
      <c r="AH94" s="1309"/>
      <c r="AI94" s="1309"/>
      <c r="AJ94" s="1309"/>
      <c r="AK94" s="1309"/>
      <c r="AL94" s="1309"/>
      <c r="AM94" s="1309"/>
      <c r="AN94" s="1309"/>
      <c r="AO94" s="1309"/>
      <c r="AP94" s="1309"/>
      <c r="AQ94" s="1309"/>
      <c r="AR94" s="1309"/>
      <c r="AS94" s="1309"/>
      <c r="AT94" s="1309"/>
      <c r="AU94" s="1309"/>
      <c r="AV94" s="1309"/>
      <c r="AW94" s="1309"/>
      <c r="AX94" s="1309"/>
      <c r="AY94" s="1309"/>
      <c r="AZ94" s="1309"/>
      <c r="BA94" s="1309"/>
      <c r="BB94" s="1309"/>
      <c r="BC94" s="1309"/>
      <c r="BD94" s="1309"/>
      <c r="BE94" s="1309"/>
      <c r="BF94" s="1309"/>
      <c r="BG94" s="1309"/>
      <c r="BH94" s="1309"/>
      <c r="BI94" s="1309"/>
      <c r="BJ94" s="1309"/>
      <c r="BK94" s="1309"/>
      <c r="BL94" s="1309"/>
      <c r="BM94" s="1309"/>
      <c r="BN94" s="1309"/>
      <c r="BO94" s="1309"/>
      <c r="BP94" s="1309"/>
      <c r="BQ94" s="1309"/>
      <c r="BR94" s="1309"/>
    </row>
    <row r="95" spans="1:70" ht="12.75" customHeight="1" x14ac:dyDescent="0.2">
      <c r="A95" s="1309"/>
      <c r="B95" s="1309"/>
      <c r="C95" s="1309"/>
      <c r="D95" s="1309"/>
      <c r="E95" s="1309"/>
      <c r="F95" s="1309"/>
      <c r="G95" s="1309"/>
      <c r="H95" s="1309"/>
      <c r="I95" s="1309"/>
      <c r="J95" s="1309"/>
      <c r="K95" s="1309"/>
      <c r="L95" s="1309"/>
      <c r="M95" s="1309"/>
      <c r="N95" s="1309"/>
      <c r="O95" s="1309"/>
      <c r="P95" s="1309"/>
      <c r="Q95" s="1309"/>
      <c r="R95" s="1309"/>
      <c r="S95" s="1309"/>
      <c r="W95" s="1309"/>
      <c r="X95" s="1309"/>
      <c r="Y95" s="1309"/>
      <c r="Z95" s="1309"/>
      <c r="AA95" s="1309"/>
      <c r="AB95" s="1309"/>
      <c r="AC95" s="1309"/>
      <c r="AD95" s="1309"/>
      <c r="AE95" s="1309"/>
      <c r="AF95" s="1309"/>
      <c r="AG95" s="1309"/>
      <c r="AH95" s="1309"/>
      <c r="AI95" s="1309"/>
      <c r="AJ95" s="1309"/>
      <c r="AK95" s="1309"/>
      <c r="AL95" s="1309"/>
      <c r="AM95" s="1309"/>
      <c r="AN95" s="1309"/>
      <c r="AO95" s="1309"/>
      <c r="AP95" s="1309"/>
      <c r="AQ95" s="1309"/>
      <c r="AR95" s="1309"/>
      <c r="AS95" s="1309"/>
      <c r="AT95" s="1309"/>
      <c r="AU95" s="1309"/>
      <c r="AV95" s="1309"/>
      <c r="AW95" s="1309"/>
      <c r="AX95" s="1309"/>
      <c r="AY95" s="1309"/>
      <c r="AZ95" s="1309"/>
      <c r="BA95" s="1309"/>
      <c r="BB95" s="1309"/>
      <c r="BC95" s="1309"/>
      <c r="BD95" s="1309"/>
      <c r="BE95" s="1309"/>
      <c r="BF95" s="1309"/>
      <c r="BG95" s="1309"/>
      <c r="BH95" s="1309"/>
      <c r="BI95" s="1309"/>
      <c r="BJ95" s="1309"/>
      <c r="BK95" s="1309"/>
      <c r="BL95" s="1309"/>
      <c r="BM95" s="1309"/>
      <c r="BN95" s="1309"/>
      <c r="BO95" s="1309"/>
      <c r="BP95" s="1309"/>
      <c r="BQ95" s="1309"/>
      <c r="BR95" s="1309"/>
    </row>
    <row r="96" spans="1:70" ht="12.75" customHeight="1" x14ac:dyDescent="0.2">
      <c r="A96" s="1309"/>
      <c r="B96" s="1309"/>
      <c r="C96" s="1309"/>
      <c r="D96" s="1309"/>
      <c r="E96" s="1309"/>
      <c r="F96" s="1309"/>
      <c r="G96" s="1309"/>
      <c r="H96" s="1309"/>
      <c r="I96" s="1309"/>
      <c r="J96" s="1309"/>
      <c r="K96" s="1309"/>
      <c r="L96" s="1309"/>
      <c r="M96" s="1309"/>
      <c r="N96" s="1309"/>
      <c r="O96" s="1309"/>
      <c r="P96" s="1309"/>
      <c r="Q96" s="1309"/>
      <c r="R96" s="1309"/>
      <c r="S96" s="1309"/>
      <c r="W96" s="1309"/>
      <c r="X96" s="1309"/>
      <c r="Y96" s="1309"/>
      <c r="Z96" s="1309"/>
      <c r="AA96" s="1309"/>
      <c r="AB96" s="1309"/>
      <c r="AC96" s="1309"/>
      <c r="AD96" s="1309"/>
      <c r="AE96" s="1309"/>
      <c r="AF96" s="1309"/>
      <c r="AG96" s="1309"/>
      <c r="AH96" s="1309"/>
      <c r="AI96" s="1309"/>
      <c r="AJ96" s="1309"/>
      <c r="AK96" s="1309"/>
      <c r="AL96" s="1309"/>
      <c r="AM96" s="1309"/>
      <c r="AN96" s="1309"/>
      <c r="AO96" s="1309"/>
      <c r="AP96" s="1309"/>
      <c r="AQ96" s="1309"/>
      <c r="AR96" s="1309"/>
      <c r="AS96" s="1309"/>
      <c r="AT96" s="1309"/>
      <c r="AU96" s="1309"/>
      <c r="AV96" s="1309"/>
      <c r="AW96" s="1309"/>
      <c r="AX96" s="1309"/>
      <c r="AY96" s="1309"/>
      <c r="AZ96" s="1309"/>
      <c r="BA96" s="1309"/>
      <c r="BB96" s="1309"/>
      <c r="BC96" s="1309"/>
      <c r="BD96" s="1309"/>
      <c r="BE96" s="1309"/>
      <c r="BF96" s="1309"/>
      <c r="BG96" s="1309"/>
      <c r="BH96" s="1309"/>
      <c r="BI96" s="1309"/>
      <c r="BJ96" s="1309"/>
      <c r="BK96" s="1309"/>
      <c r="BL96" s="1309"/>
      <c r="BM96" s="1309"/>
      <c r="BN96" s="1309"/>
      <c r="BO96" s="1309"/>
      <c r="BP96" s="1309"/>
      <c r="BQ96" s="1309"/>
      <c r="BR96" s="1309"/>
    </row>
    <row r="97" spans="1:70" ht="12.75" customHeight="1" x14ac:dyDescent="0.2">
      <c r="A97" s="1309"/>
      <c r="B97" s="1309"/>
      <c r="C97" s="1309"/>
      <c r="D97" s="1309"/>
      <c r="E97" s="1309"/>
      <c r="F97" s="1309"/>
      <c r="G97" s="1309"/>
      <c r="H97" s="1309"/>
      <c r="I97" s="1309"/>
      <c r="J97" s="1309"/>
      <c r="K97" s="1309"/>
      <c r="L97" s="1309"/>
      <c r="M97" s="1309"/>
      <c r="N97" s="1309"/>
      <c r="O97" s="1309"/>
      <c r="P97" s="1309"/>
      <c r="Q97" s="1309"/>
      <c r="R97" s="1309"/>
      <c r="S97" s="1309"/>
      <c r="W97" s="1309"/>
      <c r="X97" s="1309"/>
      <c r="Y97" s="1309"/>
      <c r="Z97" s="1309"/>
      <c r="AA97" s="1309"/>
      <c r="AB97" s="1309"/>
      <c r="AC97" s="1309"/>
      <c r="AD97" s="1309"/>
      <c r="AE97" s="1309"/>
      <c r="AF97" s="1309"/>
      <c r="AG97" s="1309"/>
      <c r="AH97" s="1309"/>
      <c r="AI97" s="1309"/>
      <c r="AJ97" s="1309"/>
      <c r="AK97" s="1309"/>
      <c r="AL97" s="1309"/>
      <c r="AM97" s="1309"/>
      <c r="AN97" s="1309"/>
      <c r="AO97" s="1309"/>
      <c r="AP97" s="1309"/>
      <c r="AQ97" s="1309"/>
      <c r="AR97" s="1309"/>
      <c r="AS97" s="1309"/>
      <c r="AT97" s="1309"/>
      <c r="AU97" s="1309"/>
      <c r="AV97" s="1309"/>
      <c r="AW97" s="1309"/>
      <c r="AX97" s="1309"/>
      <c r="AY97" s="1309"/>
      <c r="AZ97" s="1309"/>
      <c r="BA97" s="1309"/>
      <c r="BB97" s="1309"/>
      <c r="BC97" s="1309"/>
      <c r="BD97" s="1309"/>
      <c r="BE97" s="1309"/>
      <c r="BF97" s="1309"/>
      <c r="BG97" s="1309"/>
      <c r="BH97" s="1309"/>
      <c r="BI97" s="1309"/>
      <c r="BJ97" s="1309"/>
      <c r="BK97" s="1309"/>
      <c r="BL97" s="1309"/>
      <c r="BM97" s="1309"/>
      <c r="BN97" s="1309"/>
      <c r="BO97" s="1309"/>
      <c r="BP97" s="1309"/>
      <c r="BQ97" s="1309"/>
      <c r="BR97" s="1309"/>
    </row>
    <row r="98" spans="1:70" ht="12.75" customHeight="1" x14ac:dyDescent="0.2">
      <c r="A98" s="1309"/>
      <c r="B98" s="1309"/>
      <c r="C98" s="1309"/>
      <c r="D98" s="1309"/>
      <c r="E98" s="1309"/>
      <c r="F98" s="1309"/>
      <c r="G98" s="1309"/>
      <c r="H98" s="1309"/>
      <c r="I98" s="1309"/>
      <c r="J98" s="1309"/>
      <c r="K98" s="1309"/>
      <c r="L98" s="1309"/>
      <c r="M98" s="1309"/>
      <c r="N98" s="1309"/>
      <c r="O98" s="1309"/>
      <c r="P98" s="1309"/>
      <c r="Q98" s="1309"/>
      <c r="R98" s="1309"/>
      <c r="S98" s="1309"/>
      <c r="W98" s="1309"/>
      <c r="X98" s="1309"/>
      <c r="Y98" s="1309"/>
      <c r="Z98" s="1309"/>
      <c r="AA98" s="1309"/>
      <c r="AB98" s="1309"/>
      <c r="AC98" s="1309"/>
      <c r="AD98" s="1309"/>
      <c r="AE98" s="1309"/>
      <c r="AF98" s="1309"/>
      <c r="AG98" s="1309"/>
      <c r="AH98" s="1309"/>
      <c r="AI98" s="1309"/>
      <c r="AJ98" s="1309"/>
      <c r="AK98" s="1309"/>
      <c r="AL98" s="1309"/>
      <c r="AM98" s="1309"/>
      <c r="AN98" s="1309"/>
      <c r="AO98" s="1309"/>
      <c r="AP98" s="1309"/>
      <c r="AQ98" s="1309"/>
      <c r="AR98" s="1309"/>
      <c r="AS98" s="1309"/>
      <c r="AT98" s="1309"/>
      <c r="AU98" s="1309"/>
      <c r="AV98" s="1309"/>
      <c r="AW98" s="1309"/>
      <c r="AX98" s="1309"/>
      <c r="AY98" s="1309"/>
      <c r="AZ98" s="1309"/>
      <c r="BA98" s="1309"/>
      <c r="BB98" s="1309"/>
      <c r="BC98" s="1309"/>
      <c r="BD98" s="1309"/>
      <c r="BE98" s="1309"/>
      <c r="BF98" s="1309"/>
      <c r="BG98" s="1309"/>
      <c r="BH98" s="1309"/>
      <c r="BI98" s="1309"/>
      <c r="BJ98" s="1309"/>
      <c r="BK98" s="1309"/>
      <c r="BL98" s="1309"/>
      <c r="BM98" s="1309"/>
      <c r="BN98" s="1309"/>
      <c r="BO98" s="1309"/>
      <c r="BP98" s="1309"/>
      <c r="BQ98" s="1309"/>
      <c r="BR98" s="1309"/>
    </row>
    <row r="99" spans="1:70" ht="12.75" customHeight="1" x14ac:dyDescent="0.2">
      <c r="A99" s="1309"/>
      <c r="B99" s="1309"/>
      <c r="C99" s="1309"/>
      <c r="D99" s="1309"/>
      <c r="E99" s="1309"/>
      <c r="F99" s="1309"/>
      <c r="G99" s="1309"/>
      <c r="H99" s="1309"/>
      <c r="I99" s="1309"/>
      <c r="J99" s="1309"/>
      <c r="K99" s="1309"/>
      <c r="L99" s="1309"/>
      <c r="M99" s="1309"/>
      <c r="N99" s="1309"/>
      <c r="O99" s="1309"/>
      <c r="P99" s="1309"/>
      <c r="Q99" s="1309"/>
      <c r="R99" s="1309"/>
      <c r="S99" s="1309"/>
      <c r="W99" s="1309"/>
      <c r="X99" s="1309"/>
      <c r="Y99" s="1309"/>
      <c r="Z99" s="1309"/>
      <c r="AA99" s="1309"/>
      <c r="AB99" s="1309"/>
      <c r="AC99" s="1309"/>
      <c r="AD99" s="1309"/>
      <c r="AE99" s="1309"/>
      <c r="AF99" s="1309"/>
      <c r="AG99" s="1309"/>
      <c r="AH99" s="1309"/>
      <c r="AI99" s="1309"/>
      <c r="AJ99" s="1309"/>
      <c r="AK99" s="1309"/>
      <c r="AL99" s="1309"/>
      <c r="AM99" s="1309"/>
      <c r="AN99" s="1309"/>
      <c r="AO99" s="1309"/>
      <c r="AP99" s="1309"/>
      <c r="AQ99" s="1309"/>
      <c r="AR99" s="1309"/>
      <c r="AS99" s="1309"/>
      <c r="AT99" s="1309"/>
      <c r="AU99" s="1309"/>
      <c r="AV99" s="1309"/>
      <c r="AW99" s="1309"/>
      <c r="AX99" s="1309"/>
      <c r="AY99" s="1309"/>
      <c r="AZ99" s="1309"/>
      <c r="BA99" s="1309"/>
      <c r="BB99" s="1309"/>
      <c r="BC99" s="1309"/>
      <c r="BD99" s="1309"/>
      <c r="BE99" s="1309"/>
      <c r="BF99" s="1309"/>
      <c r="BG99" s="1309"/>
      <c r="BH99" s="1309"/>
      <c r="BI99" s="1309"/>
      <c r="BJ99" s="1309"/>
      <c r="BK99" s="1309"/>
      <c r="BL99" s="1309"/>
      <c r="BM99" s="1309"/>
      <c r="BN99" s="1309"/>
      <c r="BO99" s="1309"/>
      <c r="BP99" s="1309"/>
      <c r="BQ99" s="1309"/>
      <c r="BR99" s="1309"/>
    </row>
    <row r="100" spans="1:70" ht="12.75" customHeight="1" x14ac:dyDescent="0.2"/>
    <row r="101" spans="1:70" ht="12.75" customHeight="1" x14ac:dyDescent="0.2"/>
    <row r="102" spans="1:70" ht="12.75" customHeight="1" x14ac:dyDescent="0.2"/>
    <row r="103" spans="1:70" ht="12.75" customHeight="1" x14ac:dyDescent="0.2"/>
    <row r="104" spans="1:70" ht="12.75" customHeight="1" x14ac:dyDescent="0.2"/>
    <row r="105" spans="1:70" ht="12.75" customHeight="1" x14ac:dyDescent="0.2"/>
  </sheetData>
  <mergeCells count="1">
    <mergeCell ref="Q2:T2"/>
  </mergeCells>
  <phoneticPr fontId="4" type="noConversion"/>
  <pageMargins left="0" right="0" top="0" bottom="0" header="0" footer="0"/>
  <pageSetup paperSize="5" scale="73" orientation="landscape" r:id="rId1"/>
  <headerFooter alignWithMargins="0"/>
  <ignoredErrors>
    <ignoredError sqref="Q15:Q17" formula="1"/>
    <ignoredError sqref="B8:P14 B18:P23 B25:P25 C24:P24 B29:P34 C28:P28 C36:P36 C35:P35 C27:P27 C26:P26" unlockedFormula="1"/>
    <ignoredError sqref="B15:P17" formula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1" bestFit="1" customWidth="1"/>
    <col min="2" max="2" width="19.85546875" style="2202" customWidth="1"/>
    <col min="3" max="3" width="12" style="1" bestFit="1" customWidth="1"/>
    <col min="4" max="256" width="9.140625" style="1"/>
    <col min="257" max="257" width="29.5703125" style="1" bestFit="1" customWidth="1"/>
    <col min="258" max="258" width="19.85546875" style="1" customWidth="1"/>
    <col min="259" max="259" width="12" style="1" bestFit="1" customWidth="1"/>
    <col min="260" max="512" width="9.140625" style="1"/>
    <col min="513" max="513" width="29.5703125" style="1" bestFit="1" customWidth="1"/>
    <col min="514" max="514" width="19.85546875" style="1" customWidth="1"/>
    <col min="515" max="515" width="12" style="1" bestFit="1" customWidth="1"/>
    <col min="516" max="768" width="9.140625" style="1"/>
    <col min="769" max="769" width="29.5703125" style="1" bestFit="1" customWidth="1"/>
    <col min="770" max="770" width="19.85546875" style="1" customWidth="1"/>
    <col min="771" max="771" width="12" style="1" bestFit="1" customWidth="1"/>
    <col min="772" max="1024" width="9.140625" style="1"/>
    <col min="1025" max="1025" width="29.5703125" style="1" bestFit="1" customWidth="1"/>
    <col min="1026" max="1026" width="19.85546875" style="1" customWidth="1"/>
    <col min="1027" max="1027" width="12" style="1" bestFit="1" customWidth="1"/>
    <col min="1028" max="1280" width="9.140625" style="1"/>
    <col min="1281" max="1281" width="29.5703125" style="1" bestFit="1" customWidth="1"/>
    <col min="1282" max="1282" width="19.85546875" style="1" customWidth="1"/>
    <col min="1283" max="1283" width="12" style="1" bestFit="1" customWidth="1"/>
    <col min="1284" max="1536" width="9.140625" style="1"/>
    <col min="1537" max="1537" width="29.5703125" style="1" bestFit="1" customWidth="1"/>
    <col min="1538" max="1538" width="19.85546875" style="1" customWidth="1"/>
    <col min="1539" max="1539" width="12" style="1" bestFit="1" customWidth="1"/>
    <col min="1540" max="1792" width="9.140625" style="1"/>
    <col min="1793" max="1793" width="29.5703125" style="1" bestFit="1" customWidth="1"/>
    <col min="1794" max="1794" width="19.85546875" style="1" customWidth="1"/>
    <col min="1795" max="1795" width="12" style="1" bestFit="1" customWidth="1"/>
    <col min="1796" max="2048" width="9.140625" style="1"/>
    <col min="2049" max="2049" width="29.5703125" style="1" bestFit="1" customWidth="1"/>
    <col min="2050" max="2050" width="19.85546875" style="1" customWidth="1"/>
    <col min="2051" max="2051" width="12" style="1" bestFit="1" customWidth="1"/>
    <col min="2052" max="2304" width="9.140625" style="1"/>
    <col min="2305" max="2305" width="29.5703125" style="1" bestFit="1" customWidth="1"/>
    <col min="2306" max="2306" width="19.85546875" style="1" customWidth="1"/>
    <col min="2307" max="2307" width="12" style="1" bestFit="1" customWidth="1"/>
    <col min="2308" max="2560" width="9.140625" style="1"/>
    <col min="2561" max="2561" width="29.5703125" style="1" bestFit="1" customWidth="1"/>
    <col min="2562" max="2562" width="19.85546875" style="1" customWidth="1"/>
    <col min="2563" max="2563" width="12" style="1" bestFit="1" customWidth="1"/>
    <col min="2564" max="2816" width="9.140625" style="1"/>
    <col min="2817" max="2817" width="29.5703125" style="1" bestFit="1" customWidth="1"/>
    <col min="2818" max="2818" width="19.85546875" style="1" customWidth="1"/>
    <col min="2819" max="2819" width="12" style="1" bestFit="1" customWidth="1"/>
    <col min="2820" max="3072" width="9.140625" style="1"/>
    <col min="3073" max="3073" width="29.5703125" style="1" bestFit="1" customWidth="1"/>
    <col min="3074" max="3074" width="19.85546875" style="1" customWidth="1"/>
    <col min="3075" max="3075" width="12" style="1" bestFit="1" customWidth="1"/>
    <col min="3076" max="3328" width="9.140625" style="1"/>
    <col min="3329" max="3329" width="29.5703125" style="1" bestFit="1" customWidth="1"/>
    <col min="3330" max="3330" width="19.85546875" style="1" customWidth="1"/>
    <col min="3331" max="3331" width="12" style="1" bestFit="1" customWidth="1"/>
    <col min="3332" max="3584" width="9.140625" style="1"/>
    <col min="3585" max="3585" width="29.5703125" style="1" bestFit="1" customWidth="1"/>
    <col min="3586" max="3586" width="19.85546875" style="1" customWidth="1"/>
    <col min="3587" max="3587" width="12" style="1" bestFit="1" customWidth="1"/>
    <col min="3588" max="3840" width="9.140625" style="1"/>
    <col min="3841" max="3841" width="29.5703125" style="1" bestFit="1" customWidth="1"/>
    <col min="3842" max="3842" width="19.85546875" style="1" customWidth="1"/>
    <col min="3843" max="3843" width="12" style="1" bestFit="1" customWidth="1"/>
    <col min="3844" max="4096" width="9.140625" style="1"/>
    <col min="4097" max="4097" width="29.5703125" style="1" bestFit="1" customWidth="1"/>
    <col min="4098" max="4098" width="19.85546875" style="1" customWidth="1"/>
    <col min="4099" max="4099" width="12" style="1" bestFit="1" customWidth="1"/>
    <col min="4100" max="4352" width="9.140625" style="1"/>
    <col min="4353" max="4353" width="29.5703125" style="1" bestFit="1" customWidth="1"/>
    <col min="4354" max="4354" width="19.85546875" style="1" customWidth="1"/>
    <col min="4355" max="4355" width="12" style="1" bestFit="1" customWidth="1"/>
    <col min="4356" max="4608" width="9.140625" style="1"/>
    <col min="4609" max="4609" width="29.5703125" style="1" bestFit="1" customWidth="1"/>
    <col min="4610" max="4610" width="19.85546875" style="1" customWidth="1"/>
    <col min="4611" max="4611" width="12" style="1" bestFit="1" customWidth="1"/>
    <col min="4612" max="4864" width="9.140625" style="1"/>
    <col min="4865" max="4865" width="29.5703125" style="1" bestFit="1" customWidth="1"/>
    <col min="4866" max="4866" width="19.85546875" style="1" customWidth="1"/>
    <col min="4867" max="4867" width="12" style="1" bestFit="1" customWidth="1"/>
    <col min="4868" max="5120" width="9.140625" style="1"/>
    <col min="5121" max="5121" width="29.5703125" style="1" bestFit="1" customWidth="1"/>
    <col min="5122" max="5122" width="19.85546875" style="1" customWidth="1"/>
    <col min="5123" max="5123" width="12" style="1" bestFit="1" customWidth="1"/>
    <col min="5124" max="5376" width="9.140625" style="1"/>
    <col min="5377" max="5377" width="29.5703125" style="1" bestFit="1" customWidth="1"/>
    <col min="5378" max="5378" width="19.85546875" style="1" customWidth="1"/>
    <col min="5379" max="5379" width="12" style="1" bestFit="1" customWidth="1"/>
    <col min="5380" max="5632" width="9.140625" style="1"/>
    <col min="5633" max="5633" width="29.5703125" style="1" bestFit="1" customWidth="1"/>
    <col min="5634" max="5634" width="19.85546875" style="1" customWidth="1"/>
    <col min="5635" max="5635" width="12" style="1" bestFit="1" customWidth="1"/>
    <col min="5636" max="5888" width="9.140625" style="1"/>
    <col min="5889" max="5889" width="29.5703125" style="1" bestFit="1" customWidth="1"/>
    <col min="5890" max="5890" width="19.85546875" style="1" customWidth="1"/>
    <col min="5891" max="5891" width="12" style="1" bestFit="1" customWidth="1"/>
    <col min="5892" max="6144" width="9.140625" style="1"/>
    <col min="6145" max="6145" width="29.5703125" style="1" bestFit="1" customWidth="1"/>
    <col min="6146" max="6146" width="19.85546875" style="1" customWidth="1"/>
    <col min="6147" max="6147" width="12" style="1" bestFit="1" customWidth="1"/>
    <col min="6148" max="6400" width="9.140625" style="1"/>
    <col min="6401" max="6401" width="29.5703125" style="1" bestFit="1" customWidth="1"/>
    <col min="6402" max="6402" width="19.85546875" style="1" customWidth="1"/>
    <col min="6403" max="6403" width="12" style="1" bestFit="1" customWidth="1"/>
    <col min="6404" max="6656" width="9.140625" style="1"/>
    <col min="6657" max="6657" width="29.5703125" style="1" bestFit="1" customWidth="1"/>
    <col min="6658" max="6658" width="19.85546875" style="1" customWidth="1"/>
    <col min="6659" max="6659" width="12" style="1" bestFit="1" customWidth="1"/>
    <col min="6660" max="6912" width="9.140625" style="1"/>
    <col min="6913" max="6913" width="29.5703125" style="1" bestFit="1" customWidth="1"/>
    <col min="6914" max="6914" width="19.85546875" style="1" customWidth="1"/>
    <col min="6915" max="6915" width="12" style="1" bestFit="1" customWidth="1"/>
    <col min="6916" max="7168" width="9.140625" style="1"/>
    <col min="7169" max="7169" width="29.5703125" style="1" bestFit="1" customWidth="1"/>
    <col min="7170" max="7170" width="19.85546875" style="1" customWidth="1"/>
    <col min="7171" max="7171" width="12" style="1" bestFit="1" customWidth="1"/>
    <col min="7172" max="7424" width="9.140625" style="1"/>
    <col min="7425" max="7425" width="29.5703125" style="1" bestFit="1" customWidth="1"/>
    <col min="7426" max="7426" width="19.85546875" style="1" customWidth="1"/>
    <col min="7427" max="7427" width="12" style="1" bestFit="1" customWidth="1"/>
    <col min="7428" max="7680" width="9.140625" style="1"/>
    <col min="7681" max="7681" width="29.5703125" style="1" bestFit="1" customWidth="1"/>
    <col min="7682" max="7682" width="19.85546875" style="1" customWidth="1"/>
    <col min="7683" max="7683" width="12" style="1" bestFit="1" customWidth="1"/>
    <col min="7684" max="7936" width="9.140625" style="1"/>
    <col min="7937" max="7937" width="29.5703125" style="1" bestFit="1" customWidth="1"/>
    <col min="7938" max="7938" width="19.85546875" style="1" customWidth="1"/>
    <col min="7939" max="7939" width="12" style="1" bestFit="1" customWidth="1"/>
    <col min="7940" max="8192" width="9.140625" style="1"/>
    <col min="8193" max="8193" width="29.5703125" style="1" bestFit="1" customWidth="1"/>
    <col min="8194" max="8194" width="19.85546875" style="1" customWidth="1"/>
    <col min="8195" max="8195" width="12" style="1" bestFit="1" customWidth="1"/>
    <col min="8196" max="8448" width="9.140625" style="1"/>
    <col min="8449" max="8449" width="29.5703125" style="1" bestFit="1" customWidth="1"/>
    <col min="8450" max="8450" width="19.85546875" style="1" customWidth="1"/>
    <col min="8451" max="8451" width="12" style="1" bestFit="1" customWidth="1"/>
    <col min="8452" max="8704" width="9.140625" style="1"/>
    <col min="8705" max="8705" width="29.5703125" style="1" bestFit="1" customWidth="1"/>
    <col min="8706" max="8706" width="19.85546875" style="1" customWidth="1"/>
    <col min="8707" max="8707" width="12" style="1" bestFit="1" customWidth="1"/>
    <col min="8708" max="8960" width="9.140625" style="1"/>
    <col min="8961" max="8961" width="29.5703125" style="1" bestFit="1" customWidth="1"/>
    <col min="8962" max="8962" width="19.85546875" style="1" customWidth="1"/>
    <col min="8963" max="8963" width="12" style="1" bestFit="1" customWidth="1"/>
    <col min="8964" max="9216" width="9.140625" style="1"/>
    <col min="9217" max="9217" width="29.5703125" style="1" bestFit="1" customWidth="1"/>
    <col min="9218" max="9218" width="19.85546875" style="1" customWidth="1"/>
    <col min="9219" max="9219" width="12" style="1" bestFit="1" customWidth="1"/>
    <col min="9220" max="9472" width="9.140625" style="1"/>
    <col min="9473" max="9473" width="29.5703125" style="1" bestFit="1" customWidth="1"/>
    <col min="9474" max="9474" width="19.85546875" style="1" customWidth="1"/>
    <col min="9475" max="9475" width="12" style="1" bestFit="1" customWidth="1"/>
    <col min="9476" max="9728" width="9.140625" style="1"/>
    <col min="9729" max="9729" width="29.5703125" style="1" bestFit="1" customWidth="1"/>
    <col min="9730" max="9730" width="19.85546875" style="1" customWidth="1"/>
    <col min="9731" max="9731" width="12" style="1" bestFit="1" customWidth="1"/>
    <col min="9732" max="9984" width="9.140625" style="1"/>
    <col min="9985" max="9985" width="29.5703125" style="1" bestFit="1" customWidth="1"/>
    <col min="9986" max="9986" width="19.85546875" style="1" customWidth="1"/>
    <col min="9987" max="9987" width="12" style="1" bestFit="1" customWidth="1"/>
    <col min="9988" max="10240" width="9.140625" style="1"/>
    <col min="10241" max="10241" width="29.5703125" style="1" bestFit="1" customWidth="1"/>
    <col min="10242" max="10242" width="19.85546875" style="1" customWidth="1"/>
    <col min="10243" max="10243" width="12" style="1" bestFit="1" customWidth="1"/>
    <col min="10244" max="10496" width="9.140625" style="1"/>
    <col min="10497" max="10497" width="29.5703125" style="1" bestFit="1" customWidth="1"/>
    <col min="10498" max="10498" width="19.85546875" style="1" customWidth="1"/>
    <col min="10499" max="10499" width="12" style="1" bestFit="1" customWidth="1"/>
    <col min="10500" max="10752" width="9.140625" style="1"/>
    <col min="10753" max="10753" width="29.5703125" style="1" bestFit="1" customWidth="1"/>
    <col min="10754" max="10754" width="19.85546875" style="1" customWidth="1"/>
    <col min="10755" max="10755" width="12" style="1" bestFit="1" customWidth="1"/>
    <col min="10756" max="11008" width="9.140625" style="1"/>
    <col min="11009" max="11009" width="29.5703125" style="1" bestFit="1" customWidth="1"/>
    <col min="11010" max="11010" width="19.85546875" style="1" customWidth="1"/>
    <col min="11011" max="11011" width="12" style="1" bestFit="1" customWidth="1"/>
    <col min="11012" max="11264" width="9.140625" style="1"/>
    <col min="11265" max="11265" width="29.5703125" style="1" bestFit="1" customWidth="1"/>
    <col min="11266" max="11266" width="19.85546875" style="1" customWidth="1"/>
    <col min="11267" max="11267" width="12" style="1" bestFit="1" customWidth="1"/>
    <col min="11268" max="11520" width="9.140625" style="1"/>
    <col min="11521" max="11521" width="29.5703125" style="1" bestFit="1" customWidth="1"/>
    <col min="11522" max="11522" width="19.85546875" style="1" customWidth="1"/>
    <col min="11523" max="11523" width="12" style="1" bestFit="1" customWidth="1"/>
    <col min="11524" max="11776" width="9.140625" style="1"/>
    <col min="11777" max="11777" width="29.5703125" style="1" bestFit="1" customWidth="1"/>
    <col min="11778" max="11778" width="19.85546875" style="1" customWidth="1"/>
    <col min="11779" max="11779" width="12" style="1" bestFit="1" customWidth="1"/>
    <col min="11780" max="12032" width="9.140625" style="1"/>
    <col min="12033" max="12033" width="29.5703125" style="1" bestFit="1" customWidth="1"/>
    <col min="12034" max="12034" width="19.85546875" style="1" customWidth="1"/>
    <col min="12035" max="12035" width="12" style="1" bestFit="1" customWidth="1"/>
    <col min="12036" max="12288" width="9.140625" style="1"/>
    <col min="12289" max="12289" width="29.5703125" style="1" bestFit="1" customWidth="1"/>
    <col min="12290" max="12290" width="19.85546875" style="1" customWidth="1"/>
    <col min="12291" max="12291" width="12" style="1" bestFit="1" customWidth="1"/>
    <col min="12292" max="12544" width="9.140625" style="1"/>
    <col min="12545" max="12545" width="29.5703125" style="1" bestFit="1" customWidth="1"/>
    <col min="12546" max="12546" width="19.85546875" style="1" customWidth="1"/>
    <col min="12547" max="12547" width="12" style="1" bestFit="1" customWidth="1"/>
    <col min="12548" max="12800" width="9.140625" style="1"/>
    <col min="12801" max="12801" width="29.5703125" style="1" bestFit="1" customWidth="1"/>
    <col min="12802" max="12802" width="19.85546875" style="1" customWidth="1"/>
    <col min="12803" max="12803" width="12" style="1" bestFit="1" customWidth="1"/>
    <col min="12804" max="13056" width="9.140625" style="1"/>
    <col min="13057" max="13057" width="29.5703125" style="1" bestFit="1" customWidth="1"/>
    <col min="13058" max="13058" width="19.85546875" style="1" customWidth="1"/>
    <col min="13059" max="13059" width="12" style="1" bestFit="1" customWidth="1"/>
    <col min="13060" max="13312" width="9.140625" style="1"/>
    <col min="13313" max="13313" width="29.5703125" style="1" bestFit="1" customWidth="1"/>
    <col min="13314" max="13314" width="19.85546875" style="1" customWidth="1"/>
    <col min="13315" max="13315" width="12" style="1" bestFit="1" customWidth="1"/>
    <col min="13316" max="13568" width="9.140625" style="1"/>
    <col min="13569" max="13569" width="29.5703125" style="1" bestFit="1" customWidth="1"/>
    <col min="13570" max="13570" width="19.85546875" style="1" customWidth="1"/>
    <col min="13571" max="13571" width="12" style="1" bestFit="1" customWidth="1"/>
    <col min="13572" max="13824" width="9.140625" style="1"/>
    <col min="13825" max="13825" width="29.5703125" style="1" bestFit="1" customWidth="1"/>
    <col min="13826" max="13826" width="19.85546875" style="1" customWidth="1"/>
    <col min="13827" max="13827" width="12" style="1" bestFit="1" customWidth="1"/>
    <col min="13828" max="14080" width="9.140625" style="1"/>
    <col min="14081" max="14081" width="29.5703125" style="1" bestFit="1" customWidth="1"/>
    <col min="14082" max="14082" width="19.85546875" style="1" customWidth="1"/>
    <col min="14083" max="14083" width="12" style="1" bestFit="1" customWidth="1"/>
    <col min="14084" max="14336" width="9.140625" style="1"/>
    <col min="14337" max="14337" width="29.5703125" style="1" bestFit="1" customWidth="1"/>
    <col min="14338" max="14338" width="19.85546875" style="1" customWidth="1"/>
    <col min="14339" max="14339" width="12" style="1" bestFit="1" customWidth="1"/>
    <col min="14340" max="14592" width="9.140625" style="1"/>
    <col min="14593" max="14593" width="29.5703125" style="1" bestFit="1" customWidth="1"/>
    <col min="14594" max="14594" width="19.85546875" style="1" customWidth="1"/>
    <col min="14595" max="14595" width="12" style="1" bestFit="1" customWidth="1"/>
    <col min="14596" max="14848" width="9.140625" style="1"/>
    <col min="14849" max="14849" width="29.5703125" style="1" bestFit="1" customWidth="1"/>
    <col min="14850" max="14850" width="19.85546875" style="1" customWidth="1"/>
    <col min="14851" max="14851" width="12" style="1" bestFit="1" customWidth="1"/>
    <col min="14852" max="15104" width="9.140625" style="1"/>
    <col min="15105" max="15105" width="29.5703125" style="1" bestFit="1" customWidth="1"/>
    <col min="15106" max="15106" width="19.85546875" style="1" customWidth="1"/>
    <col min="15107" max="15107" width="12" style="1" bestFit="1" customWidth="1"/>
    <col min="15108" max="15360" width="9.140625" style="1"/>
    <col min="15361" max="15361" width="29.5703125" style="1" bestFit="1" customWidth="1"/>
    <col min="15362" max="15362" width="19.85546875" style="1" customWidth="1"/>
    <col min="15363" max="15363" width="12" style="1" bestFit="1" customWidth="1"/>
    <col min="15364" max="15616" width="9.140625" style="1"/>
    <col min="15617" max="15617" width="29.5703125" style="1" bestFit="1" customWidth="1"/>
    <col min="15618" max="15618" width="19.85546875" style="1" customWidth="1"/>
    <col min="15619" max="15619" width="12" style="1" bestFit="1" customWidth="1"/>
    <col min="15620" max="15872" width="9.140625" style="1"/>
    <col min="15873" max="15873" width="29.5703125" style="1" bestFit="1" customWidth="1"/>
    <col min="15874" max="15874" width="19.85546875" style="1" customWidth="1"/>
    <col min="15875" max="15875" width="12" style="1" bestFit="1" customWidth="1"/>
    <col min="15876" max="16128" width="9.140625" style="1"/>
    <col min="16129" max="16129" width="29.5703125" style="1" bestFit="1" customWidth="1"/>
    <col min="16130" max="16130" width="19.85546875" style="1" customWidth="1"/>
    <col min="16131" max="16131" width="12" style="1" bestFit="1" customWidth="1"/>
    <col min="16132" max="16384" width="9.140625" style="1"/>
  </cols>
  <sheetData>
    <row r="1" spans="1:2" x14ac:dyDescent="0.2">
      <c r="A1" s="1" t="s">
        <v>1024</v>
      </c>
      <c r="B1" s="2201">
        <v>6.1</v>
      </c>
    </row>
    <row r="2" spans="1:2" x14ac:dyDescent="0.2">
      <c r="A2" s="1" t="s">
        <v>1025</v>
      </c>
      <c r="B2" s="2205">
        <v>43165.59710648148</v>
      </c>
    </row>
    <row r="3" spans="1:2" x14ac:dyDescent="0.2">
      <c r="A3" s="1" t="s">
        <v>1026</v>
      </c>
      <c r="B3" s="2202" t="s">
        <v>728</v>
      </c>
    </row>
    <row r="4" spans="1:2" x14ac:dyDescent="0.2">
      <c r="A4" s="1" t="s">
        <v>1027</v>
      </c>
      <c r="B4" s="2202" t="s">
        <v>1028</v>
      </c>
    </row>
    <row r="5" spans="1:2" x14ac:dyDescent="0.2">
      <c r="A5" s="1" t="s">
        <v>1029</v>
      </c>
      <c r="B5" s="2202" t="s">
        <v>1030</v>
      </c>
    </row>
    <row r="6" spans="1:2" x14ac:dyDescent="0.2">
      <c r="A6" s="1" t="s">
        <v>1031</v>
      </c>
    </row>
    <row r="7" spans="1:2" x14ac:dyDescent="0.2">
      <c r="A7" s="1" t="s">
        <v>1032</v>
      </c>
      <c r="B7" s="2202" t="s">
        <v>3</v>
      </c>
    </row>
    <row r="8" spans="1:2" x14ac:dyDescent="0.2">
      <c r="A8" s="1" t="s">
        <v>1033</v>
      </c>
      <c r="B8" s="2202" t="s">
        <v>1034</v>
      </c>
    </row>
    <row r="9" spans="1:2" x14ac:dyDescent="0.2">
      <c r="A9" s="1" t="s">
        <v>1035</v>
      </c>
      <c r="B9" s="2202" t="s">
        <v>1073</v>
      </c>
    </row>
    <row r="10" spans="1:2" x14ac:dyDescent="0.2">
      <c r="A10" s="1" t="s">
        <v>1036</v>
      </c>
    </row>
    <row r="11" spans="1:2" x14ac:dyDescent="0.2">
      <c r="A11" s="1" t="s">
        <v>1037</v>
      </c>
    </row>
    <row r="12" spans="1:2" x14ac:dyDescent="0.2">
      <c r="A12" s="1" t="s">
        <v>1038</v>
      </c>
    </row>
    <row r="13" spans="1:2" x14ac:dyDescent="0.2">
      <c r="A13" s="1" t="s">
        <v>1039</v>
      </c>
    </row>
    <row r="14" spans="1:2" x14ac:dyDescent="0.2">
      <c r="A14" s="1" t="s">
        <v>1040</v>
      </c>
    </row>
    <row r="15" spans="1:2" x14ac:dyDescent="0.2">
      <c r="A15" s="1" t="s">
        <v>1041</v>
      </c>
    </row>
    <row r="16" spans="1:2" x14ac:dyDescent="0.2">
      <c r="A16" s="1" t="s">
        <v>1042</v>
      </c>
    </row>
    <row r="17" spans="1:4" x14ac:dyDescent="0.2">
      <c r="A17" s="1" t="s">
        <v>1043</v>
      </c>
      <c r="B17" s="2202" t="s">
        <v>1074</v>
      </c>
    </row>
    <row r="18" spans="1:4" x14ac:dyDescent="0.2">
      <c r="A18" s="1" t="s">
        <v>1044</v>
      </c>
      <c r="B18" s="2202" t="s">
        <v>729</v>
      </c>
    </row>
    <row r="19" spans="1:4" x14ac:dyDescent="0.2">
      <c r="A19" s="1" t="s">
        <v>1045</v>
      </c>
      <c r="B19" s="2202" t="s">
        <v>709</v>
      </c>
    </row>
    <row r="20" spans="1:4" x14ac:dyDescent="0.2">
      <c r="A20" s="1" t="s">
        <v>1046</v>
      </c>
      <c r="B20" s="2203"/>
    </row>
    <row r="21" spans="1:4" x14ac:dyDescent="0.2">
      <c r="A21" s="1" t="s">
        <v>1047</v>
      </c>
      <c r="B21" s="2202" t="s">
        <v>709</v>
      </c>
    </row>
    <row r="22" spans="1:4" x14ac:dyDescent="0.2">
      <c r="A22" s="1" t="s">
        <v>1048</v>
      </c>
      <c r="B22" s="2203" t="s">
        <v>680</v>
      </c>
    </row>
    <row r="23" spans="1:4" x14ac:dyDescent="0.2">
      <c r="A23" s="1" t="s">
        <v>319</v>
      </c>
      <c r="B23" s="2201">
        <v>33.770000000000003</v>
      </c>
    </row>
    <row r="24" spans="1:4" x14ac:dyDescent="0.2">
      <c r="A24" s="1" t="s">
        <v>318</v>
      </c>
      <c r="B24" s="2202" t="s">
        <v>159</v>
      </c>
      <c r="D24" s="1" t="s">
        <v>1049</v>
      </c>
    </row>
    <row r="25" spans="1:4" x14ac:dyDescent="0.2">
      <c r="A25" s="1" t="s">
        <v>1050</v>
      </c>
      <c r="B25" s="2202" t="s">
        <v>1076</v>
      </c>
    </row>
    <row r="26" spans="1:4" x14ac:dyDescent="0.2">
      <c r="A26" s="1" t="s">
        <v>1051</v>
      </c>
      <c r="B26" s="2202">
        <v>0</v>
      </c>
    </row>
    <row r="27" spans="1:4" x14ac:dyDescent="0.2">
      <c r="A27" s="1" t="s">
        <v>1052</v>
      </c>
      <c r="B27" s="2202" t="s">
        <v>1053</v>
      </c>
    </row>
    <row r="28" spans="1:4" x14ac:dyDescent="0.2">
      <c r="A28" s="1" t="s">
        <v>1054</v>
      </c>
      <c r="B28" s="2202" t="s">
        <v>1055</v>
      </c>
    </row>
    <row r="29" spans="1:4" x14ac:dyDescent="0.2">
      <c r="A29" s="1" t="s">
        <v>1056</v>
      </c>
    </row>
    <row r="30" spans="1:4" x14ac:dyDescent="0.2">
      <c r="A30" s="1" t="s">
        <v>1057</v>
      </c>
    </row>
    <row r="31" spans="1:4" x14ac:dyDescent="0.2">
      <c r="A31" s="1" t="s">
        <v>1058</v>
      </c>
    </row>
    <row r="32" spans="1:4" x14ac:dyDescent="0.2">
      <c r="A32" s="1" t="s">
        <v>1059</v>
      </c>
      <c r="B32" s="2201"/>
    </row>
    <row r="33" spans="1:2" x14ac:dyDescent="0.2">
      <c r="A33" s="1" t="s">
        <v>1060</v>
      </c>
      <c r="B33" s="2201"/>
    </row>
    <row r="34" spans="1:2" x14ac:dyDescent="0.2">
      <c r="A34" s="1" t="s">
        <v>1061</v>
      </c>
      <c r="B34" s="2201"/>
    </row>
    <row r="35" spans="1:2" x14ac:dyDescent="0.2">
      <c r="A35" s="1" t="s">
        <v>1062</v>
      </c>
      <c r="B35" s="2202">
        <v>1000000</v>
      </c>
    </row>
    <row r="36" spans="1:2" x14ac:dyDescent="0.2">
      <c r="A36" s="1" t="s">
        <v>1063</v>
      </c>
      <c r="B36" s="2202" t="s">
        <v>1075</v>
      </c>
    </row>
    <row r="37" spans="1:2" x14ac:dyDescent="0.2">
      <c r="A37" s="1" t="s">
        <v>1064</v>
      </c>
      <c r="B37" s="2202" t="s">
        <v>1065</v>
      </c>
    </row>
    <row r="38" spans="1:2" x14ac:dyDescent="0.2">
      <c r="A38" s="1" t="s">
        <v>1066</v>
      </c>
      <c r="B38" s="2202" t="s">
        <v>1067</v>
      </c>
    </row>
    <row r="39" spans="1:2" x14ac:dyDescent="0.2">
      <c r="A39" s="1" t="s">
        <v>1068</v>
      </c>
      <c r="B39" s="2202" t="s">
        <v>708</v>
      </c>
    </row>
    <row r="40" spans="1:2" x14ac:dyDescent="0.2">
      <c r="A40" s="1" t="s">
        <v>1069</v>
      </c>
      <c r="B40" s="2202">
        <v>1500005571</v>
      </c>
    </row>
    <row r="41" spans="1:2" x14ac:dyDescent="0.2">
      <c r="A41" s="1" t="s">
        <v>1070</v>
      </c>
      <c r="B41" s="2202">
        <v>1</v>
      </c>
    </row>
    <row r="42" spans="1:2" x14ac:dyDescent="0.2">
      <c r="A42" s="2204" t="s">
        <v>1071</v>
      </c>
    </row>
    <row r="43" spans="1:2" x14ac:dyDescent="0.2">
      <c r="A43" s="1" t="s">
        <v>1072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1" bestFit="1" customWidth="1"/>
    <col min="2" max="256" width="9.140625" style="1"/>
    <col min="257" max="257" width="28.5703125" style="1" bestFit="1" customWidth="1"/>
    <col min="258" max="512" width="9.140625" style="1"/>
    <col min="513" max="513" width="28.5703125" style="1" bestFit="1" customWidth="1"/>
    <col min="514" max="768" width="9.140625" style="1"/>
    <col min="769" max="769" width="28.5703125" style="1" bestFit="1" customWidth="1"/>
    <col min="770" max="1024" width="9.140625" style="1"/>
    <col min="1025" max="1025" width="28.5703125" style="1" bestFit="1" customWidth="1"/>
    <col min="1026" max="1280" width="9.140625" style="1"/>
    <col min="1281" max="1281" width="28.5703125" style="1" bestFit="1" customWidth="1"/>
    <col min="1282" max="1536" width="9.140625" style="1"/>
    <col min="1537" max="1537" width="28.5703125" style="1" bestFit="1" customWidth="1"/>
    <col min="1538" max="1792" width="9.140625" style="1"/>
    <col min="1793" max="1793" width="28.5703125" style="1" bestFit="1" customWidth="1"/>
    <col min="1794" max="2048" width="9.140625" style="1"/>
    <col min="2049" max="2049" width="28.5703125" style="1" bestFit="1" customWidth="1"/>
    <col min="2050" max="2304" width="9.140625" style="1"/>
    <col min="2305" max="2305" width="28.5703125" style="1" bestFit="1" customWidth="1"/>
    <col min="2306" max="2560" width="9.140625" style="1"/>
    <col min="2561" max="2561" width="28.5703125" style="1" bestFit="1" customWidth="1"/>
    <col min="2562" max="2816" width="9.140625" style="1"/>
    <col min="2817" max="2817" width="28.5703125" style="1" bestFit="1" customWidth="1"/>
    <col min="2818" max="3072" width="9.140625" style="1"/>
    <col min="3073" max="3073" width="28.5703125" style="1" bestFit="1" customWidth="1"/>
    <col min="3074" max="3328" width="9.140625" style="1"/>
    <col min="3329" max="3329" width="28.5703125" style="1" bestFit="1" customWidth="1"/>
    <col min="3330" max="3584" width="9.140625" style="1"/>
    <col min="3585" max="3585" width="28.5703125" style="1" bestFit="1" customWidth="1"/>
    <col min="3586" max="3840" width="9.140625" style="1"/>
    <col min="3841" max="3841" width="28.5703125" style="1" bestFit="1" customWidth="1"/>
    <col min="3842" max="4096" width="9.140625" style="1"/>
    <col min="4097" max="4097" width="28.5703125" style="1" bestFit="1" customWidth="1"/>
    <col min="4098" max="4352" width="9.140625" style="1"/>
    <col min="4353" max="4353" width="28.5703125" style="1" bestFit="1" customWidth="1"/>
    <col min="4354" max="4608" width="9.140625" style="1"/>
    <col min="4609" max="4609" width="28.5703125" style="1" bestFit="1" customWidth="1"/>
    <col min="4610" max="4864" width="9.140625" style="1"/>
    <col min="4865" max="4865" width="28.5703125" style="1" bestFit="1" customWidth="1"/>
    <col min="4866" max="5120" width="9.140625" style="1"/>
    <col min="5121" max="5121" width="28.5703125" style="1" bestFit="1" customWidth="1"/>
    <col min="5122" max="5376" width="9.140625" style="1"/>
    <col min="5377" max="5377" width="28.5703125" style="1" bestFit="1" customWidth="1"/>
    <col min="5378" max="5632" width="9.140625" style="1"/>
    <col min="5633" max="5633" width="28.5703125" style="1" bestFit="1" customWidth="1"/>
    <col min="5634" max="5888" width="9.140625" style="1"/>
    <col min="5889" max="5889" width="28.5703125" style="1" bestFit="1" customWidth="1"/>
    <col min="5890" max="6144" width="9.140625" style="1"/>
    <col min="6145" max="6145" width="28.5703125" style="1" bestFit="1" customWidth="1"/>
    <col min="6146" max="6400" width="9.140625" style="1"/>
    <col min="6401" max="6401" width="28.5703125" style="1" bestFit="1" customWidth="1"/>
    <col min="6402" max="6656" width="9.140625" style="1"/>
    <col min="6657" max="6657" width="28.5703125" style="1" bestFit="1" customWidth="1"/>
    <col min="6658" max="6912" width="9.140625" style="1"/>
    <col min="6913" max="6913" width="28.5703125" style="1" bestFit="1" customWidth="1"/>
    <col min="6914" max="7168" width="9.140625" style="1"/>
    <col min="7169" max="7169" width="28.5703125" style="1" bestFit="1" customWidth="1"/>
    <col min="7170" max="7424" width="9.140625" style="1"/>
    <col min="7425" max="7425" width="28.5703125" style="1" bestFit="1" customWidth="1"/>
    <col min="7426" max="7680" width="9.140625" style="1"/>
    <col min="7681" max="7681" width="28.5703125" style="1" bestFit="1" customWidth="1"/>
    <col min="7682" max="7936" width="9.140625" style="1"/>
    <col min="7937" max="7937" width="28.5703125" style="1" bestFit="1" customWidth="1"/>
    <col min="7938" max="8192" width="9.140625" style="1"/>
    <col min="8193" max="8193" width="28.5703125" style="1" bestFit="1" customWidth="1"/>
    <col min="8194" max="8448" width="9.140625" style="1"/>
    <col min="8449" max="8449" width="28.5703125" style="1" bestFit="1" customWidth="1"/>
    <col min="8450" max="8704" width="9.140625" style="1"/>
    <col min="8705" max="8705" width="28.5703125" style="1" bestFit="1" customWidth="1"/>
    <col min="8706" max="8960" width="9.140625" style="1"/>
    <col min="8961" max="8961" width="28.5703125" style="1" bestFit="1" customWidth="1"/>
    <col min="8962" max="9216" width="9.140625" style="1"/>
    <col min="9217" max="9217" width="28.5703125" style="1" bestFit="1" customWidth="1"/>
    <col min="9218" max="9472" width="9.140625" style="1"/>
    <col min="9473" max="9473" width="28.5703125" style="1" bestFit="1" customWidth="1"/>
    <col min="9474" max="9728" width="9.140625" style="1"/>
    <col min="9729" max="9729" width="28.5703125" style="1" bestFit="1" customWidth="1"/>
    <col min="9730" max="9984" width="9.140625" style="1"/>
    <col min="9985" max="9985" width="28.5703125" style="1" bestFit="1" customWidth="1"/>
    <col min="9986" max="10240" width="9.140625" style="1"/>
    <col min="10241" max="10241" width="28.5703125" style="1" bestFit="1" customWidth="1"/>
    <col min="10242" max="10496" width="9.140625" style="1"/>
    <col min="10497" max="10497" width="28.5703125" style="1" bestFit="1" customWidth="1"/>
    <col min="10498" max="10752" width="9.140625" style="1"/>
    <col min="10753" max="10753" width="28.5703125" style="1" bestFit="1" customWidth="1"/>
    <col min="10754" max="11008" width="9.140625" style="1"/>
    <col min="11009" max="11009" width="28.5703125" style="1" bestFit="1" customWidth="1"/>
    <col min="11010" max="11264" width="9.140625" style="1"/>
    <col min="11265" max="11265" width="28.5703125" style="1" bestFit="1" customWidth="1"/>
    <col min="11266" max="11520" width="9.140625" style="1"/>
    <col min="11521" max="11521" width="28.5703125" style="1" bestFit="1" customWidth="1"/>
    <col min="11522" max="11776" width="9.140625" style="1"/>
    <col min="11777" max="11777" width="28.5703125" style="1" bestFit="1" customWidth="1"/>
    <col min="11778" max="12032" width="9.140625" style="1"/>
    <col min="12033" max="12033" width="28.5703125" style="1" bestFit="1" customWidth="1"/>
    <col min="12034" max="12288" width="9.140625" style="1"/>
    <col min="12289" max="12289" width="28.5703125" style="1" bestFit="1" customWidth="1"/>
    <col min="12290" max="12544" width="9.140625" style="1"/>
    <col min="12545" max="12545" width="28.5703125" style="1" bestFit="1" customWidth="1"/>
    <col min="12546" max="12800" width="9.140625" style="1"/>
    <col min="12801" max="12801" width="28.5703125" style="1" bestFit="1" customWidth="1"/>
    <col min="12802" max="13056" width="9.140625" style="1"/>
    <col min="13057" max="13057" width="28.5703125" style="1" bestFit="1" customWidth="1"/>
    <col min="13058" max="13312" width="9.140625" style="1"/>
    <col min="13313" max="13313" width="28.5703125" style="1" bestFit="1" customWidth="1"/>
    <col min="13314" max="13568" width="9.140625" style="1"/>
    <col min="13569" max="13569" width="28.5703125" style="1" bestFit="1" customWidth="1"/>
    <col min="13570" max="13824" width="9.140625" style="1"/>
    <col min="13825" max="13825" width="28.5703125" style="1" bestFit="1" customWidth="1"/>
    <col min="13826" max="14080" width="9.140625" style="1"/>
    <col min="14081" max="14081" width="28.5703125" style="1" bestFit="1" customWidth="1"/>
    <col min="14082" max="14336" width="9.140625" style="1"/>
    <col min="14337" max="14337" width="28.5703125" style="1" bestFit="1" customWidth="1"/>
    <col min="14338" max="14592" width="9.140625" style="1"/>
    <col min="14593" max="14593" width="28.5703125" style="1" bestFit="1" customWidth="1"/>
    <col min="14594" max="14848" width="9.140625" style="1"/>
    <col min="14849" max="14849" width="28.5703125" style="1" bestFit="1" customWidth="1"/>
    <col min="14850" max="15104" width="9.140625" style="1"/>
    <col min="15105" max="15105" width="28.5703125" style="1" bestFit="1" customWidth="1"/>
    <col min="15106" max="15360" width="9.140625" style="1"/>
    <col min="15361" max="15361" width="28.5703125" style="1" bestFit="1" customWidth="1"/>
    <col min="15362" max="15616" width="9.140625" style="1"/>
    <col min="15617" max="15617" width="28.5703125" style="1" bestFit="1" customWidth="1"/>
    <col min="15618" max="15872" width="9.140625" style="1"/>
    <col min="15873" max="15873" width="28.5703125" style="1" bestFit="1" customWidth="1"/>
    <col min="15874" max="16128" width="9.140625" style="1"/>
    <col min="16129" max="16129" width="28.5703125" style="1" bestFit="1" customWidth="1"/>
    <col min="16130" max="16384" width="9.140625" style="1"/>
  </cols>
  <sheetData>
    <row r="1" spans="1:1" x14ac:dyDescent="0.2">
      <c r="A1" s="2206" t="s">
        <v>1077</v>
      </c>
    </row>
    <row r="2" spans="1:1" x14ac:dyDescent="0.2">
      <c r="A2" s="2206" t="s">
        <v>1082</v>
      </c>
    </row>
    <row r="3" spans="1:1" x14ac:dyDescent="0.2">
      <c r="A3" s="2206" t="s">
        <v>1083</v>
      </c>
    </row>
    <row r="4" spans="1:1" x14ac:dyDescent="0.2">
      <c r="A4" s="2206" t="s">
        <v>1084</v>
      </c>
    </row>
    <row r="5" spans="1:1" x14ac:dyDescent="0.2">
      <c r="A5" s="2206" t="s">
        <v>1085</v>
      </c>
    </row>
    <row r="6" spans="1:1" x14ac:dyDescent="0.2">
      <c r="A6" s="2206" t="s">
        <v>1078</v>
      </c>
    </row>
    <row r="7" spans="1:1" x14ac:dyDescent="0.2">
      <c r="A7" s="2206" t="s">
        <v>1086</v>
      </c>
    </row>
    <row r="8" spans="1:1" x14ac:dyDescent="0.2">
      <c r="A8" s="2206" t="s">
        <v>1087</v>
      </c>
    </row>
    <row r="9" spans="1:1" x14ac:dyDescent="0.2">
      <c r="A9" s="2206" t="s">
        <v>1088</v>
      </c>
    </row>
    <row r="10" spans="1:1" x14ac:dyDescent="0.2">
      <c r="A10" s="2206" t="s">
        <v>1079</v>
      </c>
    </row>
    <row r="11" spans="1:1" x14ac:dyDescent="0.2">
      <c r="A11" s="2206" t="s">
        <v>1089</v>
      </c>
    </row>
    <row r="12" spans="1:1" x14ac:dyDescent="0.2">
      <c r="A12" s="2206" t="s">
        <v>1080</v>
      </c>
    </row>
    <row r="13" spans="1:1" x14ac:dyDescent="0.2">
      <c r="A13" s="2206" t="s">
        <v>1081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"/>
  <sheetViews>
    <sheetView workbookViewId="0"/>
  </sheetViews>
  <sheetFormatPr defaultRowHeight="12.75" x14ac:dyDescent="0.2"/>
  <sheetData>
    <row r="1" spans="1:28" x14ac:dyDescent="0.2">
      <c r="A1" t="s">
        <v>713</v>
      </c>
    </row>
    <row r="2" spans="1:28" x14ac:dyDescent="0.2">
      <c r="A2" s="36" t="s">
        <v>711</v>
      </c>
      <c r="B2" s="36" t="s">
        <v>680</v>
      </c>
      <c r="C2" s="36" t="s">
        <v>129</v>
      </c>
      <c r="D2" s="36" t="s">
        <v>683</v>
      </c>
      <c r="E2" s="36" t="s">
        <v>393</v>
      </c>
      <c r="F2" s="36" t="s">
        <v>130</v>
      </c>
      <c r="G2" s="36" t="s">
        <v>77</v>
      </c>
      <c r="H2" s="36" t="s">
        <v>130</v>
      </c>
      <c r="I2" s="36" t="s">
        <v>79</v>
      </c>
      <c r="J2" s="36" t="s">
        <v>130</v>
      </c>
      <c r="K2" s="36" t="s">
        <v>78</v>
      </c>
      <c r="L2" s="36" t="s">
        <v>680</v>
      </c>
      <c r="M2" s="36" t="s">
        <v>387</v>
      </c>
      <c r="N2" s="36" t="s">
        <v>390</v>
      </c>
      <c r="O2" s="36" t="s">
        <v>388</v>
      </c>
      <c r="P2" s="36" t="s">
        <v>159</v>
      </c>
      <c r="Q2" s="36" t="s">
        <v>710</v>
      </c>
      <c r="R2" s="36" t="s">
        <v>683</v>
      </c>
      <c r="S2" s="36" t="s">
        <v>2</v>
      </c>
      <c r="T2" s="36" t="s">
        <v>130</v>
      </c>
      <c r="U2" s="36" t="s">
        <v>392</v>
      </c>
      <c r="V2" s="36" t="s">
        <v>130</v>
      </c>
      <c r="W2" s="36" t="s">
        <v>712</v>
      </c>
      <c r="X2" s="36" t="s">
        <v>159</v>
      </c>
      <c r="Y2" s="36" t="s">
        <v>128</v>
      </c>
      <c r="Z2" s="36" t="s">
        <v>159</v>
      </c>
      <c r="AA2" s="36" t="s">
        <v>389</v>
      </c>
      <c r="AB2" s="36" t="s">
        <v>391</v>
      </c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1"/>
  <sheetViews>
    <sheetView workbookViewId="0"/>
  </sheetViews>
  <sheetFormatPr defaultRowHeight="12.75" x14ac:dyDescent="0.2"/>
  <sheetData>
    <row r="1" spans="1:2" x14ac:dyDescent="0.2">
      <c r="B1" t="s">
        <v>1</v>
      </c>
    </row>
  </sheetData>
  <phoneticPr fontId="4" type="noConversion"/>
  <pageMargins left="0.75" right="0.75" top="1" bottom="1" header="0.5" footer="0.5"/>
  <pageSetup orientation="portrait" r:id="rId1"/>
  <headerFooter alignWithMargins="0"/>
  <legacyDrawing r:id="rId2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F6114B8D-5CA8-44E1-B450-5F9D29A79236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DF875083-E11D-4603-A22F-2B1646E6336B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ImportantDisclosures</vt:lpstr>
      <vt:lpstr>P&amp;L</vt:lpstr>
      <vt:lpstr>RevBuild</vt:lpstr>
      <vt:lpstr>OrgRev</vt:lpstr>
      <vt:lpstr>Growth_Drivers</vt:lpstr>
      <vt:lpstr>BS</vt:lpstr>
      <vt:lpstr>CFS</vt:lpstr>
      <vt:lpstr>Debt</vt:lpstr>
      <vt:lpstr>DCF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Linking_11</vt:lpstr>
      <vt:lpstr>Linking_18</vt:lpstr>
      <vt:lpstr>Linking_2</vt:lpstr>
      <vt:lpstr>Linking_22</vt:lpstr>
      <vt:lpstr>Linking_23</vt:lpstr>
      <vt:lpstr>Linking_25</vt:lpstr>
      <vt:lpstr>Linking_26</vt:lpstr>
      <vt:lpstr>Linking_27</vt:lpstr>
      <vt:lpstr>Linking_29</vt:lpstr>
      <vt:lpstr>Linking_33</vt:lpstr>
      <vt:lpstr>Linking_4</vt:lpstr>
      <vt:lpstr>Linking_49</vt:lpstr>
      <vt:lpstr>Linking_5</vt:lpstr>
      <vt:lpstr>Linking_50</vt:lpstr>
      <vt:lpstr>Linking_55</vt:lpstr>
      <vt:lpstr>Linking_57</vt:lpstr>
      <vt:lpstr>Linking_59</vt:lpstr>
      <vt:lpstr>Linking_6</vt:lpstr>
      <vt:lpstr>Linking_60</vt:lpstr>
      <vt:lpstr>Linking_61</vt:lpstr>
      <vt:lpstr>Linking_62</vt:lpstr>
      <vt:lpstr>Linking_63</vt:lpstr>
      <vt:lpstr>Linking_64</vt:lpstr>
      <vt:lpstr>Linking_66</vt:lpstr>
      <vt:lpstr>Linking_7</vt:lpstr>
      <vt:lpstr>Linking_70</vt:lpstr>
      <vt:lpstr>Linking_71</vt:lpstr>
      <vt:lpstr>Linking_9</vt:lpstr>
      <vt:lpstr>DCF!Linking_Range_1</vt:lpstr>
      <vt:lpstr>Linking_Range_34</vt:lpstr>
      <vt:lpstr>Linking_Range_35</vt:lpstr>
      <vt:lpstr>Linking_Range_36</vt:lpstr>
      <vt:lpstr>Linking_Range_37</vt:lpstr>
      <vt:lpstr>Linking_Range_38</vt:lpstr>
      <vt:lpstr>Linking_Range_41</vt:lpstr>
      <vt:lpstr>Linking_Range_42</vt:lpstr>
      <vt:lpstr>Linking_Range_43</vt:lpstr>
      <vt:lpstr>Linking_Range_44</vt:lpstr>
      <vt:lpstr>Linking_Range_45</vt:lpstr>
      <vt:lpstr>Linking_Range_49</vt:lpstr>
      <vt:lpstr>Linking_Range_50</vt:lpstr>
      <vt:lpstr>Linking_Range_51</vt:lpstr>
      <vt:lpstr>Linking_Range_58</vt:lpstr>
      <vt:lpstr>Linking_Range_59</vt:lpstr>
      <vt:lpstr>Linking_Range_60</vt:lpstr>
      <vt:lpstr>Linking_Range_61</vt:lpstr>
      <vt:lpstr>Linking_Range_62</vt:lpstr>
      <vt:lpstr>Linking_Range_65</vt:lpstr>
      <vt:lpstr>Linking_Range_68</vt:lpstr>
      <vt:lpstr>Linking_Range_69</vt:lpstr>
      <vt:lpstr>Linking_Range_72</vt:lpstr>
      <vt:lpstr>Linking_Text_2</vt:lpstr>
      <vt:lpstr>Linking_Text_3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CFS!Print_Area</vt:lpstr>
      <vt:lpstr>DCF!Print_Area</vt:lpstr>
      <vt:lpstr>Debt!Print_Area</vt:lpstr>
      <vt:lpstr>'P&amp;L'!Print_Area</vt:lpstr>
      <vt:lpstr>RevBuild!Print_Area</vt:lpstr>
      <vt:lpstr>BS!Print_Titles</vt:lpstr>
      <vt:lpstr>'P&amp;L'!Print_Titles</vt:lpstr>
      <vt:lpstr>RevBuild!Print_Titles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2009-02-17T16:01:47Z</dcterms:created>
  <dc:creator>sotomon</dc:creator>
  <cp:lastModifiedBy>Wachter, Zachary (Research)</cp:lastModifiedBy>
  <cp:lastPrinted>2018-02-01T21:06:22Z</cp:lastPrinted>
  <dcterms:modified xsi:type="dcterms:W3CDTF">2018-03-06T19:19:54Z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Text_" pid="2">
    <vt:lpwstr>3</vt:lpwstr>
  </property>
  <property fmtid="{D5CDD505-2E9C-101B-9397-08002B2CF9AE}" name="LinkingAutoNameNumberLinking_Range_" pid="3">
    <vt:lpwstr>72</vt:lpwstr>
  </property>
  <property fmtid="{D5CDD505-2E9C-101B-9397-08002B2CF9AE}" name="{A44787D4-0540-4523-9961-78E4036D8C6D}" pid="4">
    <vt:lpwstr>{8DA661DA-984A-471D-B78A-B129E12F22AC}</vt:lpwstr>
  </property>
  <property fmtid="{D5CDD505-2E9C-101B-9397-08002B2CF9AE}" name="ERModPubTicket" pid="5">
    <vt:lpwstr>NA</vt:lpwstr>
  </property>
  <property fmtid="{D5CDD505-2E9C-101B-9397-08002B2CF9AE}" name="ERCompanyUploadState" pid="6">
    <vt:lpwstr>P</vt:lpwstr>
  </property>
  <property fmtid="{D5CDD505-2E9C-101B-9397-08002B2CF9AE}" name="ModelId" pid="7">
    <vt:lpwstr>754621</vt:lpwstr>
  </property>
  <property fmtid="{D5CDD505-2E9C-101B-9397-08002B2CF9AE}" name="ERModPubCompanyName" pid="8">
    <vt:lpwstr>Qiagen NV</vt:lpwstr>
  </property>
  <property fmtid="{D5CDD505-2E9C-101B-9397-08002B2CF9AE}" name="MSDH34TAG" pid="9">
    <vt:lpwstr>.TEZUF76X5TAHATHESADREYAK-00-INB160+*94600-06=5c48a280/-2173/-11e8/-9b95/-96f032c946f3,MD=20180306142234/-0500,ZZ=000Z-1d92.</vt:lpwstr>
  </property>
</Properties>
</file>